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rbashar\OneDrive - Sempra Energy\documents\1. My Projects\2019 my projects\1Boiler Stack Economizer\0Statewide wp\"/>
    </mc:Choice>
  </mc:AlternateContent>
  <xr:revisionPtr revIDLastSave="0" documentId="13_ncr:1_{C90DB016-9EEB-4015-BCDD-00030A800CF0}" xr6:coauthVersionLast="41" xr6:coauthVersionMax="41" xr10:uidLastSave="{00000000-0000-0000-0000-000000000000}"/>
  <bookViews>
    <workbookView xWindow="-108" yWindow="-108" windowWidth="23256" windowHeight="12576" activeTab="3" xr2:uid="{E5CB9886-DA97-4CE5-8546-C38914527ADB}"/>
  </bookViews>
  <sheets>
    <sheet name="Calculations Summary" sheetId="1" r:id="rId1"/>
    <sheet name="Cost Data" sheetId="2" r:id="rId2"/>
    <sheet name="Detailed Analysis_Ex.2" sheetId="4" r:id="rId3"/>
    <sheet name="Detailed Analysis_Ex.3"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3" i="4" l="1"/>
  <c r="D74" i="4" s="1"/>
  <c r="E68" i="4"/>
  <c r="D63" i="4"/>
  <c r="E63" i="4" s="1"/>
  <c r="D65" i="4" s="1"/>
  <c r="D52" i="4"/>
  <c r="D53" i="4" s="1"/>
  <c r="D50" i="4"/>
  <c r="D49" i="4"/>
  <c r="E50" i="4" s="1"/>
  <c r="E47" i="4"/>
  <c r="E46" i="4"/>
  <c r="E48" i="4" s="1"/>
  <c r="D46" i="4"/>
  <c r="D47" i="4" s="1"/>
  <c r="H38" i="4"/>
  <c r="H37" i="4"/>
  <c r="P31" i="4"/>
  <c r="K31" i="4"/>
  <c r="K30" i="4"/>
  <c r="K29" i="4"/>
  <c r="J27" i="4"/>
  <c r="K32" i="4" s="1"/>
  <c r="J26" i="4"/>
  <c r="D22" i="4"/>
  <c r="J4" i="4" s="1"/>
  <c r="J6" i="4" s="1"/>
  <c r="J20" i="4"/>
  <c r="P19" i="4"/>
  <c r="J18" i="4"/>
  <c r="D13" i="4"/>
  <c r="J41" i="4" s="1"/>
  <c r="P11" i="4"/>
  <c r="P10" i="4"/>
  <c r="D9" i="4"/>
  <c r="P8" i="4"/>
  <c r="D4" i="4"/>
  <c r="D6" i="4" s="1"/>
  <c r="J22" i="4" l="1"/>
  <c r="J8" i="4"/>
  <c r="D5" i="4"/>
  <c r="D48" i="4"/>
  <c r="D43" i="3"/>
  <c r="J22" i="3" s="1"/>
  <c r="D42" i="3"/>
  <c r="H38" i="3"/>
  <c r="H37" i="3"/>
  <c r="E37" i="3"/>
  <c r="P32" i="3"/>
  <c r="D32" i="3"/>
  <c r="E32" i="3" s="1"/>
  <c r="D34" i="3" s="1"/>
  <c r="D9" i="3" s="1"/>
  <c r="J27" i="3"/>
  <c r="K30" i="3" s="1"/>
  <c r="J26" i="3"/>
  <c r="K31" i="3" s="1"/>
  <c r="D20" i="3"/>
  <c r="P18" i="3"/>
  <c r="J18" i="3"/>
  <c r="J20" i="3" s="1"/>
  <c r="P11" i="3"/>
  <c r="D11" i="3"/>
  <c r="D16" i="3" s="1"/>
  <c r="D18" i="3" s="1"/>
  <c r="P10" i="3"/>
  <c r="P8" i="3"/>
  <c r="D7" i="3"/>
  <c r="D5" i="3"/>
  <c r="D14" i="3" s="1"/>
  <c r="J4" i="3"/>
  <c r="J6" i="3" s="1"/>
  <c r="D4" i="3"/>
  <c r="D11" i="4" l="1"/>
  <c r="D16" i="4"/>
  <c r="P30" i="3"/>
  <c r="D19" i="3"/>
  <c r="P16" i="3"/>
  <c r="J11" i="3"/>
  <c r="J41" i="3"/>
  <c r="J8" i="3"/>
  <c r="K29" i="3"/>
  <c r="K32" i="3"/>
  <c r="P29" i="4" l="1"/>
  <c r="P17" i="4"/>
  <c r="D18" i="4"/>
  <c r="D20" i="4" s="1"/>
  <c r="J11" i="4" s="1"/>
  <c r="D21" i="4"/>
  <c r="J7" i="3"/>
  <c r="J32" i="3"/>
  <c r="J31" i="3"/>
  <c r="J33" i="3" s="1"/>
  <c r="J35" i="3" s="1"/>
  <c r="P33" i="3"/>
  <c r="P19" i="3"/>
  <c r="J7" i="4" l="1"/>
  <c r="J31" i="4"/>
  <c r="J32" i="4"/>
  <c r="P20" i="4"/>
  <c r="P32" i="4"/>
  <c r="J38" i="3"/>
  <c r="P6" i="3"/>
  <c r="J21" i="3"/>
  <c r="J23" i="3" s="1"/>
  <c r="J9" i="3"/>
  <c r="J33" i="4" l="1"/>
  <c r="J35" i="4" s="1"/>
  <c r="J21" i="4"/>
  <c r="J23" i="4" s="1"/>
  <c r="J9" i="4"/>
  <c r="P4" i="3"/>
  <c r="J14" i="3"/>
  <c r="J37" i="3"/>
  <c r="J39" i="3" s="1"/>
  <c r="J44" i="3" s="1"/>
  <c r="P5" i="3"/>
  <c r="J37" i="4" l="1"/>
  <c r="P5" i="4"/>
  <c r="J14" i="4"/>
  <c r="P4" i="4"/>
  <c r="J38" i="4"/>
  <c r="P6" i="4"/>
  <c r="P26" i="3"/>
  <c r="P55" i="3" s="1"/>
  <c r="P20" i="3"/>
  <c r="P21" i="3" s="1"/>
  <c r="P22" i="3" s="1"/>
  <c r="P24" i="3" s="1"/>
  <c r="P25" i="3" s="1"/>
  <c r="P7" i="3"/>
  <c r="P9" i="3" s="1"/>
  <c r="P7" i="4" l="1"/>
  <c r="P9" i="4" s="1"/>
  <c r="P16" i="4"/>
  <c r="P21" i="4" s="1"/>
  <c r="P22" i="4" s="1"/>
  <c r="P24" i="4" s="1"/>
  <c r="P25" i="4" s="1"/>
  <c r="P26" i="4"/>
  <c r="P47" i="4" s="1"/>
  <c r="J39" i="4"/>
  <c r="J44" i="4" s="1"/>
  <c r="P34" i="3"/>
  <c r="P35" i="3" s="1"/>
  <c r="P37" i="3" s="1"/>
  <c r="P39" i="3" s="1"/>
  <c r="P12" i="3"/>
  <c r="P40" i="3" s="1"/>
  <c r="P56" i="3" s="1"/>
  <c r="P12" i="4" l="1"/>
  <c r="P33" i="4"/>
  <c r="P34" i="4" s="1"/>
  <c r="P36" i="4" s="1"/>
  <c r="P38" i="4" s="1"/>
  <c r="I18" i="2"/>
  <c r="H18" i="2"/>
  <c r="I17" i="2"/>
  <c r="H17" i="2"/>
  <c r="P16" i="2"/>
  <c r="N16" i="2"/>
  <c r="O16" i="2" s="1"/>
  <c r="J16" i="2"/>
  <c r="E16" i="2"/>
  <c r="F16" i="2" s="1"/>
  <c r="K16" i="2" s="1"/>
  <c r="P15" i="2"/>
  <c r="N15" i="2"/>
  <c r="O15" i="2" s="1"/>
  <c r="J15" i="2"/>
  <c r="E15" i="2"/>
  <c r="F15" i="2" s="1"/>
  <c r="K15" i="2" s="1"/>
  <c r="P14" i="2"/>
  <c r="N14" i="2"/>
  <c r="O14" i="2" s="1"/>
  <c r="J14" i="2"/>
  <c r="E14" i="2"/>
  <c r="F14" i="2" s="1"/>
  <c r="K14" i="2" s="1"/>
  <c r="P13" i="2"/>
  <c r="N13" i="2"/>
  <c r="O13" i="2" s="1"/>
  <c r="J13" i="2"/>
  <c r="E13" i="2"/>
  <c r="F13" i="2" s="1"/>
  <c r="K13" i="2" s="1"/>
  <c r="P12" i="2"/>
  <c r="N12" i="2"/>
  <c r="O12" i="2" s="1"/>
  <c r="J12" i="2"/>
  <c r="E12" i="2"/>
  <c r="F12" i="2" s="1"/>
  <c r="K12" i="2" s="1"/>
  <c r="P11" i="2"/>
  <c r="N11" i="2"/>
  <c r="O11" i="2" s="1"/>
  <c r="J11" i="2"/>
  <c r="E11" i="2"/>
  <c r="F11" i="2" s="1"/>
  <c r="K11" i="2" s="1"/>
  <c r="P10" i="2"/>
  <c r="N10" i="2"/>
  <c r="O10" i="2" s="1"/>
  <c r="J10" i="2"/>
  <c r="E10" i="2"/>
  <c r="F10" i="2" s="1"/>
  <c r="K10" i="2" s="1"/>
  <c r="P9" i="2"/>
  <c r="N9" i="2"/>
  <c r="O9" i="2" s="1"/>
  <c r="J9" i="2"/>
  <c r="E9" i="2"/>
  <c r="F9" i="2" s="1"/>
  <c r="K9" i="2" s="1"/>
  <c r="P8" i="2"/>
  <c r="P18" i="2" s="1"/>
  <c r="N8" i="2"/>
  <c r="O8" i="2" s="1"/>
  <c r="O18" i="2" s="1"/>
  <c r="J8" i="2"/>
  <c r="J18" i="2" s="1"/>
  <c r="E8" i="2"/>
  <c r="F8" i="2" s="1"/>
  <c r="P7" i="2"/>
  <c r="N7" i="2"/>
  <c r="O7" i="2" s="1"/>
  <c r="J7" i="2"/>
  <c r="E7" i="2"/>
  <c r="F7" i="2" s="1"/>
  <c r="K7" i="2" s="1"/>
  <c r="P6" i="2"/>
  <c r="P17" i="2" s="1"/>
  <c r="N6" i="2"/>
  <c r="O6" i="2" s="1"/>
  <c r="O17" i="2" s="1"/>
  <c r="J6" i="2"/>
  <c r="J17" i="2" s="1"/>
  <c r="E6" i="2"/>
  <c r="F6" i="2" s="1"/>
  <c r="D103" i="1"/>
  <c r="D104" i="1" s="1"/>
  <c r="J47" i="1"/>
  <c r="G47" i="1"/>
  <c r="F47" i="1"/>
  <c r="H46" i="1"/>
  <c r="H48" i="1" s="1"/>
  <c r="H49" i="1" s="1"/>
  <c r="G45" i="1"/>
  <c r="J43" i="1"/>
  <c r="I43" i="1"/>
  <c r="H43" i="1"/>
  <c r="G43" i="1"/>
  <c r="F43" i="1"/>
  <c r="E43" i="1"/>
  <c r="D43" i="1"/>
  <c r="D35" i="1"/>
  <c r="L32" i="1"/>
  <c r="K32" i="1"/>
  <c r="J32" i="1"/>
  <c r="I32" i="1"/>
  <c r="H32" i="1"/>
  <c r="F32" i="1"/>
  <c r="E32" i="1"/>
  <c r="D32" i="1"/>
  <c r="M29" i="1"/>
  <c r="M35" i="1" s="1"/>
  <c r="M36" i="1" s="1"/>
  <c r="M38" i="1" s="1"/>
  <c r="K29" i="1"/>
  <c r="K35" i="1" s="1"/>
  <c r="K36" i="1" s="1"/>
  <c r="K38" i="1" s="1"/>
  <c r="K41" i="1" s="1"/>
  <c r="J29" i="1"/>
  <c r="J45" i="1" s="1"/>
  <c r="I29" i="1"/>
  <c r="I45" i="1" s="1"/>
  <c r="H29" i="1"/>
  <c r="H47" i="1" s="1"/>
  <c r="G29" i="1"/>
  <c r="G46" i="1" s="1"/>
  <c r="G48" i="1" s="1"/>
  <c r="G49" i="1" s="1"/>
  <c r="F29" i="1"/>
  <c r="F45" i="1" s="1"/>
  <c r="E29" i="1"/>
  <c r="E45" i="1" s="1"/>
  <c r="D29" i="1"/>
  <c r="D47" i="1" s="1"/>
  <c r="M27" i="1"/>
  <c r="M32" i="1" s="1"/>
  <c r="J27" i="1"/>
  <c r="G27" i="1"/>
  <c r="G32" i="1" s="1"/>
  <c r="J26" i="1"/>
  <c r="L25" i="1"/>
  <c r="L26" i="1" s="1"/>
  <c r="K25" i="1"/>
  <c r="G25" i="1"/>
  <c r="D25" i="1"/>
  <c r="L24" i="1"/>
  <c r="L29" i="1" s="1"/>
  <c r="L35" i="1" s="1"/>
  <c r="L36" i="1" s="1"/>
  <c r="L38" i="1" s="1"/>
  <c r="L41" i="1" s="1"/>
  <c r="K20" i="1"/>
  <c r="J20" i="1"/>
  <c r="G20" i="1"/>
  <c r="F20" i="1"/>
  <c r="M19" i="1"/>
  <c r="L19" i="1"/>
  <c r="L20" i="1" s="1"/>
  <c r="K19" i="1"/>
  <c r="J19" i="1"/>
  <c r="J25" i="1" s="1"/>
  <c r="I19" i="1"/>
  <c r="H19" i="1"/>
  <c r="H20" i="1" s="1"/>
  <c r="G19" i="1"/>
  <c r="F19" i="1"/>
  <c r="F25" i="1" s="1"/>
  <c r="F26" i="1" s="1"/>
  <c r="E19" i="1"/>
  <c r="D19" i="1"/>
  <c r="D20" i="1" s="1"/>
  <c r="P13" i="4" l="1"/>
  <c r="P39" i="4"/>
  <c r="P48" i="4" s="1"/>
  <c r="F18" i="2"/>
  <c r="K8" i="2"/>
  <c r="K18" i="2" s="1"/>
  <c r="F17" i="2"/>
  <c r="K6" i="2"/>
  <c r="K17" i="2" s="1"/>
  <c r="N18" i="2"/>
  <c r="Q6" i="2"/>
  <c r="Q7" i="2"/>
  <c r="Q8" i="2"/>
  <c r="Q9" i="2"/>
  <c r="Q10" i="2"/>
  <c r="Q11" i="2"/>
  <c r="Q12" i="2"/>
  <c r="Q13" i="2"/>
  <c r="Q14" i="2"/>
  <c r="Q15" i="2"/>
  <c r="Q16" i="2"/>
  <c r="N17" i="2"/>
  <c r="E18" i="2"/>
  <c r="E17" i="2"/>
  <c r="L69" i="1"/>
  <c r="L134" i="1"/>
  <c r="L37" i="1"/>
  <c r="K134" i="1"/>
  <c r="K69" i="1"/>
  <c r="D36" i="1"/>
  <c r="D38" i="1" s="1"/>
  <c r="D41" i="1" s="1"/>
  <c r="L39" i="1"/>
  <c r="L40" i="1" s="1"/>
  <c r="G26" i="1"/>
  <c r="E35" i="1"/>
  <c r="H45" i="1"/>
  <c r="H50" i="1" s="1"/>
  <c r="I46" i="1"/>
  <c r="I47" i="1"/>
  <c r="D26" i="1"/>
  <c r="I20" i="1"/>
  <c r="I25" i="1"/>
  <c r="H25" i="1"/>
  <c r="H35" i="1"/>
  <c r="D46" i="1"/>
  <c r="D48" i="1" s="1"/>
  <c r="D49" i="1" s="1"/>
  <c r="E47" i="1"/>
  <c r="G50" i="1"/>
  <c r="E20" i="1"/>
  <c r="E25" i="1"/>
  <c r="M20" i="1"/>
  <c r="M41" i="1" s="1"/>
  <c r="M25" i="1"/>
  <c r="K26" i="1"/>
  <c r="K37" i="1" s="1"/>
  <c r="K39" i="1" s="1"/>
  <c r="K40" i="1" s="1"/>
  <c r="F50" i="1"/>
  <c r="J50" i="1"/>
  <c r="I35" i="1"/>
  <c r="D45" i="1"/>
  <c r="E46" i="1"/>
  <c r="F35" i="1"/>
  <c r="F46" i="1"/>
  <c r="F48" i="1" s="1"/>
  <c r="F49" i="1" s="1"/>
  <c r="J46" i="1"/>
  <c r="J48" i="1" s="1"/>
  <c r="J49" i="1" s="1"/>
  <c r="J35" i="1"/>
  <c r="G35" i="1"/>
  <c r="Q18" i="2" l="1"/>
  <c r="M18" i="2" s="1"/>
  <c r="Q17" i="2"/>
  <c r="M17" i="2" s="1"/>
  <c r="M134" i="1"/>
  <c r="M69" i="1"/>
  <c r="M26" i="1"/>
  <c r="M37" i="1" s="1"/>
  <c r="M39" i="1" s="1"/>
  <c r="M40" i="1" s="1"/>
  <c r="J52" i="1"/>
  <c r="J53" i="1" s="1"/>
  <c r="J36" i="1"/>
  <c r="I26" i="1"/>
  <c r="D69" i="1"/>
  <c r="D134" i="1"/>
  <c r="F52" i="1"/>
  <c r="F53" i="1" s="1"/>
  <c r="F36" i="1"/>
  <c r="E36" i="1"/>
  <c r="E38" i="1" s="1"/>
  <c r="E41" i="1" s="1"/>
  <c r="E52" i="1"/>
  <c r="E53" i="1" s="1"/>
  <c r="E55" i="1" s="1"/>
  <c r="E58" i="1" s="1"/>
  <c r="E48" i="1"/>
  <c r="E49" i="1" s="1"/>
  <c r="E50" i="1" s="1"/>
  <c r="D50" i="1"/>
  <c r="D52" i="1" s="1"/>
  <c r="D53" i="1" s="1"/>
  <c r="D55" i="1" s="1"/>
  <c r="D58" i="1" s="1"/>
  <c r="E26" i="1"/>
  <c r="H52" i="1"/>
  <c r="H53" i="1" s="1"/>
  <c r="H55" i="1" s="1"/>
  <c r="H58" i="1" s="1"/>
  <c r="H36" i="1"/>
  <c r="H38" i="1" s="1"/>
  <c r="H41" i="1" s="1"/>
  <c r="I48" i="1"/>
  <c r="I49" i="1" s="1"/>
  <c r="I50" i="1" s="1"/>
  <c r="G52" i="1"/>
  <c r="G53" i="1" s="1"/>
  <c r="G55" i="1" s="1"/>
  <c r="G58" i="1" s="1"/>
  <c r="G36" i="1"/>
  <c r="G38" i="1" s="1"/>
  <c r="G41" i="1" s="1"/>
  <c r="H26" i="1"/>
  <c r="I36" i="1"/>
  <c r="I38" i="1" s="1"/>
  <c r="I41" i="1" s="1"/>
  <c r="I52" i="1"/>
  <c r="I53" i="1" s="1"/>
  <c r="I55" i="1" s="1"/>
  <c r="I58" i="1" s="1"/>
  <c r="D54" i="1"/>
  <c r="D56" i="1" s="1"/>
  <c r="D57" i="1" s="1"/>
  <c r="D37" i="1"/>
  <c r="D39" i="1" s="1"/>
  <c r="D40" i="1" s="1"/>
  <c r="I54" i="1" l="1"/>
  <c r="I56" i="1" s="1"/>
  <c r="I57" i="1" s="1"/>
  <c r="I37" i="1"/>
  <c r="I39" i="1" s="1"/>
  <c r="I40" i="1" s="1"/>
  <c r="I69" i="1"/>
  <c r="I134" i="1"/>
  <c r="G134" i="1"/>
  <c r="G69" i="1"/>
  <c r="H73" i="1"/>
  <c r="H138" i="1"/>
  <c r="D73" i="1"/>
  <c r="D138" i="1"/>
  <c r="F38" i="1"/>
  <c r="F41" i="1" s="1"/>
  <c r="F37" i="1"/>
  <c r="F39" i="1" s="1"/>
  <c r="F40" i="1" s="1"/>
  <c r="G54" i="1"/>
  <c r="G56" i="1" s="1"/>
  <c r="G57" i="1" s="1"/>
  <c r="H69" i="1"/>
  <c r="H134" i="1"/>
  <c r="E134" i="1"/>
  <c r="E69" i="1"/>
  <c r="G138" i="1"/>
  <c r="G73" i="1"/>
  <c r="E54" i="1"/>
  <c r="E56" i="1" s="1"/>
  <c r="E57" i="1" s="1"/>
  <c r="D72" i="1" s="1"/>
  <c r="E37" i="1"/>
  <c r="E39" i="1" s="1"/>
  <c r="E40" i="1" s="1"/>
  <c r="D68" i="1" s="1"/>
  <c r="F55" i="1"/>
  <c r="F58" i="1" s="1"/>
  <c r="F54" i="1"/>
  <c r="F56" i="1" s="1"/>
  <c r="F57" i="1" s="1"/>
  <c r="G37" i="1"/>
  <c r="G39" i="1" s="1"/>
  <c r="G40" i="1" s="1"/>
  <c r="J38" i="1"/>
  <c r="J41" i="1" s="1"/>
  <c r="J37" i="1"/>
  <c r="J39" i="1" s="1"/>
  <c r="J40" i="1" s="1"/>
  <c r="I138" i="1"/>
  <c r="I73" i="1"/>
  <c r="H54" i="1"/>
  <c r="H56" i="1" s="1"/>
  <c r="H57" i="1" s="1"/>
  <c r="H37" i="1"/>
  <c r="H39" i="1" s="1"/>
  <c r="H40" i="1" s="1"/>
  <c r="E73" i="1"/>
  <c r="E138" i="1"/>
  <c r="J55" i="1"/>
  <c r="J58" i="1" s="1"/>
  <c r="J54" i="1"/>
  <c r="J56" i="1" s="1"/>
  <c r="J57" i="1" s="1"/>
  <c r="D137" i="1" s="1"/>
  <c r="F69" i="1" l="1"/>
  <c r="F134" i="1"/>
  <c r="D135" i="1" s="1"/>
  <c r="J69" i="1"/>
  <c r="D70" i="1" s="1"/>
  <c r="J134" i="1"/>
  <c r="J73" i="1"/>
  <c r="J138" i="1"/>
  <c r="D133" i="1"/>
  <c r="F73" i="1"/>
  <c r="D74" i="1" s="1"/>
  <c r="F138" i="1"/>
  <c r="D13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Bashar, Raad</author>
  </authors>
  <commentList>
    <comment ref="H7" authorId="0" shapeId="0" xr:uid="{85D3EFB1-A75B-41EF-B82C-FABDC80891B1}">
      <text>
        <r>
          <rPr>
            <b/>
            <sz val="9"/>
            <color indexed="81"/>
            <rFont val="Tahoma"/>
            <charset val="1"/>
          </rPr>
          <t>Bashar, Raad:</t>
        </r>
        <r>
          <rPr>
            <sz val="9"/>
            <color indexed="81"/>
            <rFont val="Tahoma"/>
            <charset val="1"/>
          </rPr>
          <t xml:space="preserve">
84.4% CE converted to TE</t>
        </r>
      </text>
    </comment>
    <comment ref="I7" authorId="0" shapeId="0" xr:uid="{8E145675-B2A6-49D8-9EDB-B975E1009C05}">
      <text>
        <r>
          <rPr>
            <b/>
            <sz val="9"/>
            <color indexed="81"/>
            <rFont val="Tahoma"/>
            <family val="2"/>
          </rPr>
          <t>Bashar, Raad:</t>
        </r>
        <r>
          <rPr>
            <sz val="9"/>
            <color indexed="81"/>
            <rFont val="Tahoma"/>
            <family val="2"/>
          </rPr>
          <t xml:space="preserve">
</t>
        </r>
        <r>
          <rPr>
            <sz val="8"/>
            <color indexed="81"/>
            <rFont val="Tahoma"/>
            <family val="2"/>
          </rPr>
          <t xml:space="preserve">GMC EECIP Measures - Post-Installation.  Economizer (6.4% of "Subtotal") = $ 23,031.80
</t>
        </r>
      </text>
    </comment>
    <comment ref="I14" authorId="0" shapeId="0" xr:uid="{810E5895-6B95-4DCC-951D-9A44E37B262C}">
      <text>
        <r>
          <rPr>
            <b/>
            <sz val="9"/>
            <color indexed="81"/>
            <rFont val="Tahoma"/>
            <family val="2"/>
          </rPr>
          <t>Bashar, Raad:</t>
        </r>
        <r>
          <rPr>
            <sz val="9"/>
            <color indexed="81"/>
            <rFont val="Tahoma"/>
            <family val="2"/>
          </rPr>
          <t xml:space="preserve">
</t>
        </r>
        <r>
          <rPr>
            <sz val="8"/>
            <color indexed="81"/>
            <rFont val="Tahoma"/>
            <family val="2"/>
          </rPr>
          <t>Supply and Install Condensing Stack Gas Economizer on Johnston 750HP Boiler
PRICE TO INCLUDE:
Stainless Steel High Efficiency Condensing Economizer and Piping
Piping Materials
Circ Loop Valves
Circ Loop Bypass Piping
Piping Insulation and Cover
Economizer Support Structure Modifications
Stainless Steel Discharge Stack Piping
DA Tank Supply and FeedWater Supply Modifications
Labor to Install Mechanical Systems
Labor to Install Electronic Systems
Freight
Sales Tax
TURN KEY PRICE ......................$137,610.72</t>
        </r>
      </text>
    </comment>
  </commentList>
</comments>
</file>

<file path=xl/sharedStrings.xml><?xml version="1.0" encoding="utf-8"?>
<sst xmlns="http://schemas.openxmlformats.org/spreadsheetml/2006/main" count="734" uniqueCount="336">
  <si>
    <t>Project Summary &amp; Calculation worksheet for Heat Recovery in Single-Stage and Dual-Stage Economizers</t>
  </si>
  <si>
    <r>
      <rPr>
        <sz val="11"/>
        <color rgb="FF0070C0"/>
        <rFont val="Calibri"/>
        <family val="2"/>
        <scheme val="minor"/>
      </rPr>
      <t>Blue indicates inputs,</t>
    </r>
    <r>
      <rPr>
        <sz val="11"/>
        <color rgb="FFFF0000"/>
        <rFont val="Calibri"/>
        <family val="2"/>
        <scheme val="minor"/>
      </rPr>
      <t xml:space="preserve"> </t>
    </r>
    <r>
      <rPr>
        <sz val="11"/>
        <color rgb="FF00B050"/>
        <rFont val="Calibri"/>
        <family val="2"/>
        <scheme val="minor"/>
      </rPr>
      <t>Green indicates reference</t>
    </r>
    <r>
      <rPr>
        <sz val="11"/>
        <rFont val="Calibri"/>
        <family val="2"/>
        <scheme val="minor"/>
      </rPr>
      <t>,</t>
    </r>
    <r>
      <rPr>
        <sz val="11"/>
        <color rgb="FFFF0000"/>
        <rFont val="Calibri"/>
        <family val="2"/>
        <scheme val="minor"/>
      </rPr>
      <t xml:space="preserve"> </t>
    </r>
    <r>
      <rPr>
        <sz val="11"/>
        <rFont val="Calibri"/>
        <family val="2"/>
        <scheme val="minor"/>
      </rPr>
      <t>Black indicates calculated</t>
    </r>
  </si>
  <si>
    <t>Project Name</t>
  </si>
  <si>
    <t>Project 1</t>
  </si>
  <si>
    <t>Project 2</t>
  </si>
  <si>
    <t>Project 3</t>
  </si>
  <si>
    <t>Project 4</t>
  </si>
  <si>
    <t>Project 5</t>
  </si>
  <si>
    <t>Project 6</t>
  </si>
  <si>
    <t>Project 7</t>
  </si>
  <si>
    <t>Project 8</t>
  </si>
  <si>
    <t>Project 9</t>
  </si>
  <si>
    <t>Project 10</t>
  </si>
  <si>
    <t>Parameter / Calculation</t>
  </si>
  <si>
    <t>Value1</t>
  </si>
  <si>
    <t>Value2</t>
  </si>
  <si>
    <t>Value3</t>
  </si>
  <si>
    <t>Value4</t>
  </si>
  <si>
    <t>Value5</t>
  </si>
  <si>
    <t>Value6</t>
  </si>
  <si>
    <t>Value7</t>
  </si>
  <si>
    <t>Value8</t>
  </si>
  <si>
    <t>Value9</t>
  </si>
  <si>
    <t>Value10</t>
  </si>
  <si>
    <t>Units</t>
  </si>
  <si>
    <t>Source</t>
  </si>
  <si>
    <t>Reference Values</t>
  </si>
  <si>
    <t>A</t>
  </si>
  <si>
    <t>Density of Liquid Water =</t>
  </si>
  <si>
    <t>lbm/gallon</t>
  </si>
  <si>
    <t>Reference</t>
  </si>
  <si>
    <t>B</t>
  </si>
  <si>
    <t>Specific Heat of Liquid Water =</t>
  </si>
  <si>
    <t>BTU/lbm-F</t>
  </si>
  <si>
    <t>C</t>
  </si>
  <si>
    <t>Stack Exhaust Specific Heat = </t>
  </si>
  <si>
    <t>Btu/lb/°F</t>
  </si>
  <si>
    <t>@ stack temp</t>
  </si>
  <si>
    <t>D</t>
  </si>
  <si>
    <t>Stack Exhaust Density =</t>
  </si>
  <si>
    <t>Lb/ft^3</t>
  </si>
  <si>
    <t>E</t>
  </si>
  <si>
    <t>Steam Enthalpy =</t>
  </si>
  <si>
    <t>Btu/lb</t>
  </si>
  <si>
    <t>(1150-180) @212°F sat.</t>
  </si>
  <si>
    <t>F</t>
  </si>
  <si>
    <t>kBTU to therm</t>
  </si>
  <si>
    <t>kBTU/therm</t>
  </si>
  <si>
    <t>G</t>
  </si>
  <si>
    <t>Steam Boiler HP</t>
  </si>
  <si>
    <t>BHP</t>
  </si>
  <si>
    <t>Specification</t>
  </si>
  <si>
    <t>H</t>
  </si>
  <si>
    <t>1 Boiler HP</t>
  </si>
  <si>
    <t>Btuh</t>
  </si>
  <si>
    <t>Constant</t>
  </si>
  <si>
    <t>I</t>
  </si>
  <si>
    <t>Boiler combustion efficiency =</t>
  </si>
  <si>
    <t>n/a</t>
  </si>
  <si>
    <t>%</t>
  </si>
  <si>
    <t>(or) Boiler thermal efficiency =</t>
  </si>
  <si>
    <t>Baseline Calculation</t>
  </si>
  <si>
    <t>J</t>
  </si>
  <si>
    <t>Boiler Connected Load =</t>
  </si>
  <si>
    <t>kBtu/hr</t>
  </si>
  <si>
    <t>=G*H</t>
  </si>
  <si>
    <t>K</t>
  </si>
  <si>
    <t>Boiler Rated Input Capacity =</t>
  </si>
  <si>
    <t>=J/I</t>
  </si>
  <si>
    <t>L</t>
  </si>
  <si>
    <t>Operating Hours =</t>
  </si>
  <si>
    <t>hr/yr</t>
  </si>
  <si>
    <t>M</t>
  </si>
  <si>
    <t>Load of Maximum Output =</t>
  </si>
  <si>
    <t>Flow Rate Calculation</t>
  </si>
  <si>
    <t>N</t>
  </si>
  <si>
    <t xml:space="preserve">Flue Exhaust Flow Rate = </t>
  </si>
  <si>
    <t>SCFM</t>
  </si>
  <si>
    <t>O</t>
  </si>
  <si>
    <t>Steam Flow Rate =</t>
  </si>
  <si>
    <t>Lbm/hr</t>
  </si>
  <si>
    <t>=J*1000*M/E</t>
  </si>
  <si>
    <t>P</t>
  </si>
  <si>
    <t>Natural gas consumption =</t>
  </si>
  <si>
    <t>=O*E/I</t>
  </si>
  <si>
    <t>Q</t>
  </si>
  <si>
    <t>Feedwater Flow Rate =</t>
  </si>
  <si>
    <t>gallons/min</t>
  </si>
  <si>
    <t>Spec</t>
  </si>
  <si>
    <t>Stage 1</t>
  </si>
  <si>
    <t>R</t>
  </si>
  <si>
    <t>Exhaust Flow Rate =</t>
  </si>
  <si>
    <t>lbm/hr</t>
  </si>
  <si>
    <t>=N*D*60</t>
  </si>
  <si>
    <t>S</t>
  </si>
  <si>
    <t>Inlet stack temperature =</t>
  </si>
  <si>
    <t>°F</t>
  </si>
  <si>
    <t>T</t>
  </si>
  <si>
    <t>Outlet stack temperature =</t>
  </si>
  <si>
    <t>Assumed (trial &amp; error)</t>
  </si>
  <si>
    <t>U</t>
  </si>
  <si>
    <t>=Q*A*60</t>
  </si>
  <si>
    <t>V</t>
  </si>
  <si>
    <t>Feedwater Inlet Temperature =</t>
  </si>
  <si>
    <t>W</t>
  </si>
  <si>
    <t>Feedwater Outlet Temperature =</t>
  </si>
  <si>
    <t>X</t>
  </si>
  <si>
    <t>Sensible heat load =</t>
  </si>
  <si>
    <t>Btu/hr</t>
  </si>
  <si>
    <t>=R*C*(S-T)</t>
  </si>
  <si>
    <t>Y</t>
  </si>
  <si>
    <t>Economizer Fuel savings =</t>
  </si>
  <si>
    <t>=X/I</t>
  </si>
  <si>
    <t>Z</t>
  </si>
  <si>
    <t>Proposed gas  consumption =</t>
  </si>
  <si>
    <t>=P-Y</t>
  </si>
  <si>
    <t>AA</t>
  </si>
  <si>
    <t>Annual NG Therm Savings =</t>
  </si>
  <si>
    <t>therms/yr</t>
  </si>
  <si>
    <t>=Y*L/10^5</t>
  </si>
  <si>
    <t>AB</t>
  </si>
  <si>
    <t>Stage-1 efficiency =</t>
  </si>
  <si>
    <t>=O*E/Z</t>
  </si>
  <si>
    <t>AC</t>
  </si>
  <si>
    <t>Stage-1 efficiency improvement =</t>
  </si>
  <si>
    <t>=AB-I</t>
  </si>
  <si>
    <t>AD</t>
  </si>
  <si>
    <t>Stage-1 Econo. energy savings =</t>
  </si>
  <si>
    <t>therms/kBtuh</t>
  </si>
  <si>
    <t>=AA/K</t>
  </si>
  <si>
    <t>Stage 2</t>
  </si>
  <si>
    <t>AE</t>
  </si>
  <si>
    <t>=T</t>
  </si>
  <si>
    <t>AF</t>
  </si>
  <si>
    <t>AG</t>
  </si>
  <si>
    <t>=R*C*(AE-AF)</t>
  </si>
  <si>
    <t>AH</t>
  </si>
  <si>
    <t>Water vapor flow @ inlet =</t>
  </si>
  <si>
    <t>=R*11% (total vapor)</t>
  </si>
  <si>
    <t>AI</t>
  </si>
  <si>
    <t>Water vapor flow @ outlet =</t>
  </si>
  <si>
    <t>=R*3% to 6% (exiting)</t>
  </si>
  <si>
    <t>AJ</t>
  </si>
  <si>
    <t>Condensed Water =</t>
  </si>
  <si>
    <t>=AH-AI</t>
  </si>
  <si>
    <t>AK</t>
  </si>
  <si>
    <t>Latent heat load =</t>
  </si>
  <si>
    <t>=AJ*E</t>
  </si>
  <si>
    <t>AL</t>
  </si>
  <si>
    <t>Stage-2, Sensible+Latent heat Load =</t>
  </si>
  <si>
    <t>=AG+AK</t>
  </si>
  <si>
    <t>Dual-Stages</t>
  </si>
  <si>
    <t>AM</t>
  </si>
  <si>
    <t>Total Recovered heat =</t>
  </si>
  <si>
    <t>=X+AL</t>
  </si>
  <si>
    <t>AN</t>
  </si>
  <si>
    <t>=AM/I</t>
  </si>
  <si>
    <t>AO</t>
  </si>
  <si>
    <t>Proposed gas consumption =</t>
  </si>
  <si>
    <t>=P-AN</t>
  </si>
  <si>
    <t>AP</t>
  </si>
  <si>
    <t>=AN*L/10^5</t>
  </si>
  <si>
    <t>AQ</t>
  </si>
  <si>
    <t>Dual-Stage efficiency =</t>
  </si>
  <si>
    <t>=O*E/AO</t>
  </si>
  <si>
    <t>AR</t>
  </si>
  <si>
    <t>Final efficiency improvement =</t>
  </si>
  <si>
    <t>=AQ-I</t>
  </si>
  <si>
    <t>AS</t>
  </si>
  <si>
    <t>Dual-Stage Econo. energy savings =</t>
  </si>
  <si>
    <t>=AP/K</t>
  </si>
  <si>
    <t>Adjusted savings based on PG&amp;E’s Process Boiler workpaper PGECOPRO101, Revision 5, 2017</t>
  </si>
  <si>
    <t>Capacity Factor, PG&amp;E workpaper</t>
  </si>
  <si>
    <t>PG&amp;E’s Process Boiler workpaper PGECOPRO101, Revision 5, 2017</t>
  </si>
  <si>
    <t xml:space="preserve">Boiler Operation, Continuous </t>
  </si>
  <si>
    <t>hrs</t>
  </si>
  <si>
    <t>Single-Stage:</t>
  </si>
  <si>
    <t>average efficiency improvement</t>
  </si>
  <si>
    <t>Adjusted energy savings (Stage-1)</t>
  </si>
  <si>
    <t>average adjusted savings</t>
  </si>
  <si>
    <t>Dual-Stage:</t>
  </si>
  <si>
    <t>Adjusted energy savings (Dual-Stages)</t>
  </si>
  <si>
    <t>Adjusted savings based on the 2017 SMALL/MEDIUM COMMERCIAL SECTOR_ESPI IMPACT EVALUATION, March 1st, 2019</t>
  </si>
  <si>
    <t>Capacity Factor, ESPI study</t>
  </si>
  <si>
    <t>TABLE 5-22: CAPACITY FACTOR COMPARISON FOR THE PG&amp;E SAMPLE</t>
  </si>
  <si>
    <t>Boiler Operation, ESPI study</t>
  </si>
  <si>
    <t>TABLE 5-19: ANNUAL OPERATING HOURS COMPARISON FOR THE PG&amp;E SAMPLE</t>
  </si>
  <si>
    <t xml:space="preserve">Cost estimates provided by vendors and projects completed by SoCalGas C&amp;I team </t>
  </si>
  <si>
    <t>Project name</t>
  </si>
  <si>
    <t>Boiler size (BHP)</t>
  </si>
  <si>
    <t>Quantity</t>
  </si>
  <si>
    <t>MBH output</t>
  </si>
  <si>
    <t>MBH input</t>
  </si>
  <si>
    <t>Econo. Type</t>
  </si>
  <si>
    <t>Baseline TE eff</t>
  </si>
  <si>
    <t>Equp. Cost</t>
  </si>
  <si>
    <t>$/BHP</t>
  </si>
  <si>
    <t>$/MBH in</t>
  </si>
  <si>
    <t>parts/mat.</t>
  </si>
  <si>
    <t>Labor</t>
  </si>
  <si>
    <t>Total</t>
  </si>
  <si>
    <t>Ave cost ($/BHP)</t>
  </si>
  <si>
    <t>Ave cost ($/MBtuh)</t>
  </si>
  <si>
    <t>$/Mbtuh input cap</t>
  </si>
  <si>
    <t>Single-Stage</t>
  </si>
  <si>
    <t>Dual-Stage</t>
  </si>
  <si>
    <t>Project 11</t>
  </si>
  <si>
    <t>Project 12</t>
  </si>
  <si>
    <t>Project 13</t>
  </si>
  <si>
    <t>Project 14</t>
  </si>
  <si>
    <t>Average cost-1</t>
  </si>
  <si>
    <t>Average cost-2</t>
  </si>
  <si>
    <t>Dual-Stage Economizer Estimate</t>
  </si>
  <si>
    <t>Boiler Specs</t>
  </si>
  <si>
    <t>Non-Cond. (Feedwater) Economizer</t>
  </si>
  <si>
    <t>Savings:</t>
  </si>
  <si>
    <t>Cleaver Brooks boiler -CBEX Elite-700-600</t>
  </si>
  <si>
    <t>KBtu/hr</t>
  </si>
  <si>
    <t>Inlet stack temperature</t>
  </si>
  <si>
    <t>Feedwater Sensible Heat</t>
  </si>
  <si>
    <t>Steam Rated Flow Rate</t>
  </si>
  <si>
    <t>lb/hour</t>
  </si>
  <si>
    <t>Outlet stack temperature</t>
  </si>
  <si>
    <t>-</t>
  </si>
  <si>
    <t>(assumed)</t>
  </si>
  <si>
    <t>Makeup Water Sensible Heat</t>
  </si>
  <si>
    <t>+</t>
  </si>
  <si>
    <t>Boiler thermal efficiency</t>
  </si>
  <si>
    <t>∆T</t>
  </si>
  <si>
    <t>=</t>
  </si>
  <si>
    <t>Makeup Water Latent Heat</t>
  </si>
  <si>
    <t>Boiler Rated Input Capacity</t>
  </si>
  <si>
    <t>Stack flow</t>
  </si>
  <si>
    <t>x</t>
  </si>
  <si>
    <t>Lb/hr</t>
  </si>
  <si>
    <t>Total Recovered heat</t>
  </si>
  <si>
    <t>Flue Gas Stack temperature</t>
  </si>
  <si>
    <t>Stack exhaust spec.heat</t>
  </si>
  <si>
    <t>Boiler Efficiency</t>
  </si>
  <si>
    <t>÷</t>
  </si>
  <si>
    <t>Flue Gas Stack Flow Rate</t>
  </si>
  <si>
    <t>Sensible heat load</t>
  </si>
  <si>
    <t>Total Fuel Savings</t>
  </si>
  <si>
    <t>Feed Water Flow</t>
  </si>
  <si>
    <t>gpm</t>
  </si>
  <si>
    <t>Hours per year</t>
  </si>
  <si>
    <t>Boiler feedwater</t>
  </si>
  <si>
    <t>Conversion factor</t>
  </si>
  <si>
    <t>Btu/Therms</t>
  </si>
  <si>
    <t>Feedwater spec.heat</t>
  </si>
  <si>
    <t>Annual NG Therm Savings</t>
  </si>
  <si>
    <t>Therms</t>
  </si>
  <si>
    <t>Load Factor</t>
  </si>
  <si>
    <t>Inlet feedwater temperature</t>
  </si>
  <si>
    <t>Average Steam Load</t>
  </si>
  <si>
    <t>lb/hr</t>
  </si>
  <si>
    <t>Outlet feedwater temperature</t>
  </si>
  <si>
    <t>New efficiency</t>
  </si>
  <si>
    <t>1).</t>
  </si>
  <si>
    <t>Stage-1 (Non-Condensing)</t>
  </si>
  <si>
    <t>Average Feedwater Rate</t>
  </si>
  <si>
    <t>Steam Flow Rate</t>
  </si>
  <si>
    <t>Condensate Return %</t>
  </si>
  <si>
    <t>Condensing Economizer (sensible load)</t>
  </si>
  <si>
    <t>Steam Enthalpy</t>
  </si>
  <si>
    <t>Average Make Up Water Rate</t>
  </si>
  <si>
    <t>Existing Boiler efficiency</t>
  </si>
  <si>
    <t>Average Stack Flow Rate</t>
  </si>
  <si>
    <t>bulk-temp</t>
  </si>
  <si>
    <t>Proposed natural gas cons.</t>
  </si>
  <si>
    <t>Average Stack Temperature</t>
  </si>
  <si>
    <t>Feedwater (Stage-1) fuel savings</t>
  </si>
  <si>
    <t>Stage-1 natural gas load</t>
  </si>
  <si>
    <t>btu/hr</t>
  </si>
  <si>
    <t>Stage-1 efficiency</t>
  </si>
  <si>
    <t>efficiency</t>
  </si>
  <si>
    <t>Condensing Economizer (latent load)</t>
  </si>
  <si>
    <t>Stage-1 efficiency improvement</t>
  </si>
  <si>
    <t>Stage-1 Econo. energy savings</t>
  </si>
  <si>
    <t>therms/Mbtuh input capacity</t>
  </si>
  <si>
    <t>Exhaust Entering Temp, °F (°C)</t>
  </si>
  <si>
    <t>Exhaust Flow Rate, SCFM</t>
  </si>
  <si>
    <t>Dew Point</t>
  </si>
  <si>
    <t>Water vapor by weight @ inlet</t>
  </si>
  <si>
    <t>2).</t>
  </si>
  <si>
    <t>Dual-Stage (Total)</t>
  </si>
  <si>
    <t>Water vapor flow @ inlet</t>
  </si>
  <si>
    <t>btu/lb</t>
  </si>
  <si>
    <t>Exhaust Density, kg/m^3 (lb/ft^3)</t>
  </si>
  <si>
    <t>Water vapor flow @ outlet</t>
  </si>
  <si>
    <t>Condensed Water</t>
  </si>
  <si>
    <t>Natural Gas Load</t>
  </si>
  <si>
    <t>Exhaust Flow Rate, lb/hr</t>
  </si>
  <si>
    <t>Water Latent Heat</t>
  </si>
  <si>
    <t>Economizer fuel savings</t>
  </si>
  <si>
    <t>Latent heat load</t>
  </si>
  <si>
    <t>Liquid Flow Rate, GPM (lb/hr)</t>
  </si>
  <si>
    <t>Final (dual-stage) efficiency</t>
  </si>
  <si>
    <t>Condensing Recovered heat</t>
  </si>
  <si>
    <t>Dual-Stage efficiency improvement</t>
  </si>
  <si>
    <t>Dual-Stage Econo. energy savings</t>
  </si>
  <si>
    <t>DA makeup water</t>
  </si>
  <si>
    <t>Specific Heat, kJ/kgK (Btu/lb.F)</t>
  </si>
  <si>
    <t>btu/lb/°F</t>
  </si>
  <si>
    <t>Specific Heat, Btu/lb.F</t>
  </si>
  <si>
    <t>@ 407deg.F</t>
  </si>
  <si>
    <t>Inlet makeup water temperature</t>
  </si>
  <si>
    <t>Disclaimer:</t>
  </si>
  <si>
    <t>Outlet makeup water temperature</t>
  </si>
  <si>
    <t xml:space="preserve">Up to 85% based boiler efficiency </t>
  </si>
  <si>
    <t>Non Condensing (CRE or CCE, boiler size depending)</t>
  </si>
  <si>
    <t xml:space="preserve">Up to 90% base boiler efficiency </t>
  </si>
  <si>
    <t>Condensing (C2X or C1X, two stage vs single stage)</t>
  </si>
  <si>
    <t xml:space="preserve">   The boiler has a base efficiency of roughly 82%.</t>
  </si>
  <si>
    <t>Average Capacity Factor =</t>
  </si>
  <si>
    <t>Boiler hours of operation =</t>
  </si>
  <si>
    <t>Stage-1 adjusted savings =</t>
  </si>
  <si>
    <t>therms/Mbtuh rated input capacity</t>
  </si>
  <si>
    <t>Dual-Stage adjusted savings =</t>
  </si>
  <si>
    <t>Water vapor by weight @ outlet</t>
  </si>
  <si>
    <t>based on the 2017 SMALL/MEDIUM COMMERCIAL SECTOR_ESPI IMPACT EVALUATION, March 1st, 2019</t>
  </si>
  <si>
    <t>based on the 2017 SMALL/MEDIUM COMMERCIAL SECTOR_ESPI IMPACT EVALUATION, March 1st, 2020</t>
  </si>
  <si>
    <t>Superior Steam Boiler 1000HP</t>
  </si>
  <si>
    <t>Rated Steam Capacity</t>
  </si>
  <si>
    <t>Flue gas stack temperature</t>
  </si>
  <si>
    <t>Make-Up Water Flow</t>
  </si>
  <si>
    <t>GPM</t>
  </si>
  <si>
    <t xml:space="preserve"> 1).</t>
  </si>
  <si>
    <t>Saturated Steam Enthalpy</t>
  </si>
  <si>
    <t>Vendor provided info from a project:</t>
  </si>
  <si>
    <t xml:space="preserve"> 2).</t>
  </si>
  <si>
    <t>Efficiency improvement</t>
  </si>
  <si>
    <t>Heat Recovered, MBTU/Hr</t>
  </si>
  <si>
    <t>Dual-Stage adjusted savings</t>
  </si>
  <si>
    <t xml:space="preserve">Fuel Cost per 100,000 BTU (USD): </t>
  </si>
  <si>
    <t>@ 490deg.F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</si>
</sst>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7" formatCode="&quot;$&quot;#,##0.00_);\(&quot;$&quot;#,##0.00\)"/>
    <numFmt numFmtId="44" formatCode="_(&quot;$&quot;* #,##0.00_);_(&quot;$&quot;* \(#,##0.00\);_(&quot;$&quot;* &quot;-&quot;??_);_(@_)"/>
    <numFmt numFmtId="43" formatCode="_(* #,##0.00_);_(* \(#,##0.00\);_(* &quot;-&quot;??_);_(@_)"/>
    <numFmt numFmtId="164" formatCode="#,##0.0"/>
    <numFmt numFmtId="165" formatCode="0.0000"/>
    <numFmt numFmtId="166" formatCode="0.0%"/>
    <numFmt numFmtId="167" formatCode="_(* #,##0_);_(* \(#,##0\);_(* &quot;-&quot;??_);_(@_)"/>
    <numFmt numFmtId="168" formatCode="_(&quot;$&quot;* #,##0_);_(&quot;$&quot;* \(#,##0\);_(&quot;$&quot;* &quot;-&quot;??_);_(@_)"/>
    <numFmt numFmtId="169" formatCode="0.0\°\F"/>
    <numFmt numFmtId="170" formatCode="0.0"/>
    <numFmt numFmtId="171" formatCode="0\°\F"/>
    <numFmt numFmtId="172" formatCode="0.000"/>
  </numFmts>
  <fonts count="51" x14ac:knownFonts="1">
    <font>
      <sz val="11"/>
      <color theme="1"/>
      <name val="Calibri"/>
      <family val="2"/>
      <scheme val="minor"/>
    </font>
    <font>
      <sz val="11"/>
      <color theme="1"/>
      <name val="Calibri"/>
      <family val="2"/>
      <scheme val="minor"/>
    </font>
    <font>
      <sz val="11"/>
      <color rgb="FFFF0000"/>
      <name val="Calibri"/>
      <family val="2"/>
      <scheme val="minor"/>
    </font>
    <font>
      <b/>
      <sz val="14"/>
      <color theme="1"/>
      <name val="Calibri"/>
      <family val="2"/>
      <scheme val="minor"/>
    </font>
    <font>
      <sz val="10"/>
      <name val="Arial"/>
      <family val="2"/>
    </font>
    <font>
      <sz val="11"/>
      <color indexed="12"/>
      <name val="Calibri"/>
      <family val="2"/>
      <scheme val="minor"/>
    </font>
    <font>
      <b/>
      <sz val="11"/>
      <color indexed="12"/>
      <name val="Calibri"/>
      <family val="2"/>
      <scheme val="minor"/>
    </font>
    <font>
      <sz val="11"/>
      <name val="Calibri"/>
      <family val="2"/>
      <scheme val="minor"/>
    </font>
    <font>
      <sz val="11"/>
      <color rgb="FF0070C0"/>
      <name val="Calibri"/>
      <family val="2"/>
      <scheme val="minor"/>
    </font>
    <font>
      <sz val="11"/>
      <color rgb="FF00B050"/>
      <name val="Calibri"/>
      <family val="2"/>
      <scheme val="minor"/>
    </font>
    <font>
      <b/>
      <sz val="11"/>
      <color rgb="FF00B050"/>
      <name val="Calibri"/>
      <family val="2"/>
      <scheme val="minor"/>
    </font>
    <font>
      <b/>
      <sz val="11"/>
      <name val="Calibri"/>
      <family val="2"/>
      <scheme val="minor"/>
    </font>
    <font>
      <b/>
      <i/>
      <sz val="11"/>
      <name val="Calibri"/>
      <family val="2"/>
      <scheme val="minor"/>
    </font>
    <font>
      <sz val="11"/>
      <color theme="3" tint="0.39997558519241921"/>
      <name val="Calibri"/>
      <family val="2"/>
      <scheme val="minor"/>
    </font>
    <font>
      <i/>
      <sz val="10"/>
      <color theme="1"/>
      <name val="Calibri"/>
      <family val="2"/>
      <scheme val="minor"/>
    </font>
    <font>
      <i/>
      <sz val="11"/>
      <color rgb="FF0070C0"/>
      <name val="Calibri"/>
      <family val="2"/>
      <scheme val="minor"/>
    </font>
    <font>
      <b/>
      <sz val="11"/>
      <color rgb="FF0070C0"/>
      <name val="Calibri"/>
      <family val="2"/>
      <scheme val="minor"/>
    </font>
    <font>
      <b/>
      <sz val="11"/>
      <color theme="3" tint="0.39997558519241921"/>
      <name val="Calibri"/>
      <family val="2"/>
      <scheme val="minor"/>
    </font>
    <font>
      <b/>
      <i/>
      <sz val="12"/>
      <name val="Calibri"/>
      <family val="2"/>
      <scheme val="minor"/>
    </font>
    <font>
      <i/>
      <sz val="1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b/>
      <u/>
      <sz val="12"/>
      <color theme="1"/>
      <name val="Calibri"/>
      <family val="2"/>
      <scheme val="minor"/>
    </font>
    <font>
      <i/>
      <sz val="11"/>
      <color theme="1"/>
      <name val="Calibri"/>
      <family val="2"/>
      <scheme val="minor"/>
    </font>
    <font>
      <sz val="12"/>
      <color theme="1"/>
      <name val="Calibri"/>
      <family val="2"/>
      <scheme val="minor"/>
    </font>
    <font>
      <b/>
      <sz val="14"/>
      <color theme="1"/>
      <name val="Calibri"/>
      <family val="2"/>
    </font>
    <font>
      <sz val="11"/>
      <color theme="1"/>
      <name val="Calibri"/>
      <family val="2"/>
    </font>
    <font>
      <sz val="12"/>
      <color theme="1"/>
      <name val="Calibri"/>
      <family val="2"/>
    </font>
    <font>
      <i/>
      <sz val="9"/>
      <color theme="5" tint="-0.249977111117893"/>
      <name val="Calibri"/>
      <family val="2"/>
    </font>
    <font>
      <i/>
      <sz val="9"/>
      <color theme="4"/>
      <name val="Calibri"/>
      <family val="2"/>
    </font>
    <font>
      <sz val="9"/>
      <color theme="5" tint="-0.249977111117893"/>
      <name val="Calibri"/>
      <family val="2"/>
    </font>
    <font>
      <i/>
      <sz val="10"/>
      <color theme="4"/>
      <name val="Calibri"/>
      <family val="2"/>
    </font>
    <font>
      <b/>
      <sz val="9"/>
      <color indexed="81"/>
      <name val="Tahoma"/>
      <charset val="1"/>
    </font>
    <font>
      <sz val="9"/>
      <color indexed="81"/>
      <name val="Tahoma"/>
      <charset val="1"/>
    </font>
    <font>
      <b/>
      <sz val="9"/>
      <color indexed="81"/>
      <name val="Tahoma"/>
      <family val="2"/>
    </font>
    <font>
      <sz val="9"/>
      <color indexed="81"/>
      <name val="Tahoma"/>
      <family val="2"/>
    </font>
    <font>
      <sz val="8"/>
      <color indexed="81"/>
      <name val="Tahoma"/>
      <family val="2"/>
    </font>
    <font>
      <b/>
      <u/>
      <sz val="11"/>
      <name val="Arial"/>
      <family val="2"/>
    </font>
    <font>
      <b/>
      <sz val="10"/>
      <name val="Arial"/>
      <family val="2"/>
    </font>
    <font>
      <b/>
      <u/>
      <sz val="10"/>
      <name val="Arial"/>
      <family val="2"/>
    </font>
    <font>
      <i/>
      <sz val="10"/>
      <name val="Arial"/>
      <family val="2"/>
    </font>
    <font>
      <i/>
      <sz val="10"/>
      <color theme="3" tint="0.39997558519241921"/>
      <name val="Arial"/>
      <family val="2"/>
    </font>
    <font>
      <sz val="11"/>
      <color rgb="FF1F497D"/>
      <name val="Calibri"/>
      <family val="2"/>
    </font>
    <font>
      <b/>
      <sz val="11"/>
      <color rgb="FF1F497D"/>
      <name val="Calibri"/>
      <family val="2"/>
    </font>
    <font>
      <b/>
      <sz val="11"/>
      <name val="Arial"/>
      <family val="2"/>
    </font>
    <font>
      <sz val="9"/>
      <name val="Arial"/>
      <family val="2"/>
    </font>
    <font>
      <sz val="10"/>
      <color theme="3" tint="0.39997558519241921"/>
      <name val="Arial"/>
      <family val="2"/>
    </font>
    <font>
      <sz val="11"/>
      <name val="Arial"/>
      <family val="2"/>
    </font>
    <font>
      <i/>
      <sz val="10"/>
      <color theme="3" tint="0.79998168889431442"/>
      <name val="Arial"/>
      <family val="2"/>
    </font>
    <font>
      <i/>
      <sz val="10"/>
      <color theme="3" tint="0.59999389629810485"/>
      <name val="Arial"/>
      <family val="2"/>
    </font>
  </fonts>
  <fills count="20">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F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79998168889431442"/>
        <bgColor rgb="FF000000"/>
      </patternFill>
    </fill>
    <fill>
      <patternFill patternType="solid">
        <fgColor rgb="FFDBDBDB"/>
        <bgColor rgb="FF000000"/>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4" tint="0.59999389629810485"/>
        <bgColor indexed="64"/>
      </patternFill>
    </fill>
  </fills>
  <borders count="26">
    <border>
      <left/>
      <right/>
      <top/>
      <bottom/>
      <diagonal/>
    </border>
    <border>
      <left/>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applyNumberFormat="0" applyFill="0" applyBorder="0" applyAlignment="0" applyProtection="0"/>
    <xf numFmtId="0" fontId="4" fillId="0" borderId="0"/>
  </cellStyleXfs>
  <cellXfs count="275">
    <xf numFmtId="0" fontId="0" fillId="0" borderId="0" xfId="0"/>
    <xf numFmtId="0" fontId="3" fillId="0" borderId="0" xfId="0" applyFont="1"/>
    <xf numFmtId="0" fontId="5" fillId="2" borderId="1" xfId="4" applyFont="1" applyFill="1" applyBorder="1" applyProtection="1">
      <protection hidden="1"/>
    </xf>
    <xf numFmtId="0" fontId="6" fillId="2" borderId="0" xfId="4" applyFont="1" applyFill="1" applyBorder="1" applyProtection="1">
      <protection locked="0"/>
    </xf>
    <xf numFmtId="0" fontId="7" fillId="2" borderId="0" xfId="4" applyFont="1" applyFill="1" applyBorder="1"/>
    <xf numFmtId="9" fontId="0" fillId="0" borderId="0" xfId="3" applyFont="1"/>
    <xf numFmtId="0" fontId="0" fillId="0" borderId="2" xfId="0" applyBorder="1" applyAlignment="1">
      <alignment horizontal="center"/>
    </xf>
    <xf numFmtId="0" fontId="2" fillId="2" borderId="3" xfId="4" applyFont="1" applyFill="1" applyBorder="1" applyProtection="1">
      <protection hidden="1"/>
    </xf>
    <xf numFmtId="0" fontId="6" fillId="2" borderId="3" xfId="4" applyFont="1" applyFill="1" applyBorder="1" applyProtection="1">
      <protection locked="0"/>
    </xf>
    <xf numFmtId="0" fontId="7" fillId="2" borderId="3" xfId="4" applyFont="1" applyFill="1" applyBorder="1"/>
    <xf numFmtId="0" fontId="7" fillId="2" borderId="4" xfId="4" applyFont="1" applyFill="1" applyBorder="1"/>
    <xf numFmtId="43" fontId="0" fillId="0" borderId="0" xfId="0" applyNumberFormat="1"/>
    <xf numFmtId="0" fontId="0" fillId="0" borderId="5" xfId="0" applyBorder="1" applyAlignment="1">
      <alignment horizontal="center"/>
    </xf>
    <xf numFmtId="0" fontId="10" fillId="2" borderId="6" xfId="4" applyFont="1" applyFill="1" applyBorder="1" applyAlignment="1" applyProtection="1">
      <alignment horizontal="center" wrapText="1"/>
      <protection locked="0"/>
    </xf>
    <xf numFmtId="0" fontId="10" fillId="2" borderId="7" xfId="4" applyFont="1" applyFill="1" applyBorder="1" applyAlignment="1" applyProtection="1">
      <alignment horizontal="center" wrapText="1"/>
      <protection locked="0"/>
    </xf>
    <xf numFmtId="0" fontId="0" fillId="0" borderId="7" xfId="0" applyBorder="1"/>
    <xf numFmtId="0" fontId="7" fillId="2" borderId="8" xfId="4" applyFont="1" applyFill="1" applyBorder="1"/>
    <xf numFmtId="0" fontId="0" fillId="0" borderId="9" xfId="0" applyBorder="1" applyAlignment="1">
      <alignment horizontal="center"/>
    </xf>
    <xf numFmtId="0" fontId="11" fillId="3" borderId="10" xfId="5" applyFont="1" applyFill="1" applyBorder="1" applyAlignment="1">
      <alignment horizontal="right"/>
    </xf>
    <xf numFmtId="0" fontId="11" fillId="3" borderId="10" xfId="4" applyFont="1" applyFill="1" applyBorder="1" applyAlignment="1">
      <alignment horizontal="center"/>
    </xf>
    <xf numFmtId="0" fontId="11" fillId="3" borderId="11" xfId="4" applyFont="1" applyFill="1" applyBorder="1" applyAlignment="1">
      <alignment horizontal="center"/>
    </xf>
    <xf numFmtId="0" fontId="11" fillId="3" borderId="10" xfId="4" applyFont="1" applyFill="1" applyBorder="1"/>
    <xf numFmtId="0" fontId="11" fillId="3" borderId="12" xfId="4" applyFont="1" applyFill="1" applyBorder="1"/>
    <xf numFmtId="0" fontId="0" fillId="0" borderId="13" xfId="0" applyBorder="1" applyAlignment="1">
      <alignment horizontal="center"/>
    </xf>
    <xf numFmtId="0" fontId="12" fillId="2" borderId="14" xfId="4" applyFont="1" applyFill="1" applyBorder="1" applyAlignment="1" applyProtection="1">
      <alignment horizontal="left"/>
      <protection hidden="1"/>
    </xf>
    <xf numFmtId="0" fontId="7" fillId="2" borderId="14" xfId="6" applyFont="1" applyFill="1" applyBorder="1" applyAlignment="1">
      <alignment horizontal="center"/>
    </xf>
    <xf numFmtId="0" fontId="7" fillId="2" borderId="15" xfId="6" applyFont="1" applyFill="1" applyBorder="1" applyAlignment="1">
      <alignment horizontal="center"/>
    </xf>
    <xf numFmtId="0" fontId="7" fillId="2" borderId="15" xfId="6" applyFont="1" applyFill="1" applyBorder="1" applyAlignment="1">
      <alignment horizontal="left"/>
    </xf>
    <xf numFmtId="0" fontId="7" fillId="2" borderId="8" xfId="6" applyFont="1" applyFill="1" applyBorder="1" applyAlignment="1">
      <alignment horizontal="left"/>
    </xf>
    <xf numFmtId="0" fontId="7" fillId="2" borderId="16" xfId="4" applyFont="1" applyFill="1" applyBorder="1" applyAlignment="1">
      <alignment horizontal="right"/>
    </xf>
    <xf numFmtId="4" fontId="9" fillId="2" borderId="16" xfId="4" applyNumberFormat="1" applyFont="1" applyFill="1" applyBorder="1" applyAlignment="1">
      <alignment horizontal="center"/>
    </xf>
    <xf numFmtId="4" fontId="9" fillId="2" borderId="17" xfId="4" applyNumberFormat="1" applyFont="1" applyFill="1" applyBorder="1" applyAlignment="1">
      <alignment horizontal="center"/>
    </xf>
    <xf numFmtId="0" fontId="7" fillId="2" borderId="17" xfId="6" applyFont="1" applyFill="1" applyBorder="1" applyAlignment="1">
      <alignment horizontal="left"/>
    </xf>
    <xf numFmtId="0" fontId="7" fillId="2" borderId="8" xfId="4" applyFont="1" applyFill="1" applyBorder="1" applyAlignment="1">
      <alignment horizontal="left"/>
    </xf>
    <xf numFmtId="164" fontId="9" fillId="2" borderId="16" xfId="4" applyNumberFormat="1" applyFont="1" applyFill="1" applyBorder="1" applyAlignment="1">
      <alignment horizontal="center"/>
    </xf>
    <xf numFmtId="164" fontId="9" fillId="2" borderId="17" xfId="4" applyNumberFormat="1" applyFont="1" applyFill="1" applyBorder="1" applyAlignment="1">
      <alignment horizontal="center"/>
    </xf>
    <xf numFmtId="0" fontId="7" fillId="2" borderId="8" xfId="4" quotePrefix="1" applyFont="1" applyFill="1" applyBorder="1" applyAlignment="1">
      <alignment horizontal="left"/>
    </xf>
    <xf numFmtId="165" fontId="13" fillId="2" borderId="16" xfId="4" applyNumberFormat="1" applyFont="1" applyFill="1" applyBorder="1" applyAlignment="1">
      <alignment horizontal="center"/>
    </xf>
    <xf numFmtId="165" fontId="13" fillId="2" borderId="17" xfId="4" applyNumberFormat="1" applyFont="1" applyFill="1" applyBorder="1" applyAlignment="1">
      <alignment horizontal="center"/>
    </xf>
    <xf numFmtId="0" fontId="0" fillId="2" borderId="17" xfId="0" applyFill="1" applyBorder="1"/>
    <xf numFmtId="0" fontId="0" fillId="2" borderId="8" xfId="0" quotePrefix="1" applyFill="1" applyBorder="1"/>
    <xf numFmtId="1" fontId="9" fillId="2" borderId="16" xfId="4" applyNumberFormat="1" applyFont="1" applyFill="1" applyBorder="1" applyAlignment="1">
      <alignment horizontal="center"/>
    </xf>
    <xf numFmtId="1" fontId="9" fillId="2" borderId="17" xfId="4" applyNumberFormat="1" applyFont="1" applyFill="1" applyBorder="1" applyAlignment="1">
      <alignment horizontal="center"/>
    </xf>
    <xf numFmtId="0" fontId="0" fillId="2" borderId="8" xfId="0" applyFill="1" applyBorder="1"/>
    <xf numFmtId="3" fontId="9" fillId="2" borderId="16" xfId="4" applyNumberFormat="1" applyFont="1" applyFill="1" applyBorder="1" applyAlignment="1">
      <alignment horizontal="center"/>
    </xf>
    <xf numFmtId="3" fontId="9" fillId="2" borderId="17" xfId="4" applyNumberFormat="1" applyFont="1" applyFill="1" applyBorder="1" applyAlignment="1">
      <alignment horizontal="center"/>
    </xf>
    <xf numFmtId="3" fontId="13" fillId="2" borderId="16" xfId="4" applyNumberFormat="1" applyFont="1" applyFill="1" applyBorder="1" applyAlignment="1">
      <alignment horizontal="center"/>
    </xf>
    <xf numFmtId="3" fontId="13" fillId="2" borderId="17" xfId="4" applyNumberFormat="1" applyFont="1" applyFill="1" applyBorder="1" applyAlignment="1">
      <alignment horizontal="center"/>
    </xf>
    <xf numFmtId="0" fontId="14" fillId="0" borderId="16" xfId="0" applyFont="1" applyBorder="1" applyAlignment="1">
      <alignment horizontal="center"/>
    </xf>
    <xf numFmtId="0" fontId="14" fillId="0" borderId="0" xfId="0" applyFont="1" applyAlignment="1">
      <alignment horizontal="center"/>
    </xf>
    <xf numFmtId="0" fontId="14" fillId="0" borderId="17" xfId="0" applyFont="1" applyBorder="1" applyAlignment="1">
      <alignment horizontal="center"/>
    </xf>
    <xf numFmtId="166" fontId="15" fillId="2" borderId="17" xfId="3" applyNumberFormat="1" applyFont="1" applyFill="1" applyBorder="1" applyAlignment="1">
      <alignment horizontal="center"/>
    </xf>
    <xf numFmtId="166" fontId="16" fillId="2" borderId="17" xfId="3" applyNumberFormat="1" applyFont="1" applyFill="1" applyBorder="1" applyAlignment="1">
      <alignment horizontal="center"/>
    </xf>
    <xf numFmtId="9" fontId="16" fillId="2" borderId="16" xfId="3" applyFont="1" applyFill="1" applyBorder="1" applyAlignment="1">
      <alignment horizontal="center"/>
    </xf>
    <xf numFmtId="9" fontId="16" fillId="2" borderId="17" xfId="3" applyFont="1" applyFill="1" applyBorder="1" applyAlignment="1">
      <alignment horizontal="center"/>
    </xf>
    <xf numFmtId="0" fontId="12" fillId="2" borderId="16" xfId="4" applyFont="1" applyFill="1" applyBorder="1" applyAlignment="1" applyProtection="1">
      <alignment horizontal="left"/>
      <protection hidden="1"/>
    </xf>
    <xf numFmtId="3" fontId="7" fillId="2" borderId="16" xfId="4" applyNumberFormat="1" applyFont="1" applyFill="1" applyBorder="1" applyAlignment="1">
      <alignment horizontal="center"/>
    </xf>
    <xf numFmtId="3" fontId="7" fillId="2" borderId="17" xfId="4" applyNumberFormat="1" applyFont="1" applyFill="1" applyBorder="1" applyAlignment="1">
      <alignment horizontal="center"/>
    </xf>
    <xf numFmtId="9" fontId="13" fillId="2" borderId="16" xfId="3" applyFont="1" applyFill="1" applyBorder="1" applyAlignment="1">
      <alignment horizontal="center"/>
    </xf>
    <xf numFmtId="9" fontId="17" fillId="2" borderId="17" xfId="3" applyFont="1" applyFill="1" applyBorder="1" applyAlignment="1">
      <alignment horizontal="center"/>
    </xf>
    <xf numFmtId="9" fontId="13" fillId="2" borderId="17" xfId="3" applyFont="1" applyFill="1" applyBorder="1" applyAlignment="1">
      <alignment horizontal="center"/>
    </xf>
    <xf numFmtId="9" fontId="13" fillId="2" borderId="17" xfId="3" applyNumberFormat="1" applyFont="1" applyFill="1" applyBorder="1" applyAlignment="1">
      <alignment horizontal="center"/>
    </xf>
    <xf numFmtId="9" fontId="17" fillId="2" borderId="17" xfId="3" applyNumberFormat="1" applyFont="1" applyFill="1" applyBorder="1" applyAlignment="1">
      <alignment horizontal="center"/>
    </xf>
    <xf numFmtId="0" fontId="0" fillId="0" borderId="16" xfId="0" applyBorder="1" applyAlignment="1">
      <alignment horizontal="right"/>
    </xf>
    <xf numFmtId="164" fontId="7" fillId="2" borderId="16" xfId="3" applyNumberFormat="1" applyFont="1" applyFill="1" applyBorder="1" applyAlignment="1">
      <alignment horizontal="center"/>
    </xf>
    <xf numFmtId="164" fontId="7" fillId="2" borderId="17" xfId="3" applyNumberFormat="1" applyFont="1" applyFill="1" applyBorder="1" applyAlignment="1">
      <alignment horizontal="center"/>
    </xf>
    <xf numFmtId="0" fontId="18" fillId="2" borderId="16" xfId="4" applyFont="1" applyFill="1" applyBorder="1" applyAlignment="1" applyProtection="1">
      <alignment horizontal="left"/>
      <protection hidden="1"/>
    </xf>
    <xf numFmtId="0" fontId="7" fillId="2" borderId="16" xfId="6" applyFont="1" applyFill="1" applyBorder="1" applyAlignment="1">
      <alignment horizontal="center"/>
    </xf>
    <xf numFmtId="0" fontId="7" fillId="2" borderId="17" xfId="6" applyFont="1" applyFill="1" applyBorder="1" applyAlignment="1">
      <alignment horizontal="center"/>
    </xf>
    <xf numFmtId="0" fontId="7" fillId="2" borderId="8" xfId="6" quotePrefix="1" applyFont="1" applyFill="1" applyBorder="1" applyAlignment="1">
      <alignment horizontal="left"/>
    </xf>
    <xf numFmtId="3" fontId="8" fillId="2" borderId="16" xfId="3" applyNumberFormat="1" applyFont="1" applyFill="1" applyBorder="1" applyAlignment="1">
      <alignment horizontal="center"/>
    </xf>
    <xf numFmtId="3" fontId="8" fillId="2" borderId="17" xfId="3" applyNumberFormat="1" applyFont="1" applyFill="1" applyBorder="1" applyAlignment="1">
      <alignment horizontal="center"/>
    </xf>
    <xf numFmtId="0" fontId="19" fillId="2" borderId="8" xfId="6" applyFont="1" applyFill="1" applyBorder="1" applyAlignment="1">
      <alignment horizontal="left"/>
    </xf>
    <xf numFmtId="3" fontId="7" fillId="2" borderId="16" xfId="6" applyNumberFormat="1" applyFont="1" applyFill="1" applyBorder="1" applyAlignment="1">
      <alignment horizontal="center"/>
    </xf>
    <xf numFmtId="3" fontId="7" fillId="2" borderId="17" xfId="6" applyNumberFormat="1" applyFont="1" applyFill="1" applyBorder="1" applyAlignment="1">
      <alignment horizontal="center"/>
    </xf>
    <xf numFmtId="3" fontId="7" fillId="2" borderId="16" xfId="3" applyNumberFormat="1" applyFont="1" applyFill="1" applyBorder="1" applyAlignment="1">
      <alignment horizontal="center"/>
    </xf>
    <xf numFmtId="3" fontId="7" fillId="2" borderId="17" xfId="3" applyNumberFormat="1" applyFont="1" applyFill="1" applyBorder="1" applyAlignment="1">
      <alignment horizontal="center"/>
    </xf>
    <xf numFmtId="0" fontId="11" fillId="2" borderId="16" xfId="4" applyFont="1" applyFill="1" applyBorder="1" applyAlignment="1">
      <alignment horizontal="right"/>
    </xf>
    <xf numFmtId="0" fontId="0" fillId="0" borderId="13" xfId="0" applyFill="1" applyBorder="1" applyAlignment="1">
      <alignment horizontal="center"/>
    </xf>
    <xf numFmtId="166" fontId="0" fillId="0" borderId="16" xfId="3" applyNumberFormat="1" applyFont="1" applyBorder="1" applyAlignment="1">
      <alignment horizontal="center"/>
    </xf>
    <xf numFmtId="166" fontId="0" fillId="0" borderId="17" xfId="3" applyNumberFormat="1" applyFont="1" applyBorder="1" applyAlignment="1">
      <alignment horizontal="center"/>
    </xf>
    <xf numFmtId="166" fontId="7" fillId="2" borderId="16" xfId="3" applyNumberFormat="1" applyFont="1" applyFill="1" applyBorder="1" applyAlignment="1">
      <alignment horizontal="center"/>
    </xf>
    <xf numFmtId="0" fontId="7" fillId="2" borderId="8" xfId="4" quotePrefix="1" applyFont="1" applyFill="1" applyBorder="1"/>
    <xf numFmtId="4" fontId="7" fillId="2" borderId="16" xfId="6" applyNumberFormat="1" applyFont="1" applyFill="1" applyBorder="1" applyAlignment="1">
      <alignment horizontal="center"/>
    </xf>
    <xf numFmtId="0" fontId="20" fillId="4" borderId="17" xfId="0" applyFont="1" applyFill="1" applyBorder="1" applyAlignment="1">
      <alignment vertical="center"/>
    </xf>
    <xf numFmtId="0" fontId="20" fillId="4" borderId="8" xfId="0" quotePrefix="1" applyFont="1" applyFill="1" applyBorder="1" applyAlignment="1">
      <alignment vertical="center"/>
    </xf>
    <xf numFmtId="3" fontId="8" fillId="5" borderId="16" xfId="3" applyNumberFormat="1" applyFont="1" applyFill="1" applyBorder="1" applyAlignment="1">
      <alignment horizontal="center"/>
    </xf>
    <xf numFmtId="3" fontId="8" fillId="2" borderId="16" xfId="4" applyNumberFormat="1" applyFont="1" applyFill="1" applyBorder="1" applyAlignment="1">
      <alignment horizontal="center"/>
    </xf>
    <xf numFmtId="3" fontId="8" fillId="2" borderId="17" xfId="4" applyNumberFormat="1" applyFont="1" applyFill="1" applyBorder="1" applyAlignment="1">
      <alignment horizontal="center"/>
    </xf>
    <xf numFmtId="3" fontId="8" fillId="5" borderId="17" xfId="4" applyNumberFormat="1" applyFont="1" applyFill="1" applyBorder="1" applyAlignment="1">
      <alignment horizontal="center"/>
    </xf>
    <xf numFmtId="3" fontId="7" fillId="5" borderId="17" xfId="4" applyNumberFormat="1" applyFont="1" applyFill="1" applyBorder="1" applyAlignment="1">
      <alignment horizontal="center"/>
    </xf>
    <xf numFmtId="3" fontId="7" fillId="5" borderId="17" xfId="6" applyNumberFormat="1" applyFont="1" applyFill="1" applyBorder="1" applyAlignment="1">
      <alignment horizontal="center"/>
    </xf>
    <xf numFmtId="0" fontId="18" fillId="2" borderId="16" xfId="4" applyFont="1" applyFill="1" applyBorder="1" applyAlignment="1">
      <alignment horizontal="left"/>
    </xf>
    <xf numFmtId="3" fontId="11" fillId="2" borderId="16" xfId="6" applyNumberFormat="1" applyFont="1" applyFill="1" applyBorder="1" applyAlignment="1">
      <alignment horizontal="center"/>
    </xf>
    <xf numFmtId="3" fontId="11" fillId="2" borderId="17" xfId="6" applyNumberFormat="1" applyFont="1" applyFill="1" applyBorder="1" applyAlignment="1">
      <alignment horizontal="center"/>
    </xf>
    <xf numFmtId="3" fontId="11" fillId="5" borderId="17" xfId="6" applyNumberFormat="1" applyFont="1" applyFill="1" applyBorder="1" applyAlignment="1">
      <alignment horizontal="center"/>
    </xf>
    <xf numFmtId="166" fontId="11" fillId="2" borderId="16" xfId="3" applyNumberFormat="1" applyFont="1" applyFill="1" applyBorder="1" applyAlignment="1">
      <alignment horizontal="center"/>
    </xf>
    <xf numFmtId="166" fontId="11" fillId="2" borderId="17" xfId="3" applyNumberFormat="1" applyFont="1" applyFill="1" applyBorder="1" applyAlignment="1">
      <alignment horizontal="center"/>
    </xf>
    <xf numFmtId="166" fontId="11" fillId="5" borderId="17" xfId="3" applyNumberFormat="1" applyFont="1" applyFill="1" applyBorder="1" applyAlignment="1">
      <alignment horizontal="center"/>
    </xf>
    <xf numFmtId="0" fontId="7" fillId="2" borderId="17" xfId="4" applyFont="1" applyFill="1" applyBorder="1"/>
    <xf numFmtId="4" fontId="11" fillId="2" borderId="16" xfId="6" applyNumberFormat="1" applyFont="1" applyFill="1" applyBorder="1" applyAlignment="1">
      <alignment horizontal="center"/>
    </xf>
    <xf numFmtId="4" fontId="11" fillId="2" borderId="17" xfId="6" applyNumberFormat="1" applyFont="1" applyFill="1" applyBorder="1" applyAlignment="1">
      <alignment horizontal="center"/>
    </xf>
    <xf numFmtId="4" fontId="11" fillId="5" borderId="17" xfId="6" applyNumberFormat="1" applyFont="1" applyFill="1" applyBorder="1" applyAlignment="1">
      <alignment horizontal="center"/>
    </xf>
    <xf numFmtId="0" fontId="0" fillId="0" borderId="18" xfId="0" applyBorder="1"/>
    <xf numFmtId="0" fontId="0" fillId="0" borderId="19" xfId="0" applyBorder="1"/>
    <xf numFmtId="0" fontId="0" fillId="0" borderId="20" xfId="0" applyBorder="1"/>
    <xf numFmtId="0" fontId="0" fillId="0" borderId="0" xfId="0" applyAlignment="1">
      <alignment horizontal="center"/>
    </xf>
    <xf numFmtId="3" fontId="0" fillId="0" borderId="0" xfId="0" applyNumberFormat="1"/>
    <xf numFmtId="0" fontId="21" fillId="0" borderId="0" xfId="0" applyFont="1"/>
    <xf numFmtId="0" fontId="0" fillId="0" borderId="21" xfId="0" applyBorder="1" applyAlignment="1">
      <alignment horizontal="center"/>
    </xf>
    <xf numFmtId="0" fontId="0" fillId="0" borderId="22" xfId="0" applyBorder="1"/>
    <xf numFmtId="0" fontId="0" fillId="0" borderId="23" xfId="0" applyBorder="1"/>
    <xf numFmtId="0" fontId="0" fillId="0" borderId="0" xfId="0" applyBorder="1"/>
    <xf numFmtId="166" fontId="0" fillId="0" borderId="0" xfId="3" applyNumberFormat="1" applyFont="1" applyBorder="1"/>
    <xf numFmtId="0" fontId="22" fillId="0" borderId="8" xfId="0" applyFont="1" applyBorder="1" applyAlignment="1">
      <alignment wrapText="1"/>
    </xf>
    <xf numFmtId="0" fontId="23" fillId="0" borderId="13" xfId="0" applyFont="1" applyBorder="1" applyAlignment="1">
      <alignment horizontal="left"/>
    </xf>
    <xf numFmtId="166" fontId="0" fillId="0" borderId="0" xfId="0" applyNumberFormat="1" applyBorder="1"/>
    <xf numFmtId="0" fontId="0" fillId="0" borderId="8" xfId="0" applyBorder="1"/>
    <xf numFmtId="0" fontId="24" fillId="0" borderId="0" xfId="0" applyFont="1" applyBorder="1"/>
    <xf numFmtId="2" fontId="0" fillId="6" borderId="0" xfId="0" applyNumberFormat="1" applyFill="1" applyBorder="1"/>
    <xf numFmtId="0" fontId="20" fillId="4" borderId="0" xfId="0" applyFont="1" applyFill="1" applyBorder="1" applyAlignment="1">
      <alignment vertical="center"/>
    </xf>
    <xf numFmtId="0" fontId="0" fillId="0" borderId="0" xfId="0" applyBorder="1" applyAlignment="1">
      <alignment horizontal="right"/>
    </xf>
    <xf numFmtId="2" fontId="21" fillId="6" borderId="0" xfId="0" applyNumberFormat="1" applyFont="1" applyFill="1" applyBorder="1"/>
    <xf numFmtId="2" fontId="21" fillId="0" borderId="0" xfId="0" applyNumberFormat="1" applyFont="1" applyFill="1" applyBorder="1"/>
    <xf numFmtId="166" fontId="25" fillId="0" borderId="0" xfId="3" applyNumberFormat="1" applyFont="1" applyBorder="1"/>
    <xf numFmtId="2" fontId="0" fillId="7" borderId="0" xfId="0" applyNumberFormat="1" applyFont="1" applyFill="1" applyBorder="1"/>
    <xf numFmtId="2" fontId="21" fillId="7" borderId="0" xfId="0" applyNumberFormat="1" applyFont="1" applyFill="1" applyBorder="1"/>
    <xf numFmtId="0" fontId="0" fillId="0" borderId="1" xfId="0" applyBorder="1"/>
    <xf numFmtId="0" fontId="0" fillId="0" borderId="0" xfId="0" applyBorder="1" applyAlignment="1">
      <alignment horizontal="center"/>
    </xf>
    <xf numFmtId="0" fontId="21" fillId="5" borderId="0" xfId="0" applyFont="1" applyFill="1"/>
    <xf numFmtId="0" fontId="0" fillId="5" borderId="0" xfId="0" applyFill="1" applyBorder="1"/>
    <xf numFmtId="2" fontId="0" fillId="8" borderId="0" xfId="0" applyNumberFormat="1" applyFill="1" applyBorder="1"/>
    <xf numFmtId="2" fontId="21" fillId="8" borderId="0" xfId="0" applyNumberFormat="1" applyFont="1" applyFill="1" applyBorder="1"/>
    <xf numFmtId="2" fontId="0" fillId="5" borderId="0" xfId="0" applyNumberFormat="1" applyFill="1" applyBorder="1"/>
    <xf numFmtId="2" fontId="0" fillId="0" borderId="0" xfId="0" applyNumberFormat="1" applyBorder="1"/>
    <xf numFmtId="2" fontId="21" fillId="5" borderId="0" xfId="0" applyNumberFormat="1" applyFont="1" applyFill="1" applyBorder="1"/>
    <xf numFmtId="0" fontId="26" fillId="0" borderId="0" xfId="0" applyFont="1" applyFill="1" applyBorder="1"/>
    <xf numFmtId="0" fontId="27" fillId="0" borderId="0" xfId="0" applyFont="1" applyFill="1" applyBorder="1"/>
    <xf numFmtId="0" fontId="28" fillId="0" borderId="24" xfId="0" applyFont="1" applyFill="1" applyBorder="1" applyAlignment="1">
      <alignment wrapText="1"/>
    </xf>
    <xf numFmtId="0" fontId="28" fillId="0" borderId="3" xfId="0" applyFont="1" applyFill="1" applyBorder="1" applyAlignment="1">
      <alignment horizontal="center" wrapText="1"/>
    </xf>
    <xf numFmtId="0" fontId="28" fillId="9" borderId="3" xfId="0" applyFont="1" applyFill="1" applyBorder="1" applyAlignment="1">
      <alignment horizontal="center" wrapText="1"/>
    </xf>
    <xf numFmtId="0" fontId="28" fillId="10" borderId="3" xfId="0" applyFont="1" applyFill="1" applyBorder="1" applyAlignment="1">
      <alignment horizontal="center" wrapText="1"/>
    </xf>
    <xf numFmtId="0" fontId="28" fillId="5" borderId="4" xfId="0" applyFont="1" applyFill="1" applyBorder="1" applyAlignment="1">
      <alignment horizontal="center" wrapText="1"/>
    </xf>
    <xf numFmtId="0" fontId="27" fillId="0" borderId="13" xfId="0" applyFont="1" applyFill="1" applyBorder="1"/>
    <xf numFmtId="167" fontId="27" fillId="0" borderId="0" xfId="1" applyNumberFormat="1" applyFont="1" applyFill="1" applyBorder="1"/>
    <xf numFmtId="167" fontId="0" fillId="0" borderId="0" xfId="1" applyNumberFormat="1" applyFont="1" applyFill="1" applyBorder="1"/>
    <xf numFmtId="166" fontId="0" fillId="0" borderId="0" xfId="3" applyNumberFormat="1" applyFont="1" applyFill="1" applyBorder="1"/>
    <xf numFmtId="168" fontId="27" fillId="0" borderId="0" xfId="2" applyNumberFormat="1" applyFont="1" applyFill="1" applyBorder="1"/>
    <xf numFmtId="44" fontId="29" fillId="0" borderId="22" xfId="2" applyNumberFormat="1" applyFont="1" applyFill="1" applyBorder="1"/>
    <xf numFmtId="44" fontId="30" fillId="0" borderId="22" xfId="2" applyNumberFormat="1" applyFont="1" applyFill="1" applyBorder="1"/>
    <xf numFmtId="7" fontId="27" fillId="0" borderId="0" xfId="2" applyNumberFormat="1" applyFont="1" applyFill="1" applyBorder="1"/>
    <xf numFmtId="7" fontId="27" fillId="0" borderId="8" xfId="0" applyNumberFormat="1" applyFont="1" applyFill="1" applyBorder="1"/>
    <xf numFmtId="44" fontId="29" fillId="0" borderId="0" xfId="2" applyNumberFormat="1" applyFont="1" applyFill="1" applyBorder="1"/>
    <xf numFmtId="44" fontId="30" fillId="0" borderId="0" xfId="2" applyNumberFormat="1" applyFont="1" applyFill="1" applyBorder="1"/>
    <xf numFmtId="0" fontId="27" fillId="0" borderId="2" xfId="0" applyFont="1" applyFill="1" applyBorder="1"/>
    <xf numFmtId="0" fontId="27" fillId="0" borderId="1" xfId="0" applyFont="1" applyFill="1" applyBorder="1"/>
    <xf numFmtId="167" fontId="27" fillId="0" borderId="1" xfId="1" applyNumberFormat="1" applyFont="1" applyFill="1" applyBorder="1"/>
    <xf numFmtId="167" fontId="0" fillId="0" borderId="1" xfId="1" applyNumberFormat="1" applyFont="1" applyFill="1" applyBorder="1"/>
    <xf numFmtId="166" fontId="0" fillId="0" borderId="1" xfId="3" applyNumberFormat="1" applyFont="1" applyBorder="1"/>
    <xf numFmtId="168" fontId="27" fillId="0" borderId="1" xfId="2" applyNumberFormat="1" applyFont="1" applyFill="1" applyBorder="1"/>
    <xf numFmtId="44" fontId="29" fillId="0" borderId="1" xfId="2" applyNumberFormat="1" applyFont="1" applyFill="1" applyBorder="1"/>
    <xf numFmtId="44" fontId="30" fillId="0" borderId="1" xfId="2" applyNumberFormat="1" applyFont="1" applyFill="1" applyBorder="1"/>
    <xf numFmtId="7" fontId="27" fillId="0" borderId="1" xfId="2" applyNumberFormat="1" applyFont="1" applyFill="1" applyBorder="1"/>
    <xf numFmtId="7" fontId="27" fillId="0" borderId="20" xfId="0" applyNumberFormat="1" applyFont="1" applyFill="1" applyBorder="1"/>
    <xf numFmtId="166" fontId="27" fillId="0" borderId="1" xfId="3" applyNumberFormat="1" applyFont="1" applyFill="1" applyBorder="1"/>
    <xf numFmtId="167" fontId="27" fillId="0" borderId="0" xfId="0" applyNumberFormat="1" applyFont="1" applyFill="1" applyBorder="1"/>
    <xf numFmtId="166" fontId="27" fillId="0" borderId="0" xfId="3" applyNumberFormat="1" applyFont="1" applyFill="1" applyBorder="1"/>
    <xf numFmtId="168" fontId="27" fillId="0" borderId="0" xfId="0" applyNumberFormat="1" applyFont="1" applyFill="1" applyBorder="1"/>
    <xf numFmtId="44" fontId="31" fillId="0" borderId="0" xfId="2" applyNumberFormat="1" applyFont="1" applyFill="1" applyBorder="1"/>
    <xf numFmtId="7" fontId="32" fillId="0" borderId="0" xfId="2" applyNumberFormat="1" applyFont="1" applyFill="1" applyBorder="1"/>
    <xf numFmtId="7" fontId="27" fillId="5" borderId="0" xfId="2" applyNumberFormat="1" applyFont="1" applyFill="1" applyBorder="1"/>
    <xf numFmtId="0" fontId="0" fillId="2" borderId="0" xfId="0" applyFill="1"/>
    <xf numFmtId="0" fontId="38" fillId="0" borderId="0" xfId="0" applyFont="1"/>
    <xf numFmtId="0" fontId="39" fillId="0" borderId="0" xfId="0" applyFont="1"/>
    <xf numFmtId="0" fontId="0" fillId="0" borderId="21" xfId="0" applyBorder="1"/>
    <xf numFmtId="0" fontId="39" fillId="0" borderId="22" xfId="0" applyFont="1" applyBorder="1"/>
    <xf numFmtId="0" fontId="0" fillId="0" borderId="13" xfId="0" applyBorder="1"/>
    <xf numFmtId="0" fontId="40" fillId="0" borderId="0" xfId="0" applyFont="1" applyBorder="1"/>
    <xf numFmtId="0" fontId="4" fillId="0" borderId="0" xfId="0" applyFont="1"/>
    <xf numFmtId="0" fontId="39" fillId="0" borderId="0" xfId="0" applyFont="1" applyBorder="1" applyAlignment="1">
      <alignment horizontal="center" vertical="center"/>
    </xf>
    <xf numFmtId="169" fontId="0" fillId="0" borderId="0" xfId="0" applyNumberFormat="1" applyBorder="1"/>
    <xf numFmtId="0" fontId="4" fillId="0" borderId="0" xfId="0" applyFont="1" applyBorder="1"/>
    <xf numFmtId="0" fontId="39" fillId="0" borderId="0" xfId="0" applyFont="1" applyBorder="1" applyAlignment="1">
      <alignment horizontal="center"/>
    </xf>
    <xf numFmtId="3" fontId="0" fillId="0" borderId="0" xfId="0" applyNumberFormat="1" applyBorder="1"/>
    <xf numFmtId="0" fontId="4" fillId="0" borderId="8" xfId="0" applyFont="1" applyBorder="1"/>
    <xf numFmtId="0" fontId="41" fillId="0" borderId="0" xfId="0" applyFont="1"/>
    <xf numFmtId="3" fontId="0" fillId="0" borderId="0" xfId="0" applyNumberFormat="1" applyFill="1"/>
    <xf numFmtId="169" fontId="41" fillId="5" borderId="25" xfId="0" applyNumberFormat="1" applyFont="1" applyFill="1" applyBorder="1"/>
    <xf numFmtId="0" fontId="42" fillId="0" borderId="8" xfId="0" applyFont="1" applyBorder="1"/>
    <xf numFmtId="166" fontId="0" fillId="5" borderId="0" xfId="3" applyNumberFormat="1" applyFont="1" applyFill="1"/>
    <xf numFmtId="3" fontId="0" fillId="0" borderId="25" xfId="0" applyNumberFormat="1" applyBorder="1"/>
    <xf numFmtId="3" fontId="39" fillId="11" borderId="0" xfId="0" applyNumberFormat="1" applyFont="1" applyFill="1" applyBorder="1"/>
    <xf numFmtId="165" fontId="0" fillId="0" borderId="25" xfId="0" applyNumberFormat="1" applyBorder="1"/>
    <xf numFmtId="166" fontId="39" fillId="0" borderId="0" xfId="0" applyNumberFormat="1" applyFont="1" applyBorder="1"/>
    <xf numFmtId="3" fontId="0" fillId="11" borderId="0" xfId="0" applyNumberFormat="1" applyFill="1"/>
    <xf numFmtId="0" fontId="39" fillId="0" borderId="0" xfId="0" applyFont="1" applyBorder="1" applyAlignment="1">
      <alignment horizontal="right"/>
    </xf>
    <xf numFmtId="3" fontId="39" fillId="12" borderId="0" xfId="0" applyNumberFormat="1" applyFont="1" applyFill="1" applyBorder="1"/>
    <xf numFmtId="0" fontId="39" fillId="0" borderId="8" xfId="0" applyFont="1" applyBorder="1"/>
    <xf numFmtId="0" fontId="39" fillId="0" borderId="0" xfId="0" applyFont="1" applyBorder="1"/>
    <xf numFmtId="164" fontId="0" fillId="0" borderId="0" xfId="0" applyNumberFormat="1"/>
    <xf numFmtId="0" fontId="39" fillId="0" borderId="0" xfId="0" applyFont="1" applyAlignment="1">
      <alignment horizontal="center"/>
    </xf>
    <xf numFmtId="167" fontId="0" fillId="5" borderId="0" xfId="1" applyNumberFormat="1" applyFont="1" applyFill="1"/>
    <xf numFmtId="0" fontId="0" fillId="0" borderId="25" xfId="0" applyBorder="1"/>
    <xf numFmtId="170" fontId="0" fillId="0" borderId="0" xfId="0" applyNumberFormat="1" applyBorder="1"/>
    <xf numFmtId="3" fontId="39" fillId="13" borderId="0" xfId="0" applyNumberFormat="1" applyFont="1" applyFill="1" applyBorder="1"/>
    <xf numFmtId="166" fontId="4" fillId="0" borderId="0" xfId="3" quotePrefix="1" applyNumberFormat="1" applyFont="1" applyBorder="1" applyAlignment="1">
      <alignment horizontal="right"/>
    </xf>
    <xf numFmtId="171" fontId="0" fillId="5" borderId="25" xfId="0" applyNumberFormat="1" applyFill="1" applyBorder="1"/>
    <xf numFmtId="6" fontId="0" fillId="0" borderId="0" xfId="0" applyNumberFormat="1" applyBorder="1"/>
    <xf numFmtId="3" fontId="39" fillId="14" borderId="0" xfId="0" applyNumberFormat="1" applyFont="1" applyFill="1"/>
    <xf numFmtId="171" fontId="39" fillId="0" borderId="0" xfId="0" applyNumberFormat="1" applyFont="1" applyBorder="1"/>
    <xf numFmtId="0" fontId="4" fillId="0" borderId="13" xfId="0" applyFont="1" applyBorder="1" applyAlignment="1">
      <alignment horizontal="right"/>
    </xf>
    <xf numFmtId="0" fontId="0" fillId="0" borderId="0" xfId="0" applyFont="1" applyFill="1" applyBorder="1"/>
    <xf numFmtId="0" fontId="4" fillId="0" borderId="13" xfId="0" applyFont="1" applyBorder="1"/>
    <xf numFmtId="9" fontId="4" fillId="5" borderId="0" xfId="3" applyFont="1" applyFill="1"/>
    <xf numFmtId="3" fontId="0" fillId="14" borderId="0" xfId="0" applyNumberFormat="1" applyFill="1"/>
    <xf numFmtId="169" fontId="41" fillId="0" borderId="0" xfId="0" applyNumberFormat="1" applyFont="1" applyBorder="1"/>
    <xf numFmtId="166" fontId="0" fillId="0" borderId="25" xfId="0" applyNumberFormat="1" applyBorder="1"/>
    <xf numFmtId="169" fontId="0" fillId="15" borderId="25" xfId="0" applyNumberFormat="1" applyFill="1" applyBorder="1"/>
    <xf numFmtId="3" fontId="0" fillId="5" borderId="0" xfId="0" applyNumberFormat="1" applyFill="1"/>
    <xf numFmtId="0" fontId="0" fillId="0" borderId="0" xfId="0" applyFill="1"/>
    <xf numFmtId="3" fontId="39" fillId="0" borderId="0" xfId="0" applyNumberFormat="1" applyFont="1" applyBorder="1"/>
    <xf numFmtId="166" fontId="4" fillId="0" borderId="0" xfId="0" applyNumberFormat="1" applyFont="1" applyBorder="1"/>
    <xf numFmtId="166" fontId="39" fillId="0" borderId="0" xfId="3" applyNumberFormat="1" applyFont="1" applyBorder="1"/>
    <xf numFmtId="0" fontId="4" fillId="0" borderId="0" xfId="0" applyFont="1" applyBorder="1" applyAlignment="1">
      <alignment horizontal="left"/>
    </xf>
    <xf numFmtId="169" fontId="0" fillId="15" borderId="0" xfId="0" applyNumberFormat="1" applyFill="1" applyBorder="1"/>
    <xf numFmtId="0" fontId="39" fillId="0" borderId="25" xfId="0" applyFont="1" applyBorder="1"/>
    <xf numFmtId="166" fontId="0" fillId="16" borderId="0" xfId="3" applyNumberFormat="1" applyFont="1" applyFill="1" applyBorder="1"/>
    <xf numFmtId="0" fontId="39" fillId="0" borderId="13" xfId="0" applyFont="1" applyBorder="1"/>
    <xf numFmtId="165" fontId="0" fillId="0" borderId="0" xfId="0" applyNumberFormat="1" applyBorder="1"/>
    <xf numFmtId="165" fontId="0" fillId="0" borderId="8" xfId="0" applyNumberFormat="1" applyBorder="1"/>
    <xf numFmtId="167" fontId="0" fillId="5" borderId="0" xfId="1" applyNumberFormat="1" applyFont="1" applyFill="1" applyBorder="1"/>
    <xf numFmtId="167" fontId="0" fillId="0" borderId="8" xfId="1" applyNumberFormat="1" applyFont="1" applyBorder="1"/>
    <xf numFmtId="3" fontId="4" fillId="0" borderId="0" xfId="0" applyNumberFormat="1" applyFont="1" applyBorder="1"/>
    <xf numFmtId="166" fontId="39" fillId="13" borderId="0" xfId="0" applyNumberFormat="1" applyFont="1" applyFill="1" applyBorder="1"/>
    <xf numFmtId="3" fontId="4" fillId="0" borderId="25" xfId="0" applyNumberFormat="1" applyFont="1" applyBorder="1"/>
    <xf numFmtId="0" fontId="0" fillId="0" borderId="2" xfId="0" applyBorder="1"/>
    <xf numFmtId="172" fontId="0" fillId="0" borderId="0" xfId="0" applyNumberFormat="1" applyBorder="1"/>
    <xf numFmtId="165" fontId="0" fillId="5" borderId="0" xfId="0" applyNumberFormat="1" applyFill="1" applyBorder="1"/>
    <xf numFmtId="0" fontId="4" fillId="0" borderId="8" xfId="0" quotePrefix="1" applyFont="1" applyBorder="1"/>
    <xf numFmtId="0" fontId="39" fillId="0" borderId="1" xfId="0" applyFont="1" applyBorder="1"/>
    <xf numFmtId="0" fontId="40" fillId="0" borderId="1" xfId="0" applyFont="1" applyBorder="1"/>
    <xf numFmtId="3" fontId="0" fillId="0" borderId="1" xfId="0" applyNumberFormat="1" applyBorder="1"/>
    <xf numFmtId="0" fontId="43" fillId="17" borderId="0" xfId="0" applyFont="1" applyFill="1" applyAlignment="1">
      <alignment horizontal="left" vertical="center" indent="1"/>
    </xf>
    <xf numFmtId="0" fontId="43" fillId="17" borderId="0" xfId="0" applyFont="1" applyFill="1" applyAlignment="1">
      <alignment horizontal="left" vertical="center" indent="2"/>
    </xf>
    <xf numFmtId="0" fontId="44" fillId="17" borderId="0" xfId="0" applyFont="1" applyFill="1" applyAlignment="1">
      <alignment horizontal="left" vertical="center" indent="1"/>
    </xf>
    <xf numFmtId="0" fontId="44" fillId="17" borderId="0" xfId="0" applyFont="1" applyFill="1" applyAlignment="1">
      <alignment horizontal="left" vertical="center" indent="2"/>
    </xf>
    <xf numFmtId="0" fontId="39" fillId="0" borderId="0" xfId="0" applyFont="1" applyAlignment="1">
      <alignment horizontal="right"/>
    </xf>
    <xf numFmtId="0" fontId="44" fillId="17" borderId="0" xfId="0" applyFont="1" applyFill="1"/>
    <xf numFmtId="0" fontId="4" fillId="0" borderId="0" xfId="0" applyFont="1" applyBorder="1" applyAlignment="1">
      <alignment horizontal="right"/>
    </xf>
    <xf numFmtId="166" fontId="45" fillId="11" borderId="0" xfId="3" applyNumberFormat="1" applyFont="1" applyFill="1" applyBorder="1"/>
    <xf numFmtId="0" fontId="0" fillId="0" borderId="0" xfId="0" applyAlignment="1">
      <alignment horizontal="right"/>
    </xf>
    <xf numFmtId="2" fontId="39" fillId="18" borderId="0" xfId="0" applyNumberFormat="1" applyFont="1" applyFill="1" applyBorder="1"/>
    <xf numFmtId="2" fontId="39" fillId="5" borderId="0" xfId="0" applyNumberFormat="1" applyFont="1" applyFill="1" applyBorder="1"/>
    <xf numFmtId="0" fontId="46" fillId="0" borderId="0" xfId="0" applyFont="1" applyBorder="1"/>
    <xf numFmtId="166" fontId="39" fillId="0" borderId="0" xfId="3" quotePrefix="1" applyNumberFormat="1" applyFont="1" applyBorder="1" applyAlignment="1">
      <alignment horizontal="right"/>
    </xf>
    <xf numFmtId="9" fontId="4" fillId="0" borderId="0" xfId="3" applyFont="1" applyFill="1"/>
    <xf numFmtId="169" fontId="0" fillId="19" borderId="25" xfId="0" applyNumberFormat="1" applyFill="1" applyBorder="1"/>
    <xf numFmtId="0" fontId="39" fillId="5" borderId="0" xfId="0" applyFont="1" applyFill="1"/>
    <xf numFmtId="0" fontId="40" fillId="0" borderId="0" xfId="0" applyFont="1"/>
    <xf numFmtId="169" fontId="0" fillId="19" borderId="0" xfId="0" applyNumberFormat="1" applyFill="1" applyBorder="1"/>
    <xf numFmtId="0" fontId="4" fillId="0" borderId="25" xfId="0" applyFont="1" applyBorder="1"/>
    <xf numFmtId="0" fontId="39" fillId="0" borderId="25" xfId="0" applyFont="1" applyBorder="1" applyAlignment="1">
      <alignment horizontal="center"/>
    </xf>
    <xf numFmtId="0" fontId="0" fillId="0" borderId="0" xfId="0" applyFill="1" applyBorder="1"/>
    <xf numFmtId="0" fontId="47" fillId="0" borderId="8" xfId="0" applyFont="1" applyBorder="1"/>
    <xf numFmtId="166" fontId="48" fillId="11" borderId="0" xfId="3" applyNumberFormat="1" applyFont="1" applyFill="1" applyBorder="1"/>
    <xf numFmtId="1" fontId="0" fillId="12" borderId="0" xfId="0" applyNumberFormat="1" applyFill="1"/>
    <xf numFmtId="1" fontId="49" fillId="0" borderId="0" xfId="0" applyNumberFormat="1" applyFont="1"/>
    <xf numFmtId="170" fontId="49" fillId="0" borderId="0" xfId="0" applyNumberFormat="1" applyFont="1"/>
    <xf numFmtId="2" fontId="4" fillId="18" borderId="0" xfId="0" applyNumberFormat="1" applyFont="1" applyFill="1" applyBorder="1"/>
    <xf numFmtId="9" fontId="50" fillId="0" borderId="0" xfId="3" applyFont="1"/>
    <xf numFmtId="2" fontId="41" fillId="0" borderId="0" xfId="0" applyNumberFormat="1" applyFont="1"/>
    <xf numFmtId="1" fontId="0" fillId="0" borderId="0" xfId="0" applyNumberFormat="1"/>
    <xf numFmtId="1" fontId="41" fillId="0" borderId="0" xfId="0" applyNumberFormat="1" applyFont="1"/>
    <xf numFmtId="7" fontId="0" fillId="0" borderId="0" xfId="2" applyNumberFormat="1" applyFont="1"/>
    <xf numFmtId="167" fontId="0" fillId="0" borderId="0" xfId="1" applyNumberFormat="1" applyFont="1" applyBorder="1"/>
  </cellXfs>
  <cellStyles count="7">
    <cellStyle name="Comma" xfId="1" builtinId="3"/>
    <cellStyle name="Currency" xfId="2" builtinId="4"/>
    <cellStyle name="Normal" xfId="0" builtinId="0"/>
    <cellStyle name="Normal 10 2 2" xfId="6" xr:uid="{7FBACF3D-20AD-4303-9165-4D5C0F1C8DEB}"/>
    <cellStyle name="Normal 2" xfId="4" xr:uid="{0DD9A41F-A11C-4DDA-B4DA-E7F73004CCFA}"/>
    <cellStyle name="Normal 2 3" xfId="5" xr:uid="{990A1F5C-7008-4D94-AA1C-29B89300979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1.5705030229341971E-2"/>
          <c:y val="8.5911166248913415E-2"/>
          <c:w val="0.81733523263962948"/>
          <c:h val="0.8106446903140323"/>
        </c:manualLayout>
      </c:layout>
      <c:scatterChart>
        <c:scatterStyle val="lineMarker"/>
        <c:varyColors val="0"/>
        <c:ser>
          <c:idx val="0"/>
          <c:order val="0"/>
          <c:tx>
            <c:v>Exit Temperature vs Efficiency</c:v>
          </c:tx>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0-F3A3-40D7-B4CD-3095935616D3}"/>
            </c:ext>
          </c:extLst>
        </c:ser>
        <c:dLbls>
          <c:showLegendKey val="0"/>
          <c:showVal val="0"/>
          <c:showCatName val="0"/>
          <c:showSerName val="0"/>
          <c:showPercent val="0"/>
          <c:showBubbleSize val="0"/>
        </c:dLbls>
        <c:axId val="163035008"/>
        <c:axId val="163045376"/>
      </c:scatterChart>
      <c:valAx>
        <c:axId val="163035008"/>
        <c:scaling>
          <c:orientation val="maxMin"/>
          <c:min val="80"/>
        </c:scaling>
        <c:delete val="0"/>
        <c:axPos val="b"/>
        <c:majorGridlines/>
        <c:minorGridlines/>
        <c:title>
          <c:tx>
            <c:rich>
              <a:bodyPr/>
              <a:lstStyle/>
              <a:p>
                <a:pPr>
                  <a:defRPr/>
                </a:pPr>
                <a:r>
                  <a:rPr lang="en-US"/>
                  <a:t>Exit Flue</a:t>
                </a:r>
                <a:r>
                  <a:rPr lang="en-US" baseline="0"/>
                  <a:t> Gas Temperature (°F)</a:t>
                </a:r>
                <a:endParaRPr lang="en-US"/>
              </a:p>
            </c:rich>
          </c:tx>
          <c:overlay val="0"/>
        </c:title>
        <c:numFmt formatCode="General" sourceLinked="1"/>
        <c:majorTickMark val="none"/>
        <c:minorTickMark val="none"/>
        <c:tickLblPos val="nextTo"/>
        <c:crossAx val="163045376"/>
        <c:crosses val="autoZero"/>
        <c:crossBetween val="midCat"/>
      </c:valAx>
      <c:valAx>
        <c:axId val="163045376"/>
        <c:scaling>
          <c:orientation val="minMax"/>
        </c:scaling>
        <c:delete val="0"/>
        <c:axPos val="r"/>
        <c:majorGridlines/>
        <c:minorGridlines/>
        <c:title>
          <c:tx>
            <c:rich>
              <a:bodyPr/>
              <a:lstStyle/>
              <a:p>
                <a:pPr>
                  <a:defRPr/>
                </a:pPr>
                <a:r>
                  <a:rPr lang="en-US"/>
                  <a:t>Efficiency</a:t>
                </a:r>
              </a:p>
            </c:rich>
          </c:tx>
          <c:overlay val="0"/>
        </c:title>
        <c:numFmt formatCode="General" sourceLinked="1"/>
        <c:majorTickMark val="none"/>
        <c:minorTickMark val="none"/>
        <c:tickLblPos val="nextTo"/>
        <c:crossAx val="16303500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Energy Savings</a:t>
            </a:r>
          </a:p>
        </c:rich>
      </c:tx>
      <c:overlay val="0"/>
    </c:title>
    <c:autoTitleDeleted val="0"/>
    <c:plotArea>
      <c:layout>
        <c:manualLayout>
          <c:layoutTarget val="inner"/>
          <c:xMode val="edge"/>
          <c:yMode val="edge"/>
          <c:x val="1.5705030229341971E-2"/>
          <c:y val="8.5911166248913415E-2"/>
          <c:w val="0.81733523263962948"/>
          <c:h val="0.8106446903140323"/>
        </c:manualLayout>
      </c:layout>
      <c:scatterChart>
        <c:scatterStyle val="lineMarker"/>
        <c:varyColors val="0"/>
        <c:ser>
          <c:idx val="0"/>
          <c:order val="0"/>
          <c:tx>
            <c:v>Exit Temperature vs Efficiency</c:v>
          </c:tx>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0-3357-49D3-89AE-E0B2F8ADD4A9}"/>
            </c:ext>
          </c:extLst>
        </c:ser>
        <c:dLbls>
          <c:showLegendKey val="0"/>
          <c:showVal val="0"/>
          <c:showCatName val="0"/>
          <c:showSerName val="0"/>
          <c:showPercent val="0"/>
          <c:showBubbleSize val="0"/>
        </c:dLbls>
        <c:axId val="163139968"/>
        <c:axId val="163141888"/>
      </c:scatterChart>
      <c:valAx>
        <c:axId val="163139968"/>
        <c:scaling>
          <c:orientation val="maxMin"/>
          <c:min val="80"/>
        </c:scaling>
        <c:delete val="0"/>
        <c:axPos val="b"/>
        <c:majorGridlines/>
        <c:minorGridlines/>
        <c:title>
          <c:tx>
            <c:rich>
              <a:bodyPr/>
              <a:lstStyle/>
              <a:p>
                <a:pPr>
                  <a:defRPr/>
                </a:pPr>
                <a:r>
                  <a:rPr lang="en-US"/>
                  <a:t>Exit Flue</a:t>
                </a:r>
                <a:r>
                  <a:rPr lang="en-US" baseline="0"/>
                  <a:t> Gas Temperature (°F)</a:t>
                </a:r>
                <a:endParaRPr lang="en-US"/>
              </a:p>
            </c:rich>
          </c:tx>
          <c:overlay val="0"/>
        </c:title>
        <c:numFmt formatCode="General" sourceLinked="1"/>
        <c:majorTickMark val="none"/>
        <c:minorTickMark val="none"/>
        <c:tickLblPos val="nextTo"/>
        <c:crossAx val="163141888"/>
        <c:crosses val="autoZero"/>
        <c:crossBetween val="midCat"/>
        <c:majorUnit val="50"/>
      </c:valAx>
      <c:valAx>
        <c:axId val="163141888"/>
        <c:scaling>
          <c:orientation val="minMax"/>
        </c:scaling>
        <c:delete val="0"/>
        <c:axPos val="r"/>
        <c:majorGridlines/>
        <c:minorGridlines/>
        <c:title>
          <c:tx>
            <c:rich>
              <a:bodyPr/>
              <a:lstStyle/>
              <a:p>
                <a:pPr>
                  <a:defRPr/>
                </a:pPr>
                <a:r>
                  <a:rPr lang="en-US"/>
                  <a:t>Energy Savings</a:t>
                </a:r>
              </a:p>
            </c:rich>
          </c:tx>
          <c:overlay val="0"/>
        </c:title>
        <c:numFmt formatCode="General" sourceLinked="1"/>
        <c:majorTickMark val="none"/>
        <c:minorTickMark val="none"/>
        <c:tickLblPos val="nextTo"/>
        <c:crossAx val="163139968"/>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1.5705030229341971E-2"/>
          <c:y val="8.5911166248913415E-2"/>
          <c:w val="0.81733523263962948"/>
          <c:h val="0.8106446903140323"/>
        </c:manualLayout>
      </c:layout>
      <c:scatterChart>
        <c:scatterStyle val="lineMarker"/>
        <c:varyColors val="0"/>
        <c:ser>
          <c:idx val="0"/>
          <c:order val="0"/>
          <c:tx>
            <c:v>Exit Temperature vs Efficiency</c:v>
          </c:tx>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0-FCC2-4180-AD45-80112F65404D}"/>
            </c:ext>
          </c:extLst>
        </c:ser>
        <c:dLbls>
          <c:showLegendKey val="0"/>
          <c:showVal val="0"/>
          <c:showCatName val="0"/>
          <c:showSerName val="0"/>
          <c:showPercent val="0"/>
          <c:showBubbleSize val="0"/>
        </c:dLbls>
        <c:axId val="163035008"/>
        <c:axId val="163045376"/>
      </c:scatterChart>
      <c:valAx>
        <c:axId val="163035008"/>
        <c:scaling>
          <c:orientation val="maxMin"/>
          <c:min val="80"/>
        </c:scaling>
        <c:delete val="0"/>
        <c:axPos val="b"/>
        <c:majorGridlines/>
        <c:minorGridlines/>
        <c:title>
          <c:tx>
            <c:rich>
              <a:bodyPr/>
              <a:lstStyle/>
              <a:p>
                <a:pPr>
                  <a:defRPr/>
                </a:pPr>
                <a:r>
                  <a:rPr lang="en-US"/>
                  <a:t>Exit Flue</a:t>
                </a:r>
                <a:r>
                  <a:rPr lang="en-US" baseline="0"/>
                  <a:t> Gas Temperature (°F)</a:t>
                </a:r>
                <a:endParaRPr lang="en-US"/>
              </a:p>
            </c:rich>
          </c:tx>
          <c:overlay val="0"/>
        </c:title>
        <c:numFmt formatCode="General" sourceLinked="1"/>
        <c:majorTickMark val="none"/>
        <c:minorTickMark val="none"/>
        <c:tickLblPos val="nextTo"/>
        <c:crossAx val="163045376"/>
        <c:crosses val="autoZero"/>
        <c:crossBetween val="midCat"/>
      </c:valAx>
      <c:valAx>
        <c:axId val="163045376"/>
        <c:scaling>
          <c:orientation val="minMax"/>
        </c:scaling>
        <c:delete val="0"/>
        <c:axPos val="r"/>
        <c:majorGridlines/>
        <c:minorGridlines/>
        <c:title>
          <c:tx>
            <c:rich>
              <a:bodyPr/>
              <a:lstStyle/>
              <a:p>
                <a:pPr>
                  <a:defRPr/>
                </a:pPr>
                <a:r>
                  <a:rPr lang="en-US"/>
                  <a:t>Efficiency</a:t>
                </a:r>
              </a:p>
            </c:rich>
          </c:tx>
          <c:overlay val="0"/>
        </c:title>
        <c:numFmt formatCode="General" sourceLinked="1"/>
        <c:majorTickMark val="none"/>
        <c:minorTickMark val="none"/>
        <c:tickLblPos val="nextTo"/>
        <c:crossAx val="163035008"/>
        <c:crosses val="autoZero"/>
        <c:crossBetween val="midCat"/>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Energy Savings</a:t>
            </a:r>
          </a:p>
        </c:rich>
      </c:tx>
      <c:overlay val="0"/>
    </c:title>
    <c:autoTitleDeleted val="0"/>
    <c:plotArea>
      <c:layout>
        <c:manualLayout>
          <c:layoutTarget val="inner"/>
          <c:xMode val="edge"/>
          <c:yMode val="edge"/>
          <c:x val="1.5705030229341971E-2"/>
          <c:y val="8.5911166248913415E-2"/>
          <c:w val="0.81733523263962948"/>
          <c:h val="0.8106446903140323"/>
        </c:manualLayout>
      </c:layout>
      <c:scatterChart>
        <c:scatterStyle val="lineMarker"/>
        <c:varyColors val="0"/>
        <c:ser>
          <c:idx val="0"/>
          <c:order val="0"/>
          <c:tx>
            <c:v>Exit Temperature vs Efficiency</c:v>
          </c:tx>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0-0EB2-4239-B1D8-5D25811D163F}"/>
            </c:ext>
          </c:extLst>
        </c:ser>
        <c:dLbls>
          <c:showLegendKey val="0"/>
          <c:showVal val="0"/>
          <c:showCatName val="0"/>
          <c:showSerName val="0"/>
          <c:showPercent val="0"/>
          <c:showBubbleSize val="0"/>
        </c:dLbls>
        <c:axId val="163139968"/>
        <c:axId val="163141888"/>
      </c:scatterChart>
      <c:valAx>
        <c:axId val="163139968"/>
        <c:scaling>
          <c:orientation val="maxMin"/>
          <c:min val="80"/>
        </c:scaling>
        <c:delete val="0"/>
        <c:axPos val="b"/>
        <c:majorGridlines/>
        <c:minorGridlines/>
        <c:title>
          <c:tx>
            <c:rich>
              <a:bodyPr/>
              <a:lstStyle/>
              <a:p>
                <a:pPr>
                  <a:defRPr/>
                </a:pPr>
                <a:r>
                  <a:rPr lang="en-US"/>
                  <a:t>Exit Flue</a:t>
                </a:r>
                <a:r>
                  <a:rPr lang="en-US" baseline="0"/>
                  <a:t> Gas Temperature (°F)</a:t>
                </a:r>
                <a:endParaRPr lang="en-US"/>
              </a:p>
            </c:rich>
          </c:tx>
          <c:overlay val="0"/>
        </c:title>
        <c:numFmt formatCode="General" sourceLinked="1"/>
        <c:majorTickMark val="none"/>
        <c:minorTickMark val="none"/>
        <c:tickLblPos val="nextTo"/>
        <c:crossAx val="163141888"/>
        <c:crosses val="autoZero"/>
        <c:crossBetween val="midCat"/>
        <c:majorUnit val="50"/>
      </c:valAx>
      <c:valAx>
        <c:axId val="163141888"/>
        <c:scaling>
          <c:orientation val="minMax"/>
        </c:scaling>
        <c:delete val="0"/>
        <c:axPos val="r"/>
        <c:majorGridlines/>
        <c:minorGridlines/>
        <c:title>
          <c:tx>
            <c:rich>
              <a:bodyPr/>
              <a:lstStyle/>
              <a:p>
                <a:pPr>
                  <a:defRPr/>
                </a:pPr>
                <a:r>
                  <a:rPr lang="en-US"/>
                  <a:t>Energy Savings</a:t>
                </a:r>
              </a:p>
            </c:rich>
          </c:tx>
          <c:overlay val="0"/>
        </c:title>
        <c:numFmt formatCode="General" sourceLinked="1"/>
        <c:majorTickMark val="none"/>
        <c:minorTickMark val="none"/>
        <c:tickLblPos val="nextTo"/>
        <c:crossAx val="1631399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image" Target="../media/image1.tmp"/></Relationships>
</file>

<file path=xl/drawings/_rels/drawing3.xml.rels><?xml version="1.0" encoding="UTF-8" standalone="yes"?>
<Relationships xmlns="http://schemas.openxmlformats.org/package/2006/relationships"><Relationship Id="rId2" Type="http://schemas.openxmlformats.org/officeDocument/2006/relationships/image" Target="../media/image3.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15</xdr:col>
      <xdr:colOff>57151</xdr:colOff>
      <xdr:row>81</xdr:row>
      <xdr:rowOff>28576</xdr:rowOff>
    </xdr:from>
    <xdr:to>
      <xdr:col>24</xdr:col>
      <xdr:colOff>533400</xdr:colOff>
      <xdr:row>106</xdr:row>
      <xdr:rowOff>47626</xdr:rowOff>
    </xdr:to>
    <xdr:graphicFrame macro="">
      <xdr:nvGraphicFramePr>
        <xdr:cNvPr id="2" name="Chart 1">
          <a:extLst>
            <a:ext uri="{FF2B5EF4-FFF2-40B4-BE49-F238E27FC236}">
              <a16:creationId xmlns:a16="http://schemas.microsoft.com/office/drawing/2014/main" id="{7E1ACDFA-8DF1-4CB1-AB4B-5D0F6FC5BA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457200</xdr:colOff>
      <xdr:row>81</xdr:row>
      <xdr:rowOff>9525</xdr:rowOff>
    </xdr:from>
    <xdr:to>
      <xdr:col>15</xdr:col>
      <xdr:colOff>0</xdr:colOff>
      <xdr:row>106</xdr:row>
      <xdr:rowOff>85725</xdr:rowOff>
    </xdr:to>
    <xdr:graphicFrame macro="">
      <xdr:nvGraphicFramePr>
        <xdr:cNvPr id="3" name="Chart 2">
          <a:extLst>
            <a:ext uri="{FF2B5EF4-FFF2-40B4-BE49-F238E27FC236}">
              <a16:creationId xmlns:a16="http://schemas.microsoft.com/office/drawing/2014/main" id="{3A75EDA9-5ED9-4F9F-8B4E-F319A3616E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57151</xdr:colOff>
      <xdr:row>81</xdr:row>
      <xdr:rowOff>28576</xdr:rowOff>
    </xdr:from>
    <xdr:to>
      <xdr:col>24</xdr:col>
      <xdr:colOff>533400</xdr:colOff>
      <xdr:row>106</xdr:row>
      <xdr:rowOff>47626</xdr:rowOff>
    </xdr:to>
    <xdr:graphicFrame macro="">
      <xdr:nvGraphicFramePr>
        <xdr:cNvPr id="4" name="Chart 3">
          <a:extLst>
            <a:ext uri="{FF2B5EF4-FFF2-40B4-BE49-F238E27FC236}">
              <a16:creationId xmlns:a16="http://schemas.microsoft.com/office/drawing/2014/main" id="{85CF3016-643C-4A89-9573-5A50570FC1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457200</xdr:colOff>
      <xdr:row>81</xdr:row>
      <xdr:rowOff>9525</xdr:rowOff>
    </xdr:from>
    <xdr:to>
      <xdr:col>15</xdr:col>
      <xdr:colOff>0</xdr:colOff>
      <xdr:row>106</xdr:row>
      <xdr:rowOff>85725</xdr:rowOff>
    </xdr:to>
    <xdr:graphicFrame macro="">
      <xdr:nvGraphicFramePr>
        <xdr:cNvPr id="5" name="Chart 4">
          <a:extLst>
            <a:ext uri="{FF2B5EF4-FFF2-40B4-BE49-F238E27FC236}">
              <a16:creationId xmlns:a16="http://schemas.microsoft.com/office/drawing/2014/main" id="{195D0A9A-37C5-40F5-9508-0CA9B5F025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47504</xdr:colOff>
      <xdr:row>54</xdr:row>
      <xdr:rowOff>117764</xdr:rowOff>
    </xdr:from>
    <xdr:to>
      <xdr:col>12</xdr:col>
      <xdr:colOff>193965</xdr:colOff>
      <xdr:row>82</xdr:row>
      <xdr:rowOff>182596</xdr:rowOff>
    </xdr:to>
    <xdr:pic>
      <xdr:nvPicPr>
        <xdr:cNvPr id="4" name="Picture 3">
          <a:extLst>
            <a:ext uri="{FF2B5EF4-FFF2-40B4-BE49-F238E27FC236}">
              <a16:creationId xmlns:a16="http://schemas.microsoft.com/office/drawing/2014/main" id="{76B90280-597E-473F-B2EC-88C03FE141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86104" y="9261764"/>
          <a:ext cx="4284121" cy="5185472"/>
        </a:xfrm>
        <a:prstGeom prst="rect">
          <a:avLst/>
        </a:prstGeom>
      </xdr:spPr>
    </xdr:pic>
    <xdr:clientData/>
  </xdr:twoCellAnchor>
  <xdr:twoCellAnchor editAs="oneCell">
    <xdr:from>
      <xdr:col>0</xdr:col>
      <xdr:colOff>136468</xdr:colOff>
      <xdr:row>27</xdr:row>
      <xdr:rowOff>115685</xdr:rowOff>
    </xdr:from>
    <xdr:to>
      <xdr:col>4</xdr:col>
      <xdr:colOff>559725</xdr:colOff>
      <xdr:row>42</xdr:row>
      <xdr:rowOff>55781</xdr:rowOff>
    </xdr:to>
    <xdr:pic>
      <xdr:nvPicPr>
        <xdr:cNvPr id="5" name="Picture 4">
          <a:extLst>
            <a:ext uri="{FF2B5EF4-FFF2-40B4-BE49-F238E27FC236}">
              <a16:creationId xmlns:a16="http://schemas.microsoft.com/office/drawing/2014/main" id="{88AA3FBA-379D-4A1D-B94A-F9FC44D0898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6468" y="4702925"/>
          <a:ext cx="3608417" cy="26985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83820</xdr:colOff>
      <xdr:row>45</xdr:row>
      <xdr:rowOff>170014</xdr:rowOff>
    </xdr:from>
    <xdr:to>
      <xdr:col>7</xdr:col>
      <xdr:colOff>6036</xdr:colOff>
      <xdr:row>74</xdr:row>
      <xdr:rowOff>26930</xdr:rowOff>
    </xdr:to>
    <xdr:pic>
      <xdr:nvPicPr>
        <xdr:cNvPr id="2" name="Picture 1">
          <a:extLst>
            <a:ext uri="{FF2B5EF4-FFF2-40B4-BE49-F238E27FC236}">
              <a16:creationId xmlns:a16="http://schemas.microsoft.com/office/drawing/2014/main" id="{8162C25B-98E5-41E3-9CE9-BD4FB3CBA1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3820" y="7828114"/>
          <a:ext cx="4273236" cy="5137576"/>
        </a:xfrm>
        <a:prstGeom prst="rect">
          <a:avLst/>
        </a:prstGeom>
      </xdr:spPr>
    </xdr:pic>
    <xdr:clientData/>
  </xdr:twoCellAnchor>
  <xdr:twoCellAnchor editAs="oneCell">
    <xdr:from>
      <xdr:col>17</xdr:col>
      <xdr:colOff>389467</xdr:colOff>
      <xdr:row>1</xdr:row>
      <xdr:rowOff>8467</xdr:rowOff>
    </xdr:from>
    <xdr:to>
      <xdr:col>30</xdr:col>
      <xdr:colOff>291085</xdr:colOff>
      <xdr:row>25</xdr:row>
      <xdr:rowOff>25790</xdr:rowOff>
    </xdr:to>
    <xdr:pic>
      <xdr:nvPicPr>
        <xdr:cNvPr id="4" name="Picture 3">
          <a:extLst>
            <a:ext uri="{FF2B5EF4-FFF2-40B4-BE49-F238E27FC236}">
              <a16:creationId xmlns:a16="http://schemas.microsoft.com/office/drawing/2014/main" id="{9C0633CE-E6A2-435B-8388-7E2E931A781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987867" y="237067"/>
          <a:ext cx="7826418" cy="449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E7640-EB8E-4C43-940D-5378FA558225}">
  <dimension ref="B2:AG140"/>
  <sheetViews>
    <sheetView zoomScale="90" zoomScaleNormal="90" workbookViewId="0">
      <pane xSplit="4" ySplit="6" topLeftCell="E7" activePane="bottomRight" state="frozen"/>
      <selection pane="topRight" activeCell="E1" sqref="E1"/>
      <selection pane="bottomLeft" activeCell="A7" sqref="A7"/>
      <selection pane="bottomRight" activeCell="M78" sqref="M78"/>
    </sheetView>
  </sheetViews>
  <sheetFormatPr defaultRowHeight="14.4" x14ac:dyDescent="0.3"/>
  <cols>
    <col min="1" max="1" width="3.77734375" customWidth="1"/>
    <col min="2" max="2" width="4.6640625" style="106" customWidth="1"/>
    <col min="3" max="3" width="33.6640625" customWidth="1"/>
    <col min="4" max="5" width="14" customWidth="1"/>
    <col min="6" max="13" width="15.5546875" customWidth="1"/>
    <col min="14" max="14" width="14.33203125" customWidth="1"/>
    <col min="15" max="15" width="20.44140625" customWidth="1"/>
    <col min="16" max="16" width="10.44140625" customWidth="1"/>
    <col min="24" max="24" width="11.5546875" bestFit="1" customWidth="1"/>
  </cols>
  <sheetData>
    <row r="2" spans="2:24" ht="20.55" customHeight="1" x14ac:dyDescent="0.35">
      <c r="B2" s="1" t="s">
        <v>0</v>
      </c>
    </row>
    <row r="3" spans="2:24" ht="15" thickBot="1" x14ac:dyDescent="0.35">
      <c r="B3" s="2"/>
      <c r="C3" s="2"/>
      <c r="D3" s="3"/>
      <c r="E3" s="3"/>
      <c r="F3" s="3"/>
      <c r="G3" s="3"/>
      <c r="H3" s="3"/>
      <c r="I3" s="3"/>
      <c r="J3" s="3"/>
      <c r="K3" s="3"/>
      <c r="L3" s="3"/>
      <c r="M3" s="3"/>
      <c r="N3" s="4"/>
      <c r="O3" s="4"/>
      <c r="X3" s="5"/>
    </row>
    <row r="4" spans="2:24" ht="15" thickBot="1" x14ac:dyDescent="0.35">
      <c r="B4" s="6"/>
      <c r="C4" s="7" t="s">
        <v>1</v>
      </c>
      <c r="D4" s="8"/>
      <c r="E4" s="8"/>
      <c r="F4" s="8"/>
      <c r="G4" s="8"/>
      <c r="H4" s="8"/>
      <c r="I4" s="8"/>
      <c r="J4" s="8"/>
      <c r="K4" s="8"/>
      <c r="L4" s="8"/>
      <c r="M4" s="8"/>
      <c r="N4" s="9"/>
      <c r="O4" s="10"/>
      <c r="X4" s="11"/>
    </row>
    <row r="5" spans="2:24" ht="18" customHeight="1" thickBot="1" x14ac:dyDescent="0.35">
      <c r="B5" s="12"/>
      <c r="C5" s="13" t="s">
        <v>2</v>
      </c>
      <c r="D5" s="14" t="s">
        <v>3</v>
      </c>
      <c r="E5" s="14" t="s">
        <v>4</v>
      </c>
      <c r="F5" s="14" t="s">
        <v>5</v>
      </c>
      <c r="G5" s="14" t="s">
        <v>6</v>
      </c>
      <c r="H5" s="14" t="s">
        <v>7</v>
      </c>
      <c r="I5" s="14" t="s">
        <v>8</v>
      </c>
      <c r="J5" s="14" t="s">
        <v>9</v>
      </c>
      <c r="K5" s="14" t="s">
        <v>10</v>
      </c>
      <c r="L5" s="14" t="s">
        <v>11</v>
      </c>
      <c r="M5" s="14" t="s">
        <v>12</v>
      </c>
      <c r="N5" s="15"/>
      <c r="O5" s="16"/>
      <c r="X5" s="11"/>
    </row>
    <row r="6" spans="2:24" ht="15.6" thickTop="1" thickBot="1" x14ac:dyDescent="0.35">
      <c r="B6" s="17"/>
      <c r="C6" s="18" t="s">
        <v>13</v>
      </c>
      <c r="D6" s="19" t="s">
        <v>14</v>
      </c>
      <c r="E6" s="20" t="s">
        <v>15</v>
      </c>
      <c r="F6" s="19" t="s">
        <v>16</v>
      </c>
      <c r="G6" s="20" t="s">
        <v>17</v>
      </c>
      <c r="H6" s="19" t="s">
        <v>18</v>
      </c>
      <c r="I6" s="20" t="s">
        <v>19</v>
      </c>
      <c r="J6" s="19" t="s">
        <v>20</v>
      </c>
      <c r="K6" s="19" t="s">
        <v>21</v>
      </c>
      <c r="L6" s="20" t="s">
        <v>22</v>
      </c>
      <c r="M6" s="19" t="s">
        <v>23</v>
      </c>
      <c r="N6" s="21" t="s">
        <v>24</v>
      </c>
      <c r="O6" s="22" t="s">
        <v>25</v>
      </c>
    </row>
    <row r="7" spans="2:24" ht="15" thickTop="1" x14ac:dyDescent="0.3">
      <c r="B7" s="23"/>
      <c r="C7" s="24" t="s">
        <v>26</v>
      </c>
      <c r="D7" s="25"/>
      <c r="E7" s="26"/>
      <c r="F7" s="26"/>
      <c r="G7" s="26"/>
      <c r="H7" s="26"/>
      <c r="I7" s="26"/>
      <c r="J7" s="26"/>
      <c r="K7" s="26"/>
      <c r="L7" s="26"/>
      <c r="M7" s="26"/>
      <c r="N7" s="27"/>
      <c r="O7" s="28"/>
      <c r="X7" s="11"/>
    </row>
    <row r="8" spans="2:24" x14ac:dyDescent="0.3">
      <c r="B8" s="23" t="s">
        <v>27</v>
      </c>
      <c r="C8" s="29" t="s">
        <v>28</v>
      </c>
      <c r="D8" s="30">
        <v>8.34</v>
      </c>
      <c r="E8" s="31">
        <v>8.34</v>
      </c>
      <c r="F8" s="31">
        <v>8.34</v>
      </c>
      <c r="G8" s="31">
        <v>8.34</v>
      </c>
      <c r="H8" s="31">
        <v>8.34</v>
      </c>
      <c r="I8" s="31">
        <v>8.34</v>
      </c>
      <c r="J8" s="31">
        <v>8.34</v>
      </c>
      <c r="K8" s="31">
        <v>8.34</v>
      </c>
      <c r="L8" s="31">
        <v>8.34</v>
      </c>
      <c r="M8" s="31">
        <v>8.34</v>
      </c>
      <c r="N8" s="32" t="s">
        <v>29</v>
      </c>
      <c r="O8" s="33" t="s">
        <v>30</v>
      </c>
      <c r="X8" s="11"/>
    </row>
    <row r="9" spans="2:24" x14ac:dyDescent="0.3">
      <c r="B9" s="23" t="s">
        <v>31</v>
      </c>
      <c r="C9" s="29" t="s">
        <v>32</v>
      </c>
      <c r="D9" s="34">
        <v>1</v>
      </c>
      <c r="E9" s="35">
        <v>1</v>
      </c>
      <c r="F9" s="35">
        <v>1</v>
      </c>
      <c r="G9" s="35">
        <v>1</v>
      </c>
      <c r="H9" s="35">
        <v>1</v>
      </c>
      <c r="I9" s="35">
        <v>1</v>
      </c>
      <c r="J9" s="35">
        <v>1</v>
      </c>
      <c r="K9" s="35">
        <v>1</v>
      </c>
      <c r="L9" s="35">
        <v>1</v>
      </c>
      <c r="M9" s="35">
        <v>1</v>
      </c>
      <c r="N9" s="32" t="s">
        <v>33</v>
      </c>
      <c r="O9" s="36" t="s">
        <v>30</v>
      </c>
      <c r="X9" s="11"/>
    </row>
    <row r="10" spans="2:24" x14ac:dyDescent="0.3">
      <c r="B10" s="23" t="s">
        <v>34</v>
      </c>
      <c r="C10" s="29" t="s">
        <v>35</v>
      </c>
      <c r="D10" s="37">
        <v>0.26240000000000002</v>
      </c>
      <c r="E10" s="38">
        <v>0.26119999999999999</v>
      </c>
      <c r="F10" s="38">
        <v>0.26469999999999999</v>
      </c>
      <c r="G10" s="38">
        <v>0.26250000000000001</v>
      </c>
      <c r="H10" s="38">
        <v>0.26119999999999999</v>
      </c>
      <c r="I10" s="38">
        <v>0.26119999999999999</v>
      </c>
      <c r="J10" s="38">
        <v>0.26250000000000001</v>
      </c>
      <c r="K10" s="38">
        <v>0.26119999999999999</v>
      </c>
      <c r="L10" s="38">
        <v>0.26119999999999999</v>
      </c>
      <c r="M10" s="38">
        <v>0.26119999999999999</v>
      </c>
      <c r="N10" s="39" t="s">
        <v>36</v>
      </c>
      <c r="O10" s="40" t="s">
        <v>37</v>
      </c>
      <c r="X10" s="11"/>
    </row>
    <row r="11" spans="2:24" x14ac:dyDescent="0.3">
      <c r="B11" s="23" t="s">
        <v>38</v>
      </c>
      <c r="C11" s="29" t="s">
        <v>39</v>
      </c>
      <c r="D11" s="37">
        <v>4.5999999999999999E-2</v>
      </c>
      <c r="E11" s="38">
        <v>4.8099999999999997E-2</v>
      </c>
      <c r="F11" s="38">
        <v>4.65E-2</v>
      </c>
      <c r="G11" s="38">
        <v>4.5499999999999999E-2</v>
      </c>
      <c r="H11" s="38">
        <v>4.8099999999999997E-2</v>
      </c>
      <c r="I11" s="38">
        <v>4.4999999999999998E-2</v>
      </c>
      <c r="J11" s="38">
        <v>4.5499999999999999E-2</v>
      </c>
      <c r="K11" s="38">
        <v>4.5499999999999999E-2</v>
      </c>
      <c r="L11" s="38">
        <v>4.2599999999999999E-2</v>
      </c>
      <c r="M11" s="38">
        <v>4.5499999999999999E-2</v>
      </c>
      <c r="N11" s="39" t="s">
        <v>40</v>
      </c>
      <c r="O11" s="40" t="s">
        <v>37</v>
      </c>
      <c r="X11" s="11"/>
    </row>
    <row r="12" spans="2:24" x14ac:dyDescent="0.3">
      <c r="B12" s="23" t="s">
        <v>41</v>
      </c>
      <c r="C12" s="29" t="s">
        <v>42</v>
      </c>
      <c r="D12" s="41">
        <v>970</v>
      </c>
      <c r="E12" s="42">
        <v>970</v>
      </c>
      <c r="F12" s="42">
        <v>970</v>
      </c>
      <c r="G12" s="42">
        <v>970</v>
      </c>
      <c r="H12" s="42">
        <v>970</v>
      </c>
      <c r="I12" s="42">
        <v>970</v>
      </c>
      <c r="J12" s="42">
        <v>970</v>
      </c>
      <c r="K12" s="42">
        <v>970</v>
      </c>
      <c r="L12" s="42">
        <v>970</v>
      </c>
      <c r="M12" s="42">
        <v>970</v>
      </c>
      <c r="N12" s="39" t="s">
        <v>43</v>
      </c>
      <c r="O12" s="43" t="s">
        <v>44</v>
      </c>
      <c r="X12" s="11"/>
    </row>
    <row r="13" spans="2:24" x14ac:dyDescent="0.3">
      <c r="B13" s="23" t="s">
        <v>45</v>
      </c>
      <c r="C13" s="29" t="s">
        <v>46</v>
      </c>
      <c r="D13" s="44">
        <v>100</v>
      </c>
      <c r="E13" s="45">
        <v>100</v>
      </c>
      <c r="F13" s="45">
        <v>100</v>
      </c>
      <c r="G13" s="45">
        <v>100</v>
      </c>
      <c r="H13" s="45">
        <v>100</v>
      </c>
      <c r="I13" s="45">
        <v>100</v>
      </c>
      <c r="J13" s="45">
        <v>100</v>
      </c>
      <c r="K13" s="45">
        <v>100</v>
      </c>
      <c r="L13" s="45">
        <v>100</v>
      </c>
      <c r="M13" s="45">
        <v>100</v>
      </c>
      <c r="N13" s="39" t="s">
        <v>47</v>
      </c>
      <c r="O13" s="36" t="s">
        <v>30</v>
      </c>
      <c r="X13" s="11"/>
    </row>
    <row r="14" spans="2:24" x14ac:dyDescent="0.3">
      <c r="B14" s="23" t="s">
        <v>48</v>
      </c>
      <c r="C14" s="29" t="s">
        <v>49</v>
      </c>
      <c r="D14" s="46">
        <v>600</v>
      </c>
      <c r="E14" s="47">
        <v>600</v>
      </c>
      <c r="F14" s="47">
        <v>1000</v>
      </c>
      <c r="G14" s="47">
        <v>500</v>
      </c>
      <c r="H14" s="47">
        <v>700</v>
      </c>
      <c r="I14" s="47">
        <v>700</v>
      </c>
      <c r="J14" s="47">
        <v>500</v>
      </c>
      <c r="K14" s="47">
        <v>1200</v>
      </c>
      <c r="L14" s="47">
        <v>50</v>
      </c>
      <c r="M14" s="47">
        <v>500</v>
      </c>
      <c r="N14" s="39" t="s">
        <v>50</v>
      </c>
      <c r="O14" s="36" t="s">
        <v>51</v>
      </c>
      <c r="X14" s="11"/>
    </row>
    <row r="15" spans="2:24" x14ac:dyDescent="0.3">
      <c r="B15" s="23" t="s">
        <v>52</v>
      </c>
      <c r="C15" s="29" t="s">
        <v>53</v>
      </c>
      <c r="D15" s="44">
        <v>33475</v>
      </c>
      <c r="E15" s="45">
        <v>33475</v>
      </c>
      <c r="F15" s="45">
        <v>33475</v>
      </c>
      <c r="G15" s="45">
        <v>33475</v>
      </c>
      <c r="H15" s="45">
        <v>33475</v>
      </c>
      <c r="I15" s="45">
        <v>33475</v>
      </c>
      <c r="J15" s="45">
        <v>33475</v>
      </c>
      <c r="K15" s="45">
        <v>33475</v>
      </c>
      <c r="L15" s="45">
        <v>33475</v>
      </c>
      <c r="M15" s="45">
        <v>33475</v>
      </c>
      <c r="N15" s="39" t="s">
        <v>54</v>
      </c>
      <c r="O15" s="36" t="s">
        <v>55</v>
      </c>
      <c r="X15" s="11"/>
    </row>
    <row r="16" spans="2:24" x14ac:dyDescent="0.3">
      <c r="B16" s="23" t="s">
        <v>56</v>
      </c>
      <c r="C16" s="29" t="s">
        <v>57</v>
      </c>
      <c r="D16" s="48" t="s">
        <v>58</v>
      </c>
      <c r="E16" s="49" t="s">
        <v>58</v>
      </c>
      <c r="F16" s="50" t="s">
        <v>58</v>
      </c>
      <c r="G16" s="50" t="s">
        <v>58</v>
      </c>
      <c r="H16" s="50" t="s">
        <v>58</v>
      </c>
      <c r="I16" s="50" t="s">
        <v>58</v>
      </c>
      <c r="J16" s="51">
        <v>0.82</v>
      </c>
      <c r="K16" s="52">
        <v>0.84399999999999997</v>
      </c>
      <c r="L16" s="50" t="s">
        <v>58</v>
      </c>
      <c r="M16" s="50" t="s">
        <v>58</v>
      </c>
      <c r="N16" s="39" t="s">
        <v>59</v>
      </c>
      <c r="O16" s="36" t="s">
        <v>30</v>
      </c>
      <c r="X16" s="11"/>
    </row>
    <row r="17" spans="2:15" x14ac:dyDescent="0.3">
      <c r="B17" s="23" t="s">
        <v>56</v>
      </c>
      <c r="C17" s="29" t="s">
        <v>60</v>
      </c>
      <c r="D17" s="53">
        <v>0.82</v>
      </c>
      <c r="E17" s="54">
        <v>0.82</v>
      </c>
      <c r="F17" s="52">
        <v>0.80800000000000005</v>
      </c>
      <c r="G17" s="52">
        <v>0.8</v>
      </c>
      <c r="H17" s="52">
        <v>0.8</v>
      </c>
      <c r="I17" s="52">
        <v>0.80400000000000005</v>
      </c>
      <c r="J17" s="52">
        <v>0.8</v>
      </c>
      <c r="K17" s="49" t="s">
        <v>58</v>
      </c>
      <c r="L17" s="52">
        <v>0.8</v>
      </c>
      <c r="M17" s="52">
        <v>0.84299999999999997</v>
      </c>
      <c r="N17" s="39" t="s">
        <v>59</v>
      </c>
      <c r="O17" s="36" t="s">
        <v>30</v>
      </c>
    </row>
    <row r="18" spans="2:15" x14ac:dyDescent="0.3">
      <c r="B18" s="23"/>
      <c r="C18" s="55" t="s">
        <v>61</v>
      </c>
      <c r="D18" s="44"/>
      <c r="E18" s="45"/>
      <c r="F18" s="45"/>
      <c r="G18" s="45"/>
      <c r="H18" s="45"/>
      <c r="I18" s="45"/>
      <c r="J18" s="45"/>
      <c r="K18" s="45"/>
      <c r="L18" s="45"/>
      <c r="M18" s="45"/>
      <c r="N18" s="39"/>
      <c r="O18" s="36"/>
    </row>
    <row r="19" spans="2:15" x14ac:dyDescent="0.3">
      <c r="B19" s="23" t="s">
        <v>62</v>
      </c>
      <c r="C19" s="29" t="s">
        <v>63</v>
      </c>
      <c r="D19" s="56">
        <f>D14*D15/1000</f>
        <v>20085</v>
      </c>
      <c r="E19" s="57">
        <f t="shared" ref="E19:M19" si="0">E14*E15/1000</f>
        <v>20085</v>
      </c>
      <c r="F19" s="57">
        <f t="shared" si="0"/>
        <v>33475</v>
      </c>
      <c r="G19" s="57">
        <f t="shared" si="0"/>
        <v>16737.5</v>
      </c>
      <c r="H19" s="57">
        <f t="shared" si="0"/>
        <v>23432.5</v>
      </c>
      <c r="I19" s="57">
        <f t="shared" si="0"/>
        <v>23432.5</v>
      </c>
      <c r="J19" s="57">
        <f t="shared" si="0"/>
        <v>16737.5</v>
      </c>
      <c r="K19" s="57">
        <f t="shared" si="0"/>
        <v>40170</v>
      </c>
      <c r="L19" s="57">
        <f t="shared" si="0"/>
        <v>1673.75</v>
      </c>
      <c r="M19" s="57">
        <f t="shared" si="0"/>
        <v>16737.5</v>
      </c>
      <c r="N19" s="39" t="s">
        <v>64</v>
      </c>
      <c r="O19" s="36" t="s">
        <v>65</v>
      </c>
    </row>
    <row r="20" spans="2:15" x14ac:dyDescent="0.3">
      <c r="B20" s="23" t="s">
        <v>66</v>
      </c>
      <c r="C20" s="29" t="s">
        <v>67</v>
      </c>
      <c r="D20" s="56">
        <f>D19/D17</f>
        <v>24493.90243902439</v>
      </c>
      <c r="E20" s="57">
        <f t="shared" ref="E20:M20" si="1">E19/E17</f>
        <v>24493.90243902439</v>
      </c>
      <c r="F20" s="57">
        <f t="shared" si="1"/>
        <v>41429.455445544554</v>
      </c>
      <c r="G20" s="57">
        <f t="shared" si="1"/>
        <v>20921.875</v>
      </c>
      <c r="H20" s="57">
        <f t="shared" si="1"/>
        <v>29290.625</v>
      </c>
      <c r="I20" s="57">
        <f t="shared" si="1"/>
        <v>29144.900497512437</v>
      </c>
      <c r="J20" s="57">
        <f t="shared" si="1"/>
        <v>20921.875</v>
      </c>
      <c r="K20" s="57">
        <f>K19/K16</f>
        <v>47594.78672985782</v>
      </c>
      <c r="L20" s="57">
        <f t="shared" si="1"/>
        <v>2092.1875</v>
      </c>
      <c r="M20" s="57">
        <f t="shared" si="1"/>
        <v>19854.685646500595</v>
      </c>
      <c r="N20" s="39" t="s">
        <v>64</v>
      </c>
      <c r="O20" s="36" t="s">
        <v>68</v>
      </c>
    </row>
    <row r="21" spans="2:15" x14ac:dyDescent="0.3">
      <c r="B21" s="23" t="s">
        <v>69</v>
      </c>
      <c r="C21" s="29" t="s">
        <v>70</v>
      </c>
      <c r="D21" s="46">
        <v>4000</v>
      </c>
      <c r="E21" s="47">
        <v>4000</v>
      </c>
      <c r="F21" s="47">
        <v>4000</v>
      </c>
      <c r="G21" s="47">
        <v>7488</v>
      </c>
      <c r="H21" s="47">
        <v>6024</v>
      </c>
      <c r="I21" s="47">
        <v>3825</v>
      </c>
      <c r="J21" s="47">
        <v>5252</v>
      </c>
      <c r="K21" s="47">
        <v>8760</v>
      </c>
      <c r="L21" s="47">
        <v>4000</v>
      </c>
      <c r="M21" s="47">
        <v>7488</v>
      </c>
      <c r="N21" s="39" t="s">
        <v>71</v>
      </c>
      <c r="O21" s="36" t="s">
        <v>30</v>
      </c>
    </row>
    <row r="22" spans="2:15" x14ac:dyDescent="0.3">
      <c r="B22" s="23" t="s">
        <v>72</v>
      </c>
      <c r="C22" s="29" t="s">
        <v>73</v>
      </c>
      <c r="D22" s="58">
        <v>1</v>
      </c>
      <c r="E22" s="59">
        <v>0.5</v>
      </c>
      <c r="F22" s="60">
        <v>1</v>
      </c>
      <c r="G22" s="60">
        <v>1</v>
      </c>
      <c r="H22" s="61">
        <v>1</v>
      </c>
      <c r="I22" s="62">
        <v>0.5</v>
      </c>
      <c r="J22" s="60">
        <v>1</v>
      </c>
      <c r="K22" s="61">
        <v>0.69</v>
      </c>
      <c r="L22" s="61">
        <v>1</v>
      </c>
      <c r="M22" s="60">
        <v>1</v>
      </c>
      <c r="N22" s="39" t="s">
        <v>59</v>
      </c>
      <c r="O22" s="36" t="s">
        <v>51</v>
      </c>
    </row>
    <row r="23" spans="2:15" x14ac:dyDescent="0.3">
      <c r="B23" s="23"/>
      <c r="C23" s="55" t="s">
        <v>74</v>
      </c>
      <c r="D23" s="44"/>
      <c r="E23" s="45"/>
      <c r="F23" s="45"/>
      <c r="G23" s="45"/>
      <c r="H23" s="45"/>
      <c r="I23" s="45"/>
      <c r="J23" s="45"/>
      <c r="K23" s="45"/>
      <c r="L23" s="45"/>
      <c r="M23" s="45"/>
      <c r="N23" s="39"/>
      <c r="O23" s="36"/>
    </row>
    <row r="24" spans="2:15" x14ac:dyDescent="0.3">
      <c r="B24" s="23" t="s">
        <v>75</v>
      </c>
      <c r="C24" s="29" t="s">
        <v>76</v>
      </c>
      <c r="D24" s="56">
        <v>4792</v>
      </c>
      <c r="E24" s="57">
        <v>2382</v>
      </c>
      <c r="F24" s="57">
        <v>8320</v>
      </c>
      <c r="G24" s="57">
        <v>8268</v>
      </c>
      <c r="H24" s="57">
        <v>6305</v>
      </c>
      <c r="I24" s="57">
        <v>7000</v>
      </c>
      <c r="J24" s="57">
        <v>8268</v>
      </c>
      <c r="K24" s="57">
        <v>6450</v>
      </c>
      <c r="L24" s="57">
        <f>26300/60</f>
        <v>438.33333333333331</v>
      </c>
      <c r="M24" s="57">
        <v>5658</v>
      </c>
      <c r="N24" s="39" t="s">
        <v>77</v>
      </c>
      <c r="O24" s="36" t="s">
        <v>51</v>
      </c>
    </row>
    <row r="25" spans="2:15" x14ac:dyDescent="0.3">
      <c r="B25" s="23" t="s">
        <v>78</v>
      </c>
      <c r="C25" s="29" t="s">
        <v>79</v>
      </c>
      <c r="D25" s="56">
        <f>D19*1000/D12*D22</f>
        <v>20706.18556701031</v>
      </c>
      <c r="E25" s="57">
        <f t="shared" ref="E25:M25" si="2">E19*1000/E12*E22</f>
        <v>10353.092783505155</v>
      </c>
      <c r="F25" s="57">
        <f t="shared" si="2"/>
        <v>34510.309278350513</v>
      </c>
      <c r="G25" s="57">
        <f t="shared" si="2"/>
        <v>17255.154639175256</v>
      </c>
      <c r="H25" s="57">
        <f t="shared" si="2"/>
        <v>24157.216494845361</v>
      </c>
      <c r="I25" s="57">
        <f t="shared" si="2"/>
        <v>12078.608247422681</v>
      </c>
      <c r="J25" s="57">
        <f t="shared" si="2"/>
        <v>17255.154639175256</v>
      </c>
      <c r="K25" s="57">
        <f t="shared" si="2"/>
        <v>28574.536082474227</v>
      </c>
      <c r="L25" s="57">
        <f t="shared" si="2"/>
        <v>1725.5154639175257</v>
      </c>
      <c r="M25" s="57">
        <f t="shared" si="2"/>
        <v>17255.154639175256</v>
      </c>
      <c r="N25" s="39" t="s">
        <v>80</v>
      </c>
      <c r="O25" s="40" t="s">
        <v>81</v>
      </c>
    </row>
    <row r="26" spans="2:15" x14ac:dyDescent="0.3">
      <c r="B26" s="23" t="s">
        <v>82</v>
      </c>
      <c r="C26" s="63" t="s">
        <v>83</v>
      </c>
      <c r="D26" s="56">
        <f>D25*D12/D17</f>
        <v>24493902.439024393</v>
      </c>
      <c r="E26" s="57">
        <f t="shared" ref="E26:M26" si="3">E25*E12/E17</f>
        <v>12246951.219512196</v>
      </c>
      <c r="F26" s="57">
        <f t="shared" si="3"/>
        <v>41429455.445544548</v>
      </c>
      <c r="G26" s="57">
        <f t="shared" si="3"/>
        <v>20921874.999999996</v>
      </c>
      <c r="H26" s="57">
        <f t="shared" si="3"/>
        <v>29290625</v>
      </c>
      <c r="I26" s="57">
        <f t="shared" si="3"/>
        <v>14572450.248756219</v>
      </c>
      <c r="J26" s="57">
        <f t="shared" si="3"/>
        <v>20921874.999999996</v>
      </c>
      <c r="K26" s="57">
        <f>K25*K12/K16</f>
        <v>32840402.843601897</v>
      </c>
      <c r="L26" s="57">
        <f t="shared" si="3"/>
        <v>2092187.5</v>
      </c>
      <c r="M26" s="57">
        <f t="shared" si="3"/>
        <v>19854685.646500591</v>
      </c>
      <c r="N26" s="39" t="s">
        <v>43</v>
      </c>
      <c r="O26" s="40" t="s">
        <v>84</v>
      </c>
    </row>
    <row r="27" spans="2:15" x14ac:dyDescent="0.3">
      <c r="B27" s="23" t="s">
        <v>85</v>
      </c>
      <c r="C27" s="29" t="s">
        <v>86</v>
      </c>
      <c r="D27" s="64">
        <v>41.9</v>
      </c>
      <c r="E27" s="65">
        <v>21</v>
      </c>
      <c r="F27" s="65">
        <v>68</v>
      </c>
      <c r="G27" s="65">
        <f>47100/24/60</f>
        <v>32.708333333333336</v>
      </c>
      <c r="H27" s="65">
        <v>50.3</v>
      </c>
      <c r="I27" s="65">
        <v>30.2</v>
      </c>
      <c r="J27" s="65">
        <f>47100/24/60</f>
        <v>32.708333333333336</v>
      </c>
      <c r="K27" s="65">
        <v>3.5</v>
      </c>
      <c r="L27" s="65">
        <v>3.5</v>
      </c>
      <c r="M27" s="65">
        <f>47100/24/60</f>
        <v>32.708333333333336</v>
      </c>
      <c r="N27" s="39" t="s">
        <v>87</v>
      </c>
      <c r="O27" s="43" t="s">
        <v>88</v>
      </c>
    </row>
    <row r="28" spans="2:15" ht="15.6" x14ac:dyDescent="0.3">
      <c r="B28" s="23"/>
      <c r="C28" s="66" t="s">
        <v>89</v>
      </c>
      <c r="D28" s="67"/>
      <c r="E28" s="68"/>
      <c r="F28" s="68"/>
      <c r="G28" s="68"/>
      <c r="H28" s="68"/>
      <c r="I28" s="68"/>
      <c r="J28" s="68"/>
      <c r="K28" s="68"/>
      <c r="L28" s="68"/>
      <c r="M28" s="68"/>
      <c r="N28" s="32"/>
      <c r="O28" s="28"/>
    </row>
    <row r="29" spans="2:15" x14ac:dyDescent="0.3">
      <c r="B29" s="23" t="s">
        <v>90</v>
      </c>
      <c r="C29" s="29" t="s">
        <v>91</v>
      </c>
      <c r="D29" s="56">
        <f>D24*D11*60</f>
        <v>13225.92</v>
      </c>
      <c r="E29" s="56">
        <f>E24*E11*60</f>
        <v>6874.4519999999993</v>
      </c>
      <c r="F29" s="56">
        <f>F24*F11*60</f>
        <v>23212.799999999999</v>
      </c>
      <c r="G29" s="56">
        <f t="shared" ref="G29:K29" si="4">G24*G11*60</f>
        <v>22571.64</v>
      </c>
      <c r="H29" s="56">
        <f t="shared" si="4"/>
        <v>18196.23</v>
      </c>
      <c r="I29" s="56">
        <f>I24*I11*60</f>
        <v>18900</v>
      </c>
      <c r="J29" s="56">
        <f t="shared" si="4"/>
        <v>22571.64</v>
      </c>
      <c r="K29" s="56">
        <f t="shared" si="4"/>
        <v>17608.499999999996</v>
      </c>
      <c r="L29" s="56">
        <f>L24*L11*60</f>
        <v>1120.3799999999999</v>
      </c>
      <c r="M29" s="56">
        <f>M24*M11*60</f>
        <v>15446.340000000002</v>
      </c>
      <c r="N29" s="32" t="s">
        <v>92</v>
      </c>
      <c r="O29" s="69" t="s">
        <v>93</v>
      </c>
    </row>
    <row r="30" spans="2:15" x14ac:dyDescent="0.3">
      <c r="B30" s="23" t="s">
        <v>94</v>
      </c>
      <c r="C30" s="29" t="s">
        <v>95</v>
      </c>
      <c r="D30" s="70">
        <v>407</v>
      </c>
      <c r="E30" s="71">
        <v>372</v>
      </c>
      <c r="F30" s="71">
        <v>490</v>
      </c>
      <c r="G30" s="71">
        <v>410</v>
      </c>
      <c r="H30" s="71">
        <v>374</v>
      </c>
      <c r="I30" s="71">
        <v>404</v>
      </c>
      <c r="J30" s="71">
        <v>404</v>
      </c>
      <c r="K30" s="71">
        <v>371</v>
      </c>
      <c r="L30" s="71">
        <v>480</v>
      </c>
      <c r="M30" s="71">
        <v>375</v>
      </c>
      <c r="N30" s="32" t="s">
        <v>96</v>
      </c>
      <c r="O30" s="36" t="s">
        <v>51</v>
      </c>
    </row>
    <row r="31" spans="2:15" x14ac:dyDescent="0.3">
      <c r="B31" s="23" t="s">
        <v>97</v>
      </c>
      <c r="C31" s="29" t="s">
        <v>98</v>
      </c>
      <c r="D31" s="70">
        <v>270</v>
      </c>
      <c r="E31" s="71">
        <v>272</v>
      </c>
      <c r="F31" s="71">
        <v>200</v>
      </c>
      <c r="G31" s="71">
        <v>331</v>
      </c>
      <c r="H31" s="71">
        <v>250</v>
      </c>
      <c r="I31" s="71">
        <v>304</v>
      </c>
      <c r="J31" s="71">
        <v>330</v>
      </c>
      <c r="K31" s="71">
        <v>265</v>
      </c>
      <c r="L31" s="71">
        <v>350</v>
      </c>
      <c r="M31" s="71">
        <v>274</v>
      </c>
      <c r="N31" s="32" t="s">
        <v>96</v>
      </c>
      <c r="O31" s="72" t="s">
        <v>99</v>
      </c>
    </row>
    <row r="32" spans="2:15" x14ac:dyDescent="0.3">
      <c r="B32" s="23" t="s">
        <v>100</v>
      </c>
      <c r="C32" s="29" t="s">
        <v>86</v>
      </c>
      <c r="D32" s="73">
        <f>D27*D8*60</f>
        <v>20966.759999999998</v>
      </c>
      <c r="E32" s="74">
        <f t="shared" ref="E32:M32" si="5">E27*E8*60</f>
        <v>10508.4</v>
      </c>
      <c r="F32" s="74">
        <f t="shared" si="5"/>
        <v>34027.199999999997</v>
      </c>
      <c r="G32" s="74">
        <f t="shared" si="5"/>
        <v>16367.250000000002</v>
      </c>
      <c r="H32" s="74">
        <f t="shared" si="5"/>
        <v>25170.119999999995</v>
      </c>
      <c r="I32" s="74">
        <f t="shared" si="5"/>
        <v>15112.08</v>
      </c>
      <c r="J32" s="74">
        <f t="shared" si="5"/>
        <v>16367.250000000002</v>
      </c>
      <c r="K32" s="74">
        <f t="shared" si="5"/>
        <v>1751.3999999999999</v>
      </c>
      <c r="L32" s="74">
        <f t="shared" si="5"/>
        <v>1751.3999999999999</v>
      </c>
      <c r="M32" s="74">
        <f t="shared" si="5"/>
        <v>16367.250000000002</v>
      </c>
      <c r="N32" s="32" t="s">
        <v>92</v>
      </c>
      <c r="O32" s="69" t="s">
        <v>101</v>
      </c>
    </row>
    <row r="33" spans="2:15" x14ac:dyDescent="0.3">
      <c r="B33" s="23" t="s">
        <v>102</v>
      </c>
      <c r="C33" s="29" t="s">
        <v>103</v>
      </c>
      <c r="D33" s="75">
        <v>227</v>
      </c>
      <c r="E33" s="76">
        <v>227</v>
      </c>
      <c r="F33" s="76">
        <v>240</v>
      </c>
      <c r="G33" s="76">
        <v>227</v>
      </c>
      <c r="H33" s="76">
        <v>227</v>
      </c>
      <c r="I33" s="76">
        <v>373</v>
      </c>
      <c r="J33" s="76">
        <v>214</v>
      </c>
      <c r="K33" s="76">
        <v>225</v>
      </c>
      <c r="L33" s="76">
        <v>240</v>
      </c>
      <c r="M33" s="76">
        <v>226</v>
      </c>
      <c r="N33" s="32" t="s">
        <v>96</v>
      </c>
      <c r="O33" s="28" t="s">
        <v>88</v>
      </c>
    </row>
    <row r="34" spans="2:15" x14ac:dyDescent="0.3">
      <c r="B34" s="23" t="s">
        <v>104</v>
      </c>
      <c r="C34" s="29" t="s">
        <v>105</v>
      </c>
      <c r="D34" s="75">
        <v>250</v>
      </c>
      <c r="E34" s="76">
        <v>244</v>
      </c>
      <c r="F34" s="76">
        <v>292</v>
      </c>
      <c r="G34" s="76">
        <v>256</v>
      </c>
      <c r="H34" s="76">
        <v>254</v>
      </c>
      <c r="I34" s="76">
        <v>398</v>
      </c>
      <c r="J34" s="76">
        <v>240</v>
      </c>
      <c r="K34" s="76">
        <v>270</v>
      </c>
      <c r="L34" s="76">
        <v>262</v>
      </c>
      <c r="M34" s="76">
        <v>255</v>
      </c>
      <c r="N34" s="32" t="s">
        <v>96</v>
      </c>
      <c r="O34" s="69" t="s">
        <v>88</v>
      </c>
    </row>
    <row r="35" spans="2:15" x14ac:dyDescent="0.3">
      <c r="B35" s="23" t="s">
        <v>106</v>
      </c>
      <c r="C35" s="77" t="s">
        <v>107</v>
      </c>
      <c r="D35" s="73">
        <f>D29*D10*(D30-D31)</f>
        <v>475455.952896</v>
      </c>
      <c r="E35" s="74">
        <f t="shared" ref="E35:M35" si="6">E29*E10*(E30-E31)</f>
        <v>179560.68623999998</v>
      </c>
      <c r="F35" s="74">
        <f t="shared" si="6"/>
        <v>1781884.1663999998</v>
      </c>
      <c r="G35" s="74">
        <f t="shared" si="6"/>
        <v>468079.38450000004</v>
      </c>
      <c r="H35" s="74">
        <f t="shared" si="6"/>
        <v>589354.05422399996</v>
      </c>
      <c r="I35" s="74">
        <f>I29*I10*(I30-I31)</f>
        <v>493667.99999999994</v>
      </c>
      <c r="J35" s="74">
        <f>J29*J10*(J30-J31)</f>
        <v>438454.10700000002</v>
      </c>
      <c r="K35" s="74">
        <f t="shared" si="6"/>
        <v>487530.06119999988</v>
      </c>
      <c r="L35" s="74">
        <f t="shared" si="6"/>
        <v>38043.623279999993</v>
      </c>
      <c r="M35" s="74">
        <f t="shared" si="6"/>
        <v>407492.98480800004</v>
      </c>
      <c r="N35" s="32" t="s">
        <v>108</v>
      </c>
      <c r="O35" s="69" t="s">
        <v>109</v>
      </c>
    </row>
    <row r="36" spans="2:15" x14ac:dyDescent="0.3">
      <c r="B36" s="78" t="s">
        <v>110</v>
      </c>
      <c r="C36" s="77" t="s">
        <v>111</v>
      </c>
      <c r="D36" s="73">
        <f>D35/D17</f>
        <v>579824.33280000009</v>
      </c>
      <c r="E36" s="73">
        <f t="shared" ref="E36:G36" si="7">E35/E17</f>
        <v>218976.44663414633</v>
      </c>
      <c r="F36" s="73">
        <f t="shared" si="7"/>
        <v>2205302.1861386136</v>
      </c>
      <c r="G36" s="73">
        <f t="shared" si="7"/>
        <v>585099.23062499997</v>
      </c>
      <c r="H36" s="73">
        <f>H35/H17</f>
        <v>736692.56777999992</v>
      </c>
      <c r="I36" s="73">
        <f>I35/I17</f>
        <v>614014.9253731342</v>
      </c>
      <c r="J36" s="73">
        <f>J35/J17</f>
        <v>548067.63375000004</v>
      </c>
      <c r="K36" s="73">
        <f>K35/K16</f>
        <v>577642.25260663498</v>
      </c>
      <c r="L36" s="73">
        <f>L35/L17</f>
        <v>47554.529099999985</v>
      </c>
      <c r="M36" s="73">
        <f t="shared" ref="M36" si="8">M35/M17</f>
        <v>483384.32361565845</v>
      </c>
      <c r="N36" s="32" t="s">
        <v>108</v>
      </c>
      <c r="O36" s="69" t="s">
        <v>112</v>
      </c>
    </row>
    <row r="37" spans="2:15" x14ac:dyDescent="0.3">
      <c r="B37" s="78" t="s">
        <v>113</v>
      </c>
      <c r="C37" s="77" t="s">
        <v>114</v>
      </c>
      <c r="D37" s="73">
        <f>D26-D36</f>
        <v>23914078.106224392</v>
      </c>
      <c r="E37" s="73">
        <f t="shared" ref="E37:H37" si="9">E26-E36</f>
        <v>12027974.772878051</v>
      </c>
      <c r="F37" s="73">
        <f t="shared" si="9"/>
        <v>39224153.259405933</v>
      </c>
      <c r="G37" s="73">
        <f t="shared" si="9"/>
        <v>20336775.769374996</v>
      </c>
      <c r="H37" s="73">
        <f t="shared" si="9"/>
        <v>28553932.432220001</v>
      </c>
      <c r="I37" s="73">
        <f>I26-I36</f>
        <v>13958435.323383085</v>
      </c>
      <c r="J37" s="73">
        <f>J26-J36</f>
        <v>20373807.366249997</v>
      </c>
      <c r="K37" s="73">
        <f t="shared" ref="K37:M37" si="10">K26-K36</f>
        <v>32262760.590995263</v>
      </c>
      <c r="L37" s="73">
        <f t="shared" si="10"/>
        <v>2044632.9709000001</v>
      </c>
      <c r="M37" s="73">
        <f t="shared" si="10"/>
        <v>19371301.322884932</v>
      </c>
      <c r="N37" s="32" t="s">
        <v>108</v>
      </c>
      <c r="O37" s="69" t="s">
        <v>115</v>
      </c>
    </row>
    <row r="38" spans="2:15" x14ac:dyDescent="0.3">
      <c r="B38" s="78" t="s">
        <v>116</v>
      </c>
      <c r="C38" s="77" t="s">
        <v>117</v>
      </c>
      <c r="D38" s="73">
        <f>D36*D21/100000</f>
        <v>23192.973312000002</v>
      </c>
      <c r="E38" s="73">
        <f t="shared" ref="E38:H38" si="11">E36*E21/100000</f>
        <v>8759.057865365854</v>
      </c>
      <c r="F38" s="73">
        <f t="shared" si="11"/>
        <v>88212.087445544545</v>
      </c>
      <c r="G38" s="73">
        <f t="shared" si="11"/>
        <v>43812.230389199998</v>
      </c>
      <c r="H38" s="73">
        <f t="shared" si="11"/>
        <v>44378.360283067195</v>
      </c>
      <c r="I38" s="73">
        <f>I36*I21/100000</f>
        <v>23486.070895522385</v>
      </c>
      <c r="J38" s="73">
        <f>J36*J21/100000</f>
        <v>28784.512124550005</v>
      </c>
      <c r="K38" s="73">
        <f t="shared" ref="K38:M38" si="12">K36*K21/100000</f>
        <v>50601.461328341225</v>
      </c>
      <c r="L38" s="73">
        <f t="shared" si="12"/>
        <v>1902.1811639999994</v>
      </c>
      <c r="M38" s="73">
        <f t="shared" si="12"/>
        <v>36195.8181523405</v>
      </c>
      <c r="N38" s="32" t="s">
        <v>118</v>
      </c>
      <c r="O38" s="69" t="s">
        <v>119</v>
      </c>
    </row>
    <row r="39" spans="2:15" x14ac:dyDescent="0.3">
      <c r="B39" s="78" t="s">
        <v>120</v>
      </c>
      <c r="C39" s="77" t="s">
        <v>121</v>
      </c>
      <c r="D39" s="79">
        <f>D25*D12/D37</f>
        <v>0.83988184327173565</v>
      </c>
      <c r="E39" s="80">
        <f t="shared" ref="E39:H39" si="13">E25*E12/E37</f>
        <v>0.83492858853053886</v>
      </c>
      <c r="F39" s="80">
        <f t="shared" si="13"/>
        <v>0.85342823791799016</v>
      </c>
      <c r="G39" s="80">
        <f t="shared" si="13"/>
        <v>0.8230164009186195</v>
      </c>
      <c r="H39" s="80">
        <f t="shared" si="13"/>
        <v>0.82064003112786588</v>
      </c>
      <c r="I39" s="80">
        <f>I25*I12/I37</f>
        <v>0.83936700128366182</v>
      </c>
      <c r="J39" s="80">
        <f>J25*J12/J37</f>
        <v>0.82152047965891328</v>
      </c>
      <c r="K39" s="80">
        <f t="shared" ref="K39:M39" si="14">K25*K12/K37</f>
        <v>0.85911123202941508</v>
      </c>
      <c r="L39" s="80">
        <f t="shared" si="14"/>
        <v>0.81860657820814364</v>
      </c>
      <c r="M39" s="80">
        <f t="shared" si="14"/>
        <v>0.86403591173436523</v>
      </c>
      <c r="N39" s="32" t="s">
        <v>59</v>
      </c>
      <c r="O39" s="69" t="s">
        <v>122</v>
      </c>
    </row>
    <row r="40" spans="2:15" x14ac:dyDescent="0.3">
      <c r="B40" s="78" t="s">
        <v>123</v>
      </c>
      <c r="C40" s="77" t="s">
        <v>124</v>
      </c>
      <c r="D40" s="81">
        <f>D39-D17</f>
        <v>1.98818432717357E-2</v>
      </c>
      <c r="E40" s="81">
        <f t="shared" ref="E40:H40" si="15">E39-E17</f>
        <v>1.4928588530538911E-2</v>
      </c>
      <c r="F40" s="81">
        <f t="shared" si="15"/>
        <v>4.5428237917990111E-2</v>
      </c>
      <c r="G40" s="81">
        <f t="shared" si="15"/>
        <v>2.3016400918619451E-2</v>
      </c>
      <c r="H40" s="81">
        <f t="shared" si="15"/>
        <v>2.0640031127865832E-2</v>
      </c>
      <c r="I40" s="81">
        <f>I39-I17</f>
        <v>3.536700128366177E-2</v>
      </c>
      <c r="J40" s="81">
        <f>J39-J17</f>
        <v>2.1520479658913239E-2</v>
      </c>
      <c r="K40" s="81">
        <f>K39-K16</f>
        <v>1.5111232029415111E-2</v>
      </c>
      <c r="L40" s="81">
        <f t="shared" ref="L40:M40" si="16">L39-L17</f>
        <v>1.8606578208143598E-2</v>
      </c>
      <c r="M40" s="81">
        <f t="shared" si="16"/>
        <v>2.1035911734365254E-2</v>
      </c>
      <c r="N40" s="32" t="s">
        <v>59</v>
      </c>
      <c r="O40" s="82" t="s">
        <v>125</v>
      </c>
    </row>
    <row r="41" spans="2:15" x14ac:dyDescent="0.3">
      <c r="B41" s="78" t="s">
        <v>126</v>
      </c>
      <c r="C41" s="77" t="s">
        <v>127</v>
      </c>
      <c r="D41" s="83">
        <f>D38/D20</f>
        <v>0.94688763335026149</v>
      </c>
      <c r="E41" s="83">
        <f>E38/E20</f>
        <v>0.35760156582524272</v>
      </c>
      <c r="F41" s="83">
        <f t="shared" ref="F41:M41" si="17">F38/F20</f>
        <v>2.129211849320388</v>
      </c>
      <c r="G41" s="83">
        <f t="shared" si="17"/>
        <v>2.0940871881320389</v>
      </c>
      <c r="H41" s="83">
        <f t="shared" si="17"/>
        <v>1.5151045866405102</v>
      </c>
      <c r="I41" s="83">
        <f t="shared" si="17"/>
        <v>0.80583808812546665</v>
      </c>
      <c r="J41" s="83">
        <f t="shared" si="17"/>
        <v>1.3758093920621361</v>
      </c>
      <c r="K41" s="83">
        <f t="shared" si="17"/>
        <v>1.0631723515339804</v>
      </c>
      <c r="L41" s="83">
        <f t="shared" si="17"/>
        <v>0.90918293126213567</v>
      </c>
      <c r="M41" s="83">
        <f t="shared" si="17"/>
        <v>1.823036576694431</v>
      </c>
      <c r="N41" s="84" t="s">
        <v>128</v>
      </c>
      <c r="O41" s="85" t="s">
        <v>129</v>
      </c>
    </row>
    <row r="42" spans="2:15" ht="15.6" x14ac:dyDescent="0.3">
      <c r="B42" s="78"/>
      <c r="C42" s="66" t="s">
        <v>130</v>
      </c>
      <c r="D42" s="67"/>
      <c r="E42" s="68"/>
      <c r="F42" s="68"/>
      <c r="G42" s="68"/>
      <c r="H42" s="68"/>
      <c r="I42" s="68"/>
      <c r="J42" s="68"/>
      <c r="K42" s="68" t="s">
        <v>58</v>
      </c>
      <c r="L42" s="68" t="s">
        <v>58</v>
      </c>
      <c r="M42" s="68" t="s">
        <v>58</v>
      </c>
      <c r="N42" s="32"/>
      <c r="O42" s="85"/>
    </row>
    <row r="43" spans="2:15" x14ac:dyDescent="0.3">
      <c r="B43" s="78" t="s">
        <v>131</v>
      </c>
      <c r="C43" s="29" t="s">
        <v>95</v>
      </c>
      <c r="D43" s="70">
        <f>D31</f>
        <v>270</v>
      </c>
      <c r="E43" s="70">
        <f t="shared" ref="E43:J43" si="18">E31</f>
        <v>272</v>
      </c>
      <c r="F43" s="70">
        <f t="shared" si="18"/>
        <v>200</v>
      </c>
      <c r="G43" s="70">
        <f t="shared" si="18"/>
        <v>331</v>
      </c>
      <c r="H43" s="70">
        <f t="shared" si="18"/>
        <v>250</v>
      </c>
      <c r="I43" s="70">
        <f t="shared" si="18"/>
        <v>304</v>
      </c>
      <c r="J43" s="70">
        <f t="shared" si="18"/>
        <v>330</v>
      </c>
      <c r="K43" s="86"/>
      <c r="L43" s="86"/>
      <c r="M43" s="86"/>
      <c r="N43" s="32" t="s">
        <v>96</v>
      </c>
      <c r="O43" s="69" t="s">
        <v>132</v>
      </c>
    </row>
    <row r="44" spans="2:15" x14ac:dyDescent="0.3">
      <c r="B44" s="23" t="s">
        <v>133</v>
      </c>
      <c r="C44" s="29" t="s">
        <v>98</v>
      </c>
      <c r="D44" s="87">
        <v>176</v>
      </c>
      <c r="E44" s="88">
        <v>156</v>
      </c>
      <c r="F44" s="88">
        <v>170</v>
      </c>
      <c r="G44" s="88">
        <v>232</v>
      </c>
      <c r="H44" s="88">
        <v>157</v>
      </c>
      <c r="I44" s="88">
        <v>201</v>
      </c>
      <c r="J44" s="88">
        <v>201</v>
      </c>
      <c r="K44" s="89"/>
      <c r="L44" s="89"/>
      <c r="M44" s="89"/>
      <c r="N44" s="32" t="s">
        <v>96</v>
      </c>
      <c r="O44" s="28" t="s">
        <v>88</v>
      </c>
    </row>
    <row r="45" spans="2:15" x14ac:dyDescent="0.3">
      <c r="B45" s="23" t="s">
        <v>134</v>
      </c>
      <c r="C45" s="77" t="s">
        <v>107</v>
      </c>
      <c r="D45" s="56">
        <f>D29*D10*(D43-D44)</f>
        <v>326225.25235199998</v>
      </c>
      <c r="E45" s="57">
        <f t="shared" ref="E45:J45" si="19">E29*E10*(E43-E44)</f>
        <v>208290.39603839998</v>
      </c>
      <c r="F45" s="57">
        <f t="shared" si="19"/>
        <v>184332.84479999999</v>
      </c>
      <c r="G45" s="57">
        <f t="shared" si="19"/>
        <v>586580.49450000003</v>
      </c>
      <c r="H45" s="57">
        <f t="shared" si="19"/>
        <v>442015.54066799994</v>
      </c>
      <c r="I45" s="57">
        <f t="shared" si="19"/>
        <v>508478.03999999992</v>
      </c>
      <c r="J45" s="57">
        <f t="shared" si="19"/>
        <v>764332.15950000007</v>
      </c>
      <c r="K45" s="90"/>
      <c r="L45" s="90"/>
      <c r="M45" s="90"/>
      <c r="N45" s="32" t="s">
        <v>108</v>
      </c>
      <c r="O45" s="69" t="s">
        <v>135</v>
      </c>
    </row>
    <row r="46" spans="2:15" x14ac:dyDescent="0.3">
      <c r="B46" s="23" t="s">
        <v>136</v>
      </c>
      <c r="C46" s="63" t="s">
        <v>137</v>
      </c>
      <c r="D46" s="56">
        <f t="shared" ref="D46:J46" si="20">D29*0.11</f>
        <v>1454.8512000000001</v>
      </c>
      <c r="E46" s="57">
        <f t="shared" si="20"/>
        <v>756.18971999999997</v>
      </c>
      <c r="F46" s="57">
        <f t="shared" si="20"/>
        <v>2553.4079999999999</v>
      </c>
      <c r="G46" s="57">
        <f t="shared" si="20"/>
        <v>2482.8804</v>
      </c>
      <c r="H46" s="57">
        <f t="shared" si="20"/>
        <v>2001.5853</v>
      </c>
      <c r="I46" s="57">
        <f t="shared" si="20"/>
        <v>2079</v>
      </c>
      <c r="J46" s="57">
        <f t="shared" si="20"/>
        <v>2482.8804</v>
      </c>
      <c r="K46" s="90"/>
      <c r="L46" s="90"/>
      <c r="M46" s="90"/>
      <c r="N46" s="32" t="s">
        <v>80</v>
      </c>
      <c r="O46" s="69" t="s">
        <v>138</v>
      </c>
    </row>
    <row r="47" spans="2:15" x14ac:dyDescent="0.3">
      <c r="B47" s="23" t="s">
        <v>139</v>
      </c>
      <c r="C47" s="63" t="s">
        <v>140</v>
      </c>
      <c r="D47" s="56">
        <f>D29*0.0263</f>
        <v>347.84169600000001</v>
      </c>
      <c r="E47" s="57">
        <f>E29*0.032</f>
        <v>219.98246399999999</v>
      </c>
      <c r="F47" s="57">
        <f>F29*0.0454</f>
        <v>1053.86112</v>
      </c>
      <c r="G47" s="57">
        <f>G29*0.102</f>
        <v>2302.30728</v>
      </c>
      <c r="H47" s="57">
        <f>H29*0.045</f>
        <v>818.83034999999995</v>
      </c>
      <c r="I47" s="57">
        <f>I29*0.097</f>
        <v>1833.3</v>
      </c>
      <c r="J47" s="57">
        <f>J29*0.097</f>
        <v>2189.4490799999999</v>
      </c>
      <c r="K47" s="90"/>
      <c r="L47" s="90"/>
      <c r="M47" s="90"/>
      <c r="N47" s="32" t="s">
        <v>80</v>
      </c>
      <c r="O47" s="69" t="s">
        <v>141</v>
      </c>
    </row>
    <row r="48" spans="2:15" x14ac:dyDescent="0.3">
      <c r="B48" s="23" t="s">
        <v>142</v>
      </c>
      <c r="C48" s="63" t="s">
        <v>143</v>
      </c>
      <c r="D48" s="56">
        <f>D46-D47</f>
        <v>1107.0095040000001</v>
      </c>
      <c r="E48" s="57">
        <f t="shared" ref="E48:J48" si="21">E46-E47</f>
        <v>536.20725599999992</v>
      </c>
      <c r="F48" s="57">
        <f t="shared" si="21"/>
        <v>1499.5468799999999</v>
      </c>
      <c r="G48" s="57">
        <f t="shared" si="21"/>
        <v>180.57312000000002</v>
      </c>
      <c r="H48" s="57">
        <f t="shared" si="21"/>
        <v>1182.75495</v>
      </c>
      <c r="I48" s="57">
        <f t="shared" si="21"/>
        <v>245.70000000000005</v>
      </c>
      <c r="J48" s="57">
        <f t="shared" si="21"/>
        <v>293.43132000000014</v>
      </c>
      <c r="K48" s="90"/>
      <c r="L48" s="90"/>
      <c r="M48" s="90"/>
      <c r="N48" s="32" t="s">
        <v>80</v>
      </c>
      <c r="O48" s="69" t="s">
        <v>144</v>
      </c>
    </row>
    <row r="49" spans="2:15" x14ac:dyDescent="0.3">
      <c r="B49" s="23" t="s">
        <v>145</v>
      </c>
      <c r="C49" s="77" t="s">
        <v>146</v>
      </c>
      <c r="D49" s="73">
        <f t="shared" ref="D49:J49" si="22">D48*D12</f>
        <v>1073799.2188800001</v>
      </c>
      <c r="E49" s="74">
        <f t="shared" si="22"/>
        <v>520121.03831999993</v>
      </c>
      <c r="F49" s="74">
        <f t="shared" si="22"/>
        <v>1454560.4735999999</v>
      </c>
      <c r="G49" s="74">
        <f t="shared" si="22"/>
        <v>175155.92640000003</v>
      </c>
      <c r="H49" s="74">
        <f t="shared" si="22"/>
        <v>1147272.3015000001</v>
      </c>
      <c r="I49" s="74">
        <f t="shared" si="22"/>
        <v>238329.00000000006</v>
      </c>
      <c r="J49" s="74">
        <f t="shared" si="22"/>
        <v>284628.38040000014</v>
      </c>
      <c r="K49" s="91"/>
      <c r="L49" s="91"/>
      <c r="M49" s="91"/>
      <c r="N49" s="32" t="s">
        <v>108</v>
      </c>
      <c r="O49" s="69" t="s">
        <v>147</v>
      </c>
    </row>
    <row r="50" spans="2:15" x14ac:dyDescent="0.3">
      <c r="B50" s="23" t="s">
        <v>148</v>
      </c>
      <c r="C50" s="77" t="s">
        <v>149</v>
      </c>
      <c r="D50" s="73">
        <f t="shared" ref="D50:J50" si="23">D45+D49</f>
        <v>1400024.471232</v>
      </c>
      <c r="E50" s="74">
        <f t="shared" si="23"/>
        <v>728411.43435839994</v>
      </c>
      <c r="F50" s="74">
        <f t="shared" si="23"/>
        <v>1638893.3184</v>
      </c>
      <c r="G50" s="74">
        <f t="shared" si="23"/>
        <v>761736.42090000003</v>
      </c>
      <c r="H50" s="74">
        <f t="shared" si="23"/>
        <v>1589287.8421680001</v>
      </c>
      <c r="I50" s="74">
        <f t="shared" si="23"/>
        <v>746807.04</v>
      </c>
      <c r="J50" s="74">
        <f t="shared" si="23"/>
        <v>1048960.5399000002</v>
      </c>
      <c r="K50" s="91"/>
      <c r="L50" s="91"/>
      <c r="M50" s="91"/>
      <c r="N50" s="32" t="s">
        <v>108</v>
      </c>
      <c r="O50" s="69" t="s">
        <v>150</v>
      </c>
    </row>
    <row r="51" spans="2:15" ht="15.6" x14ac:dyDescent="0.3">
      <c r="B51" s="23"/>
      <c r="C51" s="92" t="s">
        <v>151</v>
      </c>
      <c r="D51" s="73"/>
      <c r="E51" s="74"/>
      <c r="F51" s="74"/>
      <c r="G51" s="74"/>
      <c r="H51" s="74"/>
      <c r="I51" s="74"/>
      <c r="J51" s="74"/>
      <c r="K51" s="91"/>
      <c r="L51" s="91"/>
      <c r="M51" s="91"/>
      <c r="N51" s="32"/>
      <c r="O51" s="28"/>
    </row>
    <row r="52" spans="2:15" x14ac:dyDescent="0.3">
      <c r="B52" s="23" t="s">
        <v>152</v>
      </c>
      <c r="C52" s="77" t="s">
        <v>153</v>
      </c>
      <c r="D52" s="73">
        <f t="shared" ref="D52:J52" si="24">D35+D50</f>
        <v>1875480.4241280002</v>
      </c>
      <c r="E52" s="74">
        <f t="shared" si="24"/>
        <v>907972.1205983999</v>
      </c>
      <c r="F52" s="74">
        <f t="shared" si="24"/>
        <v>3420777.4847999997</v>
      </c>
      <c r="G52" s="74">
        <f>G35+G50</f>
        <v>1229815.8054</v>
      </c>
      <c r="H52" s="74">
        <f t="shared" si="24"/>
        <v>2178641.8963919999</v>
      </c>
      <c r="I52" s="74">
        <f t="shared" si="24"/>
        <v>1240475.04</v>
      </c>
      <c r="J52" s="74">
        <f t="shared" si="24"/>
        <v>1487414.6469000003</v>
      </c>
      <c r="K52" s="91"/>
      <c r="L52" s="91"/>
      <c r="M52" s="91"/>
      <c r="N52" s="32" t="s">
        <v>108</v>
      </c>
      <c r="O52" s="69" t="s">
        <v>154</v>
      </c>
    </row>
    <row r="53" spans="2:15" x14ac:dyDescent="0.3">
      <c r="B53" s="23" t="s">
        <v>155</v>
      </c>
      <c r="C53" s="77" t="s">
        <v>111</v>
      </c>
      <c r="D53" s="73">
        <f t="shared" ref="D53:J53" si="25">D52/D17</f>
        <v>2287171.2489365856</v>
      </c>
      <c r="E53" s="74">
        <f t="shared" si="25"/>
        <v>1107283.0739004877</v>
      </c>
      <c r="F53" s="74">
        <f t="shared" si="25"/>
        <v>4233635.5009900983</v>
      </c>
      <c r="G53" s="74">
        <f t="shared" si="25"/>
        <v>1537269.7567499999</v>
      </c>
      <c r="H53" s="74">
        <f t="shared" si="25"/>
        <v>2723302.3704899997</v>
      </c>
      <c r="I53" s="74">
        <f t="shared" si="25"/>
        <v>1542879.4029850746</v>
      </c>
      <c r="J53" s="74">
        <f t="shared" si="25"/>
        <v>1859268.3086250003</v>
      </c>
      <c r="K53" s="91"/>
      <c r="L53" s="91"/>
      <c r="M53" s="91"/>
      <c r="N53" s="32" t="s">
        <v>108</v>
      </c>
      <c r="O53" s="69" t="s">
        <v>156</v>
      </c>
    </row>
    <row r="54" spans="2:15" x14ac:dyDescent="0.3">
      <c r="B54" s="23" t="s">
        <v>157</v>
      </c>
      <c r="C54" s="77" t="s">
        <v>158</v>
      </c>
      <c r="D54" s="73">
        <f t="shared" ref="D54:J54" si="26">D26-D53</f>
        <v>22206731.190087806</v>
      </c>
      <c r="E54" s="74">
        <f t="shared" si="26"/>
        <v>11139668.145611709</v>
      </c>
      <c r="F54" s="74">
        <f t="shared" si="26"/>
        <v>37195819.944554448</v>
      </c>
      <c r="G54" s="74">
        <f t="shared" si="26"/>
        <v>19384605.243249997</v>
      </c>
      <c r="H54" s="74">
        <f t="shared" si="26"/>
        <v>26567322.62951</v>
      </c>
      <c r="I54" s="74">
        <f t="shared" si="26"/>
        <v>13029570.845771145</v>
      </c>
      <c r="J54" s="74">
        <f t="shared" si="26"/>
        <v>19062606.691374995</v>
      </c>
      <c r="K54" s="91"/>
      <c r="L54" s="91"/>
      <c r="M54" s="91"/>
      <c r="N54" s="32" t="s">
        <v>108</v>
      </c>
      <c r="O54" s="69" t="s">
        <v>159</v>
      </c>
    </row>
    <row r="55" spans="2:15" x14ac:dyDescent="0.3">
      <c r="B55" s="23" t="s">
        <v>160</v>
      </c>
      <c r="C55" s="77" t="s">
        <v>117</v>
      </c>
      <c r="D55" s="93">
        <f>D53*D21/100000</f>
        <v>91486.849957463419</v>
      </c>
      <c r="E55" s="94">
        <f t="shared" ref="E55:J55" si="27">E53*E21/100000</f>
        <v>44291.322956019503</v>
      </c>
      <c r="F55" s="94">
        <f t="shared" si="27"/>
        <v>169345.42003960395</v>
      </c>
      <c r="G55" s="94">
        <f t="shared" si="27"/>
        <v>115110.75938543999</v>
      </c>
      <c r="H55" s="94">
        <f t="shared" si="27"/>
        <v>164051.73479831757</v>
      </c>
      <c r="I55" s="94">
        <f t="shared" si="27"/>
        <v>59015.137164179105</v>
      </c>
      <c r="J55" s="94">
        <f t="shared" si="27"/>
        <v>97648.77156898503</v>
      </c>
      <c r="K55" s="95"/>
      <c r="L55" s="95"/>
      <c r="M55" s="95"/>
      <c r="N55" s="32" t="s">
        <v>118</v>
      </c>
      <c r="O55" s="69" t="s">
        <v>161</v>
      </c>
    </row>
    <row r="56" spans="2:15" x14ac:dyDescent="0.3">
      <c r="B56" s="23" t="s">
        <v>162</v>
      </c>
      <c r="C56" s="77" t="s">
        <v>163</v>
      </c>
      <c r="D56" s="96">
        <f>D25*D12/D54</f>
        <v>0.90445549270957704</v>
      </c>
      <c r="E56" s="97">
        <f t="shared" ref="E56:J56" si="28">E25*E12/E54</f>
        <v>0.9015080044333349</v>
      </c>
      <c r="F56" s="97">
        <f t="shared" si="28"/>
        <v>0.89996671803173445</v>
      </c>
      <c r="G56" s="97">
        <f>G25*G12/G54</f>
        <v>0.86344291204115386</v>
      </c>
      <c r="H56" s="97">
        <f t="shared" si="28"/>
        <v>0.88200457105798247</v>
      </c>
      <c r="I56" s="97">
        <f t="shared" si="28"/>
        <v>0.8992045968883623</v>
      </c>
      <c r="J56" s="97">
        <f t="shared" si="28"/>
        <v>0.87802787262945492</v>
      </c>
      <c r="K56" s="98"/>
      <c r="L56" s="98"/>
      <c r="M56" s="98"/>
      <c r="N56" s="99" t="s">
        <v>59</v>
      </c>
      <c r="O56" s="69" t="s">
        <v>164</v>
      </c>
    </row>
    <row r="57" spans="2:15" x14ac:dyDescent="0.3">
      <c r="B57" s="23" t="s">
        <v>165</v>
      </c>
      <c r="C57" s="77" t="s">
        <v>166</v>
      </c>
      <c r="D57" s="96">
        <f>D56-D17</f>
        <v>8.4455492709577085E-2</v>
      </c>
      <c r="E57" s="97">
        <f t="shared" ref="E57:J57" si="29">E56-E17</f>
        <v>8.1508004433334946E-2</v>
      </c>
      <c r="F57" s="97">
        <f t="shared" si="29"/>
        <v>9.1966718031734396E-2</v>
      </c>
      <c r="G57" s="97">
        <f>G56-G17</f>
        <v>6.3442912041153821E-2</v>
      </c>
      <c r="H57" s="97">
        <f t="shared" si="29"/>
        <v>8.2004571057982423E-2</v>
      </c>
      <c r="I57" s="97">
        <f t="shared" si="29"/>
        <v>9.5204596888362247E-2</v>
      </c>
      <c r="J57" s="97">
        <f t="shared" si="29"/>
        <v>7.8027872629454875E-2</v>
      </c>
      <c r="K57" s="98"/>
      <c r="L57" s="98"/>
      <c r="M57" s="98"/>
      <c r="N57" s="99" t="s">
        <v>59</v>
      </c>
      <c r="O57" s="82" t="s">
        <v>167</v>
      </c>
    </row>
    <row r="58" spans="2:15" x14ac:dyDescent="0.3">
      <c r="B58" s="23" t="s">
        <v>168</v>
      </c>
      <c r="C58" s="77" t="s">
        <v>169</v>
      </c>
      <c r="D58" s="100">
        <f t="shared" ref="D58:J58" si="30">D55/D20</f>
        <v>3.7350867296549666</v>
      </c>
      <c r="E58" s="101">
        <f t="shared" si="30"/>
        <v>1.8082591398524268</v>
      </c>
      <c r="F58" s="101">
        <f t="shared" si="30"/>
        <v>4.0875608481553396</v>
      </c>
      <c r="G58" s="101">
        <f>G55/G20</f>
        <v>5.5019332342555334</v>
      </c>
      <c r="H58" s="101">
        <f t="shared" si="30"/>
        <v>5.6008273909593109</v>
      </c>
      <c r="I58" s="101">
        <f t="shared" si="30"/>
        <v>2.0248872412247945</v>
      </c>
      <c r="J58" s="101">
        <f t="shared" si="30"/>
        <v>4.6673049891075742</v>
      </c>
      <c r="K58" s="102"/>
      <c r="L58" s="102"/>
      <c r="M58" s="102"/>
      <c r="N58" s="84" t="s">
        <v>128</v>
      </c>
      <c r="O58" s="85" t="s">
        <v>170</v>
      </c>
    </row>
    <row r="59" spans="2:15" ht="15" thickBot="1" x14ac:dyDescent="0.35">
      <c r="B59" s="6"/>
      <c r="C59" s="103"/>
      <c r="D59" s="103"/>
      <c r="E59" s="104"/>
      <c r="F59" s="104"/>
      <c r="G59" s="104"/>
      <c r="H59" s="104"/>
      <c r="I59" s="104"/>
      <c r="J59" s="104"/>
      <c r="K59" s="104"/>
      <c r="L59" s="104"/>
      <c r="M59" s="104"/>
      <c r="N59" s="104"/>
      <c r="O59" s="105"/>
    </row>
    <row r="60" spans="2:15" x14ac:dyDescent="0.3">
      <c r="D60" s="107"/>
    </row>
    <row r="61" spans="2:15" x14ac:dyDescent="0.3">
      <c r="D61" s="107"/>
    </row>
    <row r="62" spans="2:15" ht="15.6" x14ac:dyDescent="0.3">
      <c r="B62" s="108" t="s">
        <v>171</v>
      </c>
      <c r="D62" s="107"/>
    </row>
    <row r="63" spans="2:15" ht="5.55" customHeight="1" thickBot="1" x14ac:dyDescent="0.35"/>
    <row r="64" spans="2:15" ht="15.75" customHeight="1" x14ac:dyDescent="0.3">
      <c r="B64" s="109"/>
      <c r="C64" s="110"/>
      <c r="D64" s="110"/>
      <c r="E64" s="110"/>
      <c r="F64" s="110"/>
      <c r="G64" s="110"/>
      <c r="H64" s="110"/>
      <c r="I64" s="110"/>
      <c r="J64" s="110"/>
      <c r="K64" s="110"/>
      <c r="L64" s="110"/>
      <c r="M64" s="110"/>
      <c r="N64" s="110"/>
      <c r="O64" s="111"/>
    </row>
    <row r="65" spans="2:15" ht="37.799999999999997" customHeight="1" x14ac:dyDescent="0.3">
      <c r="B65" s="23"/>
      <c r="C65" s="112" t="s">
        <v>172</v>
      </c>
      <c r="D65" s="113">
        <v>0.41899999999999998</v>
      </c>
      <c r="E65" s="113">
        <v>0.41899999999999998</v>
      </c>
      <c r="F65" s="113">
        <v>0.41899999999999998</v>
      </c>
      <c r="G65" s="113">
        <v>0.41899999999999998</v>
      </c>
      <c r="H65" s="113">
        <v>0.41899999999999998</v>
      </c>
      <c r="I65" s="113">
        <v>0.41899999999999998</v>
      </c>
      <c r="J65" s="113">
        <v>0.41899999999999998</v>
      </c>
      <c r="K65" s="113">
        <v>0.41899999999999998</v>
      </c>
      <c r="L65" s="113">
        <v>0.41899999999999998</v>
      </c>
      <c r="M65" s="113">
        <v>0.41899999999999998</v>
      </c>
      <c r="N65" s="112" t="s">
        <v>59</v>
      </c>
      <c r="O65" s="114" t="s">
        <v>173</v>
      </c>
    </row>
    <row r="66" spans="2:15" ht="37.799999999999997" customHeight="1" x14ac:dyDescent="0.3">
      <c r="B66" s="23"/>
      <c r="C66" s="112" t="s">
        <v>174</v>
      </c>
      <c r="D66" s="112">
        <v>8760</v>
      </c>
      <c r="E66" s="112">
        <v>8760</v>
      </c>
      <c r="F66" s="112">
        <v>8760</v>
      </c>
      <c r="G66" s="112">
        <v>8760</v>
      </c>
      <c r="H66" s="112">
        <v>8760</v>
      </c>
      <c r="I66" s="112">
        <v>8760</v>
      </c>
      <c r="J66" s="112">
        <v>8760</v>
      </c>
      <c r="K66" s="112">
        <v>8760</v>
      </c>
      <c r="L66" s="112">
        <v>8760</v>
      </c>
      <c r="M66" s="112">
        <v>8760</v>
      </c>
      <c r="N66" s="112" t="s">
        <v>175</v>
      </c>
      <c r="O66" s="114" t="s">
        <v>173</v>
      </c>
    </row>
    <row r="67" spans="2:15" ht="22.8" customHeight="1" x14ac:dyDescent="0.3">
      <c r="B67" s="115" t="s">
        <v>176</v>
      </c>
      <c r="D67" s="112"/>
      <c r="E67" s="112"/>
      <c r="F67" s="112"/>
      <c r="G67" s="112"/>
      <c r="H67" s="112"/>
      <c r="I67" s="112"/>
      <c r="J67" s="112"/>
      <c r="K67" s="112"/>
      <c r="L67" s="112"/>
      <c r="M67" s="112"/>
      <c r="N67" s="112"/>
      <c r="O67" s="114"/>
    </row>
    <row r="68" spans="2:15" x14ac:dyDescent="0.3">
      <c r="B68" s="23"/>
      <c r="C68" s="112" t="s">
        <v>177</v>
      </c>
      <c r="D68" s="116">
        <f>AVERAGE(D40:M40)</f>
        <v>2.3553630468124899E-2</v>
      </c>
      <c r="E68" s="112"/>
      <c r="F68" s="112"/>
      <c r="G68" s="112"/>
      <c r="H68" s="112"/>
      <c r="I68" s="112"/>
      <c r="J68" s="112"/>
      <c r="K68" s="112"/>
      <c r="L68" s="112"/>
      <c r="M68" s="112"/>
      <c r="N68" s="112"/>
      <c r="O68" s="117"/>
    </row>
    <row r="69" spans="2:15" x14ac:dyDescent="0.3">
      <c r="B69" s="23"/>
      <c r="C69" s="118" t="s">
        <v>178</v>
      </c>
      <c r="D69" s="119">
        <f t="shared" ref="D69:M69" si="31">D41*D65/D22*D66/D21</f>
        <v>0.86887356123853343</v>
      </c>
      <c r="E69" s="119">
        <f t="shared" si="31"/>
        <v>0.65627754563380192</v>
      </c>
      <c r="F69" s="119">
        <f t="shared" si="31"/>
        <v>1.9537860850548812</v>
      </c>
      <c r="G69" s="119">
        <f t="shared" si="31"/>
        <v>1.0264718721697863</v>
      </c>
      <c r="H69" s="119">
        <f t="shared" si="31"/>
        <v>0.92315745003134031</v>
      </c>
      <c r="I69" s="119">
        <f t="shared" si="31"/>
        <v>1.5465518181329347</v>
      </c>
      <c r="J69" s="119">
        <f t="shared" si="31"/>
        <v>0.96150529798182549</v>
      </c>
      <c r="K69" s="119">
        <f t="shared" si="31"/>
        <v>0.64560755839527217</v>
      </c>
      <c r="L69" s="119">
        <f t="shared" si="31"/>
        <v>0.83427534955544824</v>
      </c>
      <c r="M69" s="119">
        <f t="shared" si="31"/>
        <v>0.89360929120757304</v>
      </c>
      <c r="N69" s="120" t="s">
        <v>128</v>
      </c>
      <c r="O69" s="117"/>
    </row>
    <row r="70" spans="2:15" ht="15.6" x14ac:dyDescent="0.3">
      <c r="B70" s="23"/>
      <c r="C70" s="121" t="s">
        <v>179</v>
      </c>
      <c r="D70" s="122">
        <f>AVERAGE(D69:M69)</f>
        <v>1.0310115829401396</v>
      </c>
      <c r="E70" s="112"/>
      <c r="F70" s="112"/>
      <c r="G70" s="112"/>
      <c r="H70" s="112"/>
      <c r="I70" s="112"/>
      <c r="J70" s="112"/>
      <c r="K70" s="112"/>
      <c r="L70" s="112"/>
      <c r="M70" s="112"/>
      <c r="N70" s="112"/>
      <c r="O70" s="117"/>
    </row>
    <row r="71" spans="2:15" ht="19.8" customHeight="1" x14ac:dyDescent="0.3">
      <c r="B71" s="115" t="s">
        <v>180</v>
      </c>
      <c r="D71" s="123"/>
      <c r="E71" s="112"/>
      <c r="F71" s="112"/>
      <c r="G71" s="112"/>
      <c r="H71" s="112"/>
      <c r="I71" s="112"/>
      <c r="J71" s="112"/>
      <c r="K71" s="112"/>
      <c r="L71" s="112"/>
      <c r="M71" s="112"/>
      <c r="N71" s="112"/>
      <c r="O71" s="117"/>
    </row>
    <row r="72" spans="2:15" ht="15.6" x14ac:dyDescent="0.3">
      <c r="B72" s="23"/>
      <c r="C72" s="112" t="s">
        <v>177</v>
      </c>
      <c r="D72" s="124">
        <f>AVERAGE(D57:J57)</f>
        <v>8.2372881113085689E-2</v>
      </c>
      <c r="E72" s="112"/>
      <c r="F72" s="112"/>
      <c r="G72" s="112"/>
      <c r="H72" s="112"/>
      <c r="I72" s="112"/>
      <c r="J72" s="112"/>
      <c r="K72" s="112"/>
      <c r="L72" s="112"/>
      <c r="M72" s="112"/>
      <c r="N72" s="112"/>
      <c r="O72" s="117"/>
    </row>
    <row r="73" spans="2:15" x14ac:dyDescent="0.3">
      <c r="B73" s="23"/>
      <c r="C73" s="112" t="s">
        <v>181</v>
      </c>
      <c r="D73" s="125">
        <f t="shared" ref="D73:J73" si="32">D58*D65/D22*D66/D21</f>
        <v>3.4273529339986939</v>
      </c>
      <c r="E73" s="125">
        <f t="shared" si="32"/>
        <v>3.3185533386399708</v>
      </c>
      <c r="F73" s="125">
        <f t="shared" si="32"/>
        <v>3.750786709875821</v>
      </c>
      <c r="G73" s="125">
        <f t="shared" si="32"/>
        <v>2.6969171768617626</v>
      </c>
      <c r="H73" s="125">
        <f t="shared" si="32"/>
        <v>3.4125997491488538</v>
      </c>
      <c r="I73" s="125">
        <f t="shared" si="32"/>
        <v>3.8861318304215078</v>
      </c>
      <c r="J73" s="125">
        <f t="shared" si="32"/>
        <v>3.2618170076580357</v>
      </c>
      <c r="K73" s="125" t="s">
        <v>58</v>
      </c>
      <c r="L73" s="125" t="s">
        <v>58</v>
      </c>
      <c r="M73" s="125" t="s">
        <v>58</v>
      </c>
      <c r="N73" s="120" t="s">
        <v>128</v>
      </c>
      <c r="O73" s="117"/>
    </row>
    <row r="74" spans="2:15" ht="15.6" x14ac:dyDescent="0.3">
      <c r="B74" s="23"/>
      <c r="C74" s="121" t="s">
        <v>179</v>
      </c>
      <c r="D74" s="126">
        <f>AVERAGE(D73:J73)</f>
        <v>3.3934512495149494</v>
      </c>
      <c r="E74" s="112"/>
      <c r="F74" s="112"/>
      <c r="G74" s="112"/>
      <c r="H74" s="112"/>
      <c r="I74" s="112"/>
      <c r="J74" s="112"/>
      <c r="K74" s="112"/>
      <c r="L74" s="112"/>
      <c r="M74" s="112"/>
      <c r="N74" s="112"/>
      <c r="O74" s="117"/>
    </row>
    <row r="75" spans="2:15" ht="15" thickBot="1" x14ac:dyDescent="0.35">
      <c r="B75" s="6"/>
      <c r="C75" s="127"/>
      <c r="D75" s="127"/>
      <c r="E75" s="127"/>
      <c r="F75" s="127"/>
      <c r="G75" s="127"/>
      <c r="H75" s="127"/>
      <c r="I75" s="127"/>
      <c r="J75" s="127"/>
      <c r="K75" s="127"/>
      <c r="L75" s="127"/>
      <c r="M75" s="127"/>
      <c r="N75" s="127"/>
      <c r="O75" s="105"/>
    </row>
    <row r="76" spans="2:15" x14ac:dyDescent="0.3">
      <c r="B76" s="128"/>
      <c r="C76" s="112"/>
      <c r="D76" s="112"/>
      <c r="E76" s="112"/>
      <c r="F76" s="112"/>
      <c r="G76" s="112"/>
      <c r="H76" s="112"/>
      <c r="I76" s="112"/>
      <c r="J76" s="112"/>
      <c r="K76" s="112"/>
      <c r="L76" s="112"/>
      <c r="M76" s="112"/>
      <c r="N76" s="112"/>
      <c r="O76" s="112"/>
    </row>
    <row r="77" spans="2:15" x14ac:dyDescent="0.3">
      <c r="B77" s="128"/>
      <c r="C77" s="112"/>
      <c r="D77" s="112"/>
      <c r="E77" s="112"/>
      <c r="F77" s="112"/>
      <c r="G77" s="112"/>
      <c r="H77" s="112"/>
      <c r="I77" s="112"/>
      <c r="J77" s="112"/>
      <c r="K77" s="112"/>
      <c r="L77" s="112"/>
      <c r="M77" s="112"/>
      <c r="N77" s="112"/>
      <c r="O77" s="112"/>
    </row>
    <row r="78" spans="2:15" ht="15.6" x14ac:dyDescent="0.3">
      <c r="B78" s="129" t="s">
        <v>182</v>
      </c>
      <c r="C78" s="130"/>
      <c r="D78" s="130"/>
      <c r="E78" s="130"/>
      <c r="F78" s="130"/>
      <c r="G78" s="130"/>
      <c r="H78" s="130"/>
      <c r="I78" s="112"/>
      <c r="J78" s="112"/>
      <c r="K78" s="112"/>
      <c r="L78" s="112"/>
      <c r="M78" s="112"/>
      <c r="N78" s="112"/>
      <c r="O78" s="112"/>
    </row>
    <row r="79" spans="2:15" ht="11.1" customHeight="1" thickBot="1" x14ac:dyDescent="0.35"/>
    <row r="80" spans="2:15" ht="15" hidden="1" customHeight="1" x14ac:dyDescent="0.3"/>
    <row r="81" spans="3:33" ht="15" hidden="1" customHeight="1" x14ac:dyDescent="0.3"/>
    <row r="82" spans="3:33" ht="15" hidden="1" customHeight="1" x14ac:dyDescent="0.3"/>
    <row r="83" spans="3:33" ht="15" hidden="1" customHeight="1" x14ac:dyDescent="0.3"/>
    <row r="84" spans="3:33" ht="15" hidden="1" customHeight="1" x14ac:dyDescent="0.3"/>
    <row r="85" spans="3:33" ht="15" hidden="1" customHeight="1" x14ac:dyDescent="0.3"/>
    <row r="86" spans="3:33" ht="15" hidden="1" customHeight="1" x14ac:dyDescent="0.3"/>
    <row r="87" spans="3:33" s="106" customFormat="1" ht="15" hidden="1" customHeight="1" x14ac:dyDescent="0.3">
      <c r="C87"/>
      <c r="D87"/>
      <c r="E87"/>
      <c r="F87"/>
      <c r="G87"/>
      <c r="H87"/>
      <c r="I87"/>
      <c r="J87"/>
      <c r="K87"/>
      <c r="L87"/>
      <c r="M87"/>
      <c r="N87"/>
      <c r="O87"/>
      <c r="P87"/>
      <c r="Q87"/>
      <c r="R87"/>
      <c r="S87"/>
      <c r="T87"/>
      <c r="U87"/>
      <c r="V87"/>
      <c r="W87"/>
      <c r="X87"/>
      <c r="Y87"/>
      <c r="Z87"/>
      <c r="AA87"/>
      <c r="AB87"/>
      <c r="AC87"/>
      <c r="AD87"/>
      <c r="AE87"/>
      <c r="AF87"/>
      <c r="AG87"/>
    </row>
    <row r="88" spans="3:33" s="106" customFormat="1" ht="15" hidden="1" customHeight="1" x14ac:dyDescent="0.3">
      <c r="C88"/>
      <c r="D88"/>
      <c r="E88"/>
      <c r="F88"/>
      <c r="G88"/>
      <c r="H88"/>
      <c r="I88"/>
      <c r="J88"/>
      <c r="K88"/>
      <c r="L88"/>
      <c r="M88"/>
      <c r="N88"/>
      <c r="O88"/>
      <c r="P88"/>
      <c r="Q88"/>
      <c r="R88"/>
      <c r="S88"/>
      <c r="T88"/>
      <c r="U88"/>
      <c r="V88"/>
      <c r="W88"/>
      <c r="X88"/>
      <c r="Y88"/>
      <c r="Z88"/>
      <c r="AA88"/>
      <c r="AB88"/>
      <c r="AC88"/>
      <c r="AD88"/>
      <c r="AE88"/>
      <c r="AF88"/>
      <c r="AG88"/>
    </row>
    <row r="89" spans="3:33" s="106" customFormat="1" ht="15" hidden="1" customHeight="1" x14ac:dyDescent="0.3">
      <c r="C89"/>
      <c r="D89"/>
      <c r="E89"/>
      <c r="F89"/>
      <c r="G89"/>
      <c r="H89"/>
      <c r="I89"/>
      <c r="J89"/>
      <c r="K89"/>
      <c r="L89"/>
      <c r="M89"/>
      <c r="N89"/>
      <c r="O89"/>
      <c r="P89"/>
      <c r="Q89"/>
      <c r="R89"/>
      <c r="S89"/>
      <c r="T89"/>
      <c r="U89"/>
      <c r="V89"/>
      <c r="W89"/>
      <c r="X89"/>
      <c r="Y89"/>
      <c r="Z89"/>
      <c r="AA89"/>
      <c r="AB89"/>
      <c r="AC89"/>
      <c r="AD89"/>
      <c r="AE89"/>
      <c r="AF89"/>
      <c r="AG89"/>
    </row>
    <row r="90" spans="3:33" s="106" customFormat="1" ht="15" hidden="1" customHeight="1" x14ac:dyDescent="0.3">
      <c r="C90"/>
      <c r="D90"/>
      <c r="E90"/>
      <c r="F90"/>
      <c r="G90"/>
      <c r="H90"/>
      <c r="I90"/>
      <c r="J90"/>
      <c r="K90"/>
      <c r="L90"/>
      <c r="M90"/>
      <c r="N90"/>
      <c r="O90"/>
      <c r="P90"/>
      <c r="Q90"/>
      <c r="R90"/>
      <c r="S90"/>
      <c r="T90"/>
      <c r="U90"/>
      <c r="V90"/>
      <c r="W90"/>
      <c r="X90"/>
      <c r="Y90"/>
      <c r="Z90"/>
      <c r="AA90"/>
      <c r="AB90"/>
      <c r="AC90"/>
      <c r="AD90"/>
      <c r="AE90"/>
      <c r="AF90"/>
      <c r="AG90"/>
    </row>
    <row r="91" spans="3:33" s="106" customFormat="1" ht="15" hidden="1" customHeight="1" x14ac:dyDescent="0.3">
      <c r="C91"/>
      <c r="D91"/>
      <c r="E91"/>
      <c r="F91"/>
      <c r="G91"/>
      <c r="H91"/>
      <c r="I91"/>
      <c r="J91"/>
      <c r="K91"/>
      <c r="L91"/>
      <c r="M91"/>
      <c r="N91"/>
      <c r="O91"/>
      <c r="P91"/>
      <c r="Q91"/>
      <c r="R91"/>
      <c r="S91"/>
      <c r="T91"/>
      <c r="U91"/>
      <c r="V91"/>
      <c r="W91"/>
      <c r="X91"/>
      <c r="Y91"/>
      <c r="Z91"/>
      <c r="AA91"/>
      <c r="AB91"/>
      <c r="AC91"/>
      <c r="AD91"/>
      <c r="AE91"/>
      <c r="AF91"/>
      <c r="AG91"/>
    </row>
    <row r="92" spans="3:33" s="106" customFormat="1" ht="15" hidden="1" customHeight="1" x14ac:dyDescent="0.3">
      <c r="C92"/>
      <c r="D92"/>
      <c r="E92"/>
      <c r="F92"/>
      <c r="G92"/>
      <c r="H92"/>
      <c r="I92"/>
      <c r="J92"/>
      <c r="K92"/>
      <c r="L92"/>
      <c r="M92"/>
      <c r="N92"/>
      <c r="O92"/>
      <c r="P92"/>
      <c r="Q92"/>
      <c r="R92"/>
      <c r="S92"/>
      <c r="T92"/>
      <c r="U92"/>
      <c r="V92"/>
      <c r="W92"/>
      <c r="X92"/>
      <c r="Y92"/>
      <c r="Z92"/>
      <c r="AA92"/>
      <c r="AB92"/>
      <c r="AC92"/>
      <c r="AD92"/>
      <c r="AE92"/>
      <c r="AF92"/>
      <c r="AG92"/>
    </row>
    <row r="93" spans="3:33" s="106" customFormat="1" ht="15" hidden="1" customHeight="1" x14ac:dyDescent="0.3">
      <c r="C93"/>
      <c r="D93"/>
      <c r="E93"/>
      <c r="F93"/>
      <c r="G93"/>
      <c r="H93"/>
      <c r="I93"/>
      <c r="J93"/>
      <c r="K93"/>
      <c r="L93"/>
      <c r="M93"/>
      <c r="N93"/>
      <c r="O93"/>
      <c r="P93"/>
      <c r="Q93"/>
      <c r="R93"/>
      <c r="S93"/>
      <c r="T93"/>
      <c r="U93"/>
      <c r="V93"/>
      <c r="W93"/>
      <c r="X93"/>
      <c r="Y93"/>
      <c r="Z93"/>
      <c r="AA93"/>
      <c r="AB93"/>
      <c r="AC93"/>
      <c r="AD93"/>
      <c r="AE93"/>
      <c r="AF93"/>
      <c r="AG93"/>
    </row>
    <row r="94" spans="3:33" s="106" customFormat="1" ht="15" hidden="1" customHeight="1" x14ac:dyDescent="0.3">
      <c r="C94"/>
      <c r="D94"/>
      <c r="E94"/>
      <c r="F94"/>
      <c r="G94"/>
      <c r="H94"/>
      <c r="I94"/>
      <c r="J94"/>
      <c r="K94"/>
      <c r="L94"/>
      <c r="M94"/>
      <c r="N94"/>
      <c r="O94"/>
      <c r="P94"/>
      <c r="Q94"/>
      <c r="R94"/>
      <c r="S94"/>
      <c r="T94"/>
      <c r="U94"/>
      <c r="V94"/>
      <c r="W94"/>
      <c r="X94"/>
      <c r="Y94"/>
      <c r="Z94"/>
      <c r="AA94"/>
      <c r="AB94"/>
      <c r="AC94"/>
      <c r="AD94"/>
      <c r="AE94"/>
      <c r="AF94"/>
      <c r="AG94"/>
    </row>
    <row r="95" spans="3:33" s="106" customFormat="1" ht="15" hidden="1" customHeight="1" x14ac:dyDescent="0.3">
      <c r="C95"/>
      <c r="D95"/>
      <c r="E95"/>
      <c r="F95"/>
      <c r="G95"/>
      <c r="H95"/>
      <c r="I95"/>
      <c r="J95"/>
      <c r="K95"/>
      <c r="L95"/>
      <c r="M95"/>
      <c r="N95"/>
      <c r="O95"/>
      <c r="P95"/>
      <c r="Q95"/>
      <c r="R95"/>
      <c r="S95"/>
      <c r="T95"/>
      <c r="U95"/>
      <c r="V95"/>
      <c r="W95"/>
      <c r="X95"/>
      <c r="Y95"/>
      <c r="Z95"/>
      <c r="AA95"/>
      <c r="AB95"/>
      <c r="AC95"/>
      <c r="AD95"/>
      <c r="AE95"/>
      <c r="AF95"/>
      <c r="AG95"/>
    </row>
    <row r="96" spans="3:33" s="106" customFormat="1" ht="15" hidden="1" customHeight="1" x14ac:dyDescent="0.3">
      <c r="C96"/>
      <c r="D96"/>
      <c r="E96"/>
      <c r="F96"/>
      <c r="G96"/>
      <c r="H96"/>
      <c r="I96"/>
      <c r="J96"/>
      <c r="K96"/>
      <c r="L96"/>
      <c r="M96"/>
      <c r="N96"/>
      <c r="O96"/>
      <c r="P96"/>
      <c r="Q96"/>
      <c r="R96"/>
      <c r="S96"/>
      <c r="T96"/>
      <c r="U96"/>
      <c r="V96"/>
      <c r="W96"/>
      <c r="X96"/>
      <c r="Y96"/>
      <c r="Z96"/>
      <c r="AA96"/>
      <c r="AB96"/>
      <c r="AC96"/>
      <c r="AD96"/>
      <c r="AE96"/>
      <c r="AF96"/>
      <c r="AG96"/>
    </row>
    <row r="97" spans="3:33" s="106" customFormat="1" ht="15" hidden="1" customHeight="1" x14ac:dyDescent="0.3">
      <c r="C97"/>
      <c r="D97"/>
      <c r="E97"/>
      <c r="F97"/>
      <c r="G97"/>
      <c r="H97"/>
      <c r="I97"/>
      <c r="J97"/>
      <c r="K97"/>
      <c r="L97"/>
      <c r="M97"/>
      <c r="N97"/>
      <c r="O97"/>
      <c r="P97"/>
      <c r="Q97"/>
      <c r="R97"/>
      <c r="S97"/>
      <c r="T97"/>
      <c r="U97"/>
      <c r="V97"/>
      <c r="W97"/>
      <c r="X97"/>
      <c r="Y97"/>
      <c r="Z97"/>
      <c r="AA97"/>
      <c r="AB97"/>
      <c r="AC97"/>
      <c r="AD97"/>
      <c r="AE97"/>
      <c r="AF97"/>
      <c r="AG97"/>
    </row>
    <row r="98" spans="3:33" s="106" customFormat="1" ht="15" hidden="1" customHeight="1" x14ac:dyDescent="0.3">
      <c r="C98"/>
      <c r="D98"/>
      <c r="E98"/>
      <c r="F98"/>
      <c r="G98"/>
      <c r="H98"/>
      <c r="I98"/>
      <c r="J98"/>
      <c r="K98"/>
      <c r="L98"/>
      <c r="M98"/>
      <c r="N98"/>
      <c r="O98"/>
      <c r="P98"/>
      <c r="Q98"/>
      <c r="R98"/>
      <c r="S98"/>
      <c r="T98"/>
      <c r="U98"/>
      <c r="V98"/>
      <c r="W98"/>
      <c r="X98"/>
      <c r="Y98"/>
      <c r="Z98"/>
      <c r="AA98"/>
      <c r="AB98"/>
      <c r="AC98"/>
      <c r="AD98"/>
      <c r="AE98"/>
      <c r="AF98"/>
      <c r="AG98"/>
    </row>
    <row r="99" spans="3:33" s="106" customFormat="1" ht="15" hidden="1" customHeight="1" x14ac:dyDescent="0.3">
      <c r="C99"/>
      <c r="D99"/>
      <c r="E99"/>
      <c r="F99"/>
      <c r="G99"/>
      <c r="H99"/>
      <c r="I99"/>
      <c r="J99"/>
      <c r="K99"/>
      <c r="L99"/>
      <c r="M99"/>
      <c r="N99"/>
      <c r="O99"/>
      <c r="P99"/>
      <c r="Q99"/>
      <c r="R99"/>
      <c r="S99"/>
      <c r="T99"/>
      <c r="U99"/>
      <c r="V99"/>
      <c r="W99"/>
      <c r="X99"/>
      <c r="Y99"/>
      <c r="Z99"/>
      <c r="AA99"/>
      <c r="AB99"/>
      <c r="AC99"/>
      <c r="AD99"/>
      <c r="AE99"/>
      <c r="AF99"/>
      <c r="AG99"/>
    </row>
    <row r="100" spans="3:33" s="106" customFormat="1" ht="15" hidden="1" customHeight="1" x14ac:dyDescent="0.3">
      <c r="C100"/>
      <c r="D100"/>
      <c r="E100"/>
      <c r="F100"/>
      <c r="G100"/>
      <c r="H100"/>
      <c r="I100"/>
      <c r="J100"/>
      <c r="K100"/>
      <c r="L100"/>
      <c r="M100"/>
      <c r="N100"/>
      <c r="O100"/>
      <c r="P100"/>
      <c r="Q100"/>
      <c r="R100"/>
      <c r="S100"/>
      <c r="T100"/>
      <c r="U100"/>
      <c r="V100"/>
      <c r="W100"/>
      <c r="X100"/>
      <c r="Y100"/>
      <c r="Z100"/>
      <c r="AA100"/>
      <c r="AB100"/>
      <c r="AC100"/>
      <c r="AD100"/>
      <c r="AE100"/>
      <c r="AF100"/>
      <c r="AG100"/>
    </row>
    <row r="101" spans="3:33" s="106" customFormat="1" ht="15" hidden="1" customHeight="1" x14ac:dyDescent="0.3">
      <c r="C101"/>
      <c r="D101"/>
      <c r="E101"/>
      <c r="F101"/>
      <c r="G101"/>
      <c r="H101"/>
      <c r="I101"/>
      <c r="J101"/>
      <c r="K101"/>
      <c r="L101"/>
      <c r="M101"/>
      <c r="N101"/>
      <c r="O101"/>
      <c r="P101"/>
      <c r="Q101"/>
      <c r="R101"/>
      <c r="S101"/>
      <c r="T101"/>
      <c r="U101"/>
      <c r="V101"/>
      <c r="W101"/>
      <c r="X101"/>
      <c r="Y101"/>
      <c r="Z101"/>
      <c r="AA101"/>
      <c r="AB101"/>
      <c r="AC101"/>
      <c r="AD101"/>
      <c r="AE101"/>
      <c r="AF101"/>
      <c r="AG101"/>
    </row>
    <row r="102" spans="3:33" s="106" customFormat="1" ht="15" hidden="1" customHeight="1" x14ac:dyDescent="0.3">
      <c r="C102"/>
      <c r="D102"/>
      <c r="E102"/>
      <c r="F102"/>
      <c r="G102"/>
      <c r="H102"/>
      <c r="I102"/>
      <c r="J102"/>
      <c r="K102"/>
      <c r="L102"/>
      <c r="M102"/>
      <c r="N102"/>
      <c r="O102"/>
      <c r="P102"/>
      <c r="Q102"/>
      <c r="R102"/>
      <c r="S102"/>
      <c r="T102"/>
      <c r="U102"/>
      <c r="V102"/>
      <c r="W102"/>
      <c r="X102"/>
      <c r="Y102"/>
      <c r="Z102"/>
      <c r="AA102"/>
      <c r="AB102"/>
      <c r="AC102"/>
      <c r="AD102"/>
      <c r="AE102"/>
      <c r="AF102"/>
      <c r="AG102"/>
    </row>
    <row r="103" spans="3:33" ht="15" hidden="1" customHeight="1" x14ac:dyDescent="0.3">
      <c r="D103">
        <f t="shared" ref="D103:D104" si="33">D102-10</f>
        <v>-10</v>
      </c>
    </row>
    <row r="104" spans="3:33" ht="15" hidden="1" customHeight="1" x14ac:dyDescent="0.3">
      <c r="D104">
        <f t="shared" si="33"/>
        <v>-20</v>
      </c>
    </row>
    <row r="105" spans="3:33" ht="15" hidden="1" customHeight="1" x14ac:dyDescent="0.3"/>
    <row r="106" spans="3:33" ht="15" hidden="1" customHeight="1" x14ac:dyDescent="0.3"/>
    <row r="107" spans="3:33" ht="15" hidden="1" customHeight="1" x14ac:dyDescent="0.3"/>
    <row r="108" spans="3:33" ht="15" hidden="1" customHeight="1" x14ac:dyDescent="0.3"/>
    <row r="109" spans="3:33" ht="15" hidden="1" customHeight="1" x14ac:dyDescent="0.3"/>
    <row r="110" spans="3:33" ht="15" hidden="1" customHeight="1" x14ac:dyDescent="0.3"/>
    <row r="111" spans="3:33" ht="15" hidden="1" customHeight="1" x14ac:dyDescent="0.3"/>
    <row r="112" spans="3:33" ht="15" hidden="1" customHeight="1" x14ac:dyDescent="0.3"/>
    <row r="113" spans="3:33" ht="15" hidden="1" customHeight="1" x14ac:dyDescent="0.3"/>
    <row r="114" spans="3:33" ht="15" hidden="1" customHeight="1" x14ac:dyDescent="0.3"/>
    <row r="115" spans="3:33" ht="15" hidden="1" customHeight="1" x14ac:dyDescent="0.3"/>
    <row r="116" spans="3:33" ht="15" hidden="1" customHeight="1" x14ac:dyDescent="0.3"/>
    <row r="117" spans="3:33" ht="15" hidden="1" customHeight="1" x14ac:dyDescent="0.3"/>
    <row r="118" spans="3:33" ht="15" hidden="1" customHeight="1" x14ac:dyDescent="0.3"/>
    <row r="119" spans="3:33" ht="15" hidden="1" customHeight="1" x14ac:dyDescent="0.3"/>
    <row r="120" spans="3:33" ht="15" hidden="1" customHeight="1" x14ac:dyDescent="0.3"/>
    <row r="121" spans="3:33" ht="15" hidden="1" customHeight="1" x14ac:dyDescent="0.3"/>
    <row r="122" spans="3:33" ht="15" hidden="1" customHeight="1" x14ac:dyDescent="0.3"/>
    <row r="123" spans="3:33" ht="15" hidden="1" customHeight="1" x14ac:dyDescent="0.3"/>
    <row r="124" spans="3:33" ht="15" hidden="1" customHeight="1" x14ac:dyDescent="0.3"/>
    <row r="125" spans="3:33" ht="15" hidden="1" customHeight="1" x14ac:dyDescent="0.3"/>
    <row r="126" spans="3:33" s="106" customFormat="1" ht="15" hidden="1" customHeight="1" x14ac:dyDescent="0.3">
      <c r="C126"/>
      <c r="D126"/>
      <c r="E126"/>
      <c r="F126"/>
      <c r="G126"/>
      <c r="H126"/>
      <c r="I126"/>
      <c r="J126"/>
      <c r="K126"/>
      <c r="L126"/>
      <c r="M126"/>
      <c r="N126"/>
      <c r="O126"/>
      <c r="P126"/>
      <c r="Q126"/>
      <c r="R126"/>
      <c r="S126"/>
      <c r="T126"/>
      <c r="U126"/>
      <c r="V126"/>
      <c r="W126"/>
      <c r="X126"/>
      <c r="Y126"/>
      <c r="Z126"/>
      <c r="AA126"/>
      <c r="AB126"/>
      <c r="AC126"/>
      <c r="AD126"/>
      <c r="AE126"/>
      <c r="AF126"/>
      <c r="AG126"/>
    </row>
    <row r="127" spans="3:33" s="106" customFormat="1" ht="15" hidden="1" customHeight="1" x14ac:dyDescent="0.3">
      <c r="C127"/>
      <c r="D127"/>
      <c r="E127"/>
      <c r="F127"/>
      <c r="G127"/>
      <c r="H127"/>
      <c r="I127"/>
      <c r="J127"/>
      <c r="K127"/>
      <c r="L127"/>
      <c r="M127"/>
      <c r="N127"/>
      <c r="O127"/>
      <c r="P127"/>
      <c r="Q127"/>
      <c r="R127"/>
      <c r="S127"/>
      <c r="T127"/>
      <c r="U127"/>
      <c r="V127"/>
      <c r="W127"/>
      <c r="X127"/>
      <c r="Y127"/>
      <c r="Z127"/>
      <c r="AA127"/>
      <c r="AB127"/>
      <c r="AC127"/>
      <c r="AD127"/>
      <c r="AE127"/>
      <c r="AF127"/>
      <c r="AG127"/>
    </row>
    <row r="128" spans="3:33" s="106" customFormat="1" ht="15" hidden="1" thickBot="1" x14ac:dyDescent="0.35">
      <c r="C128"/>
      <c r="D128"/>
      <c r="E128"/>
      <c r="F128"/>
      <c r="G128"/>
      <c r="H128"/>
      <c r="I128"/>
      <c r="J128"/>
      <c r="K128"/>
      <c r="L128"/>
      <c r="M128"/>
      <c r="N128"/>
      <c r="O128"/>
      <c r="P128"/>
      <c r="Q128"/>
      <c r="R128"/>
      <c r="S128"/>
      <c r="T128"/>
      <c r="U128"/>
      <c r="V128"/>
      <c r="W128"/>
      <c r="X128"/>
      <c r="Y128"/>
      <c r="Z128"/>
      <c r="AA128"/>
      <c r="AB128"/>
      <c r="AC128"/>
      <c r="AD128"/>
      <c r="AE128"/>
      <c r="AF128"/>
      <c r="AG128"/>
    </row>
    <row r="129" spans="2:15" x14ac:dyDescent="0.3">
      <c r="B129" s="109"/>
      <c r="C129" s="110"/>
      <c r="D129" s="110"/>
      <c r="E129" s="110"/>
      <c r="F129" s="110"/>
      <c r="G129" s="110"/>
      <c r="H129" s="110"/>
      <c r="I129" s="110"/>
      <c r="J129" s="110"/>
      <c r="K129" s="110"/>
      <c r="L129" s="110"/>
      <c r="M129" s="110"/>
      <c r="N129" s="110"/>
      <c r="O129" s="111"/>
    </row>
    <row r="130" spans="2:15" ht="40.200000000000003" customHeight="1" x14ac:dyDescent="0.3">
      <c r="B130" s="23"/>
      <c r="C130" s="112" t="s">
        <v>183</v>
      </c>
      <c r="D130" s="113">
        <v>0.4</v>
      </c>
      <c r="E130" s="113">
        <v>0.4</v>
      </c>
      <c r="F130" s="113">
        <v>0.4</v>
      </c>
      <c r="G130" s="113">
        <v>0.4</v>
      </c>
      <c r="H130" s="113">
        <v>0.4</v>
      </c>
      <c r="I130" s="113">
        <v>0.4</v>
      </c>
      <c r="J130" s="113">
        <v>0.4</v>
      </c>
      <c r="K130" s="113">
        <v>0.4</v>
      </c>
      <c r="L130" s="113">
        <v>0.4</v>
      </c>
      <c r="M130" s="113">
        <v>0.4</v>
      </c>
      <c r="N130" s="112" t="s">
        <v>59</v>
      </c>
      <c r="O130" s="114" t="s">
        <v>184</v>
      </c>
    </row>
    <row r="131" spans="2:15" ht="49.8" customHeight="1" x14ac:dyDescent="0.3">
      <c r="B131" s="23"/>
      <c r="C131" s="112" t="s">
        <v>185</v>
      </c>
      <c r="D131" s="112">
        <v>7640</v>
      </c>
      <c r="E131" s="112">
        <v>7640</v>
      </c>
      <c r="F131" s="112">
        <v>7640</v>
      </c>
      <c r="G131" s="112">
        <v>7640</v>
      </c>
      <c r="H131" s="112">
        <v>7640</v>
      </c>
      <c r="I131" s="112">
        <v>7640</v>
      </c>
      <c r="J131" s="112">
        <v>7640</v>
      </c>
      <c r="K131" s="112">
        <v>7640</v>
      </c>
      <c r="L131" s="112">
        <v>7640</v>
      </c>
      <c r="M131" s="112">
        <v>7640</v>
      </c>
      <c r="N131" s="112" t="s">
        <v>175</v>
      </c>
      <c r="O131" s="114" t="s">
        <v>186</v>
      </c>
    </row>
    <row r="132" spans="2:15" ht="23.4" customHeight="1" x14ac:dyDescent="0.3">
      <c r="B132" s="115" t="s">
        <v>176</v>
      </c>
      <c r="C132" s="112"/>
      <c r="D132" s="112"/>
      <c r="E132" s="112"/>
      <c r="F132" s="112"/>
      <c r="G132" s="112"/>
      <c r="H132" s="112"/>
      <c r="I132" s="112"/>
      <c r="J132" s="112"/>
      <c r="K132" s="112"/>
      <c r="L132" s="112"/>
      <c r="M132" s="112"/>
      <c r="N132" s="112"/>
      <c r="O132" s="114"/>
    </row>
    <row r="133" spans="2:15" x14ac:dyDescent="0.3">
      <c r="B133" s="23"/>
      <c r="C133" s="112" t="s">
        <v>177</v>
      </c>
      <c r="D133" s="116">
        <f>AVERAGE(D40:M40)</f>
        <v>2.3553630468124899E-2</v>
      </c>
      <c r="E133" s="112"/>
      <c r="F133" s="112"/>
      <c r="G133" s="112"/>
      <c r="H133" s="112"/>
      <c r="I133" s="112"/>
      <c r="J133" s="112"/>
      <c r="K133" s="112"/>
      <c r="L133" s="112"/>
      <c r="M133" s="112"/>
      <c r="N133" s="112"/>
      <c r="O133" s="117"/>
    </row>
    <row r="134" spans="2:15" x14ac:dyDescent="0.3">
      <c r="B134" s="23"/>
      <c r="C134" s="118" t="s">
        <v>178</v>
      </c>
      <c r="D134" s="131">
        <f>D41*D130/D22*D131/D21</f>
        <v>0.7234221518795998</v>
      </c>
      <c r="E134" s="131">
        <f t="shared" ref="E134:M134" si="34">E41*E130/E22*E131/E21</f>
        <v>0.54641519258097093</v>
      </c>
      <c r="F134" s="131">
        <f t="shared" si="34"/>
        <v>1.6267178528807764</v>
      </c>
      <c r="G134" s="131">
        <f t="shared" si="34"/>
        <v>0.85463814729320386</v>
      </c>
      <c r="H134" s="131">
        <f t="shared" si="34"/>
        <v>0.76861879428509294</v>
      </c>
      <c r="I134" s="131">
        <f t="shared" si="34"/>
        <v>1.2876555280059745</v>
      </c>
      <c r="J134" s="131">
        <f t="shared" si="34"/>
        <v>0.80054712531262151</v>
      </c>
      <c r="K134" s="131">
        <f t="shared" si="34"/>
        <v>0.53753138546222035</v>
      </c>
      <c r="L134" s="131">
        <f t="shared" si="34"/>
        <v>0.69461575948427179</v>
      </c>
      <c r="M134" s="131">
        <f t="shared" si="34"/>
        <v>0.74401706442016313</v>
      </c>
      <c r="N134" s="120" t="s">
        <v>128</v>
      </c>
      <c r="O134" s="117"/>
    </row>
    <row r="135" spans="2:15" ht="15.6" x14ac:dyDescent="0.3">
      <c r="B135" s="23"/>
      <c r="C135" s="121" t="s">
        <v>179</v>
      </c>
      <c r="D135" s="132">
        <f>AVERAGE(D134:M134)</f>
        <v>0.85841790016048947</v>
      </c>
      <c r="E135" s="112"/>
      <c r="F135" s="112"/>
      <c r="G135" s="112"/>
      <c r="H135" s="112"/>
      <c r="I135" s="112"/>
      <c r="J135" s="112"/>
      <c r="K135" s="112"/>
      <c r="L135" s="112"/>
      <c r="M135" s="112"/>
      <c r="N135" s="112"/>
      <c r="O135" s="117"/>
    </row>
    <row r="136" spans="2:15" ht="20.399999999999999" customHeight="1" x14ac:dyDescent="0.3">
      <c r="B136" s="115" t="s">
        <v>180</v>
      </c>
      <c r="C136" s="121"/>
      <c r="D136" s="112"/>
      <c r="E136" s="112"/>
      <c r="F136" s="112"/>
      <c r="G136" s="112"/>
      <c r="H136" s="112"/>
      <c r="I136" s="112"/>
      <c r="J136" s="112"/>
      <c r="K136" s="112"/>
      <c r="L136" s="112"/>
      <c r="M136" s="112"/>
      <c r="N136" s="112"/>
      <c r="O136" s="117"/>
    </row>
    <row r="137" spans="2:15" ht="15.6" x14ac:dyDescent="0.3">
      <c r="B137" s="115"/>
      <c r="C137" s="112" t="s">
        <v>177</v>
      </c>
      <c r="D137" s="124">
        <f>AVERAGE(D57:J57)</f>
        <v>8.2372881113085689E-2</v>
      </c>
      <c r="E137" s="112"/>
      <c r="F137" s="112"/>
      <c r="G137" s="112"/>
      <c r="H137" s="112"/>
      <c r="I137" s="112"/>
      <c r="J137" s="112"/>
      <c r="K137" s="112"/>
      <c r="L137" s="112"/>
      <c r="M137" s="112"/>
      <c r="N137" s="112"/>
      <c r="O137" s="117"/>
    </row>
    <row r="138" spans="2:15" x14ac:dyDescent="0.3">
      <c r="B138" s="23"/>
      <c r="C138" s="112" t="s">
        <v>181</v>
      </c>
      <c r="D138" s="133">
        <f>D58*D130/D22*D131/D21</f>
        <v>2.8536062614563944</v>
      </c>
      <c r="E138" s="133">
        <f t="shared" ref="E138:J138" si="35">E58*E130/E22*E131/E21</f>
        <v>2.7630199656945083</v>
      </c>
      <c r="F138" s="133">
        <f t="shared" si="35"/>
        <v>3.1228964879906798</v>
      </c>
      <c r="G138" s="133">
        <f t="shared" si="35"/>
        <v>2.2454471105615532</v>
      </c>
      <c r="H138" s="133">
        <f t="shared" si="35"/>
        <v>2.841322793288787</v>
      </c>
      <c r="I138" s="133">
        <f t="shared" si="35"/>
        <v>3.2355845276773709</v>
      </c>
      <c r="J138" s="133">
        <f t="shared" si="35"/>
        <v>2.7157814254974766</v>
      </c>
      <c r="K138" s="134" t="s">
        <v>58</v>
      </c>
      <c r="L138" s="134" t="s">
        <v>58</v>
      </c>
      <c r="M138" s="134" t="s">
        <v>58</v>
      </c>
      <c r="N138" s="120" t="s">
        <v>128</v>
      </c>
      <c r="O138" s="117"/>
    </row>
    <row r="139" spans="2:15" ht="15.6" x14ac:dyDescent="0.3">
      <c r="B139" s="23"/>
      <c r="C139" s="121" t="s">
        <v>179</v>
      </c>
      <c r="D139" s="135">
        <f>AVERAGE(D138:J138)</f>
        <v>2.8253797960238241</v>
      </c>
      <c r="E139" s="112"/>
      <c r="F139" s="112"/>
      <c r="G139" s="112"/>
      <c r="H139" s="112"/>
      <c r="I139" s="112"/>
      <c r="J139" s="112"/>
      <c r="K139" s="112"/>
      <c r="L139" s="112"/>
      <c r="M139" s="112"/>
      <c r="N139" s="112"/>
      <c r="O139" s="117"/>
    </row>
    <row r="140" spans="2:15" ht="15" thickBot="1" x14ac:dyDescent="0.35">
      <c r="B140" s="6"/>
      <c r="C140" s="127"/>
      <c r="D140" s="127"/>
      <c r="E140" s="127"/>
      <c r="F140" s="127"/>
      <c r="G140" s="127"/>
      <c r="H140" s="127"/>
      <c r="I140" s="127"/>
      <c r="J140" s="127"/>
      <c r="K140" s="127"/>
      <c r="L140" s="127"/>
      <c r="M140" s="127"/>
      <c r="N140" s="127"/>
      <c r="O140" s="10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E933D-65FB-49E2-BA9A-96F2DF47791E}">
  <dimension ref="B3:Q20"/>
  <sheetViews>
    <sheetView zoomScale="90" zoomScaleNormal="90" workbookViewId="0">
      <selection activeCell="C23" sqref="C23"/>
    </sheetView>
  </sheetViews>
  <sheetFormatPr defaultRowHeight="14.4" x14ac:dyDescent="0.3"/>
  <cols>
    <col min="1" max="1" width="5.109375" customWidth="1"/>
    <col min="2" max="2" width="16.5546875" customWidth="1"/>
    <col min="3" max="3" width="10.44140625" customWidth="1"/>
    <col min="4" max="4" width="11.21875" customWidth="1"/>
    <col min="5" max="5" width="11.88671875" customWidth="1"/>
    <col min="6" max="6" width="11.5546875" customWidth="1"/>
    <col min="7" max="7" width="12.21875" customWidth="1"/>
    <col min="8" max="8" width="11.21875" customWidth="1"/>
    <col min="9" max="9" width="11.6640625" customWidth="1"/>
    <col min="10" max="10" width="11.33203125" customWidth="1"/>
    <col min="11" max="11" width="12.109375" customWidth="1"/>
    <col min="12" max="13" width="11.21875" customWidth="1"/>
    <col min="14" max="14" width="10.88671875" customWidth="1"/>
    <col min="15" max="15" width="11.109375" customWidth="1"/>
    <col min="16" max="16" width="11.33203125" customWidth="1"/>
    <col min="17" max="17" width="12.44140625" customWidth="1"/>
  </cols>
  <sheetData>
    <row r="3" spans="2:17" ht="18" x14ac:dyDescent="0.35">
      <c r="B3" s="136" t="s">
        <v>187</v>
      </c>
      <c r="C3" s="137"/>
      <c r="D3" s="137"/>
      <c r="E3" s="137"/>
      <c r="F3" s="137"/>
      <c r="G3" s="137"/>
      <c r="H3" s="137"/>
      <c r="I3" s="137"/>
      <c r="J3" s="137"/>
      <c r="K3" s="137"/>
      <c r="L3" s="137"/>
      <c r="M3" s="137"/>
      <c r="N3" s="137"/>
      <c r="O3" s="137"/>
      <c r="P3" s="137"/>
      <c r="Q3" s="137"/>
    </row>
    <row r="4" spans="2:17" ht="15" thickBot="1" x14ac:dyDescent="0.35">
      <c r="B4" s="137"/>
      <c r="C4" s="137"/>
      <c r="D4" s="137"/>
      <c r="E4" s="137"/>
      <c r="F4" s="137"/>
      <c r="G4" s="137"/>
      <c r="H4" s="137"/>
      <c r="I4" s="137"/>
      <c r="J4" s="137"/>
      <c r="K4" s="137"/>
      <c r="L4" s="137"/>
      <c r="M4" s="137"/>
      <c r="N4" s="137"/>
      <c r="O4" s="137"/>
      <c r="P4" s="137"/>
      <c r="Q4" s="137"/>
    </row>
    <row r="5" spans="2:17" ht="47.4" thickBot="1" x14ac:dyDescent="0.35">
      <c r="B5" s="138" t="s">
        <v>188</v>
      </c>
      <c r="C5" s="139" t="s">
        <v>189</v>
      </c>
      <c r="D5" s="139" t="s">
        <v>190</v>
      </c>
      <c r="E5" s="139" t="s">
        <v>191</v>
      </c>
      <c r="F5" s="139" t="s">
        <v>192</v>
      </c>
      <c r="G5" s="139" t="s">
        <v>193</v>
      </c>
      <c r="H5" s="139" t="s">
        <v>194</v>
      </c>
      <c r="I5" s="139" t="s">
        <v>195</v>
      </c>
      <c r="J5" s="139" t="s">
        <v>196</v>
      </c>
      <c r="K5" s="139" t="s">
        <v>197</v>
      </c>
      <c r="L5" s="139" t="s">
        <v>198</v>
      </c>
      <c r="M5" s="139" t="s">
        <v>199</v>
      </c>
      <c r="N5" s="139" t="s">
        <v>200</v>
      </c>
      <c r="O5" s="140" t="s">
        <v>201</v>
      </c>
      <c r="P5" s="141" t="s">
        <v>202</v>
      </c>
      <c r="Q5" s="142" t="s">
        <v>203</v>
      </c>
    </row>
    <row r="6" spans="2:17" x14ac:dyDescent="0.3">
      <c r="B6" s="143" t="s">
        <v>12</v>
      </c>
      <c r="C6" s="137">
        <v>500</v>
      </c>
      <c r="D6" s="137">
        <v>2</v>
      </c>
      <c r="E6" s="144">
        <f>C6*2*33.475</f>
        <v>33475</v>
      </c>
      <c r="F6" s="145">
        <f>E6/H6</f>
        <v>41843.75</v>
      </c>
      <c r="G6" s="137" t="s">
        <v>204</v>
      </c>
      <c r="H6" s="146">
        <v>0.8</v>
      </c>
      <c r="I6" s="147">
        <v>32900</v>
      </c>
      <c r="J6" s="148">
        <f>I6/(C6*D6)</f>
        <v>32.9</v>
      </c>
      <c r="K6" s="149">
        <f>I6/F6</f>
        <v>0.78625840179238238</v>
      </c>
      <c r="L6" s="147">
        <v>7200</v>
      </c>
      <c r="M6" s="147">
        <v>30000</v>
      </c>
      <c r="N6" s="147">
        <f>I6+L6+M6</f>
        <v>70100</v>
      </c>
      <c r="O6" s="150">
        <f>N6/(C6*D6)</f>
        <v>70.099999999999994</v>
      </c>
      <c r="P6" s="150">
        <f>N6/E6</f>
        <v>2.0941000746825988</v>
      </c>
      <c r="Q6" s="151">
        <f>N6/F6</f>
        <v>1.6752800597460791</v>
      </c>
    </row>
    <row r="7" spans="2:17" x14ac:dyDescent="0.3">
      <c r="B7" s="143" t="s">
        <v>10</v>
      </c>
      <c r="C7" s="137">
        <v>1200</v>
      </c>
      <c r="D7" s="137">
        <v>1</v>
      </c>
      <c r="E7" s="144">
        <f>C7*33.475</f>
        <v>40170</v>
      </c>
      <c r="F7" s="145">
        <f t="shared" ref="F7:F16" si="0">E7/H7</f>
        <v>48750</v>
      </c>
      <c r="G7" s="137" t="s">
        <v>204</v>
      </c>
      <c r="H7" s="146">
        <v>0.82399999999999995</v>
      </c>
      <c r="I7" s="147">
        <v>23031.8</v>
      </c>
      <c r="J7" s="152">
        <f t="shared" ref="J7:J16" si="1">I7/(C7*D7)</f>
        <v>19.193166666666666</v>
      </c>
      <c r="K7" s="153">
        <f t="shared" ref="K7:K16" si="2">I7/F7</f>
        <v>0.47244717948717946</v>
      </c>
      <c r="L7" s="147">
        <v>10000</v>
      </c>
      <c r="M7" s="147">
        <v>40000</v>
      </c>
      <c r="N7" s="147">
        <f t="shared" ref="N7:N16" si="3">I7+L7+M7</f>
        <v>73031.8</v>
      </c>
      <c r="O7" s="150">
        <f t="shared" ref="O7:O16" si="4">N7/(C7*D7)</f>
        <v>60.859833333333334</v>
      </c>
      <c r="P7" s="150">
        <f t="shared" ref="P7:P16" si="5">N7/E7</f>
        <v>1.8180682101070451</v>
      </c>
      <c r="Q7" s="151">
        <f t="shared" ref="Q7:Q16" si="6">N7/F7</f>
        <v>1.4980882051282052</v>
      </c>
    </row>
    <row r="8" spans="2:17" x14ac:dyDescent="0.3">
      <c r="B8" s="143" t="s">
        <v>7</v>
      </c>
      <c r="C8" s="137">
        <v>700</v>
      </c>
      <c r="D8" s="137">
        <v>1</v>
      </c>
      <c r="E8" s="144">
        <f t="shared" ref="E8:E14" si="7">C8*33.475</f>
        <v>23432.5</v>
      </c>
      <c r="F8" s="145">
        <f t="shared" si="0"/>
        <v>28069.597508385243</v>
      </c>
      <c r="G8" s="137" t="s">
        <v>205</v>
      </c>
      <c r="H8" s="146">
        <v>0.83479999999999999</v>
      </c>
      <c r="I8" s="147">
        <v>98084.15</v>
      </c>
      <c r="J8" s="152">
        <f t="shared" si="1"/>
        <v>140.12021428571427</v>
      </c>
      <c r="K8" s="153">
        <f t="shared" si="2"/>
        <v>3.494319787474661</v>
      </c>
      <c r="L8" s="147">
        <v>2720</v>
      </c>
      <c r="M8" s="147">
        <v>33049.14</v>
      </c>
      <c r="N8" s="147">
        <f t="shared" si="3"/>
        <v>133853.28999999998</v>
      </c>
      <c r="O8" s="150">
        <f t="shared" si="4"/>
        <v>191.21898571428568</v>
      </c>
      <c r="P8" s="150">
        <f t="shared" si="5"/>
        <v>5.7122923290301921</v>
      </c>
      <c r="Q8" s="151">
        <f t="shared" si="6"/>
        <v>4.7686216362744043</v>
      </c>
    </row>
    <row r="9" spans="2:17" x14ac:dyDescent="0.3">
      <c r="B9" s="143" t="s">
        <v>8</v>
      </c>
      <c r="C9" s="137">
        <v>700</v>
      </c>
      <c r="D9" s="137">
        <v>1</v>
      </c>
      <c r="E9" s="144">
        <f t="shared" si="7"/>
        <v>23432.5</v>
      </c>
      <c r="F9" s="145">
        <f t="shared" si="0"/>
        <v>29134.029590948652</v>
      </c>
      <c r="G9" s="137" t="s">
        <v>205</v>
      </c>
      <c r="H9" s="146">
        <v>0.80430000000000001</v>
      </c>
      <c r="I9" s="147">
        <v>80875</v>
      </c>
      <c r="J9" s="152">
        <f t="shared" si="1"/>
        <v>115.53571428571429</v>
      </c>
      <c r="K9" s="153">
        <f t="shared" si="2"/>
        <v>2.7759634055265123</v>
      </c>
      <c r="L9" s="147">
        <v>0</v>
      </c>
      <c r="M9" s="147">
        <v>0</v>
      </c>
      <c r="N9" s="147">
        <f t="shared" si="3"/>
        <v>80875</v>
      </c>
      <c r="O9" s="150">
        <f t="shared" si="4"/>
        <v>115.53571428571429</v>
      </c>
      <c r="P9" s="150">
        <f t="shared" si="5"/>
        <v>3.4514029659660728</v>
      </c>
      <c r="Q9" s="151">
        <f t="shared" si="6"/>
        <v>2.7759634055265123</v>
      </c>
    </row>
    <row r="10" spans="2:17" x14ac:dyDescent="0.3">
      <c r="B10" s="143" t="s">
        <v>206</v>
      </c>
      <c r="C10" s="137">
        <v>400</v>
      </c>
      <c r="D10" s="137">
        <v>1</v>
      </c>
      <c r="E10" s="144">
        <f t="shared" si="7"/>
        <v>13390</v>
      </c>
      <c r="F10" s="145">
        <f t="shared" si="0"/>
        <v>15959.475566150179</v>
      </c>
      <c r="G10" s="137" t="s">
        <v>205</v>
      </c>
      <c r="H10" s="146">
        <v>0.83899999999999997</v>
      </c>
      <c r="I10" s="147">
        <v>50503.31</v>
      </c>
      <c r="J10" s="152">
        <f t="shared" si="1"/>
        <v>126.258275</v>
      </c>
      <c r="K10" s="153">
        <f t="shared" si="2"/>
        <v>3.1644717766990289</v>
      </c>
      <c r="L10" s="147">
        <v>0</v>
      </c>
      <c r="M10" s="147">
        <v>0</v>
      </c>
      <c r="N10" s="147">
        <f t="shared" si="3"/>
        <v>50503.31</v>
      </c>
      <c r="O10" s="150">
        <f t="shared" si="4"/>
        <v>126.258275</v>
      </c>
      <c r="P10" s="150">
        <f t="shared" si="5"/>
        <v>3.7717184466019416</v>
      </c>
      <c r="Q10" s="151">
        <f t="shared" si="6"/>
        <v>3.1644717766990289</v>
      </c>
    </row>
    <row r="11" spans="2:17" x14ac:dyDescent="0.3">
      <c r="B11" s="143" t="s">
        <v>207</v>
      </c>
      <c r="C11" s="137">
        <v>800</v>
      </c>
      <c r="D11" s="137">
        <v>1</v>
      </c>
      <c r="E11" s="144">
        <f t="shared" si="7"/>
        <v>26780</v>
      </c>
      <c r="F11" s="145">
        <f t="shared" si="0"/>
        <v>31505.882352941178</v>
      </c>
      <c r="G11" s="137" t="s">
        <v>205</v>
      </c>
      <c r="H11" s="146">
        <v>0.85</v>
      </c>
      <c r="I11" s="147">
        <v>59804.62163569087</v>
      </c>
      <c r="J11" s="152">
        <f t="shared" si="1"/>
        <v>74.755777044613581</v>
      </c>
      <c r="K11" s="153">
        <f t="shared" si="2"/>
        <v>1.8982049436272306</v>
      </c>
      <c r="L11" s="147">
        <v>0</v>
      </c>
      <c r="M11" s="147">
        <v>84605.673157028737</v>
      </c>
      <c r="N11" s="147">
        <f t="shared" si="3"/>
        <v>144410.29479271959</v>
      </c>
      <c r="O11" s="150">
        <f t="shared" si="4"/>
        <v>180.51286849089948</v>
      </c>
      <c r="P11" s="150">
        <f t="shared" si="5"/>
        <v>5.3924680654488268</v>
      </c>
      <c r="Q11" s="151">
        <f t="shared" si="6"/>
        <v>4.5835978556315027</v>
      </c>
    </row>
    <row r="12" spans="2:17" x14ac:dyDescent="0.3">
      <c r="B12" s="143" t="s">
        <v>9</v>
      </c>
      <c r="C12" s="137">
        <v>500</v>
      </c>
      <c r="D12" s="137">
        <v>1</v>
      </c>
      <c r="E12" s="144">
        <f t="shared" si="7"/>
        <v>16737.5</v>
      </c>
      <c r="F12" s="145">
        <f t="shared" si="0"/>
        <v>20141.395908543924</v>
      </c>
      <c r="G12" s="137" t="s">
        <v>205</v>
      </c>
      <c r="H12" s="146">
        <v>0.83099999999999996</v>
      </c>
      <c r="I12" s="147">
        <v>69432</v>
      </c>
      <c r="J12" s="152">
        <f t="shared" si="1"/>
        <v>138.864</v>
      </c>
      <c r="K12" s="153">
        <f t="shared" si="2"/>
        <v>3.4472287976101565</v>
      </c>
      <c r="L12" s="147">
        <v>5900</v>
      </c>
      <c r="M12" s="147">
        <v>23600</v>
      </c>
      <c r="N12" s="147">
        <f t="shared" si="3"/>
        <v>98932</v>
      </c>
      <c r="O12" s="150">
        <f t="shared" si="4"/>
        <v>197.864</v>
      </c>
      <c r="P12" s="150">
        <f t="shared" si="5"/>
        <v>5.9107991038088121</v>
      </c>
      <c r="Q12" s="151">
        <f t="shared" si="6"/>
        <v>4.9118740552651232</v>
      </c>
    </row>
    <row r="13" spans="2:17" x14ac:dyDescent="0.3">
      <c r="B13" s="143" t="s">
        <v>6</v>
      </c>
      <c r="C13" s="137">
        <v>500</v>
      </c>
      <c r="D13" s="137">
        <v>1</v>
      </c>
      <c r="E13" s="144">
        <f t="shared" si="7"/>
        <v>16737.5</v>
      </c>
      <c r="F13" s="145">
        <f t="shared" si="0"/>
        <v>20141.395908543924</v>
      </c>
      <c r="G13" s="137" t="s">
        <v>205</v>
      </c>
      <c r="H13" s="146">
        <v>0.83099999999999996</v>
      </c>
      <c r="I13" s="147">
        <v>48711.1</v>
      </c>
      <c r="J13" s="152">
        <f t="shared" si="1"/>
        <v>97.422200000000004</v>
      </c>
      <c r="K13" s="153">
        <f t="shared" si="2"/>
        <v>2.41845700373413</v>
      </c>
      <c r="L13" s="147">
        <v>15646.87</v>
      </c>
      <c r="M13" s="147">
        <v>7761</v>
      </c>
      <c r="N13" s="147">
        <f t="shared" si="3"/>
        <v>72118.97</v>
      </c>
      <c r="O13" s="150">
        <f t="shared" si="4"/>
        <v>144.23794000000001</v>
      </c>
      <c r="P13" s="150">
        <f t="shared" si="5"/>
        <v>4.3088256908140403</v>
      </c>
      <c r="Q13" s="151">
        <f t="shared" si="6"/>
        <v>3.5806341490664675</v>
      </c>
    </row>
    <row r="14" spans="2:17" ht="15" thickBot="1" x14ac:dyDescent="0.35">
      <c r="B14" s="154" t="s">
        <v>208</v>
      </c>
      <c r="C14" s="155">
        <v>900</v>
      </c>
      <c r="D14" s="155">
        <v>1</v>
      </c>
      <c r="E14" s="156">
        <f t="shared" si="7"/>
        <v>30127.5</v>
      </c>
      <c r="F14" s="157">
        <f t="shared" si="0"/>
        <v>36473.970944309927</v>
      </c>
      <c r="G14" s="155" t="s">
        <v>205</v>
      </c>
      <c r="H14" s="158">
        <v>0.82599999999999996</v>
      </c>
      <c r="I14" s="159">
        <v>130750.81</v>
      </c>
      <c r="J14" s="160">
        <f t="shared" si="1"/>
        <v>145.27867777777777</v>
      </c>
      <c r="K14" s="161">
        <f t="shared" si="2"/>
        <v>3.5847703612978177</v>
      </c>
      <c r="L14" s="159">
        <v>0</v>
      </c>
      <c r="M14" s="159">
        <v>0</v>
      </c>
      <c r="N14" s="159">
        <f t="shared" si="3"/>
        <v>130750.81</v>
      </c>
      <c r="O14" s="162">
        <f t="shared" si="4"/>
        <v>145.27867777777777</v>
      </c>
      <c r="P14" s="162">
        <f t="shared" si="5"/>
        <v>4.3399156916438466</v>
      </c>
      <c r="Q14" s="163">
        <f t="shared" si="6"/>
        <v>3.5847703612978177</v>
      </c>
    </row>
    <row r="15" spans="2:17" x14ac:dyDescent="0.3">
      <c r="B15" s="143" t="s">
        <v>3</v>
      </c>
      <c r="C15" s="137">
        <v>600</v>
      </c>
      <c r="D15" s="137">
        <v>1</v>
      </c>
      <c r="E15" s="144">
        <f>C15*33.475</f>
        <v>20085</v>
      </c>
      <c r="F15" s="145">
        <f t="shared" si="0"/>
        <v>24493.90243902439</v>
      </c>
      <c r="G15" s="137" t="s">
        <v>204</v>
      </c>
      <c r="H15" s="146">
        <v>0.82</v>
      </c>
      <c r="I15" s="147">
        <v>24000</v>
      </c>
      <c r="J15" s="148">
        <f t="shared" si="1"/>
        <v>40</v>
      </c>
      <c r="K15" s="149">
        <f t="shared" si="2"/>
        <v>0.97983569828230022</v>
      </c>
      <c r="L15" s="147"/>
      <c r="M15" s="147">
        <v>30000</v>
      </c>
      <c r="N15" s="147">
        <f t="shared" si="3"/>
        <v>54000</v>
      </c>
      <c r="O15" s="150">
        <f t="shared" si="4"/>
        <v>90</v>
      </c>
      <c r="P15" s="150">
        <f t="shared" si="5"/>
        <v>2.68857356235997</v>
      </c>
      <c r="Q15" s="151">
        <f t="shared" si="6"/>
        <v>2.2046303211351757</v>
      </c>
    </row>
    <row r="16" spans="2:17" ht="15" thickBot="1" x14ac:dyDescent="0.35">
      <c r="B16" s="154" t="s">
        <v>209</v>
      </c>
      <c r="C16" s="155">
        <v>600</v>
      </c>
      <c r="D16" s="155">
        <v>1</v>
      </c>
      <c r="E16" s="156">
        <f>C16*33.475</f>
        <v>20085</v>
      </c>
      <c r="F16" s="157">
        <f t="shared" si="0"/>
        <v>24493.90243902439</v>
      </c>
      <c r="G16" s="155" t="s">
        <v>205</v>
      </c>
      <c r="H16" s="164">
        <v>0.82</v>
      </c>
      <c r="I16" s="159">
        <v>88000</v>
      </c>
      <c r="J16" s="160">
        <f t="shared" si="1"/>
        <v>146.66666666666666</v>
      </c>
      <c r="K16" s="161">
        <f t="shared" si="2"/>
        <v>3.5927308937017677</v>
      </c>
      <c r="L16" s="159"/>
      <c r="M16" s="159">
        <v>40000</v>
      </c>
      <c r="N16" s="159">
        <f t="shared" si="3"/>
        <v>128000</v>
      </c>
      <c r="O16" s="162">
        <f t="shared" si="4"/>
        <v>213.33333333333334</v>
      </c>
      <c r="P16" s="162">
        <f t="shared" si="5"/>
        <v>6.3729151107791884</v>
      </c>
      <c r="Q16" s="163">
        <f t="shared" si="6"/>
        <v>5.2257903908389345</v>
      </c>
    </row>
    <row r="17" spans="2:17" x14ac:dyDescent="0.3">
      <c r="B17" s="137" t="s">
        <v>210</v>
      </c>
      <c r="C17" s="137"/>
      <c r="D17" s="137"/>
      <c r="E17" s="165">
        <f>AVERAGE(E6:E7,E15)</f>
        <v>31243.333333333332</v>
      </c>
      <c r="F17" s="144">
        <f>AVERAGE(F6:F7,F15)</f>
        <v>38362.550813008129</v>
      </c>
      <c r="G17" s="137" t="s">
        <v>204</v>
      </c>
      <c r="H17" s="166">
        <f>AVERAGE(H6:H7,H15)</f>
        <v>0.81466666666666665</v>
      </c>
      <c r="I17" s="167">
        <f>AVERAGE(I6:I7,I15)</f>
        <v>26643.933333333334</v>
      </c>
      <c r="J17" s="168">
        <f>AVERAGE(J6:J7,J15)</f>
        <v>30.697722222222222</v>
      </c>
      <c r="K17" s="149">
        <f>AVERAGE(K6:K7,K15)</f>
        <v>0.74618042652062078</v>
      </c>
      <c r="L17" s="147"/>
      <c r="M17" s="169">
        <f>Q17-K17</f>
        <v>1.0464857688158657</v>
      </c>
      <c r="N17" s="167">
        <f>AVERAGE(N6:N7,N15)</f>
        <v>65710.599999999991</v>
      </c>
      <c r="O17" s="150">
        <f>AVERAGE(O6:O7,O15)</f>
        <v>73.653277777777774</v>
      </c>
      <c r="P17" s="150">
        <f>AVERAGE(P6:P7,P15)</f>
        <v>2.2002472823832044</v>
      </c>
      <c r="Q17" s="170">
        <f>AVERAGE(Q6:Q7,Q15)</f>
        <v>1.7926661953364864</v>
      </c>
    </row>
    <row r="18" spans="2:17" x14ac:dyDescent="0.3">
      <c r="B18" s="137" t="s">
        <v>211</v>
      </c>
      <c r="C18" s="137"/>
      <c r="D18" s="137"/>
      <c r="E18" s="165">
        <f>AVERAGE(E8:E14,E16)</f>
        <v>21340.3125</v>
      </c>
      <c r="F18" s="144">
        <f>AVERAGE(F8:F14,F16)</f>
        <v>25739.956277355926</v>
      </c>
      <c r="G18" s="137" t="s">
        <v>205</v>
      </c>
      <c r="H18" s="166">
        <f>AVERAGE(H8:H14,H16)</f>
        <v>0.82951249999999999</v>
      </c>
      <c r="I18" s="167">
        <f>AVERAGE(I8:I14,I16)</f>
        <v>78270.123954461364</v>
      </c>
      <c r="J18" s="168">
        <f>AVERAGE(J8:J14,J16)</f>
        <v>123.11269063256081</v>
      </c>
      <c r="K18" s="153">
        <f>AVERAGE(K8:K14,K16)</f>
        <v>3.0470183712089129</v>
      </c>
      <c r="L18" s="147"/>
      <c r="M18" s="169">
        <f>Q18-K18</f>
        <v>1.0274470826160611</v>
      </c>
      <c r="N18" s="167">
        <f>AVERAGE(N8:N14,N16)</f>
        <v>104930.45934908994</v>
      </c>
      <c r="O18" s="150">
        <f>AVERAGE(O8:O14,O16)</f>
        <v>164.27997432525132</v>
      </c>
      <c r="P18" s="150">
        <f>AVERAGE(P8:P14,P16)</f>
        <v>4.9075421755116153</v>
      </c>
      <c r="Q18" s="170">
        <f>AVERAGE(Q8:Q14,Q16)</f>
        <v>4.074465453824974</v>
      </c>
    </row>
    <row r="19" spans="2:17" x14ac:dyDescent="0.3">
      <c r="B19" s="171"/>
      <c r="C19" s="171"/>
      <c r="D19" s="171"/>
      <c r="E19" s="171"/>
      <c r="F19" s="171"/>
      <c r="G19" s="171"/>
      <c r="H19" s="171"/>
      <c r="I19" s="171"/>
      <c r="J19" s="171"/>
      <c r="K19" s="171"/>
      <c r="L19" s="171"/>
      <c r="M19" s="171"/>
      <c r="N19" s="171"/>
      <c r="O19" s="171"/>
      <c r="P19" s="171"/>
      <c r="Q19" s="171"/>
    </row>
    <row r="20" spans="2:17" x14ac:dyDescent="0.3">
      <c r="B20" s="171"/>
      <c r="C20" s="171"/>
      <c r="D20" s="171"/>
      <c r="E20" s="171"/>
      <c r="F20" s="171"/>
      <c r="G20" s="171"/>
      <c r="H20" s="171"/>
      <c r="I20" s="171"/>
      <c r="J20" s="171"/>
      <c r="K20" s="171"/>
      <c r="L20" s="171"/>
      <c r="M20" s="171"/>
      <c r="N20" s="171"/>
      <c r="O20" s="171"/>
      <c r="P20" s="171"/>
      <c r="Q20" s="171"/>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125B4-2B6F-48D3-B438-68600D59667E}">
  <dimension ref="A1:V76"/>
  <sheetViews>
    <sheetView zoomScale="90" zoomScaleNormal="90" workbookViewId="0">
      <selection activeCell="T24" sqref="T24"/>
    </sheetView>
  </sheetViews>
  <sheetFormatPr defaultRowHeight="14.4" x14ac:dyDescent="0.3"/>
  <cols>
    <col min="1" max="1" width="2.109375" customWidth="1"/>
    <col min="2" max="2" width="29.109375" customWidth="1"/>
    <col min="3" max="3" width="4.109375" style="173" customWidth="1"/>
    <col min="4" max="4" width="11.109375" customWidth="1"/>
    <col min="5" max="5" width="10.44140625" bestFit="1" customWidth="1"/>
    <col min="6" max="6" width="2" customWidth="1"/>
    <col min="7" max="7" width="1.5546875" customWidth="1"/>
    <col min="8" max="8" width="27.6640625" bestFit="1" customWidth="1"/>
    <col min="9" max="9" width="4.109375" style="173" customWidth="1"/>
    <col min="10" max="10" width="9.88671875" customWidth="1"/>
    <col min="11" max="11" width="12.44140625" bestFit="1" customWidth="1"/>
    <col min="12" max="12" width="4.6640625" customWidth="1"/>
    <col min="13" max="13" width="3.33203125" customWidth="1"/>
    <col min="14" max="14" width="27.33203125" bestFit="1" customWidth="1"/>
    <col min="15" max="15" width="4.88671875" customWidth="1"/>
    <col min="16" max="16" width="12" bestFit="1" customWidth="1"/>
    <col min="17" max="17" width="11.5546875" customWidth="1"/>
  </cols>
  <sheetData>
    <row r="1" spans="2:17" ht="18" customHeight="1" thickBot="1" x14ac:dyDescent="0.35">
      <c r="B1" s="172" t="s">
        <v>212</v>
      </c>
    </row>
    <row r="2" spans="2:17" x14ac:dyDescent="0.3">
      <c r="G2" s="174"/>
      <c r="H2" s="110"/>
      <c r="I2" s="175"/>
      <c r="J2" s="110"/>
      <c r="K2" s="111"/>
      <c r="M2" s="174"/>
      <c r="N2" s="110"/>
      <c r="O2" s="110"/>
      <c r="P2" s="110"/>
      <c r="Q2" s="111"/>
    </row>
    <row r="3" spans="2:17" x14ac:dyDescent="0.3">
      <c r="B3" s="173" t="s">
        <v>213</v>
      </c>
      <c r="D3" s="107"/>
      <c r="G3" s="176"/>
      <c r="H3" s="177" t="s">
        <v>214</v>
      </c>
      <c r="I3" s="177"/>
      <c r="J3" s="112"/>
      <c r="K3" s="117"/>
      <c r="M3" s="176"/>
      <c r="N3" s="177" t="s">
        <v>215</v>
      </c>
      <c r="O3" s="112"/>
      <c r="P3" s="112"/>
      <c r="Q3" s="117"/>
    </row>
    <row r="4" spans="2:17" x14ac:dyDescent="0.3">
      <c r="B4" s="178" t="s">
        <v>322</v>
      </c>
      <c r="D4" s="107">
        <f>1000*33.475</f>
        <v>33475</v>
      </c>
      <c r="E4" t="s">
        <v>217</v>
      </c>
      <c r="G4" s="176"/>
      <c r="H4" s="121" t="s">
        <v>218</v>
      </c>
      <c r="I4" s="179"/>
      <c r="J4" s="180">
        <f>D22</f>
        <v>490</v>
      </c>
      <c r="K4" s="117"/>
      <c r="M4" s="176"/>
      <c r="N4" s="181" t="s">
        <v>219</v>
      </c>
      <c r="O4" s="182"/>
      <c r="P4" s="183">
        <f>J9</f>
        <v>1787032.0359180004</v>
      </c>
      <c r="Q4" s="184" t="s">
        <v>108</v>
      </c>
    </row>
    <row r="5" spans="2:17" x14ac:dyDescent="0.3">
      <c r="B5" s="185" t="s">
        <v>323</v>
      </c>
      <c r="D5" s="186">
        <f>D4/970*1000</f>
        <v>34510.30927835052</v>
      </c>
      <c r="E5" t="s">
        <v>221</v>
      </c>
      <c r="G5" s="176"/>
      <c r="H5" s="121" t="s">
        <v>222</v>
      </c>
      <c r="I5" s="179" t="s">
        <v>223</v>
      </c>
      <c r="J5" s="187">
        <v>200</v>
      </c>
      <c r="K5" s="188" t="s">
        <v>224</v>
      </c>
      <c r="M5" s="176"/>
      <c r="N5" s="181" t="s">
        <v>225</v>
      </c>
      <c r="O5" s="182" t="s">
        <v>226</v>
      </c>
      <c r="P5" s="183">
        <f>J23</f>
        <v>184865.38302600002</v>
      </c>
      <c r="Q5" s="184" t="s">
        <v>108</v>
      </c>
    </row>
    <row r="6" spans="2:17" x14ac:dyDescent="0.3">
      <c r="B6" s="185" t="s">
        <v>231</v>
      </c>
      <c r="D6" s="107">
        <f>D4/D7</f>
        <v>41429.455445544554</v>
      </c>
      <c r="E6" t="s">
        <v>217</v>
      </c>
      <c r="G6" s="176"/>
      <c r="H6" s="121" t="s">
        <v>228</v>
      </c>
      <c r="I6" s="179" t="s">
        <v>229</v>
      </c>
      <c r="J6" s="180">
        <f>J4-J5</f>
        <v>290</v>
      </c>
      <c r="K6" s="117"/>
      <c r="M6" s="176"/>
      <c r="N6" s="181" t="s">
        <v>230</v>
      </c>
      <c r="O6" s="182" t="s">
        <v>226</v>
      </c>
      <c r="P6" s="190">
        <f>J35</f>
        <v>1458708.6980000001</v>
      </c>
      <c r="Q6" s="184" t="s">
        <v>108</v>
      </c>
    </row>
    <row r="7" spans="2:17" x14ac:dyDescent="0.3">
      <c r="B7" s="185" t="s">
        <v>227</v>
      </c>
      <c r="D7" s="189">
        <v>0.80800000000000005</v>
      </c>
      <c r="G7" s="176"/>
      <c r="H7" s="121" t="s">
        <v>232</v>
      </c>
      <c r="I7" s="179" t="s">
        <v>233</v>
      </c>
      <c r="J7" s="183">
        <f>D21</f>
        <v>23279</v>
      </c>
      <c r="K7" s="184" t="s">
        <v>234</v>
      </c>
      <c r="M7" s="176"/>
      <c r="N7" s="112" t="s">
        <v>235</v>
      </c>
      <c r="O7" s="182" t="s">
        <v>229</v>
      </c>
      <c r="P7" s="220">
        <f>SUM(P4:P6)</f>
        <v>3430606.1169440006</v>
      </c>
      <c r="Q7" s="184" t="s">
        <v>108</v>
      </c>
    </row>
    <row r="8" spans="2:17" x14ac:dyDescent="0.3">
      <c r="B8" s="185" t="s">
        <v>240</v>
      </c>
      <c r="D8">
        <v>8320</v>
      </c>
      <c r="E8" s="178" t="s">
        <v>77</v>
      </c>
      <c r="G8" s="176"/>
      <c r="H8" s="121" t="s">
        <v>237</v>
      </c>
      <c r="I8" s="179" t="s">
        <v>233</v>
      </c>
      <c r="J8" s="192">
        <f>D74</f>
        <v>0.26470980000000005</v>
      </c>
      <c r="K8" s="184" t="s">
        <v>36</v>
      </c>
      <c r="M8" s="176"/>
      <c r="N8" s="112" t="s">
        <v>238</v>
      </c>
      <c r="O8" s="179" t="s">
        <v>239</v>
      </c>
      <c r="P8" s="193">
        <f>D7</f>
        <v>0.80800000000000005</v>
      </c>
      <c r="Q8" s="117"/>
    </row>
    <row r="9" spans="2:17" x14ac:dyDescent="0.3">
      <c r="C9" s="200" t="s">
        <v>229</v>
      </c>
      <c r="D9" s="194">
        <f>D66</f>
        <v>23279</v>
      </c>
      <c r="E9" t="s">
        <v>221</v>
      </c>
      <c r="G9" s="176"/>
      <c r="H9" s="195" t="s">
        <v>241</v>
      </c>
      <c r="I9" s="179" t="s">
        <v>229</v>
      </c>
      <c r="J9" s="196">
        <f>J6*J7*J8</f>
        <v>1787032.0359180004</v>
      </c>
      <c r="K9" s="197" t="s">
        <v>108</v>
      </c>
      <c r="M9" s="176"/>
      <c r="N9" s="112" t="s">
        <v>242</v>
      </c>
      <c r="O9" s="198"/>
      <c r="P9" s="183">
        <f>P7/P8</f>
        <v>4245799.6496831691</v>
      </c>
      <c r="Q9" s="184" t="s">
        <v>108</v>
      </c>
    </row>
    <row r="10" spans="2:17" x14ac:dyDescent="0.3">
      <c r="B10" s="185" t="s">
        <v>324</v>
      </c>
      <c r="D10" s="186">
        <v>490</v>
      </c>
      <c r="E10" t="s">
        <v>96</v>
      </c>
      <c r="G10" s="176"/>
      <c r="H10" s="112"/>
      <c r="I10" s="198"/>
      <c r="J10" s="112"/>
      <c r="K10" s="117"/>
      <c r="M10" s="176"/>
      <c r="N10" s="112" t="s">
        <v>245</v>
      </c>
      <c r="O10" s="182" t="s">
        <v>233</v>
      </c>
      <c r="P10" s="112">
        <f>D24</f>
        <v>4000</v>
      </c>
      <c r="Q10" s="117" t="s">
        <v>175</v>
      </c>
    </row>
    <row r="11" spans="2:17" x14ac:dyDescent="0.3">
      <c r="B11" s="185" t="s">
        <v>243</v>
      </c>
      <c r="D11" s="107">
        <f>D5</f>
        <v>34510.30927835052</v>
      </c>
      <c r="E11" t="s">
        <v>221</v>
      </c>
      <c r="G11" s="176"/>
      <c r="H11" s="121" t="s">
        <v>246</v>
      </c>
      <c r="I11" s="179" t="s">
        <v>239</v>
      </c>
      <c r="J11" s="183">
        <f>D20</f>
        <v>34510.30927835052</v>
      </c>
      <c r="K11" s="184" t="s">
        <v>234</v>
      </c>
      <c r="M11" s="176"/>
      <c r="N11" s="112" t="s">
        <v>247</v>
      </c>
      <c r="O11" s="179" t="s">
        <v>239</v>
      </c>
      <c r="P11" s="202">
        <f>100000</f>
        <v>100000</v>
      </c>
      <c r="Q11" s="117" t="s">
        <v>248</v>
      </c>
    </row>
    <row r="12" spans="2:17" x14ac:dyDescent="0.3">
      <c r="B12" s="185" t="s">
        <v>325</v>
      </c>
      <c r="D12">
        <v>68</v>
      </c>
      <c r="E12" s="178" t="s">
        <v>326</v>
      </c>
      <c r="G12" s="176"/>
      <c r="H12" s="121" t="s">
        <v>249</v>
      </c>
      <c r="I12" s="179" t="s">
        <v>239</v>
      </c>
      <c r="J12" s="203">
        <v>1</v>
      </c>
      <c r="K12" s="184" t="s">
        <v>36</v>
      </c>
      <c r="M12" s="176"/>
      <c r="N12" s="198" t="s">
        <v>250</v>
      </c>
      <c r="O12" s="182" t="s">
        <v>229</v>
      </c>
      <c r="P12" s="204">
        <f>P9*P10/P11</f>
        <v>169831.98598732674</v>
      </c>
      <c r="Q12" s="197" t="s">
        <v>251</v>
      </c>
    </row>
    <row r="13" spans="2:17" x14ac:dyDescent="0.3">
      <c r="C13" s="200" t="s">
        <v>229</v>
      </c>
      <c r="D13" s="194">
        <f>E68</f>
        <v>34027.199999999997</v>
      </c>
      <c r="E13" t="s">
        <v>221</v>
      </c>
      <c r="G13" s="176"/>
      <c r="H13" s="121" t="s">
        <v>253</v>
      </c>
      <c r="I13" s="179" t="s">
        <v>226</v>
      </c>
      <c r="J13" s="206">
        <v>240</v>
      </c>
      <c r="K13" s="117"/>
      <c r="M13" s="176"/>
      <c r="N13" s="112"/>
      <c r="O13" s="198"/>
      <c r="P13" s="207">
        <f>P12*D55</f>
        <v>95105.91215290298</v>
      </c>
      <c r="Q13" s="117"/>
    </row>
    <row r="14" spans="2:17" x14ac:dyDescent="0.3">
      <c r="G14" s="176"/>
      <c r="H14" s="121" t="s">
        <v>256</v>
      </c>
      <c r="I14" s="179" t="s">
        <v>229</v>
      </c>
      <c r="J14" s="209">
        <f>J9/J11/J12+J13</f>
        <v>291.78255638059625</v>
      </c>
      <c r="K14" s="117"/>
      <c r="M14" s="176"/>
      <c r="N14" s="112"/>
      <c r="O14" s="112"/>
      <c r="P14" s="112"/>
      <c r="Q14" s="117"/>
    </row>
    <row r="15" spans="2:17" x14ac:dyDescent="0.3">
      <c r="B15" s="173" t="s">
        <v>252</v>
      </c>
      <c r="C15" s="200" t="s">
        <v>229</v>
      </c>
      <c r="D15" s="254">
        <v>1</v>
      </c>
      <c r="E15" s="178"/>
      <c r="G15" s="176"/>
      <c r="H15" s="112"/>
      <c r="I15" s="198"/>
      <c r="J15" s="112"/>
      <c r="K15" s="117"/>
      <c r="M15" s="176"/>
      <c r="N15" s="177" t="s">
        <v>257</v>
      </c>
      <c r="O15" s="198"/>
      <c r="P15" s="207"/>
      <c r="Q15" s="117"/>
    </row>
    <row r="16" spans="2:17" x14ac:dyDescent="0.3">
      <c r="B16" s="173" t="s">
        <v>254</v>
      </c>
      <c r="C16" s="200" t="s">
        <v>229</v>
      </c>
      <c r="D16" s="208">
        <f>D5*D15</f>
        <v>34510.30927835052</v>
      </c>
      <c r="E16" s="173" t="s">
        <v>255</v>
      </c>
      <c r="G16" s="176"/>
      <c r="H16" s="112"/>
      <c r="I16" s="198"/>
      <c r="J16" s="112"/>
      <c r="K16" s="117"/>
      <c r="M16" s="212" t="s">
        <v>327</v>
      </c>
      <c r="N16" s="181" t="s">
        <v>219</v>
      </c>
      <c r="O16" s="182"/>
      <c r="P16" s="183">
        <f>P4</f>
        <v>1787032.0359180004</v>
      </c>
      <c r="Q16" s="184" t="s">
        <v>108</v>
      </c>
    </row>
    <row r="17" spans="2:17" x14ac:dyDescent="0.3">
      <c r="C17"/>
      <c r="E17" s="173"/>
      <c r="G17" s="176"/>
      <c r="H17" s="177" t="s">
        <v>263</v>
      </c>
      <c r="I17" s="177"/>
      <c r="J17" s="112"/>
      <c r="K17" s="117"/>
      <c r="M17" s="176"/>
      <c r="N17" s="112" t="s">
        <v>261</v>
      </c>
      <c r="O17" s="198"/>
      <c r="P17" s="183">
        <f>D16</f>
        <v>34510.30927835052</v>
      </c>
      <c r="Q17" s="184" t="s">
        <v>234</v>
      </c>
    </row>
    <row r="18" spans="2:17" x14ac:dyDescent="0.3">
      <c r="B18" t="s">
        <v>260</v>
      </c>
      <c r="D18" s="107">
        <f>D16</f>
        <v>34510.30927835052</v>
      </c>
      <c r="E18" t="s">
        <v>221</v>
      </c>
      <c r="G18" s="176"/>
      <c r="H18" s="121" t="s">
        <v>218</v>
      </c>
      <c r="I18" s="179"/>
      <c r="J18" s="215">
        <f>J5</f>
        <v>200</v>
      </c>
      <c r="K18" s="117"/>
      <c r="M18" s="176"/>
      <c r="N18" s="112" t="s">
        <v>328</v>
      </c>
      <c r="O18" s="182" t="s">
        <v>233</v>
      </c>
      <c r="P18" s="112">
        <v>970</v>
      </c>
      <c r="Q18" s="184" t="s">
        <v>43</v>
      </c>
    </row>
    <row r="19" spans="2:17" x14ac:dyDescent="0.3">
      <c r="B19" t="s">
        <v>262</v>
      </c>
      <c r="D19" s="255">
        <v>0</v>
      </c>
      <c r="G19" s="176"/>
      <c r="H19" s="121" t="s">
        <v>222</v>
      </c>
      <c r="I19" s="179" t="s">
        <v>223</v>
      </c>
      <c r="J19" s="256">
        <v>170</v>
      </c>
      <c r="K19" s="117" t="s">
        <v>268</v>
      </c>
      <c r="M19" s="176"/>
      <c r="N19" s="112" t="s">
        <v>266</v>
      </c>
      <c r="O19" s="182" t="s">
        <v>239</v>
      </c>
      <c r="P19" s="216">
        <f>D7</f>
        <v>0.80800000000000005</v>
      </c>
      <c r="Q19" s="117"/>
    </row>
    <row r="20" spans="2:17" x14ac:dyDescent="0.3">
      <c r="B20" t="s">
        <v>265</v>
      </c>
      <c r="D20" s="214">
        <f>D18*(1-D19)</f>
        <v>34510.30927835052</v>
      </c>
      <c r="E20" t="s">
        <v>221</v>
      </c>
      <c r="G20" s="176"/>
      <c r="H20" s="121" t="s">
        <v>228</v>
      </c>
      <c r="I20" s="179" t="s">
        <v>229</v>
      </c>
      <c r="J20" s="180">
        <f>J18-J19</f>
        <v>30</v>
      </c>
      <c r="K20" s="117"/>
      <c r="M20" s="176"/>
      <c r="N20" s="112" t="s">
        <v>269</v>
      </c>
      <c r="O20" s="182" t="s">
        <v>229</v>
      </c>
      <c r="P20" s="183">
        <f>P17*P18/P19</f>
        <v>41429455.445544556</v>
      </c>
      <c r="Q20" s="184" t="s">
        <v>108</v>
      </c>
    </row>
    <row r="21" spans="2:17" x14ac:dyDescent="0.3">
      <c r="B21" t="s">
        <v>267</v>
      </c>
      <c r="D21" s="214">
        <f>D16*D9/D5</f>
        <v>23279</v>
      </c>
      <c r="E21" t="s">
        <v>221</v>
      </c>
      <c r="G21" s="176"/>
      <c r="H21" s="121" t="s">
        <v>232</v>
      </c>
      <c r="I21" s="179" t="s">
        <v>233</v>
      </c>
      <c r="J21" s="183">
        <f>J7</f>
        <v>23279</v>
      </c>
      <c r="K21" s="184" t="s">
        <v>234</v>
      </c>
      <c r="M21" s="176"/>
      <c r="N21" s="181" t="s">
        <v>271</v>
      </c>
      <c r="O21" s="182" t="s">
        <v>229</v>
      </c>
      <c r="P21" s="190">
        <f>P16/P19</f>
        <v>2211673.3117797035</v>
      </c>
      <c r="Q21" s="184" t="s">
        <v>108</v>
      </c>
    </row>
    <row r="22" spans="2:17" x14ac:dyDescent="0.3">
      <c r="B22" t="s">
        <v>270</v>
      </c>
      <c r="D22" s="218">
        <f>D10</f>
        <v>490</v>
      </c>
      <c r="E22" t="s">
        <v>96</v>
      </c>
      <c r="G22" s="176"/>
      <c r="H22" s="121" t="s">
        <v>237</v>
      </c>
      <c r="I22" s="179" t="s">
        <v>233</v>
      </c>
      <c r="J22" s="192">
        <f>D74</f>
        <v>0.26470980000000005</v>
      </c>
      <c r="K22" s="184" t="s">
        <v>36</v>
      </c>
      <c r="M22" s="176"/>
      <c r="N22" s="181" t="s">
        <v>272</v>
      </c>
      <c r="O22" s="182" t="s">
        <v>229</v>
      </c>
      <c r="P22" s="183">
        <f>P20-P21</f>
        <v>39217782.133764856</v>
      </c>
      <c r="Q22" s="184" t="s">
        <v>108</v>
      </c>
    </row>
    <row r="23" spans="2:17" x14ac:dyDescent="0.3">
      <c r="G23" s="176"/>
      <c r="H23" s="195" t="s">
        <v>241</v>
      </c>
      <c r="I23" s="179" t="s">
        <v>229</v>
      </c>
      <c r="J23" s="220">
        <f>J20*J21*J22</f>
        <v>184865.38302600002</v>
      </c>
      <c r="K23" s="197" t="s">
        <v>273</v>
      </c>
      <c r="M23" s="176"/>
      <c r="N23" s="112"/>
      <c r="O23" s="182"/>
      <c r="P23" s="183"/>
      <c r="Q23" s="117"/>
    </row>
    <row r="24" spans="2:17" x14ac:dyDescent="0.3">
      <c r="B24" s="198" t="s">
        <v>245</v>
      </c>
      <c r="D24" s="257">
        <v>4000</v>
      </c>
      <c r="E24" s="178" t="s">
        <v>175</v>
      </c>
      <c r="G24" s="176"/>
      <c r="H24" s="195"/>
      <c r="I24" s="179"/>
      <c r="J24" s="220"/>
      <c r="K24" s="197"/>
      <c r="M24" s="176"/>
      <c r="N24" s="181" t="s">
        <v>274</v>
      </c>
      <c r="O24" s="182" t="s">
        <v>229</v>
      </c>
      <c r="P24" s="221">
        <f>P17*P18/P22</f>
        <v>0.85356688162075955</v>
      </c>
      <c r="Q24" s="117" t="s">
        <v>275</v>
      </c>
    </row>
    <row r="25" spans="2:17" x14ac:dyDescent="0.3">
      <c r="G25" s="176"/>
      <c r="H25" s="177" t="s">
        <v>276</v>
      </c>
      <c r="I25" s="177"/>
      <c r="J25" s="112"/>
      <c r="K25" s="117"/>
      <c r="M25" s="176"/>
      <c r="N25" s="181" t="s">
        <v>277</v>
      </c>
      <c r="O25" s="182" t="s">
        <v>229</v>
      </c>
      <c r="P25" s="222">
        <f>P24-P8</f>
        <v>4.5566881620759503E-2</v>
      </c>
      <c r="Q25" s="184"/>
    </row>
    <row r="26" spans="2:17" x14ac:dyDescent="0.3">
      <c r="G26" s="176"/>
      <c r="H26" s="121" t="s">
        <v>218</v>
      </c>
      <c r="I26" s="179"/>
      <c r="J26" s="215">
        <f>J5</f>
        <v>200</v>
      </c>
      <c r="K26" s="117"/>
      <c r="M26" s="176"/>
      <c r="N26" s="223" t="s">
        <v>278</v>
      </c>
      <c r="O26" s="182" t="s">
        <v>229</v>
      </c>
      <c r="P26" s="134">
        <f>P4*P10/(P8*P11)/D6</f>
        <v>2.1353631497153103</v>
      </c>
      <c r="Q26" s="184" t="s">
        <v>279</v>
      </c>
    </row>
    <row r="27" spans="2:17" x14ac:dyDescent="0.3">
      <c r="B27" s="258" t="s">
        <v>329</v>
      </c>
      <c r="G27" s="176"/>
      <c r="H27" s="121" t="s">
        <v>222</v>
      </c>
      <c r="I27" s="179"/>
      <c r="J27" s="259">
        <f>J19</f>
        <v>170</v>
      </c>
      <c r="K27" s="117" t="s">
        <v>268</v>
      </c>
      <c r="M27" s="176"/>
      <c r="N27" s="260"/>
      <c r="O27" s="261"/>
      <c r="P27" s="216"/>
      <c r="Q27" s="117"/>
    </row>
    <row r="28" spans="2:17" x14ac:dyDescent="0.3">
      <c r="G28" s="176"/>
      <c r="H28" s="121" t="s">
        <v>282</v>
      </c>
      <c r="I28" s="179"/>
      <c r="J28" s="180">
        <v>135</v>
      </c>
      <c r="K28" s="117"/>
      <c r="M28" s="176"/>
      <c r="N28" s="112"/>
      <c r="O28" s="198"/>
      <c r="P28" s="112"/>
      <c r="Q28" s="117"/>
    </row>
    <row r="29" spans="2:17" x14ac:dyDescent="0.3">
      <c r="C29"/>
      <c r="G29" s="176"/>
      <c r="H29" s="121" t="s">
        <v>283</v>
      </c>
      <c r="I29" s="179"/>
      <c r="J29" s="226">
        <v>0.11</v>
      </c>
      <c r="K29" s="117" t="str">
        <f>CONCATENATE("@ ",ROUND(J26,1),"°F")</f>
        <v>@ 200°F</v>
      </c>
      <c r="M29" s="212" t="s">
        <v>330</v>
      </c>
      <c r="N29" s="112" t="s">
        <v>261</v>
      </c>
      <c r="O29" s="198"/>
      <c r="P29" s="183">
        <f>D16</f>
        <v>34510.30927835052</v>
      </c>
      <c r="Q29" s="184" t="s">
        <v>234</v>
      </c>
    </row>
    <row r="30" spans="2:17" x14ac:dyDescent="0.3">
      <c r="C30"/>
      <c r="G30" s="176"/>
      <c r="H30" s="121" t="s">
        <v>319</v>
      </c>
      <c r="I30" s="179"/>
      <c r="J30" s="113">
        <v>4.5400000000000003E-2</v>
      </c>
      <c r="K30" s="117" t="str">
        <f>CONCATENATE("@ ",ROUND(J27,1),"°F")</f>
        <v>@ 170°F</v>
      </c>
      <c r="M30" s="176"/>
      <c r="N30" s="112" t="s">
        <v>328</v>
      </c>
      <c r="O30" s="182" t="s">
        <v>233</v>
      </c>
      <c r="P30" s="112">
        <v>970</v>
      </c>
      <c r="Q30" s="184" t="s">
        <v>43</v>
      </c>
    </row>
    <row r="31" spans="2:17" x14ac:dyDescent="0.3">
      <c r="C31"/>
      <c r="G31" s="227"/>
      <c r="H31" s="121" t="s">
        <v>286</v>
      </c>
      <c r="I31" s="179" t="s">
        <v>229</v>
      </c>
      <c r="J31" s="183">
        <f>D21*J29</f>
        <v>2560.69</v>
      </c>
      <c r="K31" s="117" t="str">
        <f>CONCATENATE("lb/hr @ ",ROUND(J26,1),"°F")</f>
        <v>lb/hr @ 200°F</v>
      </c>
      <c r="M31" s="176"/>
      <c r="N31" s="112" t="s">
        <v>266</v>
      </c>
      <c r="O31" s="182" t="s">
        <v>239</v>
      </c>
      <c r="P31" s="216">
        <f>D7</f>
        <v>0.80800000000000005</v>
      </c>
      <c r="Q31" s="117"/>
    </row>
    <row r="32" spans="2:17" x14ac:dyDescent="0.3">
      <c r="C32"/>
      <c r="G32" s="176"/>
      <c r="H32" s="121" t="s">
        <v>289</v>
      </c>
      <c r="I32" s="179" t="s">
        <v>223</v>
      </c>
      <c r="J32" s="190">
        <f>D21*J30</f>
        <v>1056.8666000000001</v>
      </c>
      <c r="K32" s="117" t="str">
        <f>CONCATENATE("lb/hr @ ",ROUND(J27,1),"°F")</f>
        <v>lb/hr @ 170°F</v>
      </c>
      <c r="M32" s="176"/>
      <c r="N32" s="112" t="s">
        <v>291</v>
      </c>
      <c r="O32" s="182" t="s">
        <v>229</v>
      </c>
      <c r="P32" s="183">
        <f>P29*P30/P31</f>
        <v>41429455.445544556</v>
      </c>
      <c r="Q32" s="184" t="s">
        <v>108</v>
      </c>
    </row>
    <row r="33" spans="2:22" x14ac:dyDescent="0.3">
      <c r="C33"/>
      <c r="G33" s="176"/>
      <c r="H33" s="121" t="s">
        <v>290</v>
      </c>
      <c r="I33" s="179" t="s">
        <v>229</v>
      </c>
      <c r="J33" s="183">
        <f>J31-J32</f>
        <v>1503.8234</v>
      </c>
      <c r="K33" s="117" t="s">
        <v>234</v>
      </c>
      <c r="M33" s="176"/>
      <c r="N33" s="112" t="s">
        <v>294</v>
      </c>
      <c r="O33" s="182" t="s">
        <v>223</v>
      </c>
      <c r="P33" s="190">
        <f>P9</f>
        <v>4245799.6496831691</v>
      </c>
      <c r="Q33" s="184" t="s">
        <v>108</v>
      </c>
    </row>
    <row r="34" spans="2:22" x14ac:dyDescent="0.3">
      <c r="C34"/>
      <c r="G34" s="176"/>
      <c r="H34" s="121" t="s">
        <v>293</v>
      </c>
      <c r="I34" s="179" t="s">
        <v>233</v>
      </c>
      <c r="J34" s="190">
        <v>970</v>
      </c>
      <c r="K34" s="117" t="s">
        <v>43</v>
      </c>
      <c r="M34" s="176"/>
      <c r="N34" s="112" t="s">
        <v>269</v>
      </c>
      <c r="O34" s="182" t="s">
        <v>229</v>
      </c>
      <c r="P34" s="183">
        <f>P32-P33</f>
        <v>37183655.795861386</v>
      </c>
      <c r="Q34" s="184" t="s">
        <v>108</v>
      </c>
    </row>
    <row r="35" spans="2:22" x14ac:dyDescent="0.3">
      <c r="G35" s="176"/>
      <c r="H35" s="195" t="s">
        <v>295</v>
      </c>
      <c r="I35" s="179" t="s">
        <v>229</v>
      </c>
      <c r="J35" s="220">
        <f>J33*J34</f>
        <v>1458708.6980000001</v>
      </c>
      <c r="K35" s="197" t="s">
        <v>108</v>
      </c>
      <c r="M35" s="176"/>
      <c r="N35" s="112"/>
      <c r="O35" s="182"/>
      <c r="P35" s="183"/>
      <c r="Q35" s="117"/>
    </row>
    <row r="36" spans="2:22" x14ac:dyDescent="0.3">
      <c r="G36" s="176"/>
      <c r="H36" s="121"/>
      <c r="I36" s="179"/>
      <c r="J36" s="183"/>
      <c r="K36" s="117"/>
      <c r="M36" s="176"/>
      <c r="N36" s="181" t="s">
        <v>297</v>
      </c>
      <c r="O36" s="182" t="s">
        <v>229</v>
      </c>
      <c r="P36" s="233">
        <f>P29*P30/P34</f>
        <v>0.90026113042187306</v>
      </c>
      <c r="Q36" s="117" t="s">
        <v>275</v>
      </c>
    </row>
    <row r="37" spans="2:22" x14ac:dyDescent="0.3">
      <c r="G37" s="176"/>
      <c r="H37" s="195" t="str">
        <f>H23</f>
        <v>Sensible heat load</v>
      </c>
      <c r="I37" s="179" t="s">
        <v>229</v>
      </c>
      <c r="J37" s="232">
        <f>J23</f>
        <v>184865.38302600002</v>
      </c>
      <c r="K37" s="117"/>
      <c r="M37" s="176"/>
      <c r="N37" s="112"/>
      <c r="O37" s="112"/>
      <c r="P37" s="112"/>
      <c r="Q37" s="117"/>
    </row>
    <row r="38" spans="2:22" x14ac:dyDescent="0.3">
      <c r="G38" s="176"/>
      <c r="H38" s="195" t="str">
        <f>H35</f>
        <v>Latent heat load</v>
      </c>
      <c r="I38" s="179" t="s">
        <v>226</v>
      </c>
      <c r="J38" s="234">
        <f>J35</f>
        <v>1458708.6980000001</v>
      </c>
      <c r="K38" s="117"/>
      <c r="M38" s="176"/>
      <c r="N38" s="262" t="s">
        <v>331</v>
      </c>
      <c r="O38" s="182" t="s">
        <v>229</v>
      </c>
      <c r="P38" s="116">
        <f>P36-P8</f>
        <v>9.2261130421873006E-2</v>
      </c>
      <c r="Q38" s="263"/>
    </row>
    <row r="39" spans="2:22" x14ac:dyDescent="0.3">
      <c r="G39" s="176"/>
      <c r="H39" s="195" t="s">
        <v>298</v>
      </c>
      <c r="I39" s="179" t="s">
        <v>229</v>
      </c>
      <c r="J39" s="196">
        <f>SUM(J37:J38)</f>
        <v>1643574.0810260002</v>
      </c>
      <c r="K39" s="197" t="s">
        <v>108</v>
      </c>
      <c r="M39" s="176"/>
      <c r="N39" s="223" t="s">
        <v>300</v>
      </c>
      <c r="O39" s="182" t="s">
        <v>229</v>
      </c>
      <c r="P39" s="134">
        <f>P12/D6</f>
        <v>4.0993052928382374</v>
      </c>
      <c r="Q39" s="184" t="s">
        <v>279</v>
      </c>
    </row>
    <row r="40" spans="2:22" ht="15" thickBot="1" x14ac:dyDescent="0.35">
      <c r="G40" s="176"/>
      <c r="H40" s="112"/>
      <c r="I40" s="198"/>
      <c r="J40" s="112"/>
      <c r="K40" s="117"/>
      <c r="M40" s="235"/>
      <c r="N40" s="127"/>
      <c r="O40" s="127"/>
      <c r="P40" s="127"/>
      <c r="Q40" s="105"/>
    </row>
    <row r="41" spans="2:22" x14ac:dyDescent="0.3">
      <c r="G41" s="176"/>
      <c r="H41" s="121" t="s">
        <v>301</v>
      </c>
      <c r="I41" s="179" t="s">
        <v>239</v>
      </c>
      <c r="J41" s="183">
        <f>D13</f>
        <v>34027.199999999997</v>
      </c>
      <c r="K41" s="117" t="s">
        <v>234</v>
      </c>
    </row>
    <row r="42" spans="2:22" ht="15" thickBot="1" x14ac:dyDescent="0.35">
      <c r="G42" s="176"/>
      <c r="H42" s="121" t="s">
        <v>249</v>
      </c>
      <c r="I42" s="179" t="s">
        <v>239</v>
      </c>
      <c r="J42" s="203">
        <v>1</v>
      </c>
      <c r="K42" s="117" t="s">
        <v>36</v>
      </c>
    </row>
    <row r="43" spans="2:22" x14ac:dyDescent="0.3">
      <c r="G43" s="176"/>
      <c r="H43" s="121" t="s">
        <v>306</v>
      </c>
      <c r="I43" s="179" t="s">
        <v>226</v>
      </c>
      <c r="J43" s="206">
        <v>70</v>
      </c>
      <c r="K43" s="117"/>
      <c r="N43" s="174"/>
      <c r="O43" s="110"/>
      <c r="P43" s="110"/>
      <c r="Q43" s="110"/>
      <c r="R43" s="110"/>
      <c r="S43" s="110"/>
      <c r="T43" s="110"/>
      <c r="U43" s="110"/>
      <c r="V43" s="111"/>
    </row>
    <row r="44" spans="2:22" x14ac:dyDescent="0.3">
      <c r="G44" s="176"/>
      <c r="H44" s="121" t="s">
        <v>308</v>
      </c>
      <c r="I44" s="179" t="s">
        <v>229</v>
      </c>
      <c r="J44" s="209">
        <f>J39/J41/J42+J43</f>
        <v>118.30177272963982</v>
      </c>
      <c r="K44" s="117"/>
      <c r="N44" s="176"/>
      <c r="O44" s="248" t="s">
        <v>314</v>
      </c>
      <c r="P44" s="264">
        <v>0.4</v>
      </c>
      <c r="Q44" s="253" t="s">
        <v>320</v>
      </c>
      <c r="R44" s="112"/>
      <c r="S44" s="112"/>
      <c r="T44" s="112"/>
      <c r="U44" s="112"/>
      <c r="V44" s="117"/>
    </row>
    <row r="45" spans="2:22" ht="15" thickBot="1" x14ac:dyDescent="0.35">
      <c r="G45" s="235"/>
      <c r="H45" s="240"/>
      <c r="I45" s="240"/>
      <c r="J45" s="241"/>
      <c r="K45" s="105"/>
      <c r="M45" s="112"/>
      <c r="N45" s="176"/>
      <c r="O45" s="248" t="s">
        <v>315</v>
      </c>
      <c r="P45" s="181">
        <v>7640</v>
      </c>
      <c r="Q45" s="253" t="s">
        <v>321</v>
      </c>
      <c r="R45" s="112"/>
      <c r="S45" s="112"/>
      <c r="T45" s="112"/>
      <c r="U45" s="112"/>
      <c r="V45" s="117"/>
    </row>
    <row r="46" spans="2:22" ht="14.55" customHeight="1" x14ac:dyDescent="0.3">
      <c r="B46" t="s">
        <v>332</v>
      </c>
      <c r="D46" s="265">
        <f>500*68*(292.6-240)/1000</f>
        <v>1788.4000000000008</v>
      </c>
      <c r="E46" s="265">
        <f>500*68*(118.4-70)/1000</f>
        <v>1645.6000000000001</v>
      </c>
      <c r="F46" s="112"/>
      <c r="G46" s="112"/>
      <c r="I46" s="179"/>
      <c r="J46" s="107"/>
      <c r="N46" s="176"/>
      <c r="O46" s="112"/>
      <c r="P46" s="112"/>
      <c r="Q46" s="112"/>
      <c r="R46" s="112"/>
      <c r="S46" s="112"/>
      <c r="T46" s="112"/>
      <c r="U46" s="112"/>
      <c r="V46" s="117"/>
    </row>
    <row r="47" spans="2:22" x14ac:dyDescent="0.3">
      <c r="D47" s="266">
        <f>240+D46/(292.6-240)</f>
        <v>274</v>
      </c>
      <c r="E47" s="267">
        <f>70+E46/(118.4-70)</f>
        <v>104</v>
      </c>
      <c r="F47" s="112"/>
      <c r="G47" s="112"/>
      <c r="I47" s="179"/>
      <c r="J47" s="107"/>
      <c r="N47" s="176"/>
      <c r="O47" s="248" t="s">
        <v>316</v>
      </c>
      <c r="P47" s="268">
        <f>P26*P44/D15*P45/D24</f>
        <v>1.6314174463824971</v>
      </c>
      <c r="Q47" s="181" t="s">
        <v>279</v>
      </c>
      <c r="R47" s="112"/>
      <c r="S47" s="112"/>
      <c r="T47" s="112"/>
      <c r="U47" s="112"/>
      <c r="V47" s="117"/>
    </row>
    <row r="48" spans="2:22" x14ac:dyDescent="0.3">
      <c r="D48" s="269">
        <f>1716/D46</f>
        <v>0.9595168866025493</v>
      </c>
      <c r="E48" s="269">
        <f>1637/E46</f>
        <v>0.99477394263490515</v>
      </c>
      <c r="F48" s="112"/>
      <c r="G48" s="198"/>
      <c r="I48" s="179"/>
      <c r="J48" s="107"/>
      <c r="N48" s="176"/>
      <c r="O48" s="248" t="s">
        <v>333</v>
      </c>
      <c r="P48" s="133">
        <f>P39*P44/D15*P45/D24</f>
        <v>3.1318692437284139</v>
      </c>
      <c r="Q48" s="181" t="s">
        <v>279</v>
      </c>
      <c r="R48" s="112"/>
      <c r="S48" s="112"/>
      <c r="T48" s="112"/>
      <c r="U48" s="112"/>
      <c r="V48" s="117"/>
    </row>
    <row r="49" spans="1:22" ht="15" thickBot="1" x14ac:dyDescent="0.35">
      <c r="D49" s="185">
        <f>1716+1637</f>
        <v>3353</v>
      </c>
      <c r="E49" s="185"/>
      <c r="F49" s="112"/>
      <c r="G49" s="112"/>
      <c r="H49" s="250"/>
      <c r="I49" s="179"/>
      <c r="J49" s="107"/>
      <c r="N49" s="235"/>
      <c r="O49" s="127"/>
      <c r="P49" s="127"/>
      <c r="Q49" s="127"/>
      <c r="R49" s="127"/>
      <c r="S49" s="127"/>
      <c r="T49" s="127"/>
      <c r="U49" s="127"/>
      <c r="V49" s="105"/>
    </row>
    <row r="50" spans="1:22" x14ac:dyDescent="0.3">
      <c r="A50" s="178"/>
      <c r="D50" s="270">
        <f>21.243+20.266</f>
        <v>41.509</v>
      </c>
      <c r="E50" s="270">
        <f>D49/0.808/100</f>
        <v>41.497524752475243</v>
      </c>
      <c r="H50" s="250"/>
      <c r="I50" s="179"/>
      <c r="J50" s="107"/>
    </row>
    <row r="51" spans="1:22" x14ac:dyDescent="0.3">
      <c r="D51" s="271"/>
      <c r="H51" s="250"/>
      <c r="I51" s="179"/>
      <c r="J51" s="107"/>
    </row>
    <row r="52" spans="1:22" ht="11.55" customHeight="1" x14ac:dyDescent="0.3">
      <c r="D52" s="272">
        <f>D50*4000</f>
        <v>166036</v>
      </c>
      <c r="H52" s="246"/>
      <c r="I52" s="179"/>
      <c r="J52" s="107"/>
      <c r="K52" s="173"/>
    </row>
    <row r="53" spans="1:22" x14ac:dyDescent="0.3">
      <c r="D53" s="272">
        <f>D52*0.56</f>
        <v>92980.160000000003</v>
      </c>
      <c r="H53" s="246"/>
      <c r="I53" s="179"/>
      <c r="J53" s="107"/>
      <c r="K53" s="173"/>
      <c r="M53" s="112"/>
    </row>
    <row r="54" spans="1:22" x14ac:dyDescent="0.3">
      <c r="H54" s="246"/>
      <c r="I54" s="179"/>
      <c r="J54" s="107"/>
      <c r="K54" s="173"/>
      <c r="M54" s="112"/>
    </row>
    <row r="55" spans="1:22" x14ac:dyDescent="0.3">
      <c r="B55" t="s">
        <v>334</v>
      </c>
      <c r="D55" s="273">
        <v>0.56000000000000005</v>
      </c>
      <c r="H55" s="246"/>
      <c r="I55" s="179"/>
      <c r="J55" s="107"/>
      <c r="K55" s="173"/>
    </row>
    <row r="56" spans="1:22" ht="15" thickBot="1" x14ac:dyDescent="0.35">
      <c r="G56" s="173"/>
      <c r="H56" s="246"/>
      <c r="I56" s="179"/>
      <c r="J56" s="107"/>
      <c r="K56" s="173"/>
    </row>
    <row r="57" spans="1:22" x14ac:dyDescent="0.3">
      <c r="B57" s="174"/>
      <c r="C57" s="175"/>
      <c r="D57" s="110"/>
      <c r="E57" s="111"/>
      <c r="G57" s="173"/>
      <c r="H57" s="246"/>
      <c r="I57" s="179"/>
      <c r="J57" s="107"/>
      <c r="K57" s="173"/>
    </row>
    <row r="58" spans="1:22" x14ac:dyDescent="0.3">
      <c r="B58" s="176" t="s">
        <v>280</v>
      </c>
      <c r="C58" s="198"/>
      <c r="D58" s="112">
        <v>490</v>
      </c>
      <c r="E58" s="117">
        <v>254</v>
      </c>
      <c r="G58" s="173"/>
      <c r="H58" s="246"/>
      <c r="I58" s="179"/>
      <c r="J58" s="107"/>
      <c r="K58" s="173"/>
    </row>
    <row r="59" spans="1:22" ht="12" customHeight="1" x14ac:dyDescent="0.3">
      <c r="B59" s="176" t="s">
        <v>281</v>
      </c>
      <c r="C59" s="198"/>
      <c r="D59" s="112">
        <v>8320</v>
      </c>
      <c r="E59" s="117"/>
      <c r="G59" s="173"/>
      <c r="H59" s="250"/>
      <c r="I59" s="179"/>
      <c r="J59" s="107"/>
    </row>
    <row r="60" spans="1:22" x14ac:dyDescent="0.3">
      <c r="B60" s="176"/>
      <c r="C60" s="198"/>
      <c r="D60" s="112"/>
      <c r="E60" s="117"/>
      <c r="G60" s="173"/>
      <c r="H60" s="250"/>
      <c r="I60" s="179"/>
      <c r="J60" s="107"/>
    </row>
    <row r="61" spans="1:22" x14ac:dyDescent="0.3">
      <c r="B61" s="176"/>
      <c r="C61" s="198"/>
      <c r="D61" s="112">
        <v>0.748</v>
      </c>
      <c r="E61" s="117"/>
      <c r="G61" s="173"/>
      <c r="H61" s="250"/>
      <c r="I61" s="179"/>
      <c r="J61" s="107"/>
    </row>
    <row r="62" spans="1:22" x14ac:dyDescent="0.3">
      <c r="B62" s="176"/>
      <c r="C62" s="198"/>
      <c r="D62" s="112">
        <v>0.61699999999999999</v>
      </c>
      <c r="E62" s="117"/>
      <c r="G62" s="173"/>
      <c r="H62" s="250"/>
      <c r="I62" s="179"/>
      <c r="J62" s="107"/>
    </row>
    <row r="63" spans="1:22" x14ac:dyDescent="0.3">
      <c r="B63" s="176" t="s">
        <v>288</v>
      </c>
      <c r="C63" s="198"/>
      <c r="D63" s="192">
        <f>D61-(D61-D62)*0.46</f>
        <v>0.68774000000000002</v>
      </c>
      <c r="E63" s="229">
        <f>D63*0.06243</f>
        <v>4.2935608200000003E-2</v>
      </c>
      <c r="H63" s="250"/>
      <c r="I63" s="179"/>
      <c r="J63" s="107"/>
    </row>
    <row r="64" spans="1:22" x14ac:dyDescent="0.3">
      <c r="B64" s="176"/>
      <c r="C64" s="198"/>
      <c r="D64" s="228"/>
      <c r="E64" s="117"/>
      <c r="J64" s="107"/>
    </row>
    <row r="65" spans="1:10" x14ac:dyDescent="0.3">
      <c r="B65" s="176" t="s">
        <v>292</v>
      </c>
      <c r="C65" s="198"/>
      <c r="D65" s="274">
        <f>D59*E63*60</f>
        <v>21433.455613440001</v>
      </c>
      <c r="E65" s="117"/>
      <c r="J65" s="107"/>
    </row>
    <row r="66" spans="1:10" x14ac:dyDescent="0.3">
      <c r="A66" s="178"/>
      <c r="B66" s="176"/>
      <c r="C66" s="198"/>
      <c r="D66" s="130">
        <v>23279</v>
      </c>
      <c r="E66" s="117"/>
      <c r="J66" s="107"/>
    </row>
    <row r="67" spans="1:10" x14ac:dyDescent="0.3">
      <c r="B67" s="176"/>
      <c r="C67" s="198"/>
      <c r="D67" s="112"/>
      <c r="E67" s="117"/>
      <c r="J67" s="107"/>
    </row>
    <row r="68" spans="1:10" x14ac:dyDescent="0.3">
      <c r="B68" s="176" t="s">
        <v>296</v>
      </c>
      <c r="C68" s="198"/>
      <c r="D68" s="112">
        <v>68</v>
      </c>
      <c r="E68" s="231">
        <f>D68*8.34*60</f>
        <v>34027.199999999997</v>
      </c>
      <c r="J68" s="107"/>
    </row>
    <row r="69" spans="1:10" x14ac:dyDescent="0.3">
      <c r="B69" s="176"/>
      <c r="C69" s="198"/>
      <c r="D69" s="112"/>
      <c r="E69" s="117"/>
      <c r="J69" s="107"/>
    </row>
    <row r="70" spans="1:10" x14ac:dyDescent="0.3">
      <c r="B70" s="176"/>
      <c r="C70" s="198"/>
      <c r="D70" s="112"/>
      <c r="E70" s="117"/>
    </row>
    <row r="71" spans="1:10" x14ac:dyDescent="0.3">
      <c r="B71" s="176"/>
      <c r="C71" s="198"/>
      <c r="D71" s="181">
        <v>1.097</v>
      </c>
      <c r="E71" s="117"/>
    </row>
    <row r="72" spans="1:10" ht="15.9" customHeight="1" x14ac:dyDescent="0.3">
      <c r="B72" s="176"/>
      <c r="C72" s="198"/>
      <c r="D72" s="181">
        <v>1.1220000000000001</v>
      </c>
      <c r="E72" s="117"/>
    </row>
    <row r="73" spans="1:10" x14ac:dyDescent="0.3">
      <c r="B73" s="212" t="s">
        <v>302</v>
      </c>
      <c r="C73" s="198"/>
      <c r="D73" s="236">
        <f>D71-(D71-D72)*0.46</f>
        <v>1.1085</v>
      </c>
      <c r="E73" s="117">
        <v>0.23880000000000001</v>
      </c>
    </row>
    <row r="74" spans="1:10" x14ac:dyDescent="0.3">
      <c r="B74" s="227" t="s">
        <v>304</v>
      </c>
      <c r="C74" s="198"/>
      <c r="D74" s="237">
        <f>D73*E73</f>
        <v>0.26470980000000005</v>
      </c>
      <c r="E74" s="238" t="s">
        <v>335</v>
      </c>
    </row>
    <row r="75" spans="1:10" ht="15" thickBot="1" x14ac:dyDescent="0.35">
      <c r="B75" s="235"/>
      <c r="C75" s="239"/>
      <c r="D75" s="127"/>
      <c r="E75" s="105"/>
    </row>
    <row r="76" spans="1:10" ht="14.55" customHeight="1" x14ac:dyDescent="0.3"/>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C1DD-958A-4659-BA0D-38E352F32AB4}">
  <dimension ref="A1:V71"/>
  <sheetViews>
    <sheetView tabSelected="1" zoomScale="90" zoomScaleNormal="90" workbookViewId="0">
      <selection activeCell="U28" sqref="U28"/>
    </sheetView>
  </sheetViews>
  <sheetFormatPr defaultRowHeight="14.4" x14ac:dyDescent="0.3"/>
  <cols>
    <col min="1" max="1" width="2.109375" customWidth="1"/>
    <col min="2" max="2" width="29.109375" customWidth="1"/>
    <col min="3" max="3" width="7.109375" style="173" customWidth="1"/>
    <col min="4" max="4" width="11.109375" customWidth="1"/>
    <col min="5" max="5" width="10.44140625" bestFit="1" customWidth="1"/>
    <col min="6" max="6" width="2" customWidth="1"/>
    <col min="7" max="7" width="1.5546875" customWidth="1"/>
    <col min="8" max="8" width="27.6640625" bestFit="1" customWidth="1"/>
    <col min="9" max="9" width="4.109375" style="173" customWidth="1"/>
    <col min="10" max="10" width="9.88671875" customWidth="1"/>
    <col min="11" max="11" width="12.44140625" bestFit="1" customWidth="1"/>
    <col min="12" max="12" width="4.6640625" customWidth="1"/>
    <col min="13" max="13" width="3.33203125" customWidth="1"/>
    <col min="14" max="14" width="29.44140625" customWidth="1"/>
    <col min="15" max="15" width="4.88671875" customWidth="1"/>
    <col min="16" max="16" width="12" bestFit="1" customWidth="1"/>
    <col min="17" max="17" width="11.5546875" customWidth="1"/>
  </cols>
  <sheetData>
    <row r="1" spans="2:17" ht="18" customHeight="1" thickBot="1" x14ac:dyDescent="0.35">
      <c r="B1" s="172" t="s">
        <v>212</v>
      </c>
    </row>
    <row r="2" spans="2:17" x14ac:dyDescent="0.3">
      <c r="G2" s="174"/>
      <c r="H2" s="110"/>
      <c r="I2" s="175"/>
      <c r="J2" s="110"/>
      <c r="K2" s="111"/>
      <c r="M2" s="174"/>
      <c r="N2" s="110"/>
      <c r="O2" s="110"/>
      <c r="P2" s="110"/>
      <c r="Q2" s="111"/>
    </row>
    <row r="3" spans="2:17" x14ac:dyDescent="0.3">
      <c r="B3" s="173" t="s">
        <v>213</v>
      </c>
      <c r="D3" s="107"/>
      <c r="G3" s="176"/>
      <c r="H3" s="177" t="s">
        <v>214</v>
      </c>
      <c r="I3" s="177"/>
      <c r="J3" s="112"/>
      <c r="K3" s="117"/>
      <c r="M3" s="176"/>
      <c r="N3" s="177" t="s">
        <v>215</v>
      </c>
      <c r="O3" s="112"/>
      <c r="P3" s="112"/>
      <c r="Q3" s="117"/>
    </row>
    <row r="4" spans="2:17" x14ac:dyDescent="0.3">
      <c r="B4" s="178" t="s">
        <v>216</v>
      </c>
      <c r="D4" s="107">
        <f>600*33.475</f>
        <v>20085</v>
      </c>
      <c r="E4" t="s">
        <v>217</v>
      </c>
      <c r="G4" s="176"/>
      <c r="H4" s="121" t="s">
        <v>218</v>
      </c>
      <c r="I4" s="179"/>
      <c r="J4" s="180">
        <f>D20</f>
        <v>407</v>
      </c>
      <c r="K4" s="117"/>
      <c r="M4" s="176"/>
      <c r="N4" s="181" t="s">
        <v>219</v>
      </c>
      <c r="O4" s="182"/>
      <c r="P4" s="183">
        <f>J9</f>
        <v>475978.98515408975</v>
      </c>
      <c r="Q4" s="184" t="s">
        <v>108</v>
      </c>
    </row>
    <row r="5" spans="2:17" x14ac:dyDescent="0.3">
      <c r="B5" s="185" t="s">
        <v>220</v>
      </c>
      <c r="D5" s="186">
        <f>D4/970*1000</f>
        <v>20706.185567010307</v>
      </c>
      <c r="E5" t="s">
        <v>221</v>
      </c>
      <c r="G5" s="176"/>
      <c r="H5" s="121" t="s">
        <v>222</v>
      </c>
      <c r="I5" s="179" t="s">
        <v>223</v>
      </c>
      <c r="J5" s="187">
        <v>270</v>
      </c>
      <c r="K5" s="188" t="s">
        <v>224</v>
      </c>
      <c r="M5" s="176"/>
      <c r="N5" s="181" t="s">
        <v>225</v>
      </c>
      <c r="O5" s="182" t="s">
        <v>226</v>
      </c>
      <c r="P5" s="183">
        <f>J23</f>
        <v>326584.12120061636</v>
      </c>
      <c r="Q5" s="184" t="s">
        <v>108</v>
      </c>
    </row>
    <row r="6" spans="2:17" x14ac:dyDescent="0.3">
      <c r="B6" s="185" t="s">
        <v>227</v>
      </c>
      <c r="D6" s="189">
        <v>0.82</v>
      </c>
      <c r="G6" s="176"/>
      <c r="H6" s="121" t="s">
        <v>228</v>
      </c>
      <c r="I6" s="179" t="s">
        <v>229</v>
      </c>
      <c r="J6" s="180">
        <f>J4-J5</f>
        <v>137</v>
      </c>
      <c r="K6" s="117"/>
      <c r="M6" s="176"/>
      <c r="N6" s="181" t="s">
        <v>230</v>
      </c>
      <c r="O6" s="182" t="s">
        <v>226</v>
      </c>
      <c r="P6" s="190">
        <f>J35</f>
        <v>1074811.7088321743</v>
      </c>
      <c r="Q6" s="184" t="s">
        <v>108</v>
      </c>
    </row>
    <row r="7" spans="2:17" x14ac:dyDescent="0.3">
      <c r="B7" s="185" t="s">
        <v>231</v>
      </c>
      <c r="D7" s="107">
        <f>D4/D6</f>
        <v>24493.90243902439</v>
      </c>
      <c r="E7" t="s">
        <v>217</v>
      </c>
      <c r="G7" s="176"/>
      <c r="H7" s="121" t="s">
        <v>232</v>
      </c>
      <c r="I7" s="179" t="s">
        <v>233</v>
      </c>
      <c r="J7" s="183">
        <f>D19</f>
        <v>13238.390777471999</v>
      </c>
      <c r="K7" s="184" t="s">
        <v>234</v>
      </c>
      <c r="M7" s="176"/>
      <c r="N7" s="112" t="s">
        <v>235</v>
      </c>
      <c r="O7" s="182" t="s">
        <v>229</v>
      </c>
      <c r="P7" s="191">
        <f>SUM(P4:P6)</f>
        <v>1877374.8151868805</v>
      </c>
      <c r="Q7" s="184" t="s">
        <v>108</v>
      </c>
    </row>
    <row r="8" spans="2:17" x14ac:dyDescent="0.3">
      <c r="B8" s="185" t="s">
        <v>236</v>
      </c>
      <c r="D8" s="186">
        <v>407</v>
      </c>
      <c r="E8" t="s">
        <v>96</v>
      </c>
      <c r="G8" s="176"/>
      <c r="H8" s="121" t="s">
        <v>237</v>
      </c>
      <c r="I8" s="179" t="s">
        <v>233</v>
      </c>
      <c r="J8" s="192">
        <f>D43</f>
        <v>0.26244119999999999</v>
      </c>
      <c r="K8" s="184" t="s">
        <v>36</v>
      </c>
      <c r="M8" s="176"/>
      <c r="N8" s="112" t="s">
        <v>238</v>
      </c>
      <c r="O8" s="179" t="s">
        <v>239</v>
      </c>
      <c r="P8" s="193">
        <f>D6</f>
        <v>0.82</v>
      </c>
      <c r="Q8" s="117"/>
    </row>
    <row r="9" spans="2:17" x14ac:dyDescent="0.3">
      <c r="B9" s="185" t="s">
        <v>240</v>
      </c>
      <c r="D9" s="194">
        <f>D34</f>
        <v>13238.390777471999</v>
      </c>
      <c r="E9" t="s">
        <v>221</v>
      </c>
      <c r="G9" s="176"/>
      <c r="H9" s="195" t="s">
        <v>241</v>
      </c>
      <c r="I9" s="179" t="s">
        <v>229</v>
      </c>
      <c r="J9" s="196">
        <f>J6*J7*J8</f>
        <v>475978.98515408975</v>
      </c>
      <c r="K9" s="197" t="s">
        <v>108</v>
      </c>
      <c r="M9" s="176"/>
      <c r="N9" s="112" t="s">
        <v>242</v>
      </c>
      <c r="O9" s="198"/>
      <c r="P9" s="183">
        <f>P7/P8</f>
        <v>2289481.4819352203</v>
      </c>
      <c r="Q9" s="117" t="s">
        <v>108</v>
      </c>
    </row>
    <row r="10" spans="2:17" x14ac:dyDescent="0.3">
      <c r="B10" s="185" t="s">
        <v>243</v>
      </c>
      <c r="D10" s="199">
        <v>41.9</v>
      </c>
      <c r="E10" t="s">
        <v>244</v>
      </c>
      <c r="G10" s="176"/>
      <c r="H10" s="112"/>
      <c r="I10" s="198"/>
      <c r="J10" s="112"/>
      <c r="K10" s="117"/>
      <c r="M10" s="176"/>
      <c r="N10" s="112" t="s">
        <v>245</v>
      </c>
      <c r="O10" s="182" t="s">
        <v>233</v>
      </c>
      <c r="P10" s="112">
        <f>D22</f>
        <v>4000</v>
      </c>
      <c r="Q10" s="117" t="s">
        <v>175</v>
      </c>
    </row>
    <row r="11" spans="2:17" x14ac:dyDescent="0.3">
      <c r="C11" s="200" t="s">
        <v>229</v>
      </c>
      <c r="D11" s="201">
        <f>D10*8.34*60</f>
        <v>20966.759999999998</v>
      </c>
      <c r="E11" t="s">
        <v>221</v>
      </c>
      <c r="G11" s="176"/>
      <c r="H11" s="121" t="s">
        <v>246</v>
      </c>
      <c r="I11" s="179" t="s">
        <v>239</v>
      </c>
      <c r="J11" s="183">
        <f>D18</f>
        <v>20966.759999999998</v>
      </c>
      <c r="K11" s="184" t="s">
        <v>234</v>
      </c>
      <c r="M11" s="176"/>
      <c r="N11" s="112" t="s">
        <v>247</v>
      </c>
      <c r="O11" s="179" t="s">
        <v>239</v>
      </c>
      <c r="P11" s="202">
        <f>100000</f>
        <v>100000</v>
      </c>
      <c r="Q11" s="117" t="s">
        <v>248</v>
      </c>
    </row>
    <row r="12" spans="2:17" x14ac:dyDescent="0.3">
      <c r="G12" s="176"/>
      <c r="H12" s="121" t="s">
        <v>249</v>
      </c>
      <c r="I12" s="179" t="s">
        <v>239</v>
      </c>
      <c r="J12" s="203">
        <v>1</v>
      </c>
      <c r="K12" s="184" t="s">
        <v>36</v>
      </c>
      <c r="M12" s="176"/>
      <c r="N12" s="198" t="s">
        <v>250</v>
      </c>
      <c r="O12" s="182" t="s">
        <v>229</v>
      </c>
      <c r="P12" s="204">
        <f>P9*P10/P11</f>
        <v>91579.259277408812</v>
      </c>
      <c r="Q12" s="197" t="s">
        <v>251</v>
      </c>
    </row>
    <row r="13" spans="2:17" x14ac:dyDescent="0.3">
      <c r="B13" s="173" t="s">
        <v>252</v>
      </c>
      <c r="C13" s="200" t="s">
        <v>229</v>
      </c>
      <c r="D13" s="205">
        <v>1</v>
      </c>
      <c r="E13" s="178"/>
      <c r="G13" s="176"/>
      <c r="H13" s="121" t="s">
        <v>253</v>
      </c>
      <c r="I13" s="179" t="s">
        <v>226</v>
      </c>
      <c r="J13" s="206">
        <v>227</v>
      </c>
      <c r="K13" s="117"/>
      <c r="M13" s="176"/>
      <c r="N13" s="112"/>
      <c r="O13" s="198"/>
      <c r="P13" s="207"/>
      <c r="Q13" s="117"/>
    </row>
    <row r="14" spans="2:17" x14ac:dyDescent="0.3">
      <c r="B14" s="173" t="s">
        <v>254</v>
      </c>
      <c r="C14" s="200" t="s">
        <v>229</v>
      </c>
      <c r="D14" s="208">
        <f>D5*D13</f>
        <v>20706.185567010307</v>
      </c>
      <c r="E14" s="173" t="s">
        <v>255</v>
      </c>
      <c r="G14" s="176"/>
      <c r="H14" s="121" t="s">
        <v>256</v>
      </c>
      <c r="I14" s="179" t="s">
        <v>229</v>
      </c>
      <c r="J14" s="209">
        <f>J9/J11/J12+J13</f>
        <v>249.70159934840146</v>
      </c>
      <c r="K14" s="117"/>
      <c r="M14" s="176"/>
      <c r="N14" s="177" t="s">
        <v>257</v>
      </c>
      <c r="O14" s="112"/>
      <c r="P14" s="112"/>
      <c r="Q14" s="117"/>
    </row>
    <row r="15" spans="2:17" x14ac:dyDescent="0.3">
      <c r="C15"/>
      <c r="E15" s="173"/>
      <c r="G15" s="176"/>
      <c r="H15" s="112"/>
      <c r="I15" s="198"/>
      <c r="J15" s="112"/>
      <c r="K15" s="117"/>
      <c r="M15" s="210" t="s">
        <v>258</v>
      </c>
      <c r="N15" s="211" t="s">
        <v>259</v>
      </c>
      <c r="O15" s="198"/>
      <c r="P15" s="207"/>
      <c r="Q15" s="117"/>
    </row>
    <row r="16" spans="2:17" x14ac:dyDescent="0.3">
      <c r="B16" t="s">
        <v>260</v>
      </c>
      <c r="D16" s="107">
        <f>D11</f>
        <v>20966.759999999998</v>
      </c>
      <c r="E16" t="s">
        <v>221</v>
      </c>
      <c r="G16" s="176"/>
      <c r="H16" s="112"/>
      <c r="I16" s="198"/>
      <c r="J16" s="112"/>
      <c r="K16" s="117"/>
      <c r="M16" s="212"/>
      <c r="N16" s="112" t="s">
        <v>261</v>
      </c>
      <c r="O16" s="198"/>
      <c r="P16" s="183">
        <f>D14</f>
        <v>20706.185567010307</v>
      </c>
      <c r="Q16" s="117" t="s">
        <v>234</v>
      </c>
    </row>
    <row r="17" spans="2:17" x14ac:dyDescent="0.3">
      <c r="B17" t="s">
        <v>262</v>
      </c>
      <c r="D17" s="213">
        <v>0</v>
      </c>
      <c r="G17" s="176"/>
      <c r="H17" s="177" t="s">
        <v>263</v>
      </c>
      <c r="I17" s="177"/>
      <c r="J17" s="112"/>
      <c r="K17" s="117"/>
      <c r="M17" s="176"/>
      <c r="N17" s="112" t="s">
        <v>264</v>
      </c>
      <c r="O17" s="182" t="s">
        <v>233</v>
      </c>
      <c r="P17" s="112">
        <v>970</v>
      </c>
      <c r="Q17" s="117" t="s">
        <v>43</v>
      </c>
    </row>
    <row r="18" spans="2:17" x14ac:dyDescent="0.3">
      <c r="B18" t="s">
        <v>265</v>
      </c>
      <c r="D18" s="214">
        <f>D16*(1-D17)</f>
        <v>20966.759999999998</v>
      </c>
      <c r="E18" t="s">
        <v>221</v>
      </c>
      <c r="G18" s="176"/>
      <c r="H18" s="121" t="s">
        <v>218</v>
      </c>
      <c r="I18" s="179"/>
      <c r="J18" s="215">
        <f>J5</f>
        <v>270</v>
      </c>
      <c r="K18" s="117"/>
      <c r="M18" s="176"/>
      <c r="N18" s="112" t="s">
        <v>266</v>
      </c>
      <c r="O18" s="182" t="s">
        <v>239</v>
      </c>
      <c r="P18" s="216">
        <f>D6</f>
        <v>0.82</v>
      </c>
      <c r="Q18" s="117"/>
    </row>
    <row r="19" spans="2:17" x14ac:dyDescent="0.3">
      <c r="B19" t="s">
        <v>267</v>
      </c>
      <c r="D19" s="214">
        <f>D14*D9/D5</f>
        <v>13238.390777471999</v>
      </c>
      <c r="E19" t="s">
        <v>221</v>
      </c>
      <c r="G19" s="176"/>
      <c r="H19" s="121" t="s">
        <v>222</v>
      </c>
      <c r="I19" s="179" t="s">
        <v>223</v>
      </c>
      <c r="J19" s="217">
        <v>176</v>
      </c>
      <c r="K19" s="117" t="s">
        <v>268</v>
      </c>
      <c r="M19" s="176"/>
      <c r="N19" s="112" t="s">
        <v>269</v>
      </c>
      <c r="O19" s="182" t="s">
        <v>229</v>
      </c>
      <c r="P19" s="183">
        <f>P16*P17/P18</f>
        <v>24493902.439024389</v>
      </c>
      <c r="Q19" s="184" t="s">
        <v>108</v>
      </c>
    </row>
    <row r="20" spans="2:17" x14ac:dyDescent="0.3">
      <c r="B20" t="s">
        <v>270</v>
      </c>
      <c r="D20" s="218">
        <f>D8</f>
        <v>407</v>
      </c>
      <c r="E20" t="s">
        <v>96</v>
      </c>
      <c r="G20" s="176"/>
      <c r="H20" s="121" t="s">
        <v>228</v>
      </c>
      <c r="I20" s="179" t="s">
        <v>229</v>
      </c>
      <c r="J20" s="180">
        <f>J18-J19</f>
        <v>94</v>
      </c>
      <c r="K20" s="117"/>
      <c r="M20" s="176"/>
      <c r="N20" s="181" t="s">
        <v>219</v>
      </c>
      <c r="O20" s="182"/>
      <c r="P20" s="183">
        <f>P4</f>
        <v>475978.98515408975</v>
      </c>
      <c r="Q20" s="117" t="s">
        <v>108</v>
      </c>
    </row>
    <row r="21" spans="2:17" x14ac:dyDescent="0.3">
      <c r="G21" s="176"/>
      <c r="H21" s="121" t="s">
        <v>232</v>
      </c>
      <c r="I21" s="179" t="s">
        <v>233</v>
      </c>
      <c r="J21" s="183">
        <f>J7</f>
        <v>13238.390777471999</v>
      </c>
      <c r="K21" s="184" t="s">
        <v>234</v>
      </c>
      <c r="M21" s="176"/>
      <c r="N21" s="181" t="s">
        <v>271</v>
      </c>
      <c r="O21" s="182" t="s">
        <v>229</v>
      </c>
      <c r="P21" s="190">
        <f>P20/P18</f>
        <v>580462.17701718269</v>
      </c>
      <c r="Q21" s="184" t="s">
        <v>108</v>
      </c>
    </row>
    <row r="22" spans="2:17" x14ac:dyDescent="0.3">
      <c r="B22" s="198" t="s">
        <v>245</v>
      </c>
      <c r="D22" s="219">
        <v>4000</v>
      </c>
      <c r="E22" s="178" t="s">
        <v>175</v>
      </c>
      <c r="G22" s="176"/>
      <c r="H22" s="121" t="s">
        <v>237</v>
      </c>
      <c r="I22" s="179" t="s">
        <v>233</v>
      </c>
      <c r="J22" s="192">
        <f>D43</f>
        <v>0.26244119999999999</v>
      </c>
      <c r="K22" s="184" t="s">
        <v>36</v>
      </c>
      <c r="M22" s="176"/>
      <c r="N22" s="181" t="s">
        <v>272</v>
      </c>
      <c r="O22" s="182" t="s">
        <v>229</v>
      </c>
      <c r="P22" s="183">
        <f>P19-P21</f>
        <v>23913440.262007207</v>
      </c>
      <c r="Q22" s="184" t="s">
        <v>108</v>
      </c>
    </row>
    <row r="23" spans="2:17" x14ac:dyDescent="0.3">
      <c r="G23" s="176"/>
      <c r="H23" s="195" t="s">
        <v>241</v>
      </c>
      <c r="I23" s="179" t="s">
        <v>229</v>
      </c>
      <c r="J23" s="220">
        <f>J20*J21*J22</f>
        <v>326584.12120061636</v>
      </c>
      <c r="K23" s="197" t="s">
        <v>273</v>
      </c>
      <c r="M23" s="176"/>
      <c r="N23" s="112"/>
      <c r="O23" s="112"/>
      <c r="P23" s="112"/>
      <c r="Q23" s="184"/>
    </row>
    <row r="24" spans="2:17" x14ac:dyDescent="0.3">
      <c r="G24" s="176"/>
      <c r="H24" s="195"/>
      <c r="I24" s="179"/>
      <c r="J24" s="220"/>
      <c r="K24" s="197"/>
      <c r="M24" s="176"/>
      <c r="N24" s="181" t="s">
        <v>274</v>
      </c>
      <c r="O24" s="182" t="s">
        <v>229</v>
      </c>
      <c r="P24" s="221">
        <f>P16*P17/P22</f>
        <v>0.83990424547614362</v>
      </c>
      <c r="Q24" s="117" t="s">
        <v>275</v>
      </c>
    </row>
    <row r="25" spans="2:17" ht="15" thickBot="1" x14ac:dyDescent="0.35">
      <c r="G25" s="176"/>
      <c r="H25" s="177" t="s">
        <v>276</v>
      </c>
      <c r="I25" s="177"/>
      <c r="J25" s="112"/>
      <c r="K25" s="117"/>
      <c r="M25" s="176"/>
      <c r="N25" s="181" t="s">
        <v>277</v>
      </c>
      <c r="O25" s="182" t="s">
        <v>229</v>
      </c>
      <c r="P25" s="222">
        <f>P24-P8</f>
        <v>1.9904245476143667E-2</v>
      </c>
      <c r="Q25" s="184"/>
    </row>
    <row r="26" spans="2:17" x14ac:dyDescent="0.3">
      <c r="B26" s="174"/>
      <c r="C26" s="175"/>
      <c r="D26" s="110"/>
      <c r="E26" s="111"/>
      <c r="G26" s="176"/>
      <c r="H26" s="121" t="s">
        <v>218</v>
      </c>
      <c r="I26" s="179"/>
      <c r="J26" s="215">
        <f>J5</f>
        <v>270</v>
      </c>
      <c r="K26" s="117"/>
      <c r="M26" s="176"/>
      <c r="N26" s="223" t="s">
        <v>278</v>
      </c>
      <c r="O26" s="182" t="s">
        <v>229</v>
      </c>
      <c r="P26" s="134">
        <f>P4*P10/(P8*P11)/D7</f>
        <v>0.94792927090682544</v>
      </c>
      <c r="Q26" s="184" t="s">
        <v>279</v>
      </c>
    </row>
    <row r="27" spans="2:17" x14ac:dyDescent="0.3">
      <c r="B27" s="176" t="s">
        <v>280</v>
      </c>
      <c r="C27" s="198"/>
      <c r="D27" s="112">
        <v>407</v>
      </c>
      <c r="E27" s="117">
        <v>208</v>
      </c>
      <c r="G27" s="176"/>
      <c r="H27" s="121" t="s">
        <v>222</v>
      </c>
      <c r="I27" s="179"/>
      <c r="J27" s="224">
        <f>J19</f>
        <v>176</v>
      </c>
      <c r="K27" s="117" t="s">
        <v>268</v>
      </c>
      <c r="M27" s="176"/>
      <c r="N27" s="202"/>
      <c r="O27" s="225"/>
      <c r="P27" s="202"/>
      <c r="Q27" s="117"/>
    </row>
    <row r="28" spans="2:17" x14ac:dyDescent="0.3">
      <c r="B28" s="176" t="s">
        <v>281</v>
      </c>
      <c r="C28" s="198"/>
      <c r="D28" s="112">
        <v>4792</v>
      </c>
      <c r="E28" s="117"/>
      <c r="G28" s="176"/>
      <c r="H28" s="121" t="s">
        <v>282</v>
      </c>
      <c r="I28" s="179"/>
      <c r="J28" s="180">
        <v>135</v>
      </c>
      <c r="K28" s="117"/>
      <c r="M28" s="176"/>
      <c r="N28" s="112"/>
      <c r="O28" s="112"/>
      <c r="P28" s="112"/>
      <c r="Q28" s="117"/>
    </row>
    <row r="29" spans="2:17" x14ac:dyDescent="0.3">
      <c r="B29" s="176"/>
      <c r="C29" s="198"/>
      <c r="D29" s="112"/>
      <c r="E29" s="117"/>
      <c r="G29" s="176"/>
      <c r="H29" s="121" t="s">
        <v>283</v>
      </c>
      <c r="I29" s="179"/>
      <c r="J29" s="226">
        <v>0.11</v>
      </c>
      <c r="K29" s="117" t="str">
        <f>CONCATENATE("@ ",ROUND(J26,1),"°F")</f>
        <v>@ 270°F</v>
      </c>
      <c r="M29" s="210" t="s">
        <v>284</v>
      </c>
      <c r="N29" s="181" t="s">
        <v>285</v>
      </c>
      <c r="O29" s="112"/>
      <c r="P29" s="112"/>
      <c r="Q29" s="117"/>
    </row>
    <row r="30" spans="2:17" x14ac:dyDescent="0.3">
      <c r="B30" s="176"/>
      <c r="C30" s="198"/>
      <c r="D30" s="112">
        <v>0.748</v>
      </c>
      <c r="E30" s="117"/>
      <c r="G30" s="176"/>
      <c r="H30" s="121" t="s">
        <v>319</v>
      </c>
      <c r="I30" s="179"/>
      <c r="J30" s="113">
        <v>2.63E-2</v>
      </c>
      <c r="K30" s="117" t="str">
        <f>CONCATENATE("@ ",ROUND(J27,1),"°F")</f>
        <v>@ 176°F</v>
      </c>
      <c r="M30" s="212"/>
      <c r="N30" s="112" t="s">
        <v>261</v>
      </c>
      <c r="O30" s="198"/>
      <c r="P30" s="183">
        <f>D14</f>
        <v>20706.185567010307</v>
      </c>
      <c r="Q30" s="117" t="s">
        <v>255</v>
      </c>
    </row>
    <row r="31" spans="2:17" x14ac:dyDescent="0.3">
      <c r="B31" s="176"/>
      <c r="C31" s="198"/>
      <c r="D31" s="112">
        <v>0.61699999999999999</v>
      </c>
      <c r="E31" s="117"/>
      <c r="G31" s="227"/>
      <c r="H31" s="121" t="s">
        <v>286</v>
      </c>
      <c r="I31" s="179" t="s">
        <v>229</v>
      </c>
      <c r="J31" s="183">
        <f>D19*J29</f>
        <v>1456.22298552192</v>
      </c>
      <c r="K31" s="117" t="str">
        <f>CONCATENATE("lb/hr @ ",ROUND(J26,1),"°F")</f>
        <v>lb/hr @ 270°F</v>
      </c>
      <c r="M31" s="176"/>
      <c r="N31" s="112" t="s">
        <v>264</v>
      </c>
      <c r="O31" s="182" t="s">
        <v>233</v>
      </c>
      <c r="P31" s="112">
        <v>970</v>
      </c>
      <c r="Q31" s="117" t="s">
        <v>287</v>
      </c>
    </row>
    <row r="32" spans="2:17" x14ac:dyDescent="0.3">
      <c r="B32" s="176" t="s">
        <v>288</v>
      </c>
      <c r="C32" s="198"/>
      <c r="D32" s="228">
        <f>D30-(D30-D31)*8/100</f>
        <v>0.73751999999999995</v>
      </c>
      <c r="E32" s="229">
        <f>D32*0.06243</f>
        <v>4.60433736E-2</v>
      </c>
      <c r="G32" s="176"/>
      <c r="H32" s="121" t="s">
        <v>289</v>
      </c>
      <c r="I32" s="179" t="s">
        <v>223</v>
      </c>
      <c r="J32" s="190">
        <f>D19*J30</f>
        <v>348.16967744751361</v>
      </c>
      <c r="K32" s="117" t="str">
        <f>CONCATENATE("lb/hr @ ",ROUND(J27,1),"°F")</f>
        <v>lb/hr @ 176°F</v>
      </c>
      <c r="M32" s="176"/>
      <c r="N32" s="112" t="s">
        <v>266</v>
      </c>
      <c r="O32" s="182" t="s">
        <v>239</v>
      </c>
      <c r="P32" s="216">
        <f>D6</f>
        <v>0.82</v>
      </c>
      <c r="Q32" s="117"/>
    </row>
    <row r="33" spans="2:18" x14ac:dyDescent="0.3">
      <c r="B33" s="176"/>
      <c r="C33" s="198"/>
      <c r="D33" s="112"/>
      <c r="E33" s="117"/>
      <c r="G33" s="176"/>
      <c r="H33" s="121" t="s">
        <v>290</v>
      </c>
      <c r="I33" s="179" t="s">
        <v>229</v>
      </c>
      <c r="J33" s="183">
        <f>J31-J32</f>
        <v>1108.0533080744065</v>
      </c>
      <c r="K33" s="117" t="s">
        <v>255</v>
      </c>
      <c r="M33" s="176"/>
      <c r="N33" s="112" t="s">
        <v>291</v>
      </c>
      <c r="O33" s="182" t="s">
        <v>229</v>
      </c>
      <c r="P33" s="183">
        <f>P30*P31/P32</f>
        <v>24493902.439024389</v>
      </c>
      <c r="Q33" s="117" t="s">
        <v>108</v>
      </c>
    </row>
    <row r="34" spans="2:18" x14ac:dyDescent="0.3">
      <c r="B34" s="176" t="s">
        <v>292</v>
      </c>
      <c r="C34" s="198"/>
      <c r="D34" s="230">
        <f>D28*E32*60</f>
        <v>13238.390777471999</v>
      </c>
      <c r="E34" s="117"/>
      <c r="G34" s="176"/>
      <c r="H34" s="121" t="s">
        <v>293</v>
      </c>
      <c r="I34" s="179" t="s">
        <v>233</v>
      </c>
      <c r="J34" s="190">
        <v>970</v>
      </c>
      <c r="K34" s="117" t="s">
        <v>287</v>
      </c>
      <c r="M34" s="176"/>
      <c r="N34" s="112" t="s">
        <v>294</v>
      </c>
      <c r="O34" s="182" t="s">
        <v>223</v>
      </c>
      <c r="P34" s="190">
        <f>P9</f>
        <v>2289481.4819352203</v>
      </c>
      <c r="Q34" s="117" t="s">
        <v>108</v>
      </c>
    </row>
    <row r="35" spans="2:18" x14ac:dyDescent="0.3">
      <c r="B35" s="176"/>
      <c r="C35" s="198"/>
      <c r="D35" s="112"/>
      <c r="E35" s="117"/>
      <c r="G35" s="176"/>
      <c r="H35" s="195" t="s">
        <v>295</v>
      </c>
      <c r="I35" s="179" t="s">
        <v>229</v>
      </c>
      <c r="J35" s="220">
        <f>J33*J34</f>
        <v>1074811.7088321743</v>
      </c>
      <c r="K35" s="197" t="s">
        <v>273</v>
      </c>
      <c r="M35" s="176"/>
      <c r="N35" s="112" t="s">
        <v>269</v>
      </c>
      <c r="O35" s="182" t="s">
        <v>229</v>
      </c>
      <c r="P35" s="183">
        <f>P33-P34</f>
        <v>22204420.957089167</v>
      </c>
      <c r="Q35" s="117" t="s">
        <v>108</v>
      </c>
    </row>
    <row r="36" spans="2:18" x14ac:dyDescent="0.3">
      <c r="B36" s="176"/>
      <c r="C36" s="198"/>
      <c r="D36" s="112"/>
      <c r="E36" s="117"/>
      <c r="G36" s="176"/>
      <c r="H36" s="121"/>
      <c r="I36" s="179"/>
      <c r="J36" s="183"/>
      <c r="K36" s="117"/>
      <c r="M36" s="176"/>
      <c r="N36" s="112"/>
      <c r="O36" s="182"/>
      <c r="P36" s="183"/>
      <c r="Q36" s="117"/>
    </row>
    <row r="37" spans="2:18" x14ac:dyDescent="0.3">
      <c r="B37" s="176" t="s">
        <v>296</v>
      </c>
      <c r="C37" s="198"/>
      <c r="D37" s="112">
        <v>41.9</v>
      </c>
      <c r="E37" s="231">
        <f>D37*8.34*60</f>
        <v>20966.759999999998</v>
      </c>
      <c r="G37" s="176"/>
      <c r="H37" s="195" t="str">
        <f>H23</f>
        <v>Sensible heat load</v>
      </c>
      <c r="I37" s="179" t="s">
        <v>229</v>
      </c>
      <c r="J37" s="232">
        <f>J23</f>
        <v>326584.12120061636</v>
      </c>
      <c r="K37" s="117"/>
      <c r="M37" s="176"/>
      <c r="N37" s="181" t="s">
        <v>297</v>
      </c>
      <c r="O37" s="182" t="s">
        <v>229</v>
      </c>
      <c r="P37" s="233">
        <f>P30*P31/P35</f>
        <v>0.90454959572307569</v>
      </c>
      <c r="Q37" s="117" t="s">
        <v>275</v>
      </c>
    </row>
    <row r="38" spans="2:18" x14ac:dyDescent="0.3">
      <c r="B38" s="176"/>
      <c r="C38" s="198"/>
      <c r="D38" s="112"/>
      <c r="E38" s="117"/>
      <c r="G38" s="176"/>
      <c r="H38" s="195" t="str">
        <f>H35</f>
        <v>Latent heat load</v>
      </c>
      <c r="I38" s="179" t="s">
        <v>226</v>
      </c>
      <c r="J38" s="234">
        <f>J35</f>
        <v>1074811.7088321743</v>
      </c>
      <c r="K38" s="117"/>
      <c r="M38" s="176"/>
      <c r="N38" s="112"/>
      <c r="O38" s="112"/>
      <c r="P38" s="112"/>
      <c r="Q38" s="117"/>
    </row>
    <row r="39" spans="2:18" x14ac:dyDescent="0.3">
      <c r="B39" s="176"/>
      <c r="C39" s="198"/>
      <c r="D39" s="112"/>
      <c r="E39" s="117"/>
      <c r="G39" s="176"/>
      <c r="H39" s="195" t="s">
        <v>298</v>
      </c>
      <c r="I39" s="179" t="s">
        <v>229</v>
      </c>
      <c r="J39" s="196">
        <f>SUM(J37:J38)</f>
        <v>1401395.8300327905</v>
      </c>
      <c r="K39" s="197" t="s">
        <v>273</v>
      </c>
      <c r="M39" s="176"/>
      <c r="N39" s="181" t="s">
        <v>299</v>
      </c>
      <c r="O39" s="182" t="s">
        <v>229</v>
      </c>
      <c r="P39" s="222">
        <f>P37-P8</f>
        <v>8.4549595723075743E-2</v>
      </c>
      <c r="Q39" s="184"/>
    </row>
    <row r="40" spans="2:18" x14ac:dyDescent="0.3">
      <c r="B40" s="176"/>
      <c r="C40" s="198"/>
      <c r="D40" s="181">
        <v>1.097</v>
      </c>
      <c r="E40" s="117"/>
      <c r="G40" s="176"/>
      <c r="H40" s="112"/>
      <c r="I40" s="198"/>
      <c r="J40" s="112"/>
      <c r="K40" s="117"/>
      <c r="M40" s="176"/>
      <c r="N40" s="223" t="s">
        <v>300</v>
      </c>
      <c r="O40" s="182" t="s">
        <v>229</v>
      </c>
      <c r="P40" s="134">
        <f>P12/D7</f>
        <v>3.7388594775939867</v>
      </c>
      <c r="Q40" s="184" t="s">
        <v>279</v>
      </c>
    </row>
    <row r="41" spans="2:18" ht="15" thickBot="1" x14ac:dyDescent="0.35">
      <c r="B41" s="176"/>
      <c r="C41" s="198"/>
      <c r="D41" s="181">
        <v>1.1220000000000001</v>
      </c>
      <c r="E41" s="117"/>
      <c r="G41" s="176"/>
      <c r="H41" s="121" t="s">
        <v>301</v>
      </c>
      <c r="I41" s="179" t="s">
        <v>239</v>
      </c>
      <c r="J41" s="183">
        <f>D18</f>
        <v>20966.759999999998</v>
      </c>
      <c r="K41" s="117" t="s">
        <v>255</v>
      </c>
      <c r="M41" s="235"/>
      <c r="N41" s="127"/>
      <c r="O41" s="127"/>
      <c r="P41" s="127"/>
      <c r="Q41" s="105"/>
    </row>
    <row r="42" spans="2:18" x14ac:dyDescent="0.3">
      <c r="B42" s="212" t="s">
        <v>302</v>
      </c>
      <c r="C42" s="198"/>
      <c r="D42" s="236">
        <f>D40-(D40-D41)*0.08</f>
        <v>1.099</v>
      </c>
      <c r="E42" s="117">
        <v>0.23880000000000001</v>
      </c>
      <c r="G42" s="176"/>
      <c r="H42" s="121" t="s">
        <v>249</v>
      </c>
      <c r="I42" s="179" t="s">
        <v>239</v>
      </c>
      <c r="J42" s="203">
        <v>1</v>
      </c>
      <c r="K42" s="117" t="s">
        <v>303</v>
      </c>
    </row>
    <row r="43" spans="2:18" x14ac:dyDescent="0.3">
      <c r="B43" s="227" t="s">
        <v>304</v>
      </c>
      <c r="C43" s="198"/>
      <c r="D43" s="237">
        <f>D42*E42</f>
        <v>0.26244119999999999</v>
      </c>
      <c r="E43" s="238" t="s">
        <v>305</v>
      </c>
      <c r="G43" s="176"/>
      <c r="H43" s="121" t="s">
        <v>306</v>
      </c>
      <c r="I43" s="179" t="s">
        <v>226</v>
      </c>
      <c r="J43" s="206">
        <v>50</v>
      </c>
      <c r="K43" s="117"/>
      <c r="N43" s="172" t="s">
        <v>307</v>
      </c>
    </row>
    <row r="44" spans="2:18" ht="15" thickBot="1" x14ac:dyDescent="0.35">
      <c r="B44" s="235"/>
      <c r="C44" s="239"/>
      <c r="D44" s="127"/>
      <c r="E44" s="105"/>
      <c r="G44" s="176"/>
      <c r="H44" s="121" t="s">
        <v>308</v>
      </c>
      <c r="I44" s="179" t="s">
        <v>229</v>
      </c>
      <c r="J44" s="209">
        <f>J39/J41/J42+J43</f>
        <v>116.83893124320547</v>
      </c>
      <c r="K44" s="117"/>
    </row>
    <row r="45" spans="2:18" ht="15" thickBot="1" x14ac:dyDescent="0.35">
      <c r="C45"/>
      <c r="G45" s="235"/>
      <c r="H45" s="240"/>
      <c r="I45" s="240"/>
      <c r="J45" s="241"/>
      <c r="K45" s="105"/>
      <c r="M45" s="112"/>
      <c r="N45" s="242" t="s">
        <v>309</v>
      </c>
      <c r="O45" s="242"/>
      <c r="P45" s="242"/>
      <c r="R45" s="112"/>
    </row>
    <row r="46" spans="2:18" ht="14.55" customHeight="1" x14ac:dyDescent="0.3">
      <c r="C46"/>
      <c r="F46" s="112"/>
      <c r="G46" s="112"/>
      <c r="I46" s="179"/>
      <c r="J46" s="107"/>
      <c r="N46" s="243" t="s">
        <v>310</v>
      </c>
      <c r="O46" s="243"/>
      <c r="P46" s="243"/>
    </row>
    <row r="47" spans="2:18" x14ac:dyDescent="0.3">
      <c r="C47"/>
      <c r="F47" s="112"/>
      <c r="G47" s="112"/>
      <c r="I47" s="179"/>
      <c r="J47" s="107"/>
      <c r="N47" s="244" t="s">
        <v>311</v>
      </c>
      <c r="O47" s="244"/>
      <c r="P47" s="244"/>
    </row>
    <row r="48" spans="2:18" x14ac:dyDescent="0.3">
      <c r="F48" s="112"/>
      <c r="G48" s="198"/>
      <c r="I48" s="179"/>
      <c r="J48" s="107"/>
      <c r="N48" s="245" t="s">
        <v>312</v>
      </c>
      <c r="O48" s="245"/>
      <c r="P48" s="245"/>
    </row>
    <row r="49" spans="1:22" x14ac:dyDescent="0.3">
      <c r="H49" s="246"/>
      <c r="I49" s="179"/>
      <c r="J49" s="107"/>
      <c r="K49" s="173"/>
      <c r="N49" s="247" t="s">
        <v>313</v>
      </c>
      <c r="O49" s="247"/>
      <c r="P49" s="247"/>
    </row>
    <row r="50" spans="1:22" ht="15" thickBot="1" x14ac:dyDescent="0.35">
      <c r="H50" s="246"/>
      <c r="I50" s="179"/>
      <c r="J50" s="107"/>
      <c r="K50" s="173"/>
    </row>
    <row r="51" spans="1:22" x14ac:dyDescent="0.3">
      <c r="G51" s="173"/>
      <c r="H51" s="246"/>
      <c r="I51" s="179"/>
      <c r="J51" s="107"/>
      <c r="K51" s="173"/>
      <c r="N51" s="174"/>
      <c r="O51" s="110"/>
      <c r="P51" s="110"/>
      <c r="Q51" s="110"/>
      <c r="R51" s="110"/>
      <c r="S51" s="110"/>
      <c r="T51" s="110"/>
      <c r="U51" s="110"/>
      <c r="V51" s="111"/>
    </row>
    <row r="52" spans="1:22" x14ac:dyDescent="0.3">
      <c r="G52" s="173"/>
      <c r="H52" s="246"/>
      <c r="I52" s="179"/>
      <c r="J52" s="107"/>
      <c r="K52" s="173"/>
      <c r="N52" s="176"/>
      <c r="O52" s="248" t="s">
        <v>314</v>
      </c>
      <c r="P52" s="249">
        <v>0.4</v>
      </c>
      <c r="Q52" s="253" t="s">
        <v>320</v>
      </c>
      <c r="R52" s="112"/>
      <c r="S52" s="112"/>
      <c r="T52" s="112"/>
      <c r="U52" s="112"/>
      <c r="V52" s="117"/>
    </row>
    <row r="53" spans="1:22" x14ac:dyDescent="0.3">
      <c r="G53" s="173"/>
      <c r="H53" s="246"/>
      <c r="I53" s="179"/>
      <c r="J53" s="107"/>
      <c r="K53" s="173"/>
      <c r="N53" s="176"/>
      <c r="O53" s="248" t="s">
        <v>315</v>
      </c>
      <c r="P53" s="181">
        <v>7640</v>
      </c>
      <c r="Q53" s="253" t="s">
        <v>321</v>
      </c>
      <c r="R53" s="112"/>
      <c r="S53" s="112"/>
      <c r="T53" s="112"/>
      <c r="U53" s="112"/>
      <c r="V53" s="117"/>
    </row>
    <row r="54" spans="1:22" ht="12" customHeight="1" x14ac:dyDescent="0.3">
      <c r="G54" s="173"/>
      <c r="H54" s="250"/>
      <c r="I54" s="179"/>
      <c r="J54" s="107"/>
      <c r="N54" s="176"/>
      <c r="O54" s="112"/>
      <c r="P54" s="112"/>
      <c r="Q54" s="112"/>
      <c r="R54" s="112"/>
      <c r="S54" s="112"/>
      <c r="T54" s="112"/>
      <c r="U54" s="112"/>
      <c r="V54" s="117"/>
    </row>
    <row r="55" spans="1:22" x14ac:dyDescent="0.3">
      <c r="G55" s="173"/>
      <c r="H55" s="250"/>
      <c r="I55" s="179"/>
      <c r="J55" s="107"/>
      <c r="N55" s="176"/>
      <c r="O55" s="248" t="s">
        <v>316</v>
      </c>
      <c r="P55" s="251">
        <f>P26*P52/D13*P53/D22</f>
        <v>0.72421796297281471</v>
      </c>
      <c r="Q55" s="181" t="s">
        <v>317</v>
      </c>
      <c r="R55" s="112"/>
      <c r="S55" s="112"/>
      <c r="T55" s="112"/>
      <c r="U55" s="112"/>
      <c r="V55" s="117"/>
    </row>
    <row r="56" spans="1:22" x14ac:dyDescent="0.3">
      <c r="G56" s="173"/>
      <c r="H56" s="250"/>
      <c r="I56" s="179"/>
      <c r="J56" s="107"/>
      <c r="N56" s="176"/>
      <c r="O56" s="248" t="s">
        <v>318</v>
      </c>
      <c r="P56" s="252">
        <f>P40*P52/D13*P53/D22</f>
        <v>2.856488640881806</v>
      </c>
      <c r="Q56" s="181" t="s">
        <v>317</v>
      </c>
      <c r="R56" s="112"/>
      <c r="S56" s="112"/>
      <c r="T56" s="112"/>
      <c r="U56" s="112"/>
      <c r="V56" s="117"/>
    </row>
    <row r="57" spans="1:22" ht="15" thickBot="1" x14ac:dyDescent="0.35">
      <c r="G57" s="173"/>
      <c r="H57" s="250"/>
      <c r="I57" s="179"/>
      <c r="J57" s="107"/>
      <c r="N57" s="235"/>
      <c r="O57" s="127"/>
      <c r="P57" s="127"/>
      <c r="Q57" s="127"/>
      <c r="R57" s="127"/>
      <c r="S57" s="127"/>
      <c r="T57" s="127"/>
      <c r="U57" s="127"/>
      <c r="V57" s="105"/>
    </row>
    <row r="58" spans="1:22" x14ac:dyDescent="0.3">
      <c r="H58" s="250"/>
      <c r="I58" s="179"/>
      <c r="J58" s="107"/>
    </row>
    <row r="59" spans="1:22" x14ac:dyDescent="0.3">
      <c r="J59" s="107"/>
    </row>
    <row r="60" spans="1:22" x14ac:dyDescent="0.3">
      <c r="J60" s="107"/>
    </row>
    <row r="61" spans="1:22" x14ac:dyDescent="0.3">
      <c r="A61" s="178"/>
      <c r="J61" s="107"/>
    </row>
    <row r="62" spans="1:22" x14ac:dyDescent="0.3">
      <c r="J62" s="107"/>
    </row>
    <row r="63" spans="1:22" x14ac:dyDescent="0.3">
      <c r="J63" s="107"/>
    </row>
    <row r="64" spans="1:22" x14ac:dyDescent="0.3">
      <c r="J64" s="107"/>
    </row>
    <row r="67" ht="13.8" customHeight="1" x14ac:dyDescent="0.3"/>
    <row r="71" ht="14.55" customHeight="1" x14ac:dyDescent="0.3"/>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Calculations Summary</vt:lpstr>
      <vt:lpstr>Cost Data</vt:lpstr>
      <vt:lpstr>Detailed Analysis_Ex.2</vt:lpstr>
      <vt:lpstr>Detailed Analysis_Ex.3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Bashar, Raad</dc:creator>
  <cp:lastModifiedBy>Bashar, Raad</cp:lastModifiedBy>
  <dcterms:created xsi:type="dcterms:W3CDTF">2019-11-22T22:08:11Z</dcterms:created>
  <dcterms:modified xsi:type="dcterms:W3CDTF">2019-12-02T18:35:25Z</dcterms:modified>
</cp:coreProperties>
</file>