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N:\SoCalGas\CBRC Model and WP\energy modeling\"/>
    </mc:Choice>
  </mc:AlternateContent>
  <xr:revisionPtr revIDLastSave="0" documentId="13_ncr:1_{5D63B943-A183-404E-B59D-EEA6A6144502}" xr6:coauthVersionLast="31" xr6:coauthVersionMax="31" xr10:uidLastSave="{00000000-0000-0000-0000-000000000000}"/>
  <bookViews>
    <workbookView xWindow="0" yWindow="0" windowWidth="11505" windowHeight="10050" xr2:uid="{00000000-000D-0000-FFFF-FFFF00000000}"/>
  </bookViews>
  <sheets>
    <sheet name="SummaryResults" sheetId="5" r:id="rId1"/>
    <sheet name="Results" sheetId="2" r:id="rId2"/>
    <sheet name="Notes" sheetId="3" r:id="rId3"/>
    <sheet name="Supporting" sheetId="1" r:id="rId4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8" i="5" l="1"/>
  <c r="X39" i="5"/>
  <c r="X37" i="5"/>
  <c r="AB46" i="5"/>
  <c r="AB47" i="5"/>
  <c r="AA48" i="5"/>
  <c r="AB49" i="5"/>
  <c r="AB50" i="5"/>
  <c r="AA51" i="5"/>
  <c r="AB52" i="5"/>
  <c r="AB53" i="5"/>
  <c r="AB54" i="5"/>
  <c r="AB55" i="5"/>
  <c r="AB56" i="5"/>
  <c r="AB57" i="5"/>
  <c r="AA58" i="5"/>
  <c r="AB44" i="5"/>
  <c r="AB45" i="5"/>
  <c r="AB43" i="5"/>
  <c r="Z44" i="5"/>
  <c r="Z45" i="5"/>
  <c r="Z46" i="5"/>
  <c r="Z47" i="5"/>
  <c r="Z48" i="5"/>
  <c r="Z49" i="5"/>
  <c r="Z50" i="5"/>
  <c r="Z51" i="5"/>
  <c r="Z52" i="5"/>
  <c r="Z53" i="5"/>
  <c r="Z54" i="5"/>
  <c r="Z55" i="5"/>
  <c r="Z56" i="5"/>
  <c r="Z57" i="5"/>
  <c r="Z58" i="5"/>
  <c r="Z43" i="5"/>
  <c r="Y58" i="5"/>
  <c r="Y54" i="5"/>
  <c r="Y55" i="5" s="1"/>
  <c r="Y56" i="5" s="1"/>
  <c r="Y57" i="5" s="1"/>
  <c r="Y45" i="5"/>
  <c r="Y46" i="5" s="1"/>
  <c r="Y47" i="5" s="1"/>
  <c r="Y48" i="5" s="1"/>
  <c r="Y49" i="5" s="1"/>
  <c r="Y50" i="5" s="1"/>
  <c r="Y51" i="5" s="1"/>
  <c r="Y52" i="5" s="1"/>
  <c r="Y53" i="5" s="1"/>
  <c r="Y44" i="5"/>
  <c r="AD30" i="1"/>
  <c r="AD31" i="1"/>
  <c r="AD32" i="1"/>
  <c r="AD33" i="1"/>
  <c r="AD34" i="1"/>
  <c r="AD36" i="1"/>
  <c r="AD37" i="1"/>
  <c r="AD39" i="1"/>
  <c r="AD40" i="1"/>
  <c r="AD41" i="1"/>
  <c r="AD42" i="1"/>
  <c r="AD43" i="1"/>
  <c r="AD44" i="1"/>
  <c r="S38" i="5"/>
  <c r="S39" i="5"/>
  <c r="S37" i="5"/>
  <c r="S64" i="2" l="1"/>
  <c r="I55" i="2"/>
  <c r="I54" i="2"/>
  <c r="AG29" i="1" l="1"/>
  <c r="AF29" i="1"/>
  <c r="D79" i="2" l="1"/>
  <c r="E79" i="2" s="1"/>
  <c r="D78" i="2"/>
  <c r="E78" i="2" s="1"/>
  <c r="D68" i="2"/>
  <c r="E68" i="2" s="1"/>
  <c r="D67" i="2"/>
  <c r="E67" i="2" s="1"/>
  <c r="D49" i="2"/>
  <c r="E49" i="2" s="1"/>
  <c r="D48" i="2"/>
  <c r="E48" i="2" s="1"/>
  <c r="D38" i="2"/>
  <c r="E38" i="2" s="1"/>
  <c r="D37" i="2"/>
  <c r="E37" i="2" s="1"/>
  <c r="M24" i="5" s="1"/>
  <c r="D19" i="2"/>
  <c r="E19" i="2" s="1"/>
  <c r="D18" i="2"/>
  <c r="E18" i="2" s="1"/>
  <c r="O16" i="5" s="1"/>
  <c r="D7" i="2"/>
  <c r="E7" i="2" s="1"/>
  <c r="D8" i="2"/>
  <c r="E8" i="2" s="1"/>
  <c r="O24" i="5" l="1"/>
  <c r="Q24" i="5" s="1"/>
  <c r="M32" i="5"/>
  <c r="O32" i="5"/>
  <c r="M16" i="5"/>
  <c r="Q16" i="5" s="1"/>
  <c r="Q32" i="5" l="1"/>
  <c r="Z32" i="1"/>
  <c r="Z33" i="1" s="1"/>
  <c r="Z34" i="1" s="1"/>
  <c r="Z35" i="1" s="1"/>
  <c r="Z36" i="1" s="1"/>
  <c r="Z37" i="1" s="1"/>
  <c r="Z38" i="1" s="1"/>
  <c r="Z39" i="1" s="1"/>
  <c r="Z40" i="1" s="1"/>
  <c r="Z41" i="1" s="1"/>
  <c r="Z42" i="1" s="1"/>
  <c r="Z43" i="1" s="1"/>
  <c r="Z44" i="1" s="1"/>
  <c r="Z45" i="1" s="1"/>
  <c r="Z31" i="1"/>
  <c r="AF10" i="1"/>
  <c r="AF6" i="1"/>
  <c r="C69" i="2"/>
  <c r="C70" i="2"/>
  <c r="D70" i="2" s="1"/>
  <c r="E70" i="2" s="1"/>
  <c r="D77" i="2"/>
  <c r="E77" i="2" s="1"/>
  <c r="O29" i="5" s="1"/>
  <c r="D76" i="2"/>
  <c r="E76" i="2" s="1"/>
  <c r="O28" i="5" s="1"/>
  <c r="D75" i="2"/>
  <c r="E75" i="2" s="1"/>
  <c r="D74" i="2"/>
  <c r="E74" i="2" s="1"/>
  <c r="O27" i="5" s="1"/>
  <c r="D73" i="2"/>
  <c r="E73" i="2" s="1"/>
  <c r="O26" i="5" s="1"/>
  <c r="D66" i="2"/>
  <c r="E66" i="2" s="1"/>
  <c r="M29" i="5" s="1"/>
  <c r="D65" i="2"/>
  <c r="E65" i="2" s="1"/>
  <c r="M28" i="5" s="1"/>
  <c r="D64" i="2"/>
  <c r="E64" i="2" s="1"/>
  <c r="D63" i="2"/>
  <c r="E63" i="2" s="1"/>
  <c r="M27" i="5" s="1"/>
  <c r="D62" i="2"/>
  <c r="E62" i="2" s="1"/>
  <c r="M26" i="5" s="1"/>
  <c r="D47" i="2"/>
  <c r="E47" i="2" s="1"/>
  <c r="O21" i="5" s="1"/>
  <c r="D46" i="2"/>
  <c r="E46" i="2" s="1"/>
  <c r="O20" i="5" s="1"/>
  <c r="D45" i="2"/>
  <c r="E45" i="2" s="1"/>
  <c r="D44" i="2"/>
  <c r="E44" i="2" s="1"/>
  <c r="O19" i="5" s="1"/>
  <c r="D43" i="2"/>
  <c r="E43" i="2" s="1"/>
  <c r="O18" i="5" s="1"/>
  <c r="D36" i="2"/>
  <c r="E36" i="2" s="1"/>
  <c r="M21" i="5" s="1"/>
  <c r="D35" i="2"/>
  <c r="E35" i="2" s="1"/>
  <c r="M20" i="5" s="1"/>
  <c r="D34" i="2"/>
  <c r="E34" i="2" s="1"/>
  <c r="D33" i="2"/>
  <c r="E33" i="2" s="1"/>
  <c r="M19" i="5" s="1"/>
  <c r="D32" i="2"/>
  <c r="E32" i="2" s="1"/>
  <c r="M18" i="5" s="1"/>
  <c r="D17" i="2"/>
  <c r="E17" i="2" s="1"/>
  <c r="O13" i="5" s="1"/>
  <c r="D16" i="2"/>
  <c r="E16" i="2" s="1"/>
  <c r="O12" i="5" s="1"/>
  <c r="D15" i="2"/>
  <c r="E15" i="2" s="1"/>
  <c r="D14" i="2"/>
  <c r="E14" i="2" s="1"/>
  <c r="O11" i="5" s="1"/>
  <c r="D13" i="2"/>
  <c r="E13" i="2" s="1"/>
  <c r="O10" i="5" s="1"/>
  <c r="C81" i="2"/>
  <c r="D81" i="2" s="1"/>
  <c r="E81" i="2" s="1"/>
  <c r="C80" i="2"/>
  <c r="C51" i="2"/>
  <c r="D51" i="2" s="1"/>
  <c r="E51" i="2" s="1"/>
  <c r="C50" i="2"/>
  <c r="C40" i="2"/>
  <c r="D40" i="2" s="1"/>
  <c r="E40" i="2" s="1"/>
  <c r="C39" i="2"/>
  <c r="C21" i="2"/>
  <c r="D21" i="2" s="1"/>
  <c r="E21" i="2" s="1"/>
  <c r="C20" i="2"/>
  <c r="C10" i="2"/>
  <c r="D10" i="2" s="1"/>
  <c r="E10" i="2" s="1"/>
  <c r="I75" i="2"/>
  <c r="J75" i="2" s="1"/>
  <c r="K75" i="2" s="1"/>
  <c r="G6" i="5" s="1"/>
  <c r="I64" i="2"/>
  <c r="J64" i="2" s="1"/>
  <c r="K64" i="2" s="1"/>
  <c r="F6" i="5" s="1"/>
  <c r="I15" i="2"/>
  <c r="J15" i="2" s="1"/>
  <c r="K15" i="2" s="1"/>
  <c r="G4" i="5" s="1"/>
  <c r="I4" i="2"/>
  <c r="J4" i="2" s="1"/>
  <c r="K4" i="2" s="1"/>
  <c r="F4" i="5" s="1"/>
  <c r="I45" i="2"/>
  <c r="J45" i="2" s="1"/>
  <c r="K45" i="2" s="1"/>
  <c r="G5" i="5" s="1"/>
  <c r="I34" i="2"/>
  <c r="J34" i="2" s="1"/>
  <c r="K34" i="2" s="1"/>
  <c r="F5" i="5" s="1"/>
  <c r="F46" i="2" l="1"/>
  <c r="D50" i="2"/>
  <c r="E50" i="2" s="1"/>
  <c r="F16" i="2"/>
  <c r="D20" i="2"/>
  <c r="E20" i="2" s="1"/>
  <c r="Q18" i="5"/>
  <c r="Q19" i="5"/>
  <c r="Q21" i="5"/>
  <c r="F36" i="2"/>
  <c r="D39" i="2"/>
  <c r="E39" i="2" s="1"/>
  <c r="Q20" i="5"/>
  <c r="C82" i="2"/>
  <c r="D80" i="2"/>
  <c r="E80" i="2" s="1"/>
  <c r="H6" i="5"/>
  <c r="I6" i="5" s="1"/>
  <c r="Q28" i="5"/>
  <c r="Q29" i="5"/>
  <c r="F66" i="2"/>
  <c r="D69" i="2"/>
  <c r="E69" i="2" s="1"/>
  <c r="Q26" i="5"/>
  <c r="Q27" i="5"/>
  <c r="F32" i="2"/>
  <c r="F62" i="2"/>
  <c r="F13" i="2"/>
  <c r="F17" i="2"/>
  <c r="F43" i="2"/>
  <c r="F47" i="2"/>
  <c r="F33" i="2"/>
  <c r="F63" i="2"/>
  <c r="F35" i="2"/>
  <c r="F65" i="2"/>
  <c r="F77" i="2"/>
  <c r="F73" i="2"/>
  <c r="F14" i="2"/>
  <c r="F44" i="2"/>
  <c r="F74" i="2"/>
  <c r="F76" i="2"/>
  <c r="C22" i="2"/>
  <c r="C52" i="2"/>
  <c r="C71" i="2"/>
  <c r="H4" i="5"/>
  <c r="I4" i="5" s="1"/>
  <c r="C41" i="2"/>
  <c r="H5" i="5"/>
  <c r="I5" i="5" s="1"/>
  <c r="I56" i="2"/>
  <c r="J56" i="2" s="1"/>
  <c r="K56" i="2" s="1"/>
  <c r="L56" i="2" s="1"/>
  <c r="F52" i="2" l="1"/>
  <c r="D52" i="2"/>
  <c r="E52" i="2" s="1"/>
  <c r="O22" i="5" s="1"/>
  <c r="F22" i="2"/>
  <c r="D22" i="2"/>
  <c r="E22" i="2" s="1"/>
  <c r="O14" i="5" s="1"/>
  <c r="F41" i="2"/>
  <c r="D41" i="2"/>
  <c r="E41" i="2" s="1"/>
  <c r="M22" i="5" s="1"/>
  <c r="F82" i="2"/>
  <c r="D82" i="2"/>
  <c r="E82" i="2" s="1"/>
  <c r="O30" i="5" s="1"/>
  <c r="F71" i="2"/>
  <c r="D71" i="2"/>
  <c r="E71" i="2" s="1"/>
  <c r="M30" i="5" s="1"/>
  <c r="S2" i="2"/>
  <c r="T4" i="2" s="1"/>
  <c r="U4" i="2" s="1"/>
  <c r="V4" i="2" s="1"/>
  <c r="AK43" i="2"/>
  <c r="AK44" i="2"/>
  <c r="S75" i="2"/>
  <c r="T75" i="2" s="1"/>
  <c r="U75" i="2" s="1"/>
  <c r="V75" i="2" s="1"/>
  <c r="S34" i="2"/>
  <c r="T34" i="2" s="1"/>
  <c r="U34" i="2" s="1"/>
  <c r="V34" i="2" s="1"/>
  <c r="S45" i="2"/>
  <c r="T45" i="2" s="1"/>
  <c r="U45" i="2" s="1"/>
  <c r="V45" i="2" s="1"/>
  <c r="AK13" i="2"/>
  <c r="AK14" i="2"/>
  <c r="C90" i="2"/>
  <c r="D90" i="2" s="1"/>
  <c r="E90" i="2" s="1"/>
  <c r="C89" i="2"/>
  <c r="D89" i="2" s="1"/>
  <c r="E89" i="2" s="1"/>
  <c r="C88" i="2"/>
  <c r="C87" i="2"/>
  <c r="C86" i="2"/>
  <c r="AJ85" i="2"/>
  <c r="AI85" i="2"/>
  <c r="AH85" i="2"/>
  <c r="AG85" i="2"/>
  <c r="AK85" i="2" s="1"/>
  <c r="AF85" i="2"/>
  <c r="S85" i="2"/>
  <c r="T85" i="2" s="1"/>
  <c r="U85" i="2" s="1"/>
  <c r="I85" i="2"/>
  <c r="J85" i="2" s="1"/>
  <c r="K85" i="2" s="1"/>
  <c r="C85" i="2"/>
  <c r="AJ84" i="2"/>
  <c r="AI84" i="2"/>
  <c r="AH84" i="2"/>
  <c r="AG84" i="2"/>
  <c r="AK84" i="2" s="1"/>
  <c r="AF84" i="2"/>
  <c r="Z84" i="2"/>
  <c r="AB84" i="2" s="1"/>
  <c r="Y84" i="2"/>
  <c r="AA84" i="2" s="1"/>
  <c r="S84" i="2"/>
  <c r="T84" i="2" s="1"/>
  <c r="U84" i="2" s="1"/>
  <c r="V84" i="2" s="1"/>
  <c r="N84" i="2"/>
  <c r="I84" i="2"/>
  <c r="L84" i="2" s="1"/>
  <c r="C84" i="2"/>
  <c r="AK74" i="2"/>
  <c r="T74" i="2"/>
  <c r="U74" i="2" s="1"/>
  <c r="V74" i="2" s="1"/>
  <c r="J74" i="2"/>
  <c r="K74" i="2" s="1"/>
  <c r="AK73" i="2"/>
  <c r="AB73" i="2"/>
  <c r="AA73" i="2"/>
  <c r="T73" i="2"/>
  <c r="U73" i="2" s="1"/>
  <c r="V73" i="2" s="1"/>
  <c r="O73" i="2"/>
  <c r="P73" i="2" s="1"/>
  <c r="C6" i="5" s="1"/>
  <c r="U39" i="5" s="1"/>
  <c r="J73" i="2"/>
  <c r="K73" i="2" s="1"/>
  <c r="AK63" i="2"/>
  <c r="T63" i="2"/>
  <c r="U63" i="2" s="1"/>
  <c r="J63" i="2"/>
  <c r="K63" i="2" s="1"/>
  <c r="AK62" i="2"/>
  <c r="AB62" i="2"/>
  <c r="AA62" i="2"/>
  <c r="T62" i="2"/>
  <c r="U62" i="2" s="1"/>
  <c r="V62" i="2" s="1"/>
  <c r="O62" i="2"/>
  <c r="P62" i="2" s="1"/>
  <c r="B6" i="5" s="1"/>
  <c r="T39" i="5" s="1"/>
  <c r="J62" i="2"/>
  <c r="K62" i="2" s="1"/>
  <c r="C30" i="2"/>
  <c r="D30" i="2" s="1"/>
  <c r="E30" i="2" s="1"/>
  <c r="C29" i="2"/>
  <c r="D29" i="2" s="1"/>
  <c r="E29" i="2" s="1"/>
  <c r="C28" i="2"/>
  <c r="D28" i="2" s="1"/>
  <c r="E28" i="2" s="1"/>
  <c r="C27" i="2"/>
  <c r="D27" i="2" s="1"/>
  <c r="E27" i="2" s="1"/>
  <c r="C26" i="2"/>
  <c r="D26" i="2" s="1"/>
  <c r="E26" i="2" s="1"/>
  <c r="AJ25" i="2"/>
  <c r="AI25" i="2"/>
  <c r="AH25" i="2"/>
  <c r="AG25" i="2"/>
  <c r="AK25" i="2" s="1"/>
  <c r="AF25" i="2"/>
  <c r="S25" i="2"/>
  <c r="T25" i="2" s="1"/>
  <c r="U25" i="2" s="1"/>
  <c r="I25" i="2"/>
  <c r="J25" i="2" s="1"/>
  <c r="K25" i="2" s="1"/>
  <c r="C25" i="2"/>
  <c r="D25" i="2" s="1"/>
  <c r="E25" i="2" s="1"/>
  <c r="AJ24" i="2"/>
  <c r="AI24" i="2"/>
  <c r="AH24" i="2"/>
  <c r="AG24" i="2"/>
  <c r="AK24" i="2" s="1"/>
  <c r="AF24" i="2"/>
  <c r="Z24" i="2"/>
  <c r="AB24" i="2" s="1"/>
  <c r="Y24" i="2"/>
  <c r="AA24" i="2" s="1"/>
  <c r="N24" i="2"/>
  <c r="I24" i="2"/>
  <c r="C24" i="2"/>
  <c r="D24" i="2" s="1"/>
  <c r="E24" i="2" s="1"/>
  <c r="T14" i="2"/>
  <c r="U14" i="2" s="1"/>
  <c r="J14" i="2"/>
  <c r="K14" i="2" s="1"/>
  <c r="AB13" i="2"/>
  <c r="AA13" i="2"/>
  <c r="T13" i="2"/>
  <c r="U13" i="2" s="1"/>
  <c r="V13" i="2" s="1"/>
  <c r="O13" i="2"/>
  <c r="P13" i="2" s="1"/>
  <c r="C4" i="5" s="1"/>
  <c r="U37" i="5" s="1"/>
  <c r="J13" i="2"/>
  <c r="K13" i="2" s="1"/>
  <c r="C9" i="2"/>
  <c r="D9" i="2" s="1"/>
  <c r="E9" i="2" s="1"/>
  <c r="D6" i="2"/>
  <c r="D5" i="2"/>
  <c r="D4" i="2"/>
  <c r="AK3" i="2"/>
  <c r="T3" i="2"/>
  <c r="U3" i="2" s="1"/>
  <c r="J3" i="2"/>
  <c r="K3" i="2" s="1"/>
  <c r="D3" i="2"/>
  <c r="E3" i="2" s="1"/>
  <c r="M11" i="5" s="1"/>
  <c r="AK2" i="2"/>
  <c r="AB2" i="2"/>
  <c r="AA2" i="2"/>
  <c r="O2" i="2"/>
  <c r="P2" i="2" s="1"/>
  <c r="B4" i="5" s="1"/>
  <c r="T37" i="5" s="1"/>
  <c r="J2" i="2"/>
  <c r="K2" i="2" s="1"/>
  <c r="D2" i="2"/>
  <c r="AJ55" i="2"/>
  <c r="AI55" i="2"/>
  <c r="AH55" i="2"/>
  <c r="AG55" i="2"/>
  <c r="AK55" i="2" s="1"/>
  <c r="AF55" i="2"/>
  <c r="AJ54" i="2"/>
  <c r="AI54" i="2"/>
  <c r="AH54" i="2"/>
  <c r="AG54" i="2"/>
  <c r="AK54" i="2" s="1"/>
  <c r="AF54" i="2"/>
  <c r="Z54" i="2"/>
  <c r="AB54" i="2" s="1"/>
  <c r="Y54" i="2"/>
  <c r="AA54" i="2" s="1"/>
  <c r="S55" i="2"/>
  <c r="T55" i="2" s="1"/>
  <c r="U55" i="2" s="1"/>
  <c r="S54" i="2"/>
  <c r="T54" i="2" s="1"/>
  <c r="U54" i="2" s="1"/>
  <c r="V54" i="2" s="1"/>
  <c r="N54" i="2"/>
  <c r="O54" i="2" s="1"/>
  <c r="P54" i="2" s="1"/>
  <c r="J55" i="2"/>
  <c r="K55" i="2" s="1"/>
  <c r="J54" i="2"/>
  <c r="K54" i="2" s="1"/>
  <c r="C55" i="2"/>
  <c r="D55" i="2" s="1"/>
  <c r="E55" i="2" s="1"/>
  <c r="C56" i="2"/>
  <c r="D56" i="2" s="1"/>
  <c r="E56" i="2" s="1"/>
  <c r="C57" i="2"/>
  <c r="D57" i="2" s="1"/>
  <c r="E57" i="2" s="1"/>
  <c r="C58" i="2"/>
  <c r="D58" i="2" s="1"/>
  <c r="E58" i="2" s="1"/>
  <c r="C59" i="2"/>
  <c r="D59" i="2" s="1"/>
  <c r="E59" i="2" s="1"/>
  <c r="C60" i="2"/>
  <c r="D60" i="2" s="1"/>
  <c r="E60" i="2" s="1"/>
  <c r="C54" i="2"/>
  <c r="D54" i="2" s="1"/>
  <c r="E54" i="2" s="1"/>
  <c r="T44" i="2"/>
  <c r="U44" i="2" s="1"/>
  <c r="J44" i="2"/>
  <c r="K44" i="2" s="1"/>
  <c r="AB43" i="2"/>
  <c r="AA43" i="2"/>
  <c r="T43" i="2"/>
  <c r="U43" i="2" s="1"/>
  <c r="V43" i="2" s="1"/>
  <c r="O43" i="2"/>
  <c r="P43" i="2" s="1"/>
  <c r="C5" i="5" s="1"/>
  <c r="U38" i="5" s="1"/>
  <c r="J43" i="2"/>
  <c r="K43" i="2" s="1"/>
  <c r="AK33" i="2"/>
  <c r="AK32" i="2"/>
  <c r="H5" i="3"/>
  <c r="H4" i="3"/>
  <c r="T33" i="2"/>
  <c r="U33" i="2" s="1"/>
  <c r="T32" i="2"/>
  <c r="U32" i="2" s="1"/>
  <c r="V32" i="2" s="1"/>
  <c r="O32" i="2"/>
  <c r="P32" i="2" s="1"/>
  <c r="B5" i="5" s="1"/>
  <c r="T38" i="5" s="1"/>
  <c r="J33" i="2"/>
  <c r="K33" i="2" s="1"/>
  <c r="J32" i="2"/>
  <c r="K32" i="2" s="1"/>
  <c r="AB32" i="2"/>
  <c r="AA32" i="2"/>
  <c r="O23" i="5" l="1"/>
  <c r="D5" i="5"/>
  <c r="O15" i="5"/>
  <c r="P14" i="5" s="1"/>
  <c r="Q11" i="5"/>
  <c r="Q22" i="5"/>
  <c r="Q23" i="5" s="1"/>
  <c r="Q25" i="5" s="1"/>
  <c r="M23" i="5"/>
  <c r="O31" i="5"/>
  <c r="D6" i="5"/>
  <c r="Q30" i="5"/>
  <c r="Q31" i="5" s="1"/>
  <c r="Q33" i="5" s="1"/>
  <c r="M31" i="5"/>
  <c r="AB26" i="1"/>
  <c r="AC38" i="1"/>
  <c r="T2" i="2"/>
  <c r="U2" i="2" s="1"/>
  <c r="V2" i="2" s="1"/>
  <c r="S86" i="2"/>
  <c r="T86" i="2" s="1"/>
  <c r="U86" i="2" s="1"/>
  <c r="V86" i="2" s="1"/>
  <c r="D85" i="2"/>
  <c r="E85" i="2" s="1"/>
  <c r="D86" i="2"/>
  <c r="E86" i="2" s="1"/>
  <c r="D87" i="2"/>
  <c r="E87" i="2" s="1"/>
  <c r="D88" i="2"/>
  <c r="E88" i="2" s="1"/>
  <c r="F5" i="2"/>
  <c r="C11" i="2"/>
  <c r="F6" i="2"/>
  <c r="F2" i="2"/>
  <c r="F3" i="2"/>
  <c r="D84" i="2"/>
  <c r="E84" i="2" s="1"/>
  <c r="S24" i="2"/>
  <c r="T24" i="2" s="1"/>
  <c r="U24" i="2" s="1"/>
  <c r="V24" i="2" s="1"/>
  <c r="D4" i="5"/>
  <c r="V37" i="5" s="1"/>
  <c r="O24" i="2"/>
  <c r="P24" i="2" s="1"/>
  <c r="Q24" i="2"/>
  <c r="J84" i="2"/>
  <c r="K84" i="2" s="1"/>
  <c r="I86" i="2"/>
  <c r="J86" i="2" s="1"/>
  <c r="K86" i="2" s="1"/>
  <c r="L86" i="2" s="1"/>
  <c r="T64" i="2"/>
  <c r="U64" i="2" s="1"/>
  <c r="V64" i="2" s="1"/>
  <c r="O84" i="2"/>
  <c r="P84" i="2" s="1"/>
  <c r="Q84" i="2"/>
  <c r="J24" i="2"/>
  <c r="K24" i="2" s="1"/>
  <c r="I26" i="2"/>
  <c r="J26" i="2" s="1"/>
  <c r="K26" i="2" s="1"/>
  <c r="L26" i="2" s="1"/>
  <c r="Q54" i="2"/>
  <c r="L24" i="2"/>
  <c r="E4" i="2"/>
  <c r="S26" i="2"/>
  <c r="T26" i="2" s="1"/>
  <c r="U26" i="2" s="1"/>
  <c r="V26" i="2" s="1"/>
  <c r="T15" i="2"/>
  <c r="U15" i="2" s="1"/>
  <c r="V15" i="2" s="1"/>
  <c r="S56" i="2"/>
  <c r="T56" i="2" s="1"/>
  <c r="U56" i="2" s="1"/>
  <c r="V56" i="2" s="1"/>
  <c r="W14" i="2"/>
  <c r="V14" i="2"/>
  <c r="E5" i="2"/>
  <c r="M12" i="5" s="1"/>
  <c r="V85" i="2"/>
  <c r="W85" i="2"/>
  <c r="V63" i="2"/>
  <c r="W63" i="2"/>
  <c r="W74" i="2"/>
  <c r="W3" i="2"/>
  <c r="V3" i="2"/>
  <c r="V25" i="2"/>
  <c r="W25" i="2"/>
  <c r="E2" i="2"/>
  <c r="M10" i="5" s="1"/>
  <c r="E6" i="2"/>
  <c r="M13" i="5" s="1"/>
  <c r="W55" i="2"/>
  <c r="V55" i="2"/>
  <c r="V44" i="2"/>
  <c r="W44" i="2"/>
  <c r="W33" i="2"/>
  <c r="V33" i="2"/>
  <c r="J6" i="5" l="1"/>
  <c r="V39" i="5"/>
  <c r="E5" i="5"/>
  <c r="W38" i="5" s="1"/>
  <c r="V38" i="5"/>
  <c r="E6" i="5"/>
  <c r="W39" i="5" s="1"/>
  <c r="O25" i="5"/>
  <c r="P20" i="5"/>
  <c r="P19" i="5"/>
  <c r="P18" i="5"/>
  <c r="P21" i="5"/>
  <c r="P22" i="5"/>
  <c r="J5" i="5"/>
  <c r="P10" i="5"/>
  <c r="O17" i="5"/>
  <c r="P13" i="5"/>
  <c r="P12" i="5"/>
  <c r="P11" i="5"/>
  <c r="Q13" i="5"/>
  <c r="Q12" i="5"/>
  <c r="Q10" i="5"/>
  <c r="F11" i="2"/>
  <c r="D11" i="2"/>
  <c r="E11" i="2" s="1"/>
  <c r="M14" i="5" s="1"/>
  <c r="M15" i="5" s="1"/>
  <c r="M25" i="5"/>
  <c r="R25" i="5" s="1"/>
  <c r="N19" i="5"/>
  <c r="N18" i="5"/>
  <c r="N20" i="5"/>
  <c r="N21" i="5"/>
  <c r="N22" i="5"/>
  <c r="O33" i="5"/>
  <c r="P26" i="5"/>
  <c r="P28" i="5"/>
  <c r="P29" i="5"/>
  <c r="P27" i="5"/>
  <c r="P30" i="5"/>
  <c r="AB27" i="1"/>
  <c r="AC45" i="1"/>
  <c r="M33" i="5"/>
  <c r="R33" i="5" s="1"/>
  <c r="N27" i="5"/>
  <c r="N29" i="5"/>
  <c r="N26" i="5"/>
  <c r="N28" i="5"/>
  <c r="N30" i="5"/>
  <c r="AB25" i="1"/>
  <c r="AC35" i="1"/>
  <c r="F69" i="2"/>
  <c r="F9" i="2"/>
  <c r="E4" i="5"/>
  <c r="W37" i="5" s="1"/>
  <c r="J4" i="5"/>
  <c r="F20" i="2"/>
  <c r="F50" i="2"/>
  <c r="AE24" i="1" l="1"/>
  <c r="AE25" i="1"/>
  <c r="P15" i="5"/>
  <c r="P23" i="5"/>
  <c r="M17" i="5"/>
  <c r="N11" i="5"/>
  <c r="N13" i="5"/>
  <c r="N12" i="5"/>
  <c r="N10" i="5"/>
  <c r="Q14" i="5"/>
  <c r="Q15" i="5" s="1"/>
  <c r="Q17" i="5" s="1"/>
  <c r="N14" i="5"/>
  <c r="N23" i="5"/>
  <c r="P31" i="5"/>
  <c r="N31" i="5"/>
  <c r="F80" i="2"/>
  <c r="F39" i="2"/>
  <c r="R17" i="5" l="1"/>
  <c r="N15" i="5"/>
  <c r="T8" i="1"/>
  <c r="S8" i="1"/>
</calcChain>
</file>

<file path=xl/sharedStrings.xml><?xml version="1.0" encoding="utf-8"?>
<sst xmlns="http://schemas.openxmlformats.org/spreadsheetml/2006/main" count="467" uniqueCount="237">
  <si>
    <t>Model</t>
  </si>
  <si>
    <t>Notes</t>
  </si>
  <si>
    <t>DHW [therms/yr]</t>
  </si>
  <si>
    <t>Space Heat [therms/yr]</t>
  </si>
  <si>
    <t>Total [therms/yr]</t>
  </si>
  <si>
    <t>gal/m3</t>
  </si>
  <si>
    <t>Water volume is at 115F (so total water flow, not hot only)</t>
  </si>
  <si>
    <t>Water usage target prorated per approx. average CW temp of 65F.</t>
  </si>
  <si>
    <t>b_in</t>
  </si>
  <si>
    <t>b_out</t>
  </si>
  <si>
    <t>Conversion factor</t>
  </si>
  <si>
    <t>135F Water [gal/yr]</t>
  </si>
  <si>
    <t>135F Water [gal/dy]</t>
  </si>
  <si>
    <t>30 timesteps</t>
  </si>
  <si>
    <t>135F tank setpoint (in the WH object and at the supply water)</t>
  </si>
  <si>
    <t>Only bypass pipe is past the HW coils and DHW fixtures</t>
  </si>
  <si>
    <t>wh_out</t>
  </si>
  <si>
    <t>node #</t>
  </si>
  <si>
    <t>lbs/gal</t>
  </si>
  <si>
    <t>density of water</t>
  </si>
  <si>
    <t>Baseline</t>
  </si>
  <si>
    <t>5F tank setpoint differential</t>
  </si>
  <si>
    <t>Proposed</t>
  </si>
  <si>
    <t>climate modifications</t>
  </si>
  <si>
    <t>climate zone file</t>
  </si>
  <si>
    <t>cz ddy data</t>
  </si>
  <si>
    <t>water main temperatures.</t>
  </si>
  <si>
    <t>cz measure tag</t>
  </si>
  <si>
    <t>https://www.engineersedge.com/properties_of_metals.htm</t>
  </si>
  <si>
    <t>copper</t>
  </si>
  <si>
    <t>Btu / (hr-ft-F)</t>
  </si>
  <si>
    <t>(Btu/lb/F)</t>
  </si>
  <si>
    <t>Thermal Conductivity</t>
  </si>
  <si>
    <t xml:space="preserve"> Specific Heat</t>
  </si>
  <si>
    <t>Btu*in/(hr*ft^2*F)</t>
  </si>
  <si>
    <t>(lbs/in3)</t>
  </si>
  <si>
    <t xml:space="preserve">Density </t>
  </si>
  <si>
    <t>lbs/ft^3</t>
  </si>
  <si>
    <t>ft3/gal</t>
  </si>
  <si>
    <t>inputed sensor and acuator node names for the HHW coils in their controller objects</t>
  </si>
  <si>
    <t>OS:Sizing:System (per AirLoopHVAC)</t>
  </si>
  <si>
    <t>OS:Coil:Heating:Water (per coil)</t>
  </si>
  <si>
    <t>Most componenets are autosized.</t>
  </si>
  <si>
    <t>Building size 95'x71'x20'</t>
  </si>
  <si>
    <t>Tank: 135F/120F (at 55F/75F ambient)</t>
  </si>
  <si>
    <t>for OAReset, tank setpoint schedules (2)</t>
  </si>
  <si>
    <t>Copper pipe properties</t>
  </si>
  <si>
    <t>Building size and pipe length calc</t>
  </si>
  <si>
    <t xml:space="preserve">    Preheat Design Temperature: 44.6F to 50F</t>
  </si>
  <si>
    <t xml:space="preserve">    Central Heating Design Supply Air Temperature: 122F to 90F (to match the coil object)</t>
  </si>
  <si>
    <t>$/therm</t>
  </si>
  <si>
    <t>Gas cost</t>
  </si>
  <si>
    <t>Elec. Cost</t>
  </si>
  <si>
    <t>$/kWh</t>
  </si>
  <si>
    <t xml:space="preserve">    Rated Outlet Air Temperature: 110F</t>
  </si>
  <si>
    <t>Climate Zone</t>
  </si>
  <si>
    <t>Savings</t>
  </si>
  <si>
    <t>Savings [%]</t>
  </si>
  <si>
    <t>wh_in</t>
  </si>
  <si>
    <t>4*95' at 1.5" for supply and return down the middle of each floor</t>
  </si>
  <si>
    <t>71' of 2" for supply and return to the middle of the building</t>
  </si>
  <si>
    <t>2*20' of 2" for up and down from the 2nd floor</t>
  </si>
  <si>
    <t>Before and after the end uses in secondary loop (indoors): 190' of 1.5" and 55' of 2"</t>
  </si>
  <si>
    <t>Constant speed supply fans, modulating HHW valves</t>
  </si>
  <si>
    <t>Design Size Nominal Capacity [Btu/h]</t>
  </si>
  <si>
    <t>HW BOILER</t>
  </si>
  <si>
    <t>Type</t>
  </si>
  <si>
    <t>Control</t>
  </si>
  <si>
    <t>Pump:ConstantSpeed</t>
  </si>
  <si>
    <t>Continuous</t>
  </si>
  <si>
    <t>Intermittent</t>
  </si>
  <si>
    <t>Made the following changes since load was unsatisfied:</t>
  </si>
  <si>
    <t xml:space="preserve">    Rated Outlet Water Temperature: 110F</t>
  </si>
  <si>
    <t>130F, 30F delta T design conditions for HHW coils</t>
  </si>
  <si>
    <t xml:space="preserve">    Central Heating Design Supply Air Temperature: 110F (to match the coil object)</t>
  </si>
  <si>
    <t xml:space="preserve">OS:Boiler:HotWater  </t>
  </si>
  <si>
    <t xml:space="preserve">  Design Water Outlet Temperature = 150F</t>
  </si>
  <si>
    <t xml:space="preserve">  Minimum Part Load Ratio = 1</t>
  </si>
  <si>
    <t>wh source in</t>
  </si>
  <si>
    <t>wh source out</t>
  </si>
  <si>
    <t>OS:Sizing:Plant</t>
  </si>
  <si>
    <t xml:space="preserve">  Design Loop Exit Temperature = 150F</t>
  </si>
  <si>
    <t xml:space="preserve">  Design Loop Temp Diff = 20F</t>
  </si>
  <si>
    <t>Space heat from DEER Tstat spreadsheet for CZ 9 multifamily</t>
  </si>
  <si>
    <t>Design Size Nominal Capacity [W]</t>
  </si>
  <si>
    <t>Design Size Design Water Flow Rate [m3/s]</t>
  </si>
  <si>
    <t xml:space="preserve">  Sizing Factor = 1.5</t>
  </si>
  <si>
    <t>Boiler Setpoint Manager = 145F</t>
  </si>
  <si>
    <t>MYBOILERGAS</t>
  </si>
  <si>
    <t>Gas Annual Value [GJ]</t>
  </si>
  <si>
    <t>MYWATERMETER</t>
  </si>
  <si>
    <t>MYHOTWATER</t>
  </si>
  <si>
    <t>MYCOLDWATER</t>
  </si>
  <si>
    <t xml:space="preserve">Annual Value [m3] </t>
  </si>
  <si>
    <t>MYWATERUSEEQUIPLOAD</t>
  </si>
  <si>
    <t>MYHHWCOILLOAD</t>
  </si>
  <si>
    <t>MYBOILERLOAD</t>
  </si>
  <si>
    <t>Annual Value [GJ]</t>
  </si>
  <si>
    <t>therms/GJ</t>
  </si>
  <si>
    <t>gas therms/unit/yr</t>
  </si>
  <si>
    <t>MYTANKHEATLOSSENERGY</t>
  </si>
  <si>
    <t>MYPIPEFLUIDHEATTRANSFERENERGY</t>
  </si>
  <si>
    <t>Electricity Annual Value [GJ]</t>
  </si>
  <si>
    <t>gal/day</t>
  </si>
  <si>
    <t>therms/yr</t>
  </si>
  <si>
    <t>therms/unit/yr</t>
  </si>
  <si>
    <t>cp at 100F H2O</t>
  </si>
  <si>
    <t>Btu/(lb*F)</t>
  </si>
  <si>
    <t>Btu/therm</t>
  </si>
  <si>
    <t>gal/yr/bldg</t>
  </si>
  <si>
    <t>gal/yr/unit</t>
  </si>
  <si>
    <t>kWh/GJ</t>
  </si>
  <si>
    <t>kWh/bldg/yr</t>
  </si>
  <si>
    <t>kWh/unit/yr</t>
  </si>
  <si>
    <t>MYPRIMARYPUMPELECTRICITY</t>
  </si>
  <si>
    <t>MYSECONDARYPUMPELECTRICITY</t>
  </si>
  <si>
    <t>MYPRIMARYPUMPFLDHTGAINENERGY</t>
  </si>
  <si>
    <t>MYSECONDARYPUMPFLDHTGAINENERGY</t>
  </si>
  <si>
    <t>gas therms/yr/bldg</t>
  </si>
  <si>
    <t>95% motor efficiency for pumps</t>
  </si>
  <si>
    <t>total heat out</t>
  </si>
  <si>
    <t>%totaldemand</t>
  </si>
  <si>
    <t>Tank volume = 150 gal;  "Indirect Water Heating Recovery Time"  = 0.25 hours</t>
  </si>
  <si>
    <t>All piping is copper w/o insulation</t>
  </si>
  <si>
    <t xml:space="preserve">70F and 20 fpm wind speed around the indoor pipes </t>
  </si>
  <si>
    <t xml:space="preserve">  Boiler flow mode: ConstantFlow</t>
  </si>
  <si>
    <t>Zone cooling setpoint = 75F 24/7</t>
  </si>
  <si>
    <t>Baseline Notes</t>
  </si>
  <si>
    <t>System</t>
  </si>
  <si>
    <t>Primary Loop</t>
  </si>
  <si>
    <t>Secondary Loop Source Side</t>
  </si>
  <si>
    <t>General</t>
  </si>
  <si>
    <t>Air Loops</t>
  </si>
  <si>
    <t>Pump powerperflowpressure calulation method</t>
  </si>
  <si>
    <t>Outdoor piping: 10' of 2" pipe outdoors</t>
  </si>
  <si>
    <t>assuming no pilot light.</t>
  </si>
  <si>
    <t>Tank loss is less even thought it's outside since I'm assuming the same UA for one tank.</t>
  </si>
  <si>
    <t>Secondary Loop Demand Side</t>
  </si>
  <si>
    <t>Value</t>
  </si>
  <si>
    <t>CZ9 DEER MF 2003 data for calibration</t>
  </si>
  <si>
    <t>DEER WH Calulator spreadsheet for CZ 9 MF; assuming 135F water</t>
  </si>
  <si>
    <t>Proposed Notes</t>
  </si>
  <si>
    <t>Design Size Design Water Flow Rate [gpm]</t>
  </si>
  <si>
    <t>CZ9 Pre</t>
  </si>
  <si>
    <t>SECONDARY CONST SPD PUMP</t>
  </si>
  <si>
    <t>PRIMARY CONST SPD PUMP</t>
  </si>
  <si>
    <t>Head [pa]</t>
  </si>
  <si>
    <t>Water Flow [m3/s]</t>
  </si>
  <si>
    <t>Electric Power [W]</t>
  </si>
  <si>
    <t>Power Per Water Flow Rate [W-s/m3]</t>
  </si>
  <si>
    <t>Motor Efficiency [W/W]</t>
  </si>
  <si>
    <t>Water Flow [gpm]</t>
  </si>
  <si>
    <t>CZ9 Post</t>
  </si>
  <si>
    <t>CZ9 Diff</t>
  </si>
  <si>
    <t>CZ6 Pre</t>
  </si>
  <si>
    <t>CZ6 Post</t>
  </si>
  <si>
    <t>CZ6 Diff</t>
  </si>
  <si>
    <t>CZ16 Pre</t>
  </si>
  <si>
    <t>CZ16 Post</t>
  </si>
  <si>
    <t>CZ16 Diff</t>
  </si>
  <si>
    <t>Other Notes</t>
  </si>
  <si>
    <t>Primary Pump: intermitent constant flow rate; 15 ft of head; autosized flow rate</t>
  </si>
  <si>
    <t>Pump Design Shaft Power per unit flow rate per unit head: 0.3 W*min/(gal*ft) for pumps</t>
  </si>
  <si>
    <t>Secondary Pump: continuous constant flow rate; 40' head; 40 gpm</t>
  </si>
  <si>
    <t>Climate Zone 16 only</t>
  </si>
  <si>
    <t xml:space="preserve">So, 380' of 1.5" and 110' of 2" inside the building. Half supply, half return </t>
  </si>
  <si>
    <t>DEER WH Calculator spreadsheet for CZ 9 MF; not including tank heat loss or standing pilot light energy</t>
  </si>
  <si>
    <t>Conversion Factors</t>
  </si>
  <si>
    <t>Water Properties</t>
  </si>
  <si>
    <t>Assumed blended energy rates</t>
  </si>
  <si>
    <t>Both pumps</t>
  </si>
  <si>
    <t>Boiler Gas Usage [therms/unit/yr]</t>
  </si>
  <si>
    <t>Pumping Electric Usage [kWh/unit/yr]</t>
  </si>
  <si>
    <t>DHW load</t>
  </si>
  <si>
    <t>Space heating load</t>
  </si>
  <si>
    <t>Tank heat loss</t>
  </si>
  <si>
    <t>Pipe heat loss</t>
  </si>
  <si>
    <t>Pump heat</t>
  </si>
  <si>
    <t>total heat in</t>
  </si>
  <si>
    <t>uncategorized</t>
  </si>
  <si>
    <t>Boiler output (80% eff.)</t>
  </si>
  <si>
    <t>cz6</t>
  </si>
  <si>
    <t xml:space="preserve">    -  126 annual (standard) cooling degree-days (10C baseline)</t>
  </si>
  <si>
    <t xml:space="preserve">    - 2.45 annual (standard) heating degree-days (10C baseline)</t>
  </si>
  <si>
    <t xml:space="preserve">    -  136 annual (standard) cooling degree-days (18.3C baseline)</t>
  </si>
  <si>
    <t xml:space="preserve">    -    1 annual (standard) heating degree-days (18.3C baseline)</t>
  </si>
  <si>
    <t>cz9</t>
  </si>
  <si>
    <t xml:space="preserve">    -  170 annual (standard) cooling degree-days (10C baseline)</t>
  </si>
  <si>
    <t xml:space="preserve">    - 2.88 annual (standard) heating degree-days (10C baseline)</t>
  </si>
  <si>
    <t xml:space="preserve">    -   96 annual (standard) cooling degree-days (18.3C baseline)</t>
  </si>
  <si>
    <t xml:space="preserve">    -    7 annual (standard) heating degree-days (18.3C baseline)</t>
  </si>
  <si>
    <t>cz16</t>
  </si>
  <si>
    <t xml:space="preserve">   -  454 annual (standard) cooling degree-days (10C baseline)</t>
  </si>
  <si>
    <t xml:space="preserve">    - 4.62 annual (standard) heating degree-days (10C baseline)</t>
  </si>
  <si>
    <t xml:space="preserve">    -    5 annual (standard) cooling degree-days (18.3C baseline)</t>
  </si>
  <si>
    <t xml:space="preserve">    -  201 annual (standard) heating degree-days (18.3C baseline)</t>
  </si>
  <si>
    <t>cz</t>
  </si>
  <si>
    <t>hdd50</t>
  </si>
  <si>
    <t>hdd65</t>
  </si>
  <si>
    <t>160F boiler setpoint, design temp, and exit temp</t>
  </si>
  <si>
    <t>climate zone</t>
  </si>
  <si>
    <t>end use</t>
  </si>
  <si>
    <t>Tank Heat Loss</t>
  </si>
  <si>
    <t>Pump heat in</t>
  </si>
  <si>
    <t>Uncategorized</t>
  </si>
  <si>
    <t>Subtotal</t>
  </si>
  <si>
    <t>Total Gas Usage</t>
  </si>
  <si>
    <t>Baseline Gas Usage</t>
  </si>
  <si>
    <t>Proposed Gas Usage</t>
  </si>
  <si>
    <t>Gas Savings</t>
  </si>
  <si>
    <t>Item</t>
  </si>
  <si>
    <t>therms/
unit/yr</t>
  </si>
  <si>
    <t>Percent of Demand</t>
  </si>
  <si>
    <t>Percent</t>
  </si>
  <si>
    <t>Total Cost Savings [$/unit/
yr]</t>
  </si>
  <si>
    <t>Domestic Hot Water</t>
  </si>
  <si>
    <t>Heating Hot Water</t>
  </si>
  <si>
    <t>Boiler sizing factor of 2</t>
  </si>
  <si>
    <t>Autosized the secondary constant speed pump</t>
  </si>
  <si>
    <t>Tank Volume 200 gallons</t>
  </si>
  <si>
    <t>Zone heating setpoint = 73F 24/7</t>
  </si>
  <si>
    <t xml:space="preserve">    Rated Outlet Water Temperature: 100F</t>
  </si>
  <si>
    <t xml:space="preserve">    Rated Inlet Air Temperature: 68F</t>
  </si>
  <si>
    <t>SECONDARY CONST SPD PUMPPump:ConstantSpeedContinuous119562.680.002524505.26200214.610.95PRIMARY CONST SPD PUMPPump:ConstantSpeedIntermittent44836.000.001716128.8675080.480.95</t>
  </si>
  <si>
    <t>OpenStudio node names for plotting</t>
  </si>
  <si>
    <t>Heating Degree Day data from weather files</t>
  </si>
  <si>
    <t>intercept</t>
  </si>
  <si>
    <t>slope</t>
  </si>
  <si>
    <t>Modeled</t>
  </si>
  <si>
    <t>Estimated</t>
  </si>
  <si>
    <t>Modeled (CZ 6, 9, &amp; 16)</t>
  </si>
  <si>
    <t>Estimated (remaining CZs)</t>
  </si>
  <si>
    <t>HDD at 50F</t>
  </si>
  <si>
    <t>Cost Savings [$/unit/yr]</t>
  </si>
  <si>
    <t xml:space="preserve">  Nominal Thermal Efficiency = 0.80</t>
  </si>
  <si>
    <t>Indoor return:                55' of 2"; 190' of 1.5"; 120' of 3/4" at fan coils</t>
  </si>
  <si>
    <t>Indoor supply piping:  55' of 2"; 190' of 1.5"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</si>
</sst>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0.0"/>
    <numFmt numFmtId="166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1">
    <xf numFmtId="0" fontId="0" fillId="0" borderId="0" xfId="0"/>
    <xf numFmtId="165" fontId="0" fillId="0" borderId="0" xfId="0" applyNumberFormat="1"/>
    <xf numFmtId="165" fontId="0" fillId="0" borderId="0" xfId="1" applyNumberFormat="1" applyFont="1"/>
    <xf numFmtId="0" fontId="2" fillId="0" borderId="0" xfId="0" applyFont="1"/>
    <xf numFmtId="165" fontId="0" fillId="0" borderId="0" xfId="0" applyNumberFormat="1" applyBorder="1"/>
    <xf numFmtId="0" fontId="0" fillId="0" borderId="0" xfId="0" applyBorder="1"/>
    <xf numFmtId="164" fontId="0" fillId="0" borderId="0" xfId="1" applyNumberFormat="1" applyFont="1" applyBorder="1"/>
    <xf numFmtId="0" fontId="0" fillId="2" borderId="0" xfId="0" applyFill="1" applyBorder="1"/>
    <xf numFmtId="0" fontId="2" fillId="0" borderId="0" xfId="0" applyFont="1" applyBorder="1"/>
    <xf numFmtId="165" fontId="0" fillId="4" borderId="0" xfId="0" applyNumberFormat="1" applyFill="1" applyBorder="1"/>
    <xf numFmtId="0" fontId="0" fillId="0" borderId="0" xfId="0" applyFill="1" applyBorder="1"/>
    <xf numFmtId="1" fontId="0" fillId="0" borderId="0" xfId="0" applyNumberFormat="1"/>
    <xf numFmtId="165" fontId="0" fillId="0" borderId="0" xfId="0" applyNumberFormat="1" applyFill="1"/>
    <xf numFmtId="44" fontId="0" fillId="0" borderId="0" xfId="2" applyFont="1"/>
    <xf numFmtId="2" fontId="0" fillId="0" borderId="0" xfId="2" applyNumberFormat="1" applyFont="1" applyFill="1"/>
    <xf numFmtId="166" fontId="0" fillId="0" borderId="0" xfId="1" applyNumberFormat="1" applyFont="1"/>
    <xf numFmtId="0" fontId="0" fillId="0" borderId="0" xfId="0" applyFill="1"/>
    <xf numFmtId="165" fontId="0" fillId="0" borderId="0" xfId="0" applyNumberFormat="1" applyFill="1" applyBorder="1"/>
    <xf numFmtId="2" fontId="0" fillId="2" borderId="0" xfId="0" applyNumberFormat="1" applyFill="1" applyBorder="1"/>
    <xf numFmtId="165" fontId="0" fillId="0" borderId="0" xfId="1" applyNumberFormat="1" applyFont="1" applyBorder="1"/>
    <xf numFmtId="2" fontId="0" fillId="0" borderId="0" xfId="0" applyNumberFormat="1" applyBorder="1"/>
    <xf numFmtId="166" fontId="0" fillId="2" borderId="0" xfId="1" applyNumberFormat="1" applyFont="1" applyFill="1" applyBorder="1"/>
    <xf numFmtId="165" fontId="2" fillId="0" borderId="0" xfId="0" applyNumberFormat="1" applyFont="1"/>
    <xf numFmtId="10" fontId="0" fillId="0" borderId="0" xfId="1" applyNumberFormat="1" applyFont="1" applyBorder="1"/>
    <xf numFmtId="2" fontId="0" fillId="0" borderId="0" xfId="0" applyNumberFormat="1" applyFill="1" applyBorder="1"/>
    <xf numFmtId="2" fontId="0" fillId="8" borderId="0" xfId="0" applyNumberFormat="1" applyFill="1" applyBorder="1"/>
    <xf numFmtId="10" fontId="0" fillId="8" borderId="0" xfId="1" applyNumberFormat="1" applyFont="1" applyFill="1" applyBorder="1"/>
    <xf numFmtId="164" fontId="0" fillId="8" borderId="0" xfId="1" applyNumberFormat="1" applyFont="1" applyFill="1" applyBorder="1"/>
    <xf numFmtId="2" fontId="0" fillId="0" borderId="0" xfId="1" applyNumberFormat="1" applyFont="1" applyBorder="1"/>
    <xf numFmtId="165" fontId="0" fillId="8" borderId="0" xfId="0" applyNumberFormat="1" applyFill="1" applyBorder="1"/>
    <xf numFmtId="165" fontId="0" fillId="0" borderId="0" xfId="1" applyNumberFormat="1" applyFont="1" applyFill="1" applyBorder="1"/>
    <xf numFmtId="0" fontId="2" fillId="0" borderId="0" xfId="0" applyFont="1" applyBorder="1" applyAlignment="1">
      <alignment wrapText="1"/>
    </xf>
    <xf numFmtId="2" fontId="2" fillId="0" borderId="0" xfId="0" applyNumberFormat="1" applyFont="1" applyBorder="1" applyAlignment="1">
      <alignment wrapText="1"/>
    </xf>
    <xf numFmtId="165" fontId="2" fillId="0" borderId="0" xfId="0" applyNumberFormat="1" applyFont="1" applyFill="1" applyBorder="1" applyAlignment="1">
      <alignment wrapText="1"/>
    </xf>
    <xf numFmtId="2" fontId="2" fillId="0" borderId="0" xfId="1" applyNumberFormat="1" applyFont="1" applyBorder="1" applyAlignment="1">
      <alignment wrapText="1"/>
    </xf>
    <xf numFmtId="10" fontId="2" fillId="0" borderId="0" xfId="1" applyNumberFormat="1" applyFont="1" applyBorder="1" applyAlignment="1">
      <alignment wrapText="1"/>
    </xf>
    <xf numFmtId="165" fontId="2" fillId="0" borderId="0" xfId="0" applyNumberFormat="1" applyFont="1" applyBorder="1" applyAlignment="1">
      <alignment wrapText="1"/>
    </xf>
    <xf numFmtId="164" fontId="2" fillId="0" borderId="0" xfId="1" applyNumberFormat="1" applyFont="1" applyBorder="1" applyAlignment="1">
      <alignment wrapText="1"/>
    </xf>
    <xf numFmtId="165" fontId="2" fillId="0" borderId="0" xfId="1" applyNumberFormat="1" applyFont="1" applyBorder="1" applyAlignment="1">
      <alignment wrapText="1"/>
    </xf>
    <xf numFmtId="0" fontId="2" fillId="4" borderId="0" xfId="0" applyFont="1" applyFill="1" applyBorder="1"/>
    <xf numFmtId="0" fontId="2" fillId="6" borderId="0" xfId="0" applyFont="1" applyFill="1" applyBorder="1"/>
    <xf numFmtId="0" fontId="2" fillId="7" borderId="0" xfId="0" applyFont="1" applyFill="1" applyBorder="1"/>
    <xf numFmtId="2" fontId="2" fillId="0" borderId="0" xfId="0" applyNumberFormat="1" applyFont="1" applyFill="1" applyBorder="1" applyAlignment="1">
      <alignment wrapText="1"/>
    </xf>
    <xf numFmtId="164" fontId="2" fillId="0" borderId="0" xfId="1" applyNumberFormat="1" applyFont="1" applyFill="1" applyBorder="1" applyAlignment="1">
      <alignment wrapText="1"/>
    </xf>
    <xf numFmtId="164" fontId="2" fillId="0" borderId="0" xfId="1" applyNumberFormat="1" applyFont="1" applyFill="1" applyBorder="1"/>
    <xf numFmtId="164" fontId="1" fillId="0" borderId="0" xfId="1" applyNumberFormat="1" applyFont="1" applyFill="1" applyBorder="1"/>
    <xf numFmtId="164" fontId="0" fillId="0" borderId="0" xfId="1" applyNumberFormat="1" applyFont="1" applyFill="1" applyBorder="1"/>
    <xf numFmtId="164" fontId="2" fillId="3" borderId="0" xfId="1" applyNumberFormat="1" applyFont="1" applyFill="1" applyBorder="1"/>
    <xf numFmtId="0" fontId="2" fillId="9" borderId="0" xfId="0" applyFont="1" applyFill="1"/>
    <xf numFmtId="0" fontId="0" fillId="9" borderId="0" xfId="0" applyFill="1"/>
    <xf numFmtId="165" fontId="0" fillId="9" borderId="0" xfId="0" applyNumberFormat="1" applyFill="1"/>
    <xf numFmtId="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 applyAlignment="1">
      <alignment vertical="center" wrapText="1"/>
    </xf>
    <xf numFmtId="2" fontId="3" fillId="0" borderId="0" xfId="0" applyNumberFormat="1" applyFont="1" applyBorder="1" applyAlignment="1">
      <alignment vertical="center" wrapText="1"/>
    </xf>
    <xf numFmtId="164" fontId="3" fillId="0" borderId="0" xfId="1" applyNumberFormat="1" applyFont="1" applyBorder="1" applyAlignment="1">
      <alignment vertical="center" wrapText="1"/>
    </xf>
    <xf numFmtId="10" fontId="3" fillId="0" borderId="0" xfId="1" applyNumberFormat="1" applyFont="1" applyBorder="1" applyAlignment="1">
      <alignment vertical="center" wrapText="1"/>
    </xf>
    <xf numFmtId="44" fontId="3" fillId="0" borderId="0" xfId="0" applyNumberFormat="1" applyFont="1" applyBorder="1" applyAlignment="1">
      <alignment vertical="center" wrapText="1"/>
    </xf>
    <xf numFmtId="0" fontId="4" fillId="5" borderId="0" xfId="0" applyFont="1" applyFill="1" applyBorder="1" applyAlignment="1">
      <alignment horizontal="right" wrapText="1"/>
    </xf>
    <xf numFmtId="2" fontId="4" fillId="5" borderId="0" xfId="0" applyNumberFormat="1" applyFont="1" applyFill="1" applyBorder="1" applyAlignment="1">
      <alignment horizontal="right" wrapText="1"/>
    </xf>
    <xf numFmtId="164" fontId="3" fillId="9" borderId="0" xfId="1" applyNumberFormat="1" applyFont="1" applyFill="1" applyBorder="1" applyAlignment="1">
      <alignment vertical="center" wrapText="1"/>
    </xf>
    <xf numFmtId="2" fontId="4" fillId="0" borderId="0" xfId="0" applyNumberFormat="1" applyFont="1" applyBorder="1" applyAlignment="1">
      <alignment vertical="center" wrapText="1"/>
    </xf>
    <xf numFmtId="164" fontId="4" fillId="0" borderId="0" xfId="1" applyNumberFormat="1" applyFont="1" applyBorder="1" applyAlignment="1">
      <alignment vertical="center" wrapText="1"/>
    </xf>
    <xf numFmtId="2" fontId="3" fillId="0" borderId="0" xfId="0" applyNumberFormat="1" applyFont="1" applyBorder="1" applyAlignment="1">
      <alignment horizontal="right" vertical="center" wrapText="1"/>
    </xf>
    <xf numFmtId="164" fontId="3" fillId="0" borderId="0" xfId="1" applyNumberFormat="1" applyFont="1" applyBorder="1" applyAlignment="1">
      <alignment horizontal="right" vertical="center" wrapText="1"/>
    </xf>
    <xf numFmtId="44" fontId="3" fillId="0" borderId="0" xfId="0" applyNumberFormat="1" applyFont="1" applyBorder="1" applyAlignment="1">
      <alignment horizontal="right" vertical="center" wrapText="1"/>
    </xf>
    <xf numFmtId="0" fontId="3" fillId="0" borderId="0" xfId="0" applyFont="1"/>
    <xf numFmtId="165" fontId="3" fillId="0" borderId="0" xfId="0" applyNumberFormat="1" applyFont="1"/>
    <xf numFmtId="164" fontId="3" fillId="0" borderId="0" xfId="1" applyNumberFormat="1" applyFont="1"/>
    <xf numFmtId="2" fontId="3" fillId="0" borderId="0" xfId="0" applyNumberFormat="1" applyFont="1"/>
    <xf numFmtId="0" fontId="3" fillId="0" borderId="0" xfId="0" applyFont="1" applyBorder="1"/>
    <xf numFmtId="0" fontId="3" fillId="0" borderId="0" xfId="0" applyFont="1" applyBorder="1" applyAlignment="1">
      <alignment horizontal="right" vertical="center" wrapText="1"/>
    </xf>
    <xf numFmtId="165" fontId="3" fillId="0" borderId="0" xfId="0" applyNumberFormat="1" applyFont="1" applyBorder="1"/>
    <xf numFmtId="165" fontId="4" fillId="5" borderId="0" xfId="0" applyNumberFormat="1" applyFont="1" applyFill="1" applyBorder="1" applyAlignment="1">
      <alignment wrapText="1"/>
    </xf>
    <xf numFmtId="0" fontId="4" fillId="5" borderId="0" xfId="0" applyFont="1" applyFill="1" applyBorder="1" applyAlignment="1">
      <alignment horizontal="center" wrapText="1"/>
    </xf>
    <xf numFmtId="165" fontId="4" fillId="5" borderId="0" xfId="0" applyNumberFormat="1" applyFont="1" applyFill="1" applyBorder="1" applyAlignment="1">
      <alignment horizontal="center"/>
    </xf>
    <xf numFmtId="0" fontId="4" fillId="5" borderId="0" xfId="0" applyFont="1" applyFill="1" applyBorder="1" applyAlignment="1">
      <alignment horizontal="right" wrapText="1"/>
    </xf>
    <xf numFmtId="0" fontId="4" fillId="5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4" fillId="5" borderId="0" xfId="0" applyFont="1" applyFill="1" applyBorder="1" applyAlignment="1">
      <alignment wrapText="1"/>
    </xf>
    <xf numFmtId="2" fontId="3" fillId="0" borderId="0" xfId="0" applyNumberFormat="1" applyFont="1" applyBorder="1"/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Savings</a:t>
            </a:r>
            <a:r>
              <a:rPr lang="en-US" baseline="0"/>
              <a:t> vs. Heating Degree Days per Climate Zone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Supporting!$AB$24</c:f>
              <c:strCache>
                <c:ptCount val="1"/>
                <c:pt idx="0">
                  <c:v>Modeled (CZ 6, 9, &amp; 16)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5337307774423763"/>
                  <c:y val="-5.86931119554680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Supporting!$AA$25:$AA$27</c:f>
              <c:numCache>
                <c:formatCode>General</c:formatCode>
                <c:ptCount val="3"/>
                <c:pt idx="0">
                  <c:v>2.4500000000000002</c:v>
                </c:pt>
                <c:pt idx="1">
                  <c:v>2.88</c:v>
                </c:pt>
                <c:pt idx="2">
                  <c:v>4.62</c:v>
                </c:pt>
              </c:numCache>
            </c:numRef>
          </c:xVal>
          <c:yVal>
            <c:numRef>
              <c:f>Supporting!$AB$25:$AB$27</c:f>
              <c:numCache>
                <c:formatCode>General</c:formatCode>
                <c:ptCount val="3"/>
                <c:pt idx="0">
                  <c:v>12.680075125000009</c:v>
                </c:pt>
                <c:pt idx="1">
                  <c:v>14.1574421333333</c:v>
                </c:pt>
                <c:pt idx="2">
                  <c:v>7.9793619166666856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17-4F3C-8B2B-E7F1DFA80007}"/>
            </c:ext>
          </c:extLst>
        </c:ser>
        <c:ser>
          <c:idx val="1"/>
          <c:order val="1"/>
          <c:tx>
            <c:strRef>
              <c:f>Supporting!$AD$29</c:f>
              <c:strCache>
                <c:ptCount val="1"/>
                <c:pt idx="0">
                  <c:v>Estimated (remaining CZs)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Supporting!$AA$30:$AA$45</c:f>
              <c:numCache>
                <c:formatCode>General</c:formatCode>
                <c:ptCount val="16"/>
                <c:pt idx="0">
                  <c:v>3.11</c:v>
                </c:pt>
                <c:pt idx="1">
                  <c:v>2.9</c:v>
                </c:pt>
                <c:pt idx="2">
                  <c:v>2.6</c:v>
                </c:pt>
                <c:pt idx="3">
                  <c:v>2.77</c:v>
                </c:pt>
                <c:pt idx="4">
                  <c:v>2.75</c:v>
                </c:pt>
                <c:pt idx="5">
                  <c:v>2.4500000000000002</c:v>
                </c:pt>
                <c:pt idx="6">
                  <c:v>1.96</c:v>
                </c:pt>
                <c:pt idx="7">
                  <c:v>2.4900000000000002</c:v>
                </c:pt>
                <c:pt idx="8">
                  <c:v>2.88</c:v>
                </c:pt>
                <c:pt idx="9">
                  <c:v>3.14</c:v>
                </c:pt>
                <c:pt idx="10">
                  <c:v>3.18</c:v>
                </c:pt>
                <c:pt idx="11">
                  <c:v>3.19</c:v>
                </c:pt>
                <c:pt idx="12">
                  <c:v>3.02</c:v>
                </c:pt>
                <c:pt idx="13">
                  <c:v>3.2</c:v>
                </c:pt>
                <c:pt idx="14">
                  <c:v>3.11</c:v>
                </c:pt>
                <c:pt idx="15">
                  <c:v>4.62</c:v>
                </c:pt>
              </c:numCache>
            </c:numRef>
          </c:xVal>
          <c:yVal>
            <c:numRef>
              <c:f>Supporting!$AD$30:$AD$45</c:f>
              <c:numCache>
                <c:formatCode>General</c:formatCode>
                <c:ptCount val="16"/>
                <c:pt idx="0">
                  <c:v>12.135641559179557</c:v>
                </c:pt>
                <c:pt idx="1">
                  <c:v>12.674205358426532</c:v>
                </c:pt>
                <c:pt idx="2">
                  <c:v>13.443582214493636</c:v>
                </c:pt>
                <c:pt idx="3">
                  <c:v>13.007601996055609</c:v>
                </c:pt>
                <c:pt idx="4">
                  <c:v>13.058893786460084</c:v>
                </c:pt>
                <c:pt idx="6">
                  <c:v>15.084919507436796</c:v>
                </c:pt>
                <c:pt idx="7">
                  <c:v>13.725687061718242</c:v>
                </c:pt>
                <c:pt idx="9">
                  <c:v>12.058703873572846</c:v>
                </c:pt>
                <c:pt idx="10">
                  <c:v>11.956120292763899</c:v>
                </c:pt>
                <c:pt idx="11">
                  <c:v>11.930474397561662</c:v>
                </c:pt>
                <c:pt idx="12">
                  <c:v>12.36645461599969</c:v>
                </c:pt>
                <c:pt idx="13">
                  <c:v>11.904828502359425</c:v>
                </c:pt>
                <c:pt idx="14">
                  <c:v>12.135641559179557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417-4F3C-8B2B-E7F1DFA80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899583"/>
        <c:axId val="179053759"/>
      </c:scatterChart>
      <c:valAx>
        <c:axId val="12489958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Annual</a:t>
                </a:r>
                <a:r>
                  <a:rPr lang="en-US" baseline="0"/>
                  <a:t> Heating Degree Days (50°F baseline)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053759"/>
        <c:crosses val="autoZero"/>
        <c:crossBetween val="midCat"/>
      </c:valAx>
      <c:valAx>
        <c:axId val="179053759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Annual Gas Savings [therms/unit/yr]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8995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107157</xdr:colOff>
      <xdr:row>45</xdr:row>
      <xdr:rowOff>47624</xdr:rowOff>
    </xdr:from>
    <xdr:to>
      <xdr:col>31</xdr:col>
      <xdr:colOff>119061</xdr:colOff>
      <xdr:row>64</xdr:row>
      <xdr:rowOff>178594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21C5127-2F63-4506-95AD-9AA3BBED5A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EBF9B-645C-47D8-BF76-4EAC67CBE8C2}">
  <dimension ref="A2:AB58"/>
  <sheetViews>
    <sheetView tabSelected="1" workbookViewId="0">
      <selection activeCell="V13" sqref="V13"/>
    </sheetView>
  </sheetViews>
  <sheetFormatPr defaultRowHeight="12.75" x14ac:dyDescent="0.2"/>
  <cols>
    <col min="1" max="1" width="8.7109375" style="66" customWidth="1"/>
    <col min="2" max="9" width="8.5703125" style="66" customWidth="1"/>
    <col min="10" max="10" width="9.140625" style="66"/>
    <col min="11" max="11" width="8.7109375" style="66" customWidth="1"/>
    <col min="12" max="12" width="19" style="66" bestFit="1" customWidth="1"/>
    <col min="13" max="13" width="9" style="69" customWidth="1"/>
    <col min="14" max="14" width="9" style="68" customWidth="1"/>
    <col min="15" max="15" width="9" style="69" customWidth="1"/>
    <col min="16" max="16" width="9" style="68" customWidth="1"/>
    <col min="17" max="17" width="9" style="69" customWidth="1"/>
    <col min="18" max="18" width="9" style="66" customWidth="1"/>
    <col min="19" max="19" width="9.140625" style="66"/>
    <col min="20" max="21" width="9.140625" style="69"/>
    <col min="22" max="23" width="9.140625" style="66"/>
    <col min="24" max="24" width="13.28515625" style="66" customWidth="1"/>
    <col min="25" max="26" width="9.140625" style="66"/>
    <col min="27" max="28" width="13.85546875" style="67" customWidth="1"/>
    <col min="29" max="16384" width="9.140625" style="66"/>
  </cols>
  <sheetData>
    <row r="2" spans="1:18" ht="15" customHeight="1" x14ac:dyDescent="0.2">
      <c r="A2" s="74" t="s">
        <v>55</v>
      </c>
      <c r="B2" s="77" t="s">
        <v>171</v>
      </c>
      <c r="C2" s="77"/>
      <c r="D2" s="77"/>
      <c r="E2" s="77"/>
      <c r="F2" s="77" t="s">
        <v>172</v>
      </c>
      <c r="G2" s="77"/>
      <c r="H2" s="77"/>
      <c r="I2" s="77"/>
      <c r="J2" s="76" t="s">
        <v>214</v>
      </c>
    </row>
    <row r="3" spans="1:18" ht="37.5" customHeight="1" x14ac:dyDescent="0.2">
      <c r="A3" s="74"/>
      <c r="B3" s="58" t="s">
        <v>20</v>
      </c>
      <c r="C3" s="58" t="s">
        <v>22</v>
      </c>
      <c r="D3" s="58" t="s">
        <v>56</v>
      </c>
      <c r="E3" s="58" t="s">
        <v>57</v>
      </c>
      <c r="F3" s="58" t="s">
        <v>20</v>
      </c>
      <c r="G3" s="58" t="s">
        <v>22</v>
      </c>
      <c r="H3" s="58" t="s">
        <v>56</v>
      </c>
      <c r="I3" s="58" t="s">
        <v>57</v>
      </c>
      <c r="J3" s="76"/>
    </row>
    <row r="4" spans="1:18" x14ac:dyDescent="0.2">
      <c r="A4" s="52">
        <v>6</v>
      </c>
      <c r="B4" s="53">
        <f>Results!P2</f>
        <v>303.57126895833335</v>
      </c>
      <c r="C4" s="53">
        <f>Results!P13</f>
        <v>290.89119383333332</v>
      </c>
      <c r="D4" s="54">
        <f>B4-C4</f>
        <v>12.68007512500003</v>
      </c>
      <c r="E4" s="55">
        <f>D4/B4</f>
        <v>4.1769681197137379E-2</v>
      </c>
      <c r="F4" s="53">
        <f>Results!K4</f>
        <v>380.3243783333333</v>
      </c>
      <c r="G4" s="53">
        <f>Results!K15</f>
        <v>379.86141500000002</v>
      </c>
      <c r="H4" s="54">
        <f>F4-G4</f>
        <v>0.46296333333327766</v>
      </c>
      <c r="I4" s="56">
        <f>H4/F4</f>
        <v>1.2172854534386851E-3</v>
      </c>
      <c r="J4" s="57">
        <f>D4*Supporting!$J$2+H4*Supporting!$J$3</f>
        <v>12.818964125000013</v>
      </c>
    </row>
    <row r="5" spans="1:18" x14ac:dyDescent="0.2">
      <c r="A5" s="52">
        <v>9</v>
      </c>
      <c r="B5" s="53">
        <f>Results!P32</f>
        <v>292.3843615583333</v>
      </c>
      <c r="C5" s="53">
        <f>Results!P43</f>
        <v>278.22691942500001</v>
      </c>
      <c r="D5" s="54">
        <f>B5-C5</f>
        <v>14.157442133333291</v>
      </c>
      <c r="E5" s="55">
        <f>D5/B5</f>
        <v>4.8420654435407461E-2</v>
      </c>
      <c r="F5" s="53">
        <f>Results!K34</f>
        <v>379.86141500000002</v>
      </c>
      <c r="G5" s="53">
        <f>Results!K45</f>
        <v>379.16696999999999</v>
      </c>
      <c r="H5" s="54">
        <f>F5-G5</f>
        <v>0.69444500000003018</v>
      </c>
      <c r="I5" s="56">
        <f>H5/F5</f>
        <v>1.8281535648995309E-3</v>
      </c>
      <c r="J5" s="57">
        <f>D5*Supporting!$J$2+H5*Supporting!$J$3</f>
        <v>14.3657756333333</v>
      </c>
    </row>
    <row r="6" spans="1:18" x14ac:dyDescent="0.2">
      <c r="A6" s="52">
        <v>16</v>
      </c>
      <c r="B6" s="53">
        <f>Results!P62</f>
        <v>521.04443279999998</v>
      </c>
      <c r="C6" s="53">
        <f>Results!P73</f>
        <v>513.06507088333331</v>
      </c>
      <c r="D6" s="54">
        <f>B6-C6</f>
        <v>7.9793619166666758</v>
      </c>
      <c r="E6" s="55">
        <f>D6/B6</f>
        <v>1.5314167879670082E-2</v>
      </c>
      <c r="F6" s="53">
        <f>Results!K64</f>
        <v>483.56520166666672</v>
      </c>
      <c r="G6" s="53">
        <f>Results!K75</f>
        <v>483.33372000000003</v>
      </c>
      <c r="H6" s="54">
        <f>F6-G6</f>
        <v>0.23148166666669567</v>
      </c>
      <c r="I6" s="56">
        <f>H6/F6</f>
        <v>4.7869794159891108E-4</v>
      </c>
      <c r="J6" s="57">
        <f>D6*Supporting!$J$2+H6*Supporting!$J$3</f>
        <v>8.0488064166666842</v>
      </c>
    </row>
    <row r="7" spans="1:18" x14ac:dyDescent="0.2">
      <c r="A7" s="52"/>
      <c r="B7" s="53"/>
      <c r="C7" s="53"/>
      <c r="D7" s="54"/>
      <c r="E7" s="55"/>
      <c r="F7" s="53"/>
      <c r="G7" s="53"/>
      <c r="H7" s="54"/>
      <c r="I7" s="56"/>
      <c r="J7" s="57"/>
    </row>
    <row r="8" spans="1:18" ht="15" customHeight="1" x14ac:dyDescent="0.2">
      <c r="K8" s="74" t="s">
        <v>55</v>
      </c>
      <c r="L8" s="79" t="s">
        <v>210</v>
      </c>
      <c r="M8" s="74" t="s">
        <v>207</v>
      </c>
      <c r="N8" s="74"/>
      <c r="O8" s="74" t="s">
        <v>208</v>
      </c>
      <c r="P8" s="74"/>
      <c r="Q8" s="74" t="s">
        <v>209</v>
      </c>
      <c r="R8" s="74"/>
    </row>
    <row r="9" spans="1:18" ht="30" customHeight="1" x14ac:dyDescent="0.2">
      <c r="K9" s="74" t="s">
        <v>200</v>
      </c>
      <c r="L9" s="79" t="s">
        <v>201</v>
      </c>
      <c r="M9" s="59" t="s">
        <v>211</v>
      </c>
      <c r="N9" s="58" t="s">
        <v>212</v>
      </c>
      <c r="O9" s="59" t="s">
        <v>211</v>
      </c>
      <c r="P9" s="58" t="s">
        <v>212</v>
      </c>
      <c r="Q9" s="59" t="s">
        <v>211</v>
      </c>
      <c r="R9" s="58" t="s">
        <v>213</v>
      </c>
    </row>
    <row r="10" spans="1:18" x14ac:dyDescent="0.2">
      <c r="K10" s="78">
        <v>6</v>
      </c>
      <c r="L10" s="70" t="s">
        <v>215</v>
      </c>
      <c r="M10" s="54">
        <f>Results!E2</f>
        <v>106.06231062500001</v>
      </c>
      <c r="N10" s="55">
        <f>M10/M$15</f>
        <v>0.3324974458995078</v>
      </c>
      <c r="O10" s="54">
        <f>Results!E13</f>
        <v>106.06231062500001</v>
      </c>
      <c r="P10" s="55">
        <f>O10/O$15</f>
        <v>0.34628405610188617</v>
      </c>
      <c r="Q10" s="54">
        <f>M10-O10</f>
        <v>0</v>
      </c>
      <c r="R10" s="60"/>
    </row>
    <row r="11" spans="1:18" x14ac:dyDescent="0.2">
      <c r="K11" s="78"/>
      <c r="L11" s="70" t="s">
        <v>216</v>
      </c>
      <c r="M11" s="54">
        <f>Results!E3</f>
        <v>51.243699239583329</v>
      </c>
      <c r="N11" s="55">
        <f>M11/M$15</f>
        <v>0.16064518126373797</v>
      </c>
      <c r="O11" s="54">
        <f>Results!E14</f>
        <v>51.243699239583329</v>
      </c>
      <c r="P11" s="55">
        <f>O11/O$15</f>
        <v>0.16730614218926323</v>
      </c>
      <c r="Q11" s="54">
        <f t="shared" ref="Q11:Q14" si="0">M11-O11</f>
        <v>0</v>
      </c>
      <c r="R11" s="60"/>
    </row>
    <row r="12" spans="1:18" x14ac:dyDescent="0.2">
      <c r="K12" s="78"/>
      <c r="L12" s="70" t="s">
        <v>202</v>
      </c>
      <c r="M12" s="54">
        <f>Results!E5</f>
        <v>5.1549838124999994</v>
      </c>
      <c r="N12" s="55">
        <f>M12/M$15</f>
        <v>1.6160490387294512E-2</v>
      </c>
      <c r="O12" s="54">
        <f>Results!E16</f>
        <v>4.7500904479166657</v>
      </c>
      <c r="P12" s="55">
        <f>O12/O$15</f>
        <v>1.5508624858939217E-2</v>
      </c>
      <c r="Q12" s="54">
        <f t="shared" si="0"/>
        <v>0.40489336458333369</v>
      </c>
      <c r="R12" s="60"/>
    </row>
    <row r="13" spans="1:18" x14ac:dyDescent="0.2">
      <c r="K13" s="78"/>
      <c r="L13" s="70" t="s">
        <v>176</v>
      </c>
      <c r="M13" s="54">
        <f>Results!E6</f>
        <v>156.09132977083334</v>
      </c>
      <c r="N13" s="55">
        <f>M13/M$15</f>
        <v>0.4893346955202626</v>
      </c>
      <c r="O13" s="54">
        <f>Results!E17</f>
        <v>143.85564980208332</v>
      </c>
      <c r="P13" s="55">
        <f>O13/O$15</f>
        <v>0.46967596324359173</v>
      </c>
      <c r="Q13" s="54">
        <f t="shared" si="0"/>
        <v>12.23567996875002</v>
      </c>
      <c r="R13" s="60"/>
    </row>
    <row r="14" spans="1:18" x14ac:dyDescent="0.2">
      <c r="K14" s="78"/>
      <c r="L14" s="70" t="s">
        <v>204</v>
      </c>
      <c r="M14" s="54">
        <f>Results!E11</f>
        <v>0.43451970833327497</v>
      </c>
      <c r="N14" s="55">
        <f>M14/M$15</f>
        <v>1.3621869291970557E-3</v>
      </c>
      <c r="O14" s="54">
        <f>Results!E22</f>
        <v>0.37526702083332886</v>
      </c>
      <c r="P14" s="55">
        <f>O14/O$15</f>
        <v>1.225213606319508E-3</v>
      </c>
      <c r="Q14" s="54">
        <f t="shared" si="0"/>
        <v>5.9252687499946111E-2</v>
      </c>
      <c r="R14" s="60"/>
    </row>
    <row r="15" spans="1:18" x14ac:dyDescent="0.2">
      <c r="K15" s="78"/>
      <c r="L15" s="70" t="s">
        <v>205</v>
      </c>
      <c r="M15" s="54">
        <f>SUM(M10:M14)</f>
        <v>318.98684315624996</v>
      </c>
      <c r="N15" s="55">
        <f t="shared" ref="N15:Q15" si="1">SUM(N10:N14)</f>
        <v>1</v>
      </c>
      <c r="O15" s="54">
        <f t="shared" si="1"/>
        <v>306.2870171354167</v>
      </c>
      <c r="P15" s="55">
        <f t="shared" si="1"/>
        <v>0.99999999999999989</v>
      </c>
      <c r="Q15" s="54">
        <f t="shared" si="1"/>
        <v>12.699826020833299</v>
      </c>
      <c r="R15" s="60"/>
    </row>
    <row r="16" spans="1:18" x14ac:dyDescent="0.2">
      <c r="K16" s="78"/>
      <c r="L16" s="70" t="s">
        <v>203</v>
      </c>
      <c r="M16" s="54">
        <f>SUM(Results!E7,Results!E8)*-1</f>
        <v>-15.415574197916666</v>
      </c>
      <c r="N16" s="60"/>
      <c r="O16" s="54">
        <f>SUM(Results!E18,Results!E19)*-1</f>
        <v>-15.395823302083333</v>
      </c>
      <c r="P16" s="60"/>
      <c r="Q16" s="54">
        <f>M16-O16</f>
        <v>-1.9750895833333004E-2</v>
      </c>
      <c r="R16" s="60"/>
    </row>
    <row r="17" spans="11:18" x14ac:dyDescent="0.2">
      <c r="K17" s="78"/>
      <c r="L17" s="70" t="s">
        <v>206</v>
      </c>
      <c r="M17" s="54">
        <f>M15+M16</f>
        <v>303.57126895833329</v>
      </c>
      <c r="N17" s="60"/>
      <c r="O17" s="54">
        <f>O15+O16</f>
        <v>290.89119383333338</v>
      </c>
      <c r="P17" s="60"/>
      <c r="Q17" s="61">
        <f>Q15+Q16</f>
        <v>12.680075124999966</v>
      </c>
      <c r="R17" s="62">
        <f>Q17/M17</f>
        <v>4.1769681197137178E-2</v>
      </c>
    </row>
    <row r="18" spans="11:18" x14ac:dyDescent="0.2">
      <c r="K18" s="78">
        <v>9</v>
      </c>
      <c r="L18" s="70" t="s">
        <v>215</v>
      </c>
      <c r="M18" s="54">
        <f>Results!E32</f>
        <v>101.94424884375</v>
      </c>
      <c r="N18" s="55">
        <f>M18/M$23</f>
        <v>0.33122633639222232</v>
      </c>
      <c r="O18" s="54">
        <f>Results!E43</f>
        <v>101.94424884375</v>
      </c>
      <c r="P18" s="55">
        <f>O18/O$23</f>
        <v>0.34721334633883832</v>
      </c>
      <c r="Q18" s="54">
        <f>M18-O18</f>
        <v>0</v>
      </c>
      <c r="R18" s="60"/>
    </row>
    <row r="19" spans="11:18" x14ac:dyDescent="0.2">
      <c r="K19" s="78"/>
      <c r="L19" s="70" t="s">
        <v>216</v>
      </c>
      <c r="M19" s="54">
        <f>Results!E33</f>
        <v>51.451083645833336</v>
      </c>
      <c r="N19" s="55">
        <f t="shared" ref="N19:N22" si="2">M19/M$23</f>
        <v>0.16716935121606882</v>
      </c>
      <c r="O19" s="54">
        <f>Results!E44</f>
        <v>51.451083645833336</v>
      </c>
      <c r="P19" s="55">
        <f t="shared" ref="P19:P22" si="3">O19/O$23</f>
        <v>0.17523796710504191</v>
      </c>
      <c r="Q19" s="54">
        <f t="shared" ref="Q19:Q22" si="4">M19-O19</f>
        <v>0</v>
      </c>
      <c r="R19" s="60"/>
    </row>
    <row r="20" spans="11:18" x14ac:dyDescent="0.2">
      <c r="K20" s="78"/>
      <c r="L20" s="70" t="s">
        <v>202</v>
      </c>
      <c r="M20" s="54">
        <f>Results!E35</f>
        <v>5.0068520937500001</v>
      </c>
      <c r="N20" s="55">
        <f t="shared" si="2"/>
        <v>1.6267727651928385E-2</v>
      </c>
      <c r="O20" s="54">
        <f>Results!E46</f>
        <v>4.5525814895833339</v>
      </c>
      <c r="P20" s="55">
        <f t="shared" si="3"/>
        <v>1.5505701120043057E-2</v>
      </c>
      <c r="Q20" s="54">
        <f t="shared" si="4"/>
        <v>0.4542706041666662</v>
      </c>
      <c r="R20" s="60"/>
    </row>
    <row r="21" spans="11:18" x14ac:dyDescent="0.2">
      <c r="K21" s="78"/>
      <c r="L21" s="70" t="s">
        <v>176</v>
      </c>
      <c r="M21" s="54">
        <f>Results!E36</f>
        <v>148.95138092708333</v>
      </c>
      <c r="N21" s="55">
        <f t="shared" si="2"/>
        <v>0.48395687608291088</v>
      </c>
      <c r="O21" s="54">
        <f>Results!E47</f>
        <v>135.29363645833334</v>
      </c>
      <c r="P21" s="55">
        <f t="shared" si="3"/>
        <v>0.46079849315529253</v>
      </c>
      <c r="Q21" s="54">
        <f t="shared" si="4"/>
        <v>13.657744468749996</v>
      </c>
      <c r="R21" s="60"/>
    </row>
    <row r="22" spans="11:18" x14ac:dyDescent="0.2">
      <c r="K22" s="78"/>
      <c r="L22" s="70" t="s">
        <v>204</v>
      </c>
      <c r="M22" s="54">
        <f>Results!E41</f>
        <v>0.42464426041661724</v>
      </c>
      <c r="N22" s="55">
        <f t="shared" si="2"/>
        <v>1.3797086568695051E-3</v>
      </c>
      <c r="O22" s="54">
        <f>Results!E52</f>
        <v>0.365391572916615</v>
      </c>
      <c r="P22" s="55">
        <f t="shared" si="3"/>
        <v>1.2444922807841906E-3</v>
      </c>
      <c r="Q22" s="54">
        <f t="shared" si="4"/>
        <v>5.9252687500002232E-2</v>
      </c>
      <c r="R22" s="60"/>
    </row>
    <row r="23" spans="11:18" x14ac:dyDescent="0.2">
      <c r="K23" s="78"/>
      <c r="L23" s="70" t="s">
        <v>205</v>
      </c>
      <c r="M23" s="54">
        <f>SUM(M18:M22)</f>
        <v>307.77820977083331</v>
      </c>
      <c r="N23" s="55">
        <f t="shared" ref="N23:Q23" si="5">SUM(N18:N22)</f>
        <v>0.99999999999999989</v>
      </c>
      <c r="O23" s="54">
        <f t="shared" si="5"/>
        <v>293.60694201041662</v>
      </c>
      <c r="P23" s="55">
        <f t="shared" si="5"/>
        <v>0.99999999999999989</v>
      </c>
      <c r="Q23" s="54">
        <f t="shared" si="5"/>
        <v>14.171267760416665</v>
      </c>
      <c r="R23" s="60"/>
    </row>
    <row r="24" spans="11:18" x14ac:dyDescent="0.2">
      <c r="K24" s="78"/>
      <c r="L24" s="70" t="s">
        <v>203</v>
      </c>
      <c r="M24" s="54">
        <f>SUM(Results!E37:E38)*-1</f>
        <v>-15.395823302083333</v>
      </c>
      <c r="N24" s="60"/>
      <c r="O24" s="54">
        <f>SUM(Results!E48:E49)*-1</f>
        <v>-15.37607240625</v>
      </c>
      <c r="P24" s="60"/>
      <c r="Q24" s="54">
        <f>M24-O24</f>
        <v>-1.9750895833333004E-2</v>
      </c>
      <c r="R24" s="60"/>
    </row>
    <row r="25" spans="11:18" x14ac:dyDescent="0.2">
      <c r="K25" s="78"/>
      <c r="L25" s="70" t="s">
        <v>206</v>
      </c>
      <c r="M25" s="54">
        <f>M23+M24</f>
        <v>292.38238646874998</v>
      </c>
      <c r="N25" s="60"/>
      <c r="O25" s="54">
        <f>O23+O24</f>
        <v>278.23086960416663</v>
      </c>
      <c r="P25" s="60"/>
      <c r="Q25" s="61">
        <f>Q23+Q24</f>
        <v>14.151516864583332</v>
      </c>
      <c r="R25" s="62">
        <f>Q25/M25</f>
        <v>4.8400716046880801E-2</v>
      </c>
    </row>
    <row r="26" spans="11:18" x14ac:dyDescent="0.2">
      <c r="K26" s="78">
        <v>16</v>
      </c>
      <c r="L26" s="70" t="s">
        <v>215</v>
      </c>
      <c r="M26" s="54">
        <f>Results!E62</f>
        <v>126.16872258333332</v>
      </c>
      <c r="N26" s="55">
        <f>M26/M$31</f>
        <v>0.23336438526311948</v>
      </c>
      <c r="O26" s="54">
        <f>Results!E73</f>
        <v>126.16872258333332</v>
      </c>
      <c r="P26" s="55">
        <f>O26/O$31</f>
        <v>0.23686454818495314</v>
      </c>
      <c r="Q26" s="54">
        <f>M26-O26</f>
        <v>0</v>
      </c>
      <c r="R26" s="60"/>
    </row>
    <row r="27" spans="11:18" x14ac:dyDescent="0.2">
      <c r="K27" s="78"/>
      <c r="L27" s="70" t="s">
        <v>216</v>
      </c>
      <c r="M27" s="54">
        <f>Results!E63</f>
        <v>224.63681376041666</v>
      </c>
      <c r="N27" s="55">
        <f t="shared" ref="N27:N30" si="6">M27/M$31</f>
        <v>0.41549308637916244</v>
      </c>
      <c r="O27" s="54">
        <f>Results!E74</f>
        <v>224.63681376041666</v>
      </c>
      <c r="P27" s="55">
        <f t="shared" ref="P27:P30" si="7">O27/O$31</f>
        <v>0.42172494345359501</v>
      </c>
      <c r="Q27" s="54">
        <f t="shared" ref="Q27:Q30" si="8">M27-O27</f>
        <v>0</v>
      </c>
      <c r="R27" s="60"/>
    </row>
    <row r="28" spans="11:18" x14ac:dyDescent="0.2">
      <c r="K28" s="78"/>
      <c r="L28" s="70" t="s">
        <v>202</v>
      </c>
      <c r="M28" s="54">
        <f>Results!E65</f>
        <v>5.8956424062499986</v>
      </c>
      <c r="N28" s="55">
        <f t="shared" si="6"/>
        <v>1.0904707107238754E-2</v>
      </c>
      <c r="O28" s="54">
        <f>Results!E76</f>
        <v>5.6290053124999995</v>
      </c>
      <c r="P28" s="55">
        <f t="shared" si="7"/>
        <v>1.0567688827913533E-2</v>
      </c>
      <c r="Q28" s="54">
        <f t="shared" si="8"/>
        <v>0.26663709374999911</v>
      </c>
      <c r="R28" s="60"/>
    </row>
    <row r="29" spans="11:18" x14ac:dyDescent="0.2">
      <c r="K29" s="78"/>
      <c r="L29" s="70" t="s">
        <v>176</v>
      </c>
      <c r="M29" s="54">
        <f>Results!E66</f>
        <v>182.76491459374998</v>
      </c>
      <c r="N29" s="55">
        <f t="shared" si="6"/>
        <v>0.33804592032440139</v>
      </c>
      <c r="O29" s="54">
        <f>Results!E77</f>
        <v>175.10156701041669</v>
      </c>
      <c r="P29" s="55">
        <f t="shared" si="7"/>
        <v>0.32872928176795596</v>
      </c>
      <c r="Q29" s="54">
        <f t="shared" si="8"/>
        <v>7.6633475833332909</v>
      </c>
      <c r="R29" s="60"/>
    </row>
    <row r="30" spans="11:18" x14ac:dyDescent="0.2">
      <c r="K30" s="78"/>
      <c r="L30" s="70" t="s">
        <v>204</v>
      </c>
      <c r="M30" s="54">
        <f>Results!E71</f>
        <v>1.1850537499999325</v>
      </c>
      <c r="N30" s="55">
        <f t="shared" si="6"/>
        <v>2.1919009260780169E-3</v>
      </c>
      <c r="O30" s="54">
        <f>Results!E82</f>
        <v>1.1258010624998742</v>
      </c>
      <c r="P30" s="55">
        <f t="shared" si="7"/>
        <v>2.1135377655824707E-3</v>
      </c>
      <c r="Q30" s="54">
        <f t="shared" si="8"/>
        <v>5.9252687500058299E-2</v>
      </c>
      <c r="R30" s="60"/>
    </row>
    <row r="31" spans="11:18" x14ac:dyDescent="0.2">
      <c r="K31" s="78"/>
      <c r="L31" s="70" t="s">
        <v>205</v>
      </c>
      <c r="M31" s="54">
        <f>SUM(M26:M30)</f>
        <v>540.65114709374984</v>
      </c>
      <c r="N31" s="55">
        <f t="shared" ref="N31:Q31" si="9">SUM(N26:N30)</f>
        <v>1.0000000000000002</v>
      </c>
      <c r="O31" s="54">
        <f t="shared" si="9"/>
        <v>532.6619097291665</v>
      </c>
      <c r="P31" s="55">
        <f t="shared" si="9"/>
        <v>1.0000000000000002</v>
      </c>
      <c r="Q31" s="54">
        <f t="shared" si="9"/>
        <v>7.9892373645833485</v>
      </c>
      <c r="R31" s="60"/>
    </row>
    <row r="32" spans="11:18" x14ac:dyDescent="0.2">
      <c r="K32" s="78"/>
      <c r="L32" s="70" t="s">
        <v>203</v>
      </c>
      <c r="M32" s="54">
        <f>SUM(Results!E67:E68)*-1</f>
        <v>-19.60276411458333</v>
      </c>
      <c r="N32" s="60"/>
      <c r="O32" s="54">
        <f>SUM(Results!E78:E79)*-1</f>
        <v>-19.592888666666664</v>
      </c>
      <c r="P32" s="60"/>
      <c r="Q32" s="54">
        <f>M32-O32</f>
        <v>-9.8754479166665021E-3</v>
      </c>
      <c r="R32" s="60"/>
    </row>
    <row r="33" spans="11:28" x14ac:dyDescent="0.2">
      <c r="K33" s="78"/>
      <c r="L33" s="70" t="s">
        <v>206</v>
      </c>
      <c r="M33" s="54">
        <f>M31+M32</f>
        <v>521.04838297916649</v>
      </c>
      <c r="N33" s="60"/>
      <c r="O33" s="54">
        <f>O31+O32</f>
        <v>513.06902106249981</v>
      </c>
      <c r="P33" s="60"/>
      <c r="Q33" s="61">
        <f>Q31+Q32</f>
        <v>7.979361916666682</v>
      </c>
      <c r="R33" s="62">
        <f>Q33/M33</f>
        <v>1.5314051779689962E-2</v>
      </c>
    </row>
    <row r="35" spans="11:28" ht="15" customHeight="1" x14ac:dyDescent="0.2">
      <c r="S35" s="74" t="s">
        <v>55</v>
      </c>
      <c r="T35" s="77" t="s">
        <v>171</v>
      </c>
      <c r="U35" s="77"/>
      <c r="V35" s="77"/>
      <c r="W35" s="77"/>
      <c r="X35" s="76" t="s">
        <v>233</v>
      </c>
      <c r="Y35" s="70"/>
      <c r="Z35" s="70"/>
      <c r="AA35" s="72"/>
      <c r="AB35" s="72"/>
    </row>
    <row r="36" spans="11:28" ht="15" customHeight="1" x14ac:dyDescent="0.2">
      <c r="S36" s="74"/>
      <c r="T36" s="59" t="s">
        <v>20</v>
      </c>
      <c r="U36" s="59" t="s">
        <v>22</v>
      </c>
      <c r="V36" s="58" t="s">
        <v>56</v>
      </c>
      <c r="W36" s="58" t="s">
        <v>57</v>
      </c>
      <c r="X36" s="76"/>
      <c r="Y36" s="70"/>
      <c r="Z36" s="70"/>
      <c r="AA36" s="72"/>
      <c r="AB36" s="72"/>
    </row>
    <row r="37" spans="11:28" ht="15" customHeight="1" x14ac:dyDescent="0.2">
      <c r="S37" s="52">
        <f>A4</f>
        <v>6</v>
      </c>
      <c r="T37" s="63">
        <f t="shared" ref="T37:W37" si="10">B4</f>
        <v>303.57126895833335</v>
      </c>
      <c r="U37" s="63">
        <f t="shared" si="10"/>
        <v>290.89119383333332</v>
      </c>
      <c r="V37" s="63">
        <f t="shared" si="10"/>
        <v>12.68007512500003</v>
      </c>
      <c r="W37" s="64">
        <f t="shared" si="10"/>
        <v>4.1769681197137379E-2</v>
      </c>
      <c r="X37" s="65">
        <f>V37*Supporting!$J$2</f>
        <v>12.68007512500003</v>
      </c>
      <c r="Y37" s="70"/>
      <c r="Z37" s="70"/>
      <c r="AA37" s="72"/>
      <c r="AB37" s="72"/>
    </row>
    <row r="38" spans="11:28" ht="15" customHeight="1" x14ac:dyDescent="0.2">
      <c r="S38" s="52">
        <f t="shared" ref="S38:S39" si="11">A5</f>
        <v>9</v>
      </c>
      <c r="T38" s="63">
        <f t="shared" ref="T38:T39" si="12">B5</f>
        <v>292.3843615583333</v>
      </c>
      <c r="U38" s="63">
        <f t="shared" ref="U38:U39" si="13">C5</f>
        <v>278.22691942500001</v>
      </c>
      <c r="V38" s="63">
        <f t="shared" ref="V38:V39" si="14">D5</f>
        <v>14.157442133333291</v>
      </c>
      <c r="W38" s="64">
        <f t="shared" ref="W38:W39" si="15">E5</f>
        <v>4.8420654435407461E-2</v>
      </c>
      <c r="X38" s="65">
        <f>V38*Supporting!$J$2</f>
        <v>14.157442133333291</v>
      </c>
      <c r="Y38" s="70"/>
      <c r="Z38" s="70"/>
      <c r="AA38" s="72"/>
      <c r="AB38" s="72"/>
    </row>
    <row r="39" spans="11:28" ht="15" customHeight="1" x14ac:dyDescent="0.2">
      <c r="S39" s="52">
        <f t="shared" si="11"/>
        <v>16</v>
      </c>
      <c r="T39" s="63">
        <f t="shared" si="12"/>
        <v>521.04443279999998</v>
      </c>
      <c r="U39" s="63">
        <f t="shared" si="13"/>
        <v>513.06507088333331</v>
      </c>
      <c r="V39" s="63">
        <f t="shared" si="14"/>
        <v>7.9793619166666758</v>
      </c>
      <c r="W39" s="64">
        <f t="shared" si="15"/>
        <v>1.5314167879670082E-2</v>
      </c>
      <c r="X39" s="65">
        <f>V39*Supporting!$J$2</f>
        <v>7.9793619166666758</v>
      </c>
      <c r="Y39" s="70"/>
      <c r="Z39" s="70"/>
      <c r="AA39" s="72"/>
      <c r="AB39" s="72"/>
    </row>
    <row r="40" spans="11:28" ht="15" customHeight="1" x14ac:dyDescent="0.2">
      <c r="S40" s="52"/>
      <c r="T40" s="63"/>
      <c r="U40" s="63"/>
      <c r="V40" s="63"/>
      <c r="W40" s="64"/>
      <c r="X40" s="65"/>
      <c r="Y40" s="70"/>
      <c r="Z40" s="70"/>
      <c r="AA40" s="72"/>
      <c r="AB40" s="72"/>
    </row>
    <row r="41" spans="11:28" ht="15" customHeight="1" x14ac:dyDescent="0.2">
      <c r="S41" s="70"/>
      <c r="T41" s="80"/>
      <c r="U41" s="80"/>
      <c r="V41" s="70"/>
      <c r="W41" s="70"/>
      <c r="X41" s="70"/>
      <c r="Y41" s="74" t="s">
        <v>55</v>
      </c>
      <c r="Z41" s="76" t="s">
        <v>232</v>
      </c>
      <c r="AA41" s="75" t="s">
        <v>171</v>
      </c>
      <c r="AB41" s="75"/>
    </row>
    <row r="42" spans="11:28" ht="15" customHeight="1" x14ac:dyDescent="0.2">
      <c r="S42" s="70"/>
      <c r="T42" s="80"/>
      <c r="U42" s="80"/>
      <c r="V42" s="70"/>
      <c r="W42" s="70"/>
      <c r="X42" s="70"/>
      <c r="Y42" s="74"/>
      <c r="Z42" s="76"/>
      <c r="AA42" s="73" t="s">
        <v>228</v>
      </c>
      <c r="AB42" s="73" t="s">
        <v>229</v>
      </c>
    </row>
    <row r="43" spans="11:28" ht="15" customHeight="1" x14ac:dyDescent="0.2">
      <c r="S43" s="70"/>
      <c r="T43" s="80"/>
      <c r="U43" s="80"/>
      <c r="V43" s="70"/>
      <c r="W43" s="70"/>
      <c r="X43" s="70"/>
      <c r="Y43" s="52">
        <v>1</v>
      </c>
      <c r="Z43" s="71">
        <f>Supporting!AA30</f>
        <v>3.11</v>
      </c>
      <c r="AA43" s="53"/>
      <c r="AB43" s="53">
        <f>Supporting!AD30</f>
        <v>12.135641559179557</v>
      </c>
    </row>
    <row r="44" spans="11:28" ht="15" customHeight="1" x14ac:dyDescent="0.2">
      <c r="S44" s="70"/>
      <c r="T44" s="80"/>
      <c r="U44" s="80"/>
      <c r="V44" s="70"/>
      <c r="W44" s="70"/>
      <c r="X44" s="70"/>
      <c r="Y44" s="52">
        <f>Y43+1</f>
        <v>2</v>
      </c>
      <c r="Z44" s="71">
        <f>Supporting!AA31</f>
        <v>2.9</v>
      </c>
      <c r="AA44" s="53"/>
      <c r="AB44" s="53">
        <f>Supporting!AD31</f>
        <v>12.674205358426532</v>
      </c>
    </row>
    <row r="45" spans="11:28" ht="15" customHeight="1" x14ac:dyDescent="0.2">
      <c r="S45" s="70"/>
      <c r="T45" s="80"/>
      <c r="U45" s="80"/>
      <c r="V45" s="70"/>
      <c r="W45" s="70"/>
      <c r="X45" s="70"/>
      <c r="Y45" s="52">
        <f t="shared" ref="Y45:Y57" si="16">Y44+1</f>
        <v>3</v>
      </c>
      <c r="Z45" s="71">
        <f>Supporting!AA32</f>
        <v>2.6</v>
      </c>
      <c r="AA45" s="53"/>
      <c r="AB45" s="53">
        <f>Supporting!AD32</f>
        <v>13.443582214493636</v>
      </c>
    </row>
    <row r="46" spans="11:28" x14ac:dyDescent="0.2">
      <c r="S46" s="70"/>
      <c r="T46" s="80"/>
      <c r="U46" s="80"/>
      <c r="V46" s="70"/>
      <c r="W46" s="70"/>
      <c r="X46" s="70"/>
      <c r="Y46" s="52">
        <f t="shared" si="16"/>
        <v>4</v>
      </c>
      <c r="Z46" s="71">
        <f>Supporting!AA33</f>
        <v>2.77</v>
      </c>
      <c r="AA46" s="53"/>
      <c r="AB46" s="53">
        <f>Supporting!AD33</f>
        <v>13.007601996055609</v>
      </c>
    </row>
    <row r="47" spans="11:28" x14ac:dyDescent="0.2">
      <c r="S47" s="70"/>
      <c r="T47" s="80"/>
      <c r="U47" s="80"/>
      <c r="V47" s="70"/>
      <c r="W47" s="70"/>
      <c r="X47" s="70"/>
      <c r="Y47" s="52">
        <f t="shared" si="16"/>
        <v>5</v>
      </c>
      <c r="Z47" s="71">
        <f>Supporting!AA34</f>
        <v>2.75</v>
      </c>
      <c r="AA47" s="53"/>
      <c r="AB47" s="53">
        <f>Supporting!AD34</f>
        <v>13.058893786460084</v>
      </c>
    </row>
    <row r="48" spans="11:28" x14ac:dyDescent="0.2">
      <c r="Y48" s="52">
        <f t="shared" si="16"/>
        <v>6</v>
      </c>
      <c r="Z48" s="71">
        <f>Supporting!AA35</f>
        <v>2.4500000000000002</v>
      </c>
      <c r="AA48" s="53">
        <f>Supporting!AC35</f>
        <v>12.680075125000009</v>
      </c>
      <c r="AB48" s="53"/>
    </row>
    <row r="49" spans="25:28" x14ac:dyDescent="0.2">
      <c r="Y49" s="52">
        <f t="shared" si="16"/>
        <v>7</v>
      </c>
      <c r="Z49" s="71">
        <f>Supporting!AA36</f>
        <v>1.96</v>
      </c>
      <c r="AA49" s="53"/>
      <c r="AB49" s="53">
        <f>Supporting!AD36</f>
        <v>15.084919507436796</v>
      </c>
    </row>
    <row r="50" spans="25:28" x14ac:dyDescent="0.2">
      <c r="Y50" s="52">
        <f t="shared" si="16"/>
        <v>8</v>
      </c>
      <c r="Z50" s="71">
        <f>Supporting!AA37</f>
        <v>2.4900000000000002</v>
      </c>
      <c r="AA50" s="53"/>
      <c r="AB50" s="53">
        <f>Supporting!AD37</f>
        <v>13.725687061718242</v>
      </c>
    </row>
    <row r="51" spans="25:28" x14ac:dyDescent="0.2">
      <c r="Y51" s="52">
        <f t="shared" si="16"/>
        <v>9</v>
      </c>
      <c r="Z51" s="71">
        <f>Supporting!AA38</f>
        <v>2.88</v>
      </c>
      <c r="AA51" s="53">
        <f>Supporting!AC38</f>
        <v>14.1574421333333</v>
      </c>
      <c r="AB51" s="53"/>
    </row>
    <row r="52" spans="25:28" x14ac:dyDescent="0.2">
      <c r="Y52" s="52">
        <f t="shared" si="16"/>
        <v>10</v>
      </c>
      <c r="Z52" s="71">
        <f>Supporting!AA39</f>
        <v>3.14</v>
      </c>
      <c r="AA52" s="53"/>
      <c r="AB52" s="53">
        <f>Supporting!AD39</f>
        <v>12.058703873572846</v>
      </c>
    </row>
    <row r="53" spans="25:28" x14ac:dyDescent="0.2">
      <c r="Y53" s="52">
        <f t="shared" si="16"/>
        <v>11</v>
      </c>
      <c r="Z53" s="71">
        <f>Supporting!AA40</f>
        <v>3.18</v>
      </c>
      <c r="AA53" s="53"/>
      <c r="AB53" s="53">
        <f>Supporting!AD40</f>
        <v>11.956120292763899</v>
      </c>
    </row>
    <row r="54" spans="25:28" x14ac:dyDescent="0.2">
      <c r="Y54" s="52">
        <f>Y53+1</f>
        <v>12</v>
      </c>
      <c r="Z54" s="71">
        <f>Supporting!AA41</f>
        <v>3.19</v>
      </c>
      <c r="AA54" s="53"/>
      <c r="AB54" s="53">
        <f>Supporting!AD41</f>
        <v>11.930474397561662</v>
      </c>
    </row>
    <row r="55" spans="25:28" x14ac:dyDescent="0.2">
      <c r="Y55" s="52">
        <f t="shared" si="16"/>
        <v>13</v>
      </c>
      <c r="Z55" s="71">
        <f>Supporting!AA42</f>
        <v>3.02</v>
      </c>
      <c r="AA55" s="53"/>
      <c r="AB55" s="53">
        <f>Supporting!AD42</f>
        <v>12.36645461599969</v>
      </c>
    </row>
    <row r="56" spans="25:28" x14ac:dyDescent="0.2">
      <c r="Y56" s="52">
        <f t="shared" si="16"/>
        <v>14</v>
      </c>
      <c r="Z56" s="71">
        <f>Supporting!AA43</f>
        <v>3.2</v>
      </c>
      <c r="AA56" s="53"/>
      <c r="AB56" s="53">
        <f>Supporting!AD43</f>
        <v>11.904828502359425</v>
      </c>
    </row>
    <row r="57" spans="25:28" x14ac:dyDescent="0.2">
      <c r="Y57" s="52">
        <f t="shared" si="16"/>
        <v>15</v>
      </c>
      <c r="Z57" s="71">
        <f>Supporting!AA44</f>
        <v>3.11</v>
      </c>
      <c r="AA57" s="53"/>
      <c r="AB57" s="53">
        <f>Supporting!AD44</f>
        <v>12.135641559179557</v>
      </c>
    </row>
    <row r="58" spans="25:28" x14ac:dyDescent="0.2">
      <c r="Y58" s="52">
        <f>Y57+1</f>
        <v>16</v>
      </c>
      <c r="Z58" s="71">
        <f>Supporting!AA45</f>
        <v>4.62</v>
      </c>
      <c r="AA58" s="53">
        <f>Supporting!AC45</f>
        <v>7.9793619166666856</v>
      </c>
      <c r="AB58" s="53"/>
    </row>
  </sheetData>
  <mergeCells count="18">
    <mergeCell ref="Q8:R8"/>
    <mergeCell ref="K10:K17"/>
    <mergeCell ref="A2:A3"/>
    <mergeCell ref="K18:K25"/>
    <mergeCell ref="K26:K33"/>
    <mergeCell ref="M8:N8"/>
    <mergeCell ref="O8:P8"/>
    <mergeCell ref="K8:K9"/>
    <mergeCell ref="L8:L9"/>
    <mergeCell ref="J2:J3"/>
    <mergeCell ref="B2:E2"/>
    <mergeCell ref="F2:I2"/>
    <mergeCell ref="Y41:Y42"/>
    <mergeCell ref="AA41:AB41"/>
    <mergeCell ref="Z41:Z42"/>
    <mergeCell ref="S35:S36"/>
    <mergeCell ref="T35:W35"/>
    <mergeCell ref="X35:X36"/>
  </mergeCells>
  <pageMargins left="0.7" right="0.7" top="0.75" bottom="0.75" header="0.3" footer="0.3"/>
  <pageSetup orientation="portrait" r:id="rId1"/>
  <ignoredErrors>
    <ignoredError sqref="Q15 O10:O14 O17:Q22 Q23:Q25 O26:Q31" formula="1"/>
    <ignoredError sqref="Q33:R3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1DCF4-DDF9-44B5-9ACD-0BE08C44AF0A}">
  <dimension ref="A1:AK90"/>
  <sheetViews>
    <sheetView zoomScale="80" zoomScaleNormal="80" workbookViewId="0">
      <pane xSplit="1" ySplit="1" topLeftCell="B38" activePane="bottomRight" state="frozen"/>
      <selection pane="topRight" activeCell="B1" sqref="B1"/>
      <selection pane="bottomLeft" activeCell="A2" sqref="A2"/>
      <selection pane="bottomRight" activeCell="AK14" sqref="AK14"/>
    </sheetView>
  </sheetViews>
  <sheetFormatPr defaultRowHeight="15" x14ac:dyDescent="0.25"/>
  <cols>
    <col min="1" max="1" width="10.7109375" style="8" customWidth="1"/>
    <col min="2" max="2" width="31.28515625" style="5" customWidth="1"/>
    <col min="3" max="3" width="10.7109375" style="20" customWidth="1"/>
    <col min="4" max="4" width="10.7109375" style="24" customWidth="1"/>
    <col min="5" max="5" width="10.7109375" style="17" customWidth="1"/>
    <col min="6" max="6" width="10.7109375" style="46" customWidth="1"/>
    <col min="7" max="7" width="24.140625" style="10" bestFit="1" customWidth="1"/>
    <col min="8" max="8" width="22.28515625" style="5" customWidth="1"/>
    <col min="9" max="11" width="10.7109375" style="20" customWidth="1"/>
    <col min="12" max="12" width="7.28515625" style="23" bestFit="1" customWidth="1"/>
    <col min="13" max="13" width="14.5703125" style="5" bestFit="1" customWidth="1"/>
    <col min="14" max="15" width="10.7109375" style="20" customWidth="1"/>
    <col min="16" max="16" width="8.42578125" style="4" customWidth="1"/>
    <col min="17" max="17" width="6.28515625" style="6" bestFit="1" customWidth="1"/>
    <col min="18" max="18" width="17.140625" style="5" bestFit="1" customWidth="1"/>
    <col min="19" max="19" width="10.7109375" style="20" customWidth="1"/>
    <col min="20" max="20" width="10.7109375" style="4" customWidth="1"/>
    <col min="21" max="22" width="9.140625" style="4" customWidth="1"/>
    <col min="23" max="23" width="6" style="4" bestFit="1" customWidth="1"/>
    <col min="24" max="24" width="8.85546875" style="5" customWidth="1"/>
    <col min="25" max="25" width="10.7109375" style="20" customWidth="1"/>
    <col min="26" max="28" width="10.7109375" style="5" customWidth="1"/>
    <col min="29" max="31" width="9.140625" style="5" customWidth="1"/>
    <col min="32" max="36" width="10.7109375" style="5" customWidth="1"/>
    <col min="37" max="16384" width="9.140625" style="5"/>
  </cols>
  <sheetData>
    <row r="1" spans="1:37" s="31" customFormat="1" ht="90" x14ac:dyDescent="0.25">
      <c r="A1" s="31" t="s">
        <v>0</v>
      </c>
      <c r="C1" s="32" t="s">
        <v>97</v>
      </c>
      <c r="D1" s="42" t="s">
        <v>118</v>
      </c>
      <c r="E1" s="33" t="s">
        <v>99</v>
      </c>
      <c r="F1" s="43" t="s">
        <v>121</v>
      </c>
      <c r="G1" s="33"/>
      <c r="I1" s="32" t="s">
        <v>102</v>
      </c>
      <c r="J1" s="34" t="s">
        <v>112</v>
      </c>
      <c r="K1" s="32" t="s">
        <v>113</v>
      </c>
      <c r="L1" s="35"/>
      <c r="N1" s="32" t="s">
        <v>89</v>
      </c>
      <c r="O1" s="32" t="s">
        <v>104</v>
      </c>
      <c r="P1" s="36" t="s">
        <v>105</v>
      </c>
      <c r="Q1" s="37"/>
      <c r="S1" s="32" t="s">
        <v>93</v>
      </c>
      <c r="T1" s="36" t="s">
        <v>109</v>
      </c>
      <c r="U1" s="36" t="s">
        <v>110</v>
      </c>
      <c r="V1" s="36" t="s">
        <v>103</v>
      </c>
      <c r="W1" s="36"/>
      <c r="Y1" s="32" t="s">
        <v>84</v>
      </c>
      <c r="Z1" s="38" t="s">
        <v>85</v>
      </c>
      <c r="AA1" s="36" t="s">
        <v>64</v>
      </c>
      <c r="AB1" s="38" t="s">
        <v>142</v>
      </c>
      <c r="AD1" s="31" t="s">
        <v>66</v>
      </c>
      <c r="AE1" s="31" t="s">
        <v>67</v>
      </c>
      <c r="AF1" s="31" t="s">
        <v>146</v>
      </c>
      <c r="AG1" s="31" t="s">
        <v>147</v>
      </c>
      <c r="AH1" s="31" t="s">
        <v>148</v>
      </c>
      <c r="AI1" s="31" t="s">
        <v>149</v>
      </c>
      <c r="AJ1" s="31" t="s">
        <v>150</v>
      </c>
      <c r="AK1" s="31" t="s">
        <v>151</v>
      </c>
    </row>
    <row r="2" spans="1:37" x14ac:dyDescent="0.25">
      <c r="A2" s="39" t="s">
        <v>154</v>
      </c>
      <c r="B2" s="5" t="s">
        <v>94</v>
      </c>
      <c r="C2" s="18">
        <v>107.4</v>
      </c>
      <c r="D2" s="24">
        <f>ABS(C2*Supporting!$B$4/0.8)</f>
        <v>1272.7477275000001</v>
      </c>
      <c r="E2" s="17">
        <f t="shared" ref="E2:E6" si="0">D2/12</f>
        <v>106.06231062500001</v>
      </c>
      <c r="F2" s="44">
        <f>ABS(C2/$C$9)</f>
        <v>0.3324974458995078</v>
      </c>
      <c r="G2" s="17" t="s">
        <v>173</v>
      </c>
      <c r="H2" s="5" t="s">
        <v>114</v>
      </c>
      <c r="I2" s="18">
        <v>0.5</v>
      </c>
      <c r="J2" s="28">
        <f>I2*Supporting!$B$6</f>
        <v>138.88900000000001</v>
      </c>
      <c r="K2" s="20">
        <f>J2/12</f>
        <v>11.574083333333334</v>
      </c>
      <c r="M2" s="5" t="s">
        <v>88</v>
      </c>
      <c r="N2" s="18">
        <v>384.25</v>
      </c>
      <c r="O2" s="20">
        <f>N2*Supporting!$B$4</f>
        <v>3642.8552275000002</v>
      </c>
      <c r="P2" s="29">
        <f>O2/12</f>
        <v>303.57126895833335</v>
      </c>
      <c r="R2" s="5" t="s">
        <v>90</v>
      </c>
      <c r="S2" s="18">
        <f>S32</f>
        <v>866.68</v>
      </c>
      <c r="T2" s="4">
        <f>S2*Supporting!$B$2</f>
        <v>228952.58896000002</v>
      </c>
      <c r="U2" s="4">
        <f>T2/12</f>
        <v>19079.382413333336</v>
      </c>
      <c r="V2" s="4">
        <f>U2/365</f>
        <v>52.272280584474892</v>
      </c>
      <c r="X2" s="5" t="s">
        <v>65</v>
      </c>
      <c r="Y2" s="18">
        <v>79863.929999999993</v>
      </c>
      <c r="Z2" s="21">
        <v>1.7160000000000001E-3</v>
      </c>
      <c r="AA2" s="4">
        <f>Y2*3.412</f>
        <v>272495.72915999999</v>
      </c>
      <c r="AB2" s="19">
        <f>Z2*264.2*60</f>
        <v>27.202032000000003</v>
      </c>
      <c r="AC2" s="7" t="s">
        <v>223</v>
      </c>
      <c r="AD2" s="7" t="s">
        <v>68</v>
      </c>
      <c r="AE2" s="7" t="s">
        <v>69</v>
      </c>
      <c r="AF2" s="7">
        <v>119562.68</v>
      </c>
      <c r="AG2" s="7">
        <v>2.5240000000000002E-3</v>
      </c>
      <c r="AH2" s="7">
        <v>505.26</v>
      </c>
      <c r="AI2" s="7">
        <v>200214.61</v>
      </c>
      <c r="AJ2" s="7">
        <v>0.95</v>
      </c>
      <c r="AK2" s="19">
        <f>AG2*264.2*60</f>
        <v>40.010448000000004</v>
      </c>
    </row>
    <row r="3" spans="1:37" x14ac:dyDescent="0.25">
      <c r="A3" s="39"/>
      <c r="B3" s="5" t="s">
        <v>95</v>
      </c>
      <c r="C3" s="18">
        <v>51.89</v>
      </c>
      <c r="D3" s="24">
        <f>ABS(C3*Supporting!$B$4/0.8)</f>
        <v>614.92439087499997</v>
      </c>
      <c r="E3" s="17">
        <f t="shared" si="0"/>
        <v>51.243699239583329</v>
      </c>
      <c r="F3" s="44">
        <f t="shared" ref="F3:F6" si="1">ABS(C3/$C$9)</f>
        <v>0.16064518126373797</v>
      </c>
      <c r="G3" s="17" t="s">
        <v>174</v>
      </c>
      <c r="H3" s="5" t="s">
        <v>115</v>
      </c>
      <c r="I3" s="18">
        <v>15.93</v>
      </c>
      <c r="J3" s="28">
        <f>I3*Supporting!$B$6</f>
        <v>4425.0035400000006</v>
      </c>
      <c r="K3" s="20">
        <f>J3/12</f>
        <v>368.75029500000005</v>
      </c>
      <c r="R3" s="5" t="s">
        <v>91</v>
      </c>
      <c r="S3" s="18">
        <v>657.45</v>
      </c>
      <c r="T3" s="4">
        <f>S3*Supporting!$B$2</f>
        <v>173679.88140000004</v>
      </c>
      <c r="U3" s="4">
        <f>T3/12</f>
        <v>14473.323450000004</v>
      </c>
      <c r="V3" s="4">
        <f>U3/365</f>
        <v>39.652940958904118</v>
      </c>
      <c r="W3" s="4">
        <f>U3*Supporting!$F$2*(135-64)/(0.758*Supporting!$B$5)</f>
        <v>111.16581678878629</v>
      </c>
      <c r="AC3" s="7" t="s">
        <v>145</v>
      </c>
      <c r="AD3" s="7" t="s">
        <v>68</v>
      </c>
      <c r="AE3" s="7" t="s">
        <v>70</v>
      </c>
      <c r="AF3" s="7">
        <v>44836</v>
      </c>
      <c r="AG3" s="7">
        <v>1.7160000000000001E-3</v>
      </c>
      <c r="AH3" s="7">
        <v>128.86000000000001</v>
      </c>
      <c r="AI3" s="7">
        <v>75080.479999999996</v>
      </c>
      <c r="AJ3" s="7">
        <v>0.95</v>
      </c>
      <c r="AK3" s="19">
        <f>AG3*264.2*60</f>
        <v>27.202032000000003</v>
      </c>
    </row>
    <row r="4" spans="1:37" x14ac:dyDescent="0.25">
      <c r="A4" s="39"/>
      <c r="B4" s="5" t="s">
        <v>96</v>
      </c>
      <c r="C4" s="18">
        <v>307.39999999999998</v>
      </c>
      <c r="D4" s="24">
        <f>ABS(C4*Supporting!$B$4/0.8)</f>
        <v>3642.8552274999997</v>
      </c>
      <c r="E4" s="17">
        <f t="shared" si="0"/>
        <v>303.57126895833329</v>
      </c>
      <c r="F4" s="47"/>
      <c r="G4" s="17" t="s">
        <v>180</v>
      </c>
      <c r="H4" s="5" t="s">
        <v>170</v>
      </c>
      <c r="I4" s="20">
        <f>SUM(I2:I3)</f>
        <v>16.43</v>
      </c>
      <c r="J4" s="28">
        <f>I4*Supporting!$B$6</f>
        <v>4563.8925399999998</v>
      </c>
      <c r="K4" s="25">
        <f>J4/12</f>
        <v>380.3243783333333</v>
      </c>
      <c r="R4" s="5" t="s">
        <v>92</v>
      </c>
      <c r="S4" s="18">
        <v>209.22</v>
      </c>
      <c r="T4" s="4">
        <f>S4*Supporting!$B$2</f>
        <v>55270.065840000003</v>
      </c>
      <c r="U4" s="4">
        <f>T4/12</f>
        <v>4605.8388199999999</v>
      </c>
      <c r="V4" s="4">
        <f>U4/365</f>
        <v>12.618736493150685</v>
      </c>
    </row>
    <row r="5" spans="1:37" x14ac:dyDescent="0.25">
      <c r="A5" s="39"/>
      <c r="B5" s="5" t="s">
        <v>100</v>
      </c>
      <c r="C5" s="18">
        <v>-5.22</v>
      </c>
      <c r="D5" s="24">
        <f>ABS(C5*Supporting!$B$4/0.8)</f>
        <v>61.859805749999992</v>
      </c>
      <c r="E5" s="17">
        <f t="shared" si="0"/>
        <v>5.1549838124999994</v>
      </c>
      <c r="F5" s="44">
        <f t="shared" si="1"/>
        <v>1.6160490387294512E-2</v>
      </c>
      <c r="G5" s="17" t="s">
        <v>175</v>
      </c>
    </row>
    <row r="6" spans="1:37" x14ac:dyDescent="0.25">
      <c r="A6" s="39"/>
      <c r="B6" s="5" t="s">
        <v>101</v>
      </c>
      <c r="C6" s="18">
        <v>158.06</v>
      </c>
      <c r="D6" s="24">
        <f>ABS(C6*Supporting!$B$4/0.8)</f>
        <v>1873.0959572500001</v>
      </c>
      <c r="E6" s="17">
        <f t="shared" si="0"/>
        <v>156.09132977083334</v>
      </c>
      <c r="F6" s="44">
        <f t="shared" si="1"/>
        <v>0.48933469552026254</v>
      </c>
      <c r="G6" s="17" t="s">
        <v>176</v>
      </c>
    </row>
    <row r="7" spans="1:37" x14ac:dyDescent="0.25">
      <c r="A7" s="39"/>
      <c r="B7" s="5" t="s">
        <v>116</v>
      </c>
      <c r="C7" s="18">
        <v>0.47</v>
      </c>
      <c r="D7" s="24">
        <f>ABS(C7*Supporting!$B$4/0.8)</f>
        <v>5.5697526249999996</v>
      </c>
      <c r="E7" s="17">
        <f t="shared" ref="E7:E8" si="2">D7/12</f>
        <v>0.46414605208333332</v>
      </c>
      <c r="F7" s="47"/>
      <c r="G7" s="17" t="s">
        <v>177</v>
      </c>
    </row>
    <row r="8" spans="1:37" x14ac:dyDescent="0.25">
      <c r="A8" s="39"/>
      <c r="B8" s="5" t="s">
        <v>117</v>
      </c>
      <c r="C8" s="18">
        <v>15.14</v>
      </c>
      <c r="D8" s="24">
        <f>ABS(C8*Supporting!$B$4/0.8)</f>
        <v>179.41713774999999</v>
      </c>
      <c r="E8" s="17">
        <f t="shared" si="2"/>
        <v>14.951428145833333</v>
      </c>
      <c r="F8" s="47"/>
      <c r="G8" s="17" t="s">
        <v>177</v>
      </c>
    </row>
    <row r="9" spans="1:37" x14ac:dyDescent="0.25">
      <c r="A9" s="39"/>
      <c r="B9" s="5" t="s">
        <v>178</v>
      </c>
      <c r="C9" s="24">
        <f>C4+C8+C7</f>
        <v>323.01</v>
      </c>
      <c r="D9" s="24">
        <f>ABS(C9*Supporting!$B$4/0.8)</f>
        <v>3827.842117875</v>
      </c>
      <c r="E9" s="17">
        <f t="shared" ref="E9:E11" si="3">D9/12</f>
        <v>318.98684315625002</v>
      </c>
      <c r="F9" s="45">
        <f>SUM(F2:F8)</f>
        <v>0.99863781307080279</v>
      </c>
      <c r="G9" s="17"/>
    </row>
    <row r="10" spans="1:37" x14ac:dyDescent="0.25">
      <c r="A10" s="39"/>
      <c r="B10" s="10" t="s">
        <v>120</v>
      </c>
      <c r="C10" s="24">
        <f>C2+C3-C5+C6</f>
        <v>322.57000000000005</v>
      </c>
      <c r="D10" s="24">
        <f>ABS(C10*Supporting!$B$4/0.8)</f>
        <v>3822.6278813750005</v>
      </c>
      <c r="E10" s="17">
        <f t="shared" si="3"/>
        <v>318.55232344791671</v>
      </c>
      <c r="F10" s="47"/>
      <c r="G10" s="17"/>
    </row>
    <row r="11" spans="1:37" x14ac:dyDescent="0.25">
      <c r="A11" s="39"/>
      <c r="B11" s="10" t="s">
        <v>179</v>
      </c>
      <c r="C11" s="20">
        <f>C9-C10</f>
        <v>0.43999999999994088</v>
      </c>
      <c r="D11" s="24">
        <f>ABS(C11*Supporting!$B$4/0.8)</f>
        <v>5.2142364999992994</v>
      </c>
      <c r="E11" s="17">
        <f t="shared" si="3"/>
        <v>0.43451970833327497</v>
      </c>
      <c r="F11" s="45">
        <f t="shared" ref="F11" si="4">ABS(C11/$C$9)</f>
        <v>1.3621869291970555E-3</v>
      </c>
      <c r="G11" s="17"/>
    </row>
    <row r="12" spans="1:37" x14ac:dyDescent="0.25">
      <c r="A12" s="39"/>
    </row>
    <row r="13" spans="1:37" x14ac:dyDescent="0.25">
      <c r="A13" s="39" t="s">
        <v>155</v>
      </c>
      <c r="B13" s="5" t="s">
        <v>94</v>
      </c>
      <c r="C13" s="18">
        <v>107.4</v>
      </c>
      <c r="D13" s="24">
        <f>ABS(C13*Supporting!$B$4/0.8)</f>
        <v>1272.7477275000001</v>
      </c>
      <c r="E13" s="17">
        <f t="shared" ref="E13:E22" si="5">D13/12</f>
        <v>106.06231062500001</v>
      </c>
      <c r="F13" s="44">
        <f>ABS(C13/$C$20)</f>
        <v>0.34628405610188623</v>
      </c>
      <c r="G13" s="17"/>
      <c r="H13" s="5" t="s">
        <v>114</v>
      </c>
      <c r="I13" s="18">
        <v>0.48</v>
      </c>
      <c r="J13" s="28">
        <f>I13*Supporting!$B$6</f>
        <v>133.33344</v>
      </c>
      <c r="K13" s="20">
        <f>J13/12</f>
        <v>11.11112</v>
      </c>
      <c r="M13" s="5" t="s">
        <v>88</v>
      </c>
      <c r="N13" s="18">
        <v>368.2</v>
      </c>
      <c r="O13" s="20">
        <f>N13*Supporting!$B$4</f>
        <v>3490.6943259999998</v>
      </c>
      <c r="P13" s="29">
        <f>O13/12</f>
        <v>290.89119383333332</v>
      </c>
      <c r="R13" s="5" t="s">
        <v>90</v>
      </c>
      <c r="S13" s="18">
        <v>866.68</v>
      </c>
      <c r="T13" s="4">
        <f>S13*Supporting!$B$2</f>
        <v>228952.58896000002</v>
      </c>
      <c r="U13" s="4">
        <f>T13/12</f>
        <v>19079.382413333336</v>
      </c>
      <c r="V13" s="4">
        <f>U13/365</f>
        <v>52.272280584474892</v>
      </c>
      <c r="X13" s="5" t="s">
        <v>65</v>
      </c>
      <c r="Y13" s="18">
        <v>79863.929999999993</v>
      </c>
      <c r="Z13" s="21">
        <v>1.7160000000000001E-3</v>
      </c>
      <c r="AA13" s="4">
        <f>Y13*3.412</f>
        <v>272495.72915999999</v>
      </c>
      <c r="AB13" s="19">
        <f>Z13*264.2*60</f>
        <v>27.202032000000003</v>
      </c>
      <c r="AC13" s="7" t="s">
        <v>144</v>
      </c>
      <c r="AD13" s="7" t="s">
        <v>68</v>
      </c>
      <c r="AE13" s="7" t="s">
        <v>69</v>
      </c>
      <c r="AF13" s="7">
        <v>119562.68</v>
      </c>
      <c r="AG13" s="7">
        <v>2.5240000000000002E-3</v>
      </c>
      <c r="AH13" s="7">
        <v>505.26</v>
      </c>
      <c r="AI13" s="7">
        <v>200214.61</v>
      </c>
      <c r="AJ13" s="7">
        <v>0.95</v>
      </c>
      <c r="AK13" s="19">
        <f>AG13*264.2*60</f>
        <v>40.010448000000004</v>
      </c>
    </row>
    <row r="14" spans="1:37" x14ac:dyDescent="0.25">
      <c r="A14" s="39"/>
      <c r="B14" s="5" t="s">
        <v>95</v>
      </c>
      <c r="C14" s="18">
        <v>51.89</v>
      </c>
      <c r="D14" s="24">
        <f>ABS(C14*Supporting!$B$4/0.8)</f>
        <v>614.92439087499997</v>
      </c>
      <c r="E14" s="17">
        <f t="shared" si="5"/>
        <v>51.243699239583329</v>
      </c>
      <c r="F14" s="44">
        <f>ABS(C14/$C$20)</f>
        <v>0.16730614218926326</v>
      </c>
      <c r="G14" s="17"/>
      <c r="H14" s="5" t="s">
        <v>115</v>
      </c>
      <c r="I14" s="18">
        <v>15.93</v>
      </c>
      <c r="J14" s="28">
        <f>I14*Supporting!$B$6</f>
        <v>4425.0035400000006</v>
      </c>
      <c r="K14" s="20">
        <f>J14/12</f>
        <v>368.75029500000005</v>
      </c>
      <c r="R14" s="5" t="s">
        <v>91</v>
      </c>
      <c r="S14" s="18">
        <v>721.72</v>
      </c>
      <c r="T14" s="4">
        <f>S14*Supporting!$B$2</f>
        <v>190658.21584000002</v>
      </c>
      <c r="U14" s="4">
        <f>T14/12</f>
        <v>15888.184653333336</v>
      </c>
      <c r="V14" s="4">
        <f>U14/365</f>
        <v>43.529273022831056</v>
      </c>
      <c r="W14" s="4">
        <f>U14*Supporting!$F$2*(135-64)/(0.758*Supporting!$B$5)</f>
        <v>122.03299611043097</v>
      </c>
      <c r="AC14" s="7" t="s">
        <v>145</v>
      </c>
      <c r="AD14" s="7" t="s">
        <v>68</v>
      </c>
      <c r="AE14" s="7" t="s">
        <v>70</v>
      </c>
      <c r="AF14" s="7">
        <v>44836</v>
      </c>
      <c r="AG14" s="7">
        <v>1.7160000000000001E-3</v>
      </c>
      <c r="AH14" s="7">
        <v>128.86000000000001</v>
      </c>
      <c r="AI14" s="7">
        <v>75080.479999999996</v>
      </c>
      <c r="AJ14" s="7">
        <v>0.95</v>
      </c>
      <c r="AK14" s="19">
        <f>AG14*264.2*60</f>
        <v>27.202032000000003</v>
      </c>
    </row>
    <row r="15" spans="1:37" x14ac:dyDescent="0.25">
      <c r="A15" s="39"/>
      <c r="B15" s="5" t="s">
        <v>96</v>
      </c>
      <c r="C15" s="18">
        <v>294.56</v>
      </c>
      <c r="D15" s="24">
        <f>ABS(C15*Supporting!$B$4/0.8)</f>
        <v>3490.6943260000003</v>
      </c>
      <c r="E15" s="17">
        <f t="shared" si="5"/>
        <v>290.89119383333338</v>
      </c>
      <c r="F15" s="47"/>
      <c r="G15" s="17"/>
      <c r="H15" s="5" t="s">
        <v>170</v>
      </c>
      <c r="I15" s="20">
        <f>SUM(I13:I14)</f>
        <v>16.41</v>
      </c>
      <c r="J15" s="28">
        <f>I15*Supporting!$B$6</f>
        <v>4558.33698</v>
      </c>
      <c r="K15" s="25">
        <f>J15/12</f>
        <v>379.86141500000002</v>
      </c>
      <c r="R15" s="5" t="s">
        <v>92</v>
      </c>
      <c r="S15" s="18">
        <v>144.94999999999999</v>
      </c>
      <c r="T15" s="4">
        <f>S15*Supporting!$B$2</f>
        <v>38291.731400000004</v>
      </c>
      <c r="U15" s="4">
        <f>T15/12</f>
        <v>3190.977616666667</v>
      </c>
      <c r="V15" s="4">
        <f>U15/365</f>
        <v>8.7424044292237451</v>
      </c>
    </row>
    <row r="16" spans="1:37" x14ac:dyDescent="0.25">
      <c r="A16" s="39"/>
      <c r="B16" s="5" t="s">
        <v>100</v>
      </c>
      <c r="C16" s="18">
        <v>-4.8099999999999996</v>
      </c>
      <c r="D16" s="24">
        <f>ABS(C16*Supporting!$B$4/0.8)</f>
        <v>57.001085374999988</v>
      </c>
      <c r="E16" s="17">
        <f t="shared" si="5"/>
        <v>4.7500904479166657</v>
      </c>
      <c r="F16" s="44">
        <f>ABS(C16/$C$20)</f>
        <v>1.5508624858939222E-2</v>
      </c>
      <c r="G16" s="17"/>
    </row>
    <row r="17" spans="1:37" x14ac:dyDescent="0.25">
      <c r="A17" s="39"/>
      <c r="B17" s="5" t="s">
        <v>101</v>
      </c>
      <c r="C17" s="18">
        <v>145.66999999999999</v>
      </c>
      <c r="D17" s="24">
        <f>ABS(C17*Supporting!$B$4/0.8)</f>
        <v>1726.2677976249997</v>
      </c>
      <c r="E17" s="17">
        <f t="shared" si="5"/>
        <v>143.85564980208332</v>
      </c>
      <c r="F17" s="44">
        <f>ABS(C17/$C$20)</f>
        <v>0.46967596324359179</v>
      </c>
      <c r="G17" s="17"/>
    </row>
    <row r="18" spans="1:37" x14ac:dyDescent="0.25">
      <c r="A18" s="39"/>
      <c r="B18" s="5" t="s">
        <v>116</v>
      </c>
      <c r="C18" s="18">
        <v>0.45</v>
      </c>
      <c r="D18" s="24">
        <f>ABS(C18*Supporting!$B$4/0.8)</f>
        <v>5.332741875</v>
      </c>
      <c r="E18" s="17">
        <f t="shared" si="5"/>
        <v>0.44439515624999998</v>
      </c>
      <c r="F18" s="47"/>
      <c r="G18" s="17"/>
    </row>
    <row r="19" spans="1:37" x14ac:dyDescent="0.25">
      <c r="A19" s="39"/>
      <c r="B19" s="5" t="s">
        <v>117</v>
      </c>
      <c r="C19" s="18">
        <v>15.14</v>
      </c>
      <c r="D19" s="24">
        <f>ABS(C19*Supporting!$B$4/0.8)</f>
        <v>179.41713774999999</v>
      </c>
      <c r="E19" s="17">
        <f t="shared" si="5"/>
        <v>14.951428145833333</v>
      </c>
      <c r="F19" s="47"/>
      <c r="G19" s="17"/>
    </row>
    <row r="20" spans="1:37" x14ac:dyDescent="0.25">
      <c r="A20" s="39"/>
      <c r="B20" s="5" t="s">
        <v>178</v>
      </c>
      <c r="C20" s="24">
        <f>C15+C19+C18</f>
        <v>310.14999999999998</v>
      </c>
      <c r="D20" s="24">
        <f>ABS(C20*Supporting!$B$4/0.8)</f>
        <v>3675.4442056249995</v>
      </c>
      <c r="E20" s="17">
        <f t="shared" si="5"/>
        <v>306.28701713541665</v>
      </c>
      <c r="F20" s="45">
        <f>SUM(F13:F19)</f>
        <v>0.99877478639368045</v>
      </c>
      <c r="G20" s="30"/>
    </row>
    <row r="21" spans="1:37" x14ac:dyDescent="0.25">
      <c r="A21" s="39"/>
      <c r="B21" s="10" t="s">
        <v>120</v>
      </c>
      <c r="C21" s="24">
        <f>C13+C14-C16+C17</f>
        <v>309.77</v>
      </c>
      <c r="D21" s="24">
        <f>ABS(C21*Supporting!$B$4/0.8)</f>
        <v>3670.9410013749998</v>
      </c>
      <c r="E21" s="17">
        <f t="shared" si="5"/>
        <v>305.9117501145833</v>
      </c>
      <c r="F21" s="47"/>
      <c r="G21" s="30"/>
    </row>
    <row r="22" spans="1:37" x14ac:dyDescent="0.25">
      <c r="A22" s="39"/>
      <c r="B22" s="10" t="s">
        <v>179</v>
      </c>
      <c r="C22" s="20">
        <f>C20-C21</f>
        <v>0.37999999999999545</v>
      </c>
      <c r="D22" s="24">
        <f>ABS(C22*Supporting!$B$4/0.8)</f>
        <v>4.5032042499999463</v>
      </c>
      <c r="E22" s="17">
        <f t="shared" si="5"/>
        <v>0.37526702083332886</v>
      </c>
      <c r="F22" s="45">
        <f>ABS(C22/$C$20)</f>
        <v>1.2252136063195082E-3</v>
      </c>
      <c r="G22" s="17"/>
    </row>
    <row r="23" spans="1:37" x14ac:dyDescent="0.25">
      <c r="A23" s="39"/>
      <c r="D23" s="20"/>
      <c r="E23" s="4"/>
      <c r="F23" s="6"/>
      <c r="G23" s="17"/>
    </row>
    <row r="24" spans="1:37" x14ac:dyDescent="0.25">
      <c r="A24" s="39" t="s">
        <v>156</v>
      </c>
      <c r="B24" s="5" t="s">
        <v>94</v>
      </c>
      <c r="C24" s="18">
        <f t="shared" ref="C24:C30" si="6">C2-C13</f>
        <v>0</v>
      </c>
      <c r="D24" s="24">
        <f>ABS(C24*Supporting!$B$4/0.8)</f>
        <v>0</v>
      </c>
      <c r="E24" s="17">
        <f t="shared" ref="E24:E30" si="7">D24/12</f>
        <v>0</v>
      </c>
      <c r="F24" s="47"/>
      <c r="G24" s="17"/>
      <c r="H24" s="5" t="s">
        <v>114</v>
      </c>
      <c r="I24" s="18">
        <f>I2-I13</f>
        <v>2.0000000000000018E-2</v>
      </c>
      <c r="J24" s="28">
        <f>I24*Supporting!$B$6</f>
        <v>5.5555600000000052</v>
      </c>
      <c r="K24" s="20">
        <f>J24/12</f>
        <v>0.46296333333333378</v>
      </c>
      <c r="L24" s="23">
        <f>I24/I2</f>
        <v>4.0000000000000036E-2</v>
      </c>
      <c r="M24" s="5" t="s">
        <v>88</v>
      </c>
      <c r="N24" s="18">
        <f>N2-N13</f>
        <v>16.050000000000011</v>
      </c>
      <c r="O24" s="20">
        <f>N24*Supporting!$B$4</f>
        <v>152.16090150000011</v>
      </c>
      <c r="P24" s="29">
        <f>O24/12</f>
        <v>12.680075125000009</v>
      </c>
      <c r="Q24" s="27">
        <f>N24/N2</f>
        <v>4.1769681197137309E-2</v>
      </c>
      <c r="R24" s="5" t="s">
        <v>90</v>
      </c>
      <c r="S24" s="18">
        <f>S2-S13</f>
        <v>0</v>
      </c>
      <c r="T24" s="4">
        <f>S24*Supporting!$B$2</f>
        <v>0</v>
      </c>
      <c r="U24" s="4">
        <f>T24/12</f>
        <v>0</v>
      </c>
      <c r="V24" s="4">
        <f>U24/365</f>
        <v>0</v>
      </c>
      <c r="X24" s="5" t="s">
        <v>65</v>
      </c>
      <c r="Y24" s="18">
        <f>Y2-Y13</f>
        <v>0</v>
      </c>
      <c r="Z24" s="18">
        <f>Z2-Z13</f>
        <v>0</v>
      </c>
      <c r="AA24" s="4">
        <f>Y24*3.412</f>
        <v>0</v>
      </c>
      <c r="AB24" s="19">
        <f>Z24*264.2*60</f>
        <v>0</v>
      </c>
      <c r="AC24" s="7" t="s">
        <v>144</v>
      </c>
      <c r="AD24" s="7" t="s">
        <v>68</v>
      </c>
      <c r="AE24" s="7" t="s">
        <v>69</v>
      </c>
      <c r="AF24" s="18">
        <f t="shared" ref="AF24:AJ25" si="8">AF2-AF13</f>
        <v>0</v>
      </c>
      <c r="AG24" s="18">
        <f t="shared" si="8"/>
        <v>0</v>
      </c>
      <c r="AH24" s="18">
        <f t="shared" si="8"/>
        <v>0</v>
      </c>
      <c r="AI24" s="18">
        <f t="shared" si="8"/>
        <v>0</v>
      </c>
      <c r="AJ24" s="18">
        <f t="shared" si="8"/>
        <v>0</v>
      </c>
      <c r="AK24" s="19">
        <f>AG24*264.2*60</f>
        <v>0</v>
      </c>
    </row>
    <row r="25" spans="1:37" x14ac:dyDescent="0.25">
      <c r="A25" s="39"/>
      <c r="B25" s="5" t="s">
        <v>95</v>
      </c>
      <c r="C25" s="18">
        <f t="shared" si="6"/>
        <v>0</v>
      </c>
      <c r="D25" s="24">
        <f>ABS(C25*Supporting!$B$4/0.8)</f>
        <v>0</v>
      </c>
      <c r="E25" s="17">
        <f t="shared" si="7"/>
        <v>0</v>
      </c>
      <c r="F25" s="47"/>
      <c r="G25" s="17"/>
      <c r="H25" s="5" t="s">
        <v>115</v>
      </c>
      <c r="I25" s="18">
        <f>I3-I14</f>
        <v>0</v>
      </c>
      <c r="J25" s="28">
        <f>I25*Supporting!$B$6</f>
        <v>0</v>
      </c>
      <c r="K25" s="20">
        <f>J25/12</f>
        <v>0</v>
      </c>
      <c r="R25" s="5" t="s">
        <v>91</v>
      </c>
      <c r="S25" s="18">
        <f>S3-S14</f>
        <v>-64.269999999999982</v>
      </c>
      <c r="T25" s="4">
        <f>S25*Supporting!$B$2</f>
        <v>-16978.334439999995</v>
      </c>
      <c r="U25" s="4">
        <f>T25/12</f>
        <v>-1414.8612033333329</v>
      </c>
      <c r="V25" s="4">
        <f>U25/365</f>
        <v>-3.8763320639269394</v>
      </c>
      <c r="W25" s="4">
        <f>U25*Supporting!$F$2*(135-64)/(0.758*Supporting!$B$5)</f>
        <v>-10.867179321644675</v>
      </c>
      <c r="AC25" s="7" t="s">
        <v>145</v>
      </c>
      <c r="AD25" s="7" t="s">
        <v>68</v>
      </c>
      <c r="AE25" s="7" t="s">
        <v>70</v>
      </c>
      <c r="AF25" s="18">
        <f t="shared" si="8"/>
        <v>0</v>
      </c>
      <c r="AG25" s="18">
        <f t="shared" si="8"/>
        <v>0</v>
      </c>
      <c r="AH25" s="18">
        <f t="shared" si="8"/>
        <v>0</v>
      </c>
      <c r="AI25" s="18">
        <f t="shared" si="8"/>
        <v>0</v>
      </c>
      <c r="AJ25" s="18">
        <f t="shared" si="8"/>
        <v>0</v>
      </c>
      <c r="AK25" s="19">
        <f>AG25*264.2*60</f>
        <v>0</v>
      </c>
    </row>
    <row r="26" spans="1:37" x14ac:dyDescent="0.25">
      <c r="A26" s="39"/>
      <c r="B26" s="5" t="s">
        <v>96</v>
      </c>
      <c r="C26" s="18">
        <f t="shared" si="6"/>
        <v>12.839999999999975</v>
      </c>
      <c r="D26" s="24">
        <f>ABS(C26*Supporting!$B$4/0.8)</f>
        <v>152.16090149999971</v>
      </c>
      <c r="E26" s="29">
        <f t="shared" si="7"/>
        <v>12.680075124999975</v>
      </c>
      <c r="F26" s="47"/>
      <c r="G26" s="17"/>
      <c r="H26" s="5" t="s">
        <v>170</v>
      </c>
      <c r="I26" s="20">
        <f>SUM(I24:I25)</f>
        <v>2.0000000000000018E-2</v>
      </c>
      <c r="J26" s="28">
        <f>I26*Supporting!$B$6</f>
        <v>5.5555600000000052</v>
      </c>
      <c r="K26" s="25">
        <f>J26/12</f>
        <v>0.46296333333333378</v>
      </c>
      <c r="L26" s="26">
        <f>K26/K4</f>
        <v>1.2172854534388327E-3</v>
      </c>
      <c r="R26" s="5" t="s">
        <v>92</v>
      </c>
      <c r="S26" s="18">
        <f>S4-S15</f>
        <v>64.27000000000001</v>
      </c>
      <c r="T26" s="4">
        <f>S26*Supporting!$B$2</f>
        <v>16978.334440000006</v>
      </c>
      <c r="U26" s="4">
        <f>T26/12</f>
        <v>1414.8612033333338</v>
      </c>
      <c r="V26" s="4">
        <f>U26/365</f>
        <v>3.8763320639269421</v>
      </c>
    </row>
    <row r="27" spans="1:37" x14ac:dyDescent="0.25">
      <c r="A27" s="39"/>
      <c r="B27" s="5" t="s">
        <v>100</v>
      </c>
      <c r="C27" s="18">
        <f t="shared" si="6"/>
        <v>-0.41000000000000014</v>
      </c>
      <c r="D27" s="24">
        <f>ABS(C27*Supporting!$B$4/0.8)</f>
        <v>4.8587203750000016</v>
      </c>
      <c r="E27" s="17">
        <f t="shared" si="7"/>
        <v>0.40489336458333347</v>
      </c>
      <c r="F27" s="47"/>
      <c r="G27" s="17"/>
    </row>
    <row r="28" spans="1:37" x14ac:dyDescent="0.25">
      <c r="A28" s="39"/>
      <c r="B28" s="5" t="s">
        <v>101</v>
      </c>
      <c r="C28" s="18">
        <f t="shared" si="6"/>
        <v>12.390000000000015</v>
      </c>
      <c r="D28" s="24">
        <f>ABS(C28*Supporting!$B$4/0.8)</f>
        <v>146.82815962500015</v>
      </c>
      <c r="E28" s="17">
        <f t="shared" si="7"/>
        <v>12.235679968750013</v>
      </c>
      <c r="F28" s="47"/>
      <c r="G28" s="17"/>
    </row>
    <row r="29" spans="1:37" x14ac:dyDescent="0.25">
      <c r="A29" s="39"/>
      <c r="B29" s="5" t="s">
        <v>116</v>
      </c>
      <c r="C29" s="18">
        <f t="shared" si="6"/>
        <v>1.9999999999999962E-2</v>
      </c>
      <c r="D29" s="24">
        <f>ABS(C29*Supporting!$B$4/0.8)</f>
        <v>0.23701074999999955</v>
      </c>
      <c r="E29" s="17">
        <f t="shared" si="7"/>
        <v>1.9750895833333296E-2</v>
      </c>
      <c r="F29" s="47"/>
      <c r="G29" s="17"/>
    </row>
    <row r="30" spans="1:37" x14ac:dyDescent="0.25">
      <c r="A30" s="39"/>
      <c r="B30" s="5" t="s">
        <v>117</v>
      </c>
      <c r="C30" s="18">
        <f t="shared" si="6"/>
        <v>0</v>
      </c>
      <c r="D30" s="24">
        <f>ABS(C30*Supporting!$B$4/0.8)</f>
        <v>0</v>
      </c>
      <c r="E30" s="17">
        <f t="shared" si="7"/>
        <v>0</v>
      </c>
      <c r="F30" s="47"/>
      <c r="G30" s="17"/>
    </row>
    <row r="31" spans="1:37" x14ac:dyDescent="0.25">
      <c r="A31" s="39"/>
      <c r="C31" s="24"/>
      <c r="F31" s="45"/>
      <c r="G31" s="30"/>
    </row>
    <row r="32" spans="1:37" x14ac:dyDescent="0.25">
      <c r="A32" s="40" t="s">
        <v>143</v>
      </c>
      <c r="B32" s="5" t="s">
        <v>94</v>
      </c>
      <c r="C32" s="18">
        <v>103.23</v>
      </c>
      <c r="D32" s="24">
        <f>ABS(C32*Supporting!$B$4/0.8)</f>
        <v>1223.330986125</v>
      </c>
      <c r="E32" s="17">
        <f t="shared" ref="E32:E41" si="9">D32/12</f>
        <v>101.94424884375</v>
      </c>
      <c r="F32" s="44">
        <f>ABS(C32/$C$39)</f>
        <v>0.33122633639222232</v>
      </c>
      <c r="G32" s="17"/>
      <c r="H32" s="5" t="s">
        <v>114</v>
      </c>
      <c r="I32" s="18">
        <v>0.48</v>
      </c>
      <c r="J32" s="28">
        <f>I32*Supporting!$B$6</f>
        <v>133.33344</v>
      </c>
      <c r="K32" s="20">
        <f>J32/12</f>
        <v>11.11112</v>
      </c>
      <c r="M32" s="5" t="s">
        <v>88</v>
      </c>
      <c r="N32" s="18">
        <v>370.09</v>
      </c>
      <c r="O32" s="20">
        <f>N32*Supporting!$B$4</f>
        <v>3508.6123386999998</v>
      </c>
      <c r="P32" s="29">
        <f>O32/12</f>
        <v>292.3843615583333</v>
      </c>
      <c r="R32" s="5" t="s">
        <v>90</v>
      </c>
      <c r="S32" s="18">
        <v>866.68</v>
      </c>
      <c r="T32" s="4">
        <f>S32*Supporting!$B$2</f>
        <v>228952.58896000002</v>
      </c>
      <c r="U32" s="4">
        <f>T32/12</f>
        <v>19079.382413333336</v>
      </c>
      <c r="V32" s="4">
        <f>U32/365</f>
        <v>52.272280584474892</v>
      </c>
      <c r="X32" s="5" t="s">
        <v>65</v>
      </c>
      <c r="Y32" s="18">
        <v>79863.929999999993</v>
      </c>
      <c r="Z32" s="21">
        <v>1.7160000000000001E-3</v>
      </c>
      <c r="AA32" s="4">
        <f>Y32*3.412</f>
        <v>272495.72915999999</v>
      </c>
      <c r="AB32" s="19">
        <f>Z32*264.2*60</f>
        <v>27.202032000000003</v>
      </c>
      <c r="AC32" s="7" t="s">
        <v>144</v>
      </c>
      <c r="AD32" s="7" t="s">
        <v>68</v>
      </c>
      <c r="AE32" s="7" t="s">
        <v>69</v>
      </c>
      <c r="AF32" s="7">
        <v>119562.68</v>
      </c>
      <c r="AG32" s="7">
        <v>2.5240000000000002E-3</v>
      </c>
      <c r="AH32" s="7">
        <v>505.26</v>
      </c>
      <c r="AI32" s="7">
        <v>200214.61</v>
      </c>
      <c r="AJ32" s="7">
        <v>0.95</v>
      </c>
      <c r="AK32" s="19">
        <f>AG32*264.2*60</f>
        <v>40.010448000000004</v>
      </c>
    </row>
    <row r="33" spans="1:37" x14ac:dyDescent="0.25">
      <c r="A33" s="40"/>
      <c r="B33" s="5" t="s">
        <v>95</v>
      </c>
      <c r="C33" s="18">
        <v>52.1</v>
      </c>
      <c r="D33" s="24">
        <f>ABS(C33*Supporting!$B$4/0.8)</f>
        <v>617.41300375000003</v>
      </c>
      <c r="E33" s="17">
        <f t="shared" si="9"/>
        <v>51.451083645833336</v>
      </c>
      <c r="F33" s="44">
        <f>ABS(C33/$C$39)</f>
        <v>0.16716935121606882</v>
      </c>
      <c r="G33" s="17"/>
      <c r="H33" s="5" t="s">
        <v>115</v>
      </c>
      <c r="I33" s="18">
        <v>15.93</v>
      </c>
      <c r="J33" s="28">
        <f>I33*Supporting!$B$6</f>
        <v>4425.0035400000006</v>
      </c>
      <c r="K33" s="20">
        <f>J33/12</f>
        <v>368.75029500000005</v>
      </c>
      <c r="R33" s="5" t="s">
        <v>91</v>
      </c>
      <c r="S33" s="18">
        <v>650.4</v>
      </c>
      <c r="T33" s="4">
        <f>S33*Supporting!$B$2</f>
        <v>171817.4688</v>
      </c>
      <c r="U33" s="4">
        <f>T33/12</f>
        <v>14318.1224</v>
      </c>
      <c r="V33" s="4">
        <f>U33/365</f>
        <v>39.227732602739728</v>
      </c>
      <c r="W33" s="4">
        <f>U33*Supporting!$F$2*(135-64)/(0.758*Supporting!$B$5)</f>
        <v>109.97375806437994</v>
      </c>
      <c r="AC33" s="7" t="s">
        <v>145</v>
      </c>
      <c r="AD33" s="7" t="s">
        <v>68</v>
      </c>
      <c r="AE33" s="7" t="s">
        <v>70</v>
      </c>
      <c r="AF33" s="7">
        <v>44836</v>
      </c>
      <c r="AG33" s="7">
        <v>1.7160000000000001E-3</v>
      </c>
      <c r="AH33" s="7">
        <v>128.86000000000001</v>
      </c>
      <c r="AI33" s="7">
        <v>75080.479999999996</v>
      </c>
      <c r="AJ33" s="7">
        <v>0.95</v>
      </c>
      <c r="AK33" s="19">
        <f>AG33*264.2*60</f>
        <v>27.202032000000003</v>
      </c>
    </row>
    <row r="34" spans="1:37" x14ac:dyDescent="0.25">
      <c r="A34" s="40"/>
      <c r="B34" s="5" t="s">
        <v>96</v>
      </c>
      <c r="C34" s="18">
        <v>296.07</v>
      </c>
      <c r="D34" s="24">
        <f>ABS(C34*Supporting!$B$4/0.8)</f>
        <v>3508.5886376249996</v>
      </c>
      <c r="E34" s="17">
        <f t="shared" si="9"/>
        <v>292.38238646874998</v>
      </c>
      <c r="F34" s="47"/>
      <c r="G34" s="17"/>
      <c r="H34" s="5" t="s">
        <v>170</v>
      </c>
      <c r="I34" s="20">
        <f>SUM(I32:I33)</f>
        <v>16.41</v>
      </c>
      <c r="J34" s="28">
        <f>I34*Supporting!$B$6</f>
        <v>4558.33698</v>
      </c>
      <c r="K34" s="25">
        <f>J34/12</f>
        <v>379.86141500000002</v>
      </c>
      <c r="R34" s="5" t="s">
        <v>92</v>
      </c>
      <c r="S34" s="18">
        <f>S32-S33</f>
        <v>216.27999999999997</v>
      </c>
      <c r="T34" s="4">
        <f>S34*Supporting!$B$2</f>
        <v>57135.120159999999</v>
      </c>
      <c r="U34" s="4">
        <f>T34/12</f>
        <v>4761.2600133333335</v>
      </c>
      <c r="V34" s="4">
        <f>U34/365</f>
        <v>13.04454798173516</v>
      </c>
    </row>
    <row r="35" spans="1:37" x14ac:dyDescent="0.25">
      <c r="A35" s="40"/>
      <c r="B35" s="5" t="s">
        <v>100</v>
      </c>
      <c r="C35" s="18">
        <v>-5.07</v>
      </c>
      <c r="D35" s="24">
        <f>ABS(C35*Supporting!$B$4/0.8)</f>
        <v>60.082225125000001</v>
      </c>
      <c r="E35" s="17">
        <f t="shared" si="9"/>
        <v>5.0068520937500001</v>
      </c>
      <c r="F35" s="44">
        <f>ABS(C35/$C$39)</f>
        <v>1.6267727651928385E-2</v>
      </c>
      <c r="G35" s="17"/>
    </row>
    <row r="36" spans="1:37" x14ac:dyDescent="0.25">
      <c r="A36" s="40"/>
      <c r="B36" s="5" t="s">
        <v>101</v>
      </c>
      <c r="C36" s="18">
        <v>150.83000000000001</v>
      </c>
      <c r="D36" s="24">
        <f>ABS(C36*Supporting!$B$4/0.8)</f>
        <v>1787.416571125</v>
      </c>
      <c r="E36" s="17">
        <f t="shared" si="9"/>
        <v>148.95138092708333</v>
      </c>
      <c r="F36" s="44">
        <f>ABS(C36/$C$39)</f>
        <v>0.48395687608291094</v>
      </c>
      <c r="G36" s="17"/>
    </row>
    <row r="37" spans="1:37" x14ac:dyDescent="0.25">
      <c r="A37" s="40"/>
      <c r="B37" s="5" t="s">
        <v>116</v>
      </c>
      <c r="C37" s="18">
        <v>0.45</v>
      </c>
      <c r="D37" s="24">
        <f>ABS(C37*Supporting!$B$4/0.8)</f>
        <v>5.332741875</v>
      </c>
      <c r="E37" s="17">
        <f t="shared" si="9"/>
        <v>0.44439515624999998</v>
      </c>
      <c r="F37" s="47"/>
      <c r="G37" s="17"/>
    </row>
    <row r="38" spans="1:37" x14ac:dyDescent="0.25">
      <c r="A38" s="40"/>
      <c r="B38" s="5" t="s">
        <v>117</v>
      </c>
      <c r="C38" s="18">
        <v>15.14</v>
      </c>
      <c r="D38" s="24">
        <f>ABS(C38*Supporting!$B$4/0.8)</f>
        <v>179.41713774999999</v>
      </c>
      <c r="E38" s="17">
        <f t="shared" si="9"/>
        <v>14.951428145833333</v>
      </c>
      <c r="F38" s="47"/>
      <c r="G38" s="17"/>
    </row>
    <row r="39" spans="1:37" x14ac:dyDescent="0.25">
      <c r="A39" s="40"/>
      <c r="B39" s="5" t="s">
        <v>178</v>
      </c>
      <c r="C39" s="24">
        <f>C34+C38+C37</f>
        <v>311.65999999999997</v>
      </c>
      <c r="D39" s="24">
        <f>ABS(C39*Supporting!$B$4/0.8)</f>
        <v>3693.3385172499998</v>
      </c>
      <c r="E39" s="17">
        <f t="shared" si="9"/>
        <v>307.77820977083331</v>
      </c>
      <c r="F39" s="45">
        <f>SUM(F32:F38)</f>
        <v>0.99862029134313046</v>
      </c>
      <c r="G39" s="30"/>
    </row>
    <row r="40" spans="1:37" x14ac:dyDescent="0.25">
      <c r="A40" s="40"/>
      <c r="B40" s="10" t="s">
        <v>120</v>
      </c>
      <c r="C40" s="24">
        <f>C32+C33-C35+C36</f>
        <v>311.23</v>
      </c>
      <c r="D40" s="24">
        <f>ABS(C40*Supporting!$B$4/0.8)</f>
        <v>3688.2427861250003</v>
      </c>
      <c r="E40" s="17">
        <f t="shared" si="9"/>
        <v>307.35356551041667</v>
      </c>
      <c r="F40" s="47"/>
      <c r="G40" s="30"/>
    </row>
    <row r="41" spans="1:37" x14ac:dyDescent="0.25">
      <c r="A41" s="40"/>
      <c r="B41" s="10" t="s">
        <v>179</v>
      </c>
      <c r="C41" s="20">
        <f>C39-C40</f>
        <v>0.42999999999994998</v>
      </c>
      <c r="D41" s="24">
        <f>ABS(C41*Supporting!$B$4/0.8)</f>
        <v>5.0957311249994071</v>
      </c>
      <c r="E41" s="17">
        <f t="shared" si="9"/>
        <v>0.42464426041661724</v>
      </c>
      <c r="F41" s="45">
        <f>ABS(C41/$C$39)</f>
        <v>1.3797086568695053E-3</v>
      </c>
      <c r="G41" s="17"/>
    </row>
    <row r="42" spans="1:37" x14ac:dyDescent="0.25">
      <c r="A42" s="40"/>
      <c r="D42" s="20"/>
      <c r="E42" s="4"/>
      <c r="F42" s="6"/>
      <c r="G42" s="17"/>
    </row>
    <row r="43" spans="1:37" x14ac:dyDescent="0.25">
      <c r="A43" s="40" t="s">
        <v>152</v>
      </c>
      <c r="B43" s="5" t="s">
        <v>94</v>
      </c>
      <c r="C43" s="18">
        <v>103.23</v>
      </c>
      <c r="D43" s="24">
        <f>ABS(C43*Supporting!$B$4/0.8)</f>
        <v>1223.330986125</v>
      </c>
      <c r="E43" s="17">
        <f t="shared" ref="E43:E52" si="10">D43/12</f>
        <v>101.94424884375</v>
      </c>
      <c r="F43" s="44">
        <f>ABS(C43/$C$50)</f>
        <v>0.34721334633883827</v>
      </c>
      <c r="G43" s="17"/>
      <c r="H43" s="5" t="s">
        <v>114</v>
      </c>
      <c r="I43" s="18">
        <v>0.45</v>
      </c>
      <c r="J43" s="28">
        <f>I43*Supporting!$B$6</f>
        <v>125.00010000000002</v>
      </c>
      <c r="K43" s="20">
        <f>J43/12</f>
        <v>10.416675000000001</v>
      </c>
      <c r="M43" s="5" t="s">
        <v>88</v>
      </c>
      <c r="N43" s="18">
        <v>352.17</v>
      </c>
      <c r="O43" s="20">
        <f>N43*Supporting!$B$4</f>
        <v>3338.7230331000001</v>
      </c>
      <c r="P43" s="29">
        <f>O43/12</f>
        <v>278.22691942500001</v>
      </c>
      <c r="R43" s="5" t="s">
        <v>90</v>
      </c>
      <c r="S43" s="18">
        <v>866.68</v>
      </c>
      <c r="T43" s="4">
        <f>S43*Supporting!$B$2</f>
        <v>228952.58896000002</v>
      </c>
      <c r="U43" s="4">
        <f>T43/12</f>
        <v>19079.382413333336</v>
      </c>
      <c r="V43" s="4">
        <f>U43/365</f>
        <v>52.272280584474892</v>
      </c>
      <c r="X43" s="5" t="s">
        <v>65</v>
      </c>
      <c r="Y43" s="18">
        <v>79863.929999999993</v>
      </c>
      <c r="Z43" s="21">
        <v>1.7160000000000001E-3</v>
      </c>
      <c r="AA43" s="4">
        <f>Y43*3.412</f>
        <v>272495.72915999999</v>
      </c>
      <c r="AB43" s="19">
        <f>Z43*264.2*60</f>
        <v>27.202032000000003</v>
      </c>
      <c r="AC43" s="7" t="s">
        <v>144</v>
      </c>
      <c r="AD43" s="7" t="s">
        <v>68</v>
      </c>
      <c r="AE43" s="7" t="s">
        <v>69</v>
      </c>
      <c r="AF43" s="7">
        <v>119562.68</v>
      </c>
      <c r="AG43" s="7">
        <v>2.5240000000000002E-3</v>
      </c>
      <c r="AH43" s="7">
        <v>505.26</v>
      </c>
      <c r="AI43" s="7">
        <v>200214.61</v>
      </c>
      <c r="AJ43" s="7">
        <v>0.95</v>
      </c>
      <c r="AK43" s="19">
        <f>AG43*264.2*60</f>
        <v>40.010448000000004</v>
      </c>
    </row>
    <row r="44" spans="1:37" x14ac:dyDescent="0.25">
      <c r="A44" s="40"/>
      <c r="B44" s="5" t="s">
        <v>95</v>
      </c>
      <c r="C44" s="18">
        <v>52.1</v>
      </c>
      <c r="D44" s="24">
        <f>ABS(C44*Supporting!$B$4/0.8)</f>
        <v>617.41300375000003</v>
      </c>
      <c r="E44" s="17">
        <f t="shared" si="10"/>
        <v>51.451083645833336</v>
      </c>
      <c r="F44" s="44">
        <f>ABS(C44/$C$50)</f>
        <v>0.17523796710504189</v>
      </c>
      <c r="G44" s="17"/>
      <c r="H44" s="5" t="s">
        <v>115</v>
      </c>
      <c r="I44" s="18">
        <v>15.93</v>
      </c>
      <c r="J44" s="28">
        <f>I44*Supporting!$B$6</f>
        <v>4425.0035400000006</v>
      </c>
      <c r="K44" s="20">
        <f>J44/12</f>
        <v>368.75029500000005</v>
      </c>
      <c r="R44" s="5" t="s">
        <v>91</v>
      </c>
      <c r="S44" s="18">
        <v>726.05</v>
      </c>
      <c r="T44" s="4">
        <f>S44*Supporting!$B$2</f>
        <v>191802.08060000002</v>
      </c>
      <c r="U44" s="4">
        <f>T44/12</f>
        <v>15983.506716666669</v>
      </c>
      <c r="V44" s="4">
        <f>U44/365</f>
        <v>43.790429360730599</v>
      </c>
      <c r="W44" s="4">
        <f>U44*Supporting!$F$2*(135-64)/(0.758*Supporting!$B$5)</f>
        <v>122.7651399794635</v>
      </c>
      <c r="AC44" s="7" t="s">
        <v>145</v>
      </c>
      <c r="AD44" s="7" t="s">
        <v>68</v>
      </c>
      <c r="AE44" s="7" t="s">
        <v>70</v>
      </c>
      <c r="AF44" s="7">
        <v>44836</v>
      </c>
      <c r="AG44" s="7">
        <v>1.7160000000000001E-3</v>
      </c>
      <c r="AH44" s="7">
        <v>128.86000000000001</v>
      </c>
      <c r="AI44" s="7">
        <v>75080.479999999996</v>
      </c>
      <c r="AJ44" s="7">
        <v>0.95</v>
      </c>
      <c r="AK44" s="19">
        <f>AG44*264.2*60</f>
        <v>27.202032000000003</v>
      </c>
    </row>
    <row r="45" spans="1:37" x14ac:dyDescent="0.25">
      <c r="A45" s="40"/>
      <c r="B45" s="5" t="s">
        <v>96</v>
      </c>
      <c r="C45" s="18">
        <v>281.74</v>
      </c>
      <c r="D45" s="24">
        <f>ABS(C45*Supporting!$B$4/0.8)</f>
        <v>3338.77043525</v>
      </c>
      <c r="E45" s="17">
        <f t="shared" si="10"/>
        <v>278.23086960416668</v>
      </c>
      <c r="F45" s="47"/>
      <c r="G45" s="17"/>
      <c r="H45" s="5" t="s">
        <v>170</v>
      </c>
      <c r="I45" s="20">
        <f>SUM(I43:I44)</f>
        <v>16.38</v>
      </c>
      <c r="J45" s="28">
        <f>I45*Supporting!$B$6</f>
        <v>4550.0036399999999</v>
      </c>
      <c r="K45" s="25">
        <f>J45/12</f>
        <v>379.16696999999999</v>
      </c>
      <c r="R45" s="5" t="s">
        <v>92</v>
      </c>
      <c r="S45" s="18">
        <f>S43-S44</f>
        <v>140.63</v>
      </c>
      <c r="T45" s="4">
        <f>S45*Supporting!$B$2</f>
        <v>37150.50836</v>
      </c>
      <c r="U45" s="4">
        <f>T45/12</f>
        <v>3095.8756966666665</v>
      </c>
      <c r="V45" s="4">
        <f>U45/365</f>
        <v>8.4818512237442913</v>
      </c>
    </row>
    <row r="46" spans="1:37" x14ac:dyDescent="0.25">
      <c r="A46" s="40"/>
      <c r="B46" s="5" t="s">
        <v>100</v>
      </c>
      <c r="C46" s="18">
        <v>-4.6100000000000003</v>
      </c>
      <c r="D46" s="24">
        <f>ABS(C46*Supporting!$B$4/0.8)</f>
        <v>54.630977875000006</v>
      </c>
      <c r="E46" s="17">
        <f t="shared" si="10"/>
        <v>4.5525814895833339</v>
      </c>
      <c r="F46" s="44">
        <f>ABS(C46/$C$50)</f>
        <v>1.5505701120043054E-2</v>
      </c>
      <c r="G46" s="17"/>
    </row>
    <row r="47" spans="1:37" x14ac:dyDescent="0.25">
      <c r="A47" s="40"/>
      <c r="B47" s="5" t="s">
        <v>101</v>
      </c>
      <c r="C47" s="18">
        <v>137</v>
      </c>
      <c r="D47" s="24">
        <f>ABS(C47*Supporting!$B$4/0.8)</f>
        <v>1623.5236374999999</v>
      </c>
      <c r="E47" s="17">
        <f t="shared" si="10"/>
        <v>135.29363645833334</v>
      </c>
      <c r="F47" s="44">
        <f>ABS(C47/$C$50)</f>
        <v>0.46079849315529248</v>
      </c>
      <c r="G47" s="17"/>
    </row>
    <row r="48" spans="1:37" x14ac:dyDescent="0.25">
      <c r="A48" s="40"/>
      <c r="B48" s="5" t="s">
        <v>116</v>
      </c>
      <c r="C48" s="18">
        <v>0.43</v>
      </c>
      <c r="D48" s="24">
        <f>ABS(C48*Supporting!$B$4/0.8)</f>
        <v>5.0957311250000004</v>
      </c>
      <c r="E48" s="17">
        <f t="shared" si="10"/>
        <v>0.4246442604166667</v>
      </c>
      <c r="F48" s="47"/>
      <c r="G48" s="17"/>
    </row>
    <row r="49" spans="1:37" x14ac:dyDescent="0.25">
      <c r="A49" s="40"/>
      <c r="B49" s="5" t="s">
        <v>117</v>
      </c>
      <c r="C49" s="18">
        <v>15.14</v>
      </c>
      <c r="D49" s="24">
        <f>ABS(C49*Supporting!$B$4/0.8)</f>
        <v>179.41713774999999</v>
      </c>
      <c r="E49" s="17">
        <f t="shared" si="10"/>
        <v>14.951428145833333</v>
      </c>
      <c r="F49" s="47"/>
      <c r="G49" s="17"/>
    </row>
    <row r="50" spans="1:37" x14ac:dyDescent="0.25">
      <c r="A50" s="40"/>
      <c r="B50" s="5" t="s">
        <v>178</v>
      </c>
      <c r="C50" s="24">
        <f>C45+C49+C48</f>
        <v>297.31</v>
      </c>
      <c r="D50" s="24">
        <f>ABS(C50*Supporting!$B$4/0.8)</f>
        <v>3523.2833041250001</v>
      </c>
      <c r="E50" s="17">
        <f t="shared" si="10"/>
        <v>293.60694201041667</v>
      </c>
      <c r="F50" s="45">
        <f>SUM(F43:F49)</f>
        <v>0.99875550771921562</v>
      </c>
      <c r="G50" s="30"/>
    </row>
    <row r="51" spans="1:37" x14ac:dyDescent="0.25">
      <c r="A51" s="40"/>
      <c r="B51" s="10" t="s">
        <v>120</v>
      </c>
      <c r="C51" s="24">
        <f>C43+C44-C46+C47</f>
        <v>296.94000000000005</v>
      </c>
      <c r="D51" s="24">
        <f>ABS(C51*Supporting!$B$4/0.8)</f>
        <v>3518.8986052500004</v>
      </c>
      <c r="E51" s="17">
        <f t="shared" si="10"/>
        <v>293.24155043750005</v>
      </c>
      <c r="F51" s="47"/>
      <c r="G51" s="30"/>
    </row>
    <row r="52" spans="1:37" x14ac:dyDescent="0.25">
      <c r="A52" s="40"/>
      <c r="B52" s="10" t="s">
        <v>179</v>
      </c>
      <c r="C52" s="20">
        <f>C50-C51</f>
        <v>0.3699999999999477</v>
      </c>
      <c r="D52" s="24">
        <f>ABS(C52*Supporting!$B$4/0.8)</f>
        <v>4.3846988749993798</v>
      </c>
      <c r="E52" s="17">
        <f t="shared" si="10"/>
        <v>0.365391572916615</v>
      </c>
      <c r="F52" s="45">
        <f>ABS(C52/$C$50)</f>
        <v>1.2444922807841906E-3</v>
      </c>
      <c r="G52" s="17"/>
    </row>
    <row r="53" spans="1:37" x14ac:dyDescent="0.25">
      <c r="A53" s="40"/>
    </row>
    <row r="54" spans="1:37" x14ac:dyDescent="0.25">
      <c r="A54" s="40" t="s">
        <v>153</v>
      </c>
      <c r="B54" s="5" t="s">
        <v>94</v>
      </c>
      <c r="C54" s="18">
        <f t="shared" ref="C54:C60" si="11">C32-C43</f>
        <v>0</v>
      </c>
      <c r="D54" s="24">
        <f>ABS(C54*Supporting!$B$4/0.8)</f>
        <v>0</v>
      </c>
      <c r="E54" s="17">
        <f t="shared" ref="E54:E60" si="12">D54/12</f>
        <v>0</v>
      </c>
      <c r="F54" s="47"/>
      <c r="G54" s="17"/>
      <c r="H54" s="5" t="s">
        <v>114</v>
      </c>
      <c r="I54" s="18">
        <f>I32-I43</f>
        <v>2.9999999999999971E-2</v>
      </c>
      <c r="J54" s="28">
        <f>I54*Supporting!$B$6</f>
        <v>8.3333399999999926</v>
      </c>
      <c r="K54" s="20">
        <f>J54/12</f>
        <v>0.69444499999999942</v>
      </c>
      <c r="M54" s="5" t="s">
        <v>88</v>
      </c>
      <c r="N54" s="18">
        <f>N32-N43</f>
        <v>17.919999999999959</v>
      </c>
      <c r="O54" s="20">
        <f>N54*Supporting!$B$4</f>
        <v>169.8893055999996</v>
      </c>
      <c r="P54" s="29">
        <f>O54/12</f>
        <v>14.1574421333333</v>
      </c>
      <c r="Q54" s="27">
        <f>N54/N32</f>
        <v>4.8420654435407495E-2</v>
      </c>
      <c r="R54" s="5" t="s">
        <v>90</v>
      </c>
      <c r="S54" s="18">
        <f>S32-S43</f>
        <v>0</v>
      </c>
      <c r="T54" s="4">
        <f>S54*Supporting!$B$2</f>
        <v>0</v>
      </c>
      <c r="U54" s="4">
        <f>T54/12</f>
        <v>0</v>
      </c>
      <c r="V54" s="4">
        <f>U54/365</f>
        <v>0</v>
      </c>
      <c r="X54" s="5" t="s">
        <v>65</v>
      </c>
      <c r="Y54" s="18">
        <f>Y32-Y43</f>
        <v>0</v>
      </c>
      <c r="Z54" s="18">
        <f>Z32-Z43</f>
        <v>0</v>
      </c>
      <c r="AA54" s="4">
        <f>Y54*3.412</f>
        <v>0</v>
      </c>
      <c r="AB54" s="19">
        <f>Z54*264.2*60</f>
        <v>0</v>
      </c>
      <c r="AC54" s="7" t="s">
        <v>144</v>
      </c>
      <c r="AD54" s="7" t="s">
        <v>68</v>
      </c>
      <c r="AE54" s="7" t="s">
        <v>69</v>
      </c>
      <c r="AF54" s="18">
        <f t="shared" ref="AF54:AJ55" si="13">AF32-AF43</f>
        <v>0</v>
      </c>
      <c r="AG54" s="18">
        <f t="shared" si="13"/>
        <v>0</v>
      </c>
      <c r="AH54" s="18">
        <f t="shared" si="13"/>
        <v>0</v>
      </c>
      <c r="AI54" s="18">
        <f t="shared" si="13"/>
        <v>0</v>
      </c>
      <c r="AJ54" s="18">
        <f t="shared" si="13"/>
        <v>0</v>
      </c>
      <c r="AK54" s="19">
        <f>AG54*264.2*60</f>
        <v>0</v>
      </c>
    </row>
    <row r="55" spans="1:37" x14ac:dyDescent="0.25">
      <c r="A55" s="40"/>
      <c r="B55" s="5" t="s">
        <v>95</v>
      </c>
      <c r="C55" s="18">
        <f t="shared" si="11"/>
        <v>0</v>
      </c>
      <c r="D55" s="24">
        <f>ABS(C55*Supporting!$B$4/0.8)</f>
        <v>0</v>
      </c>
      <c r="E55" s="17">
        <f t="shared" si="12"/>
        <v>0</v>
      </c>
      <c r="F55" s="47"/>
      <c r="G55" s="17"/>
      <c r="H55" s="5" t="s">
        <v>115</v>
      </c>
      <c r="I55" s="18">
        <f>I33-I44</f>
        <v>0</v>
      </c>
      <c r="J55" s="28">
        <f>I55*Supporting!$B$6</f>
        <v>0</v>
      </c>
      <c r="K55" s="20">
        <f>J55/12</f>
        <v>0</v>
      </c>
      <c r="R55" s="5" t="s">
        <v>91</v>
      </c>
      <c r="S55" s="18">
        <f>S33-S44</f>
        <v>-75.649999999999977</v>
      </c>
      <c r="T55" s="4">
        <f>S55*Supporting!$B$2</f>
        <v>-19984.611799999995</v>
      </c>
      <c r="U55" s="4">
        <f>T55/12</f>
        <v>-1665.3843166666663</v>
      </c>
      <c r="V55" s="4">
        <f>U55/365</f>
        <v>-4.5626967579908664</v>
      </c>
      <c r="W55" s="4">
        <f>U55*Supporting!$F$2*(135-64)/(0.758*Supporting!$B$5)</f>
        <v>-12.79138191508355</v>
      </c>
      <c r="AC55" s="7" t="s">
        <v>145</v>
      </c>
      <c r="AD55" s="7" t="s">
        <v>68</v>
      </c>
      <c r="AE55" s="7" t="s">
        <v>70</v>
      </c>
      <c r="AF55" s="18">
        <f t="shared" si="13"/>
        <v>0</v>
      </c>
      <c r="AG55" s="18">
        <f t="shared" si="13"/>
        <v>0</v>
      </c>
      <c r="AH55" s="18">
        <f t="shared" si="13"/>
        <v>0</v>
      </c>
      <c r="AI55" s="18">
        <f t="shared" si="13"/>
        <v>0</v>
      </c>
      <c r="AJ55" s="18">
        <f t="shared" si="13"/>
        <v>0</v>
      </c>
      <c r="AK55" s="19">
        <f>AG55*264.2*60</f>
        <v>0</v>
      </c>
    </row>
    <row r="56" spans="1:37" x14ac:dyDescent="0.25">
      <c r="A56" s="40"/>
      <c r="B56" s="5" t="s">
        <v>96</v>
      </c>
      <c r="C56" s="18">
        <f t="shared" si="11"/>
        <v>14.329999999999984</v>
      </c>
      <c r="D56" s="24">
        <f>ABS(C56*Supporting!$B$4/0.8)</f>
        <v>169.8182023749998</v>
      </c>
      <c r="E56" s="29">
        <f t="shared" si="12"/>
        <v>14.151516864583316</v>
      </c>
      <c r="F56" s="47"/>
      <c r="G56" s="17"/>
      <c r="H56" s="5" t="s">
        <v>170</v>
      </c>
      <c r="I56" s="24">
        <f>I34-I45</f>
        <v>3.0000000000001137E-2</v>
      </c>
      <c r="J56" s="28">
        <f>I56*Supporting!$B$6</f>
        <v>8.3333400000003159</v>
      </c>
      <c r="K56" s="25">
        <f>J56/12</f>
        <v>0.69444500000002629</v>
      </c>
      <c r="L56" s="26">
        <f>K56/K34</f>
        <v>1.8281535648995207E-3</v>
      </c>
      <c r="R56" s="5" t="s">
        <v>92</v>
      </c>
      <c r="S56" s="18">
        <f>S34-S45</f>
        <v>75.649999999999977</v>
      </c>
      <c r="T56" s="4">
        <f>S56*Supporting!$B$2</f>
        <v>19984.611799999995</v>
      </c>
      <c r="U56" s="4">
        <f>T56/12</f>
        <v>1665.3843166666663</v>
      </c>
      <c r="V56" s="4">
        <f>U56/365</f>
        <v>4.5626967579908664</v>
      </c>
    </row>
    <row r="57" spans="1:37" x14ac:dyDescent="0.25">
      <c r="A57" s="40"/>
      <c r="B57" s="5" t="s">
        <v>100</v>
      </c>
      <c r="C57" s="18">
        <f t="shared" si="11"/>
        <v>-0.45999999999999996</v>
      </c>
      <c r="D57" s="24">
        <f>ABS(C57*Supporting!$B$4/0.8)</f>
        <v>5.4512472499999998</v>
      </c>
      <c r="E57" s="17">
        <f t="shared" si="12"/>
        <v>0.45427060416666665</v>
      </c>
      <c r="F57" s="47"/>
      <c r="G57" s="17"/>
    </row>
    <row r="58" spans="1:37" x14ac:dyDescent="0.25">
      <c r="A58" s="40"/>
      <c r="B58" s="5" t="s">
        <v>101</v>
      </c>
      <c r="C58" s="18">
        <f t="shared" si="11"/>
        <v>13.830000000000013</v>
      </c>
      <c r="D58" s="24">
        <f>ABS(C58*Supporting!$B$4/0.8)</f>
        <v>163.89293362500015</v>
      </c>
      <c r="E58" s="17">
        <f t="shared" si="12"/>
        <v>13.657744468750012</v>
      </c>
      <c r="F58" s="47"/>
      <c r="G58" s="17"/>
    </row>
    <row r="59" spans="1:37" x14ac:dyDescent="0.25">
      <c r="A59" s="40"/>
      <c r="B59" s="5" t="s">
        <v>116</v>
      </c>
      <c r="C59" s="18">
        <f t="shared" si="11"/>
        <v>2.0000000000000018E-2</v>
      </c>
      <c r="D59" s="24">
        <f>ABS(C59*Supporting!$B$4/0.8)</f>
        <v>0.23701075000000021</v>
      </c>
      <c r="E59" s="17">
        <f t="shared" si="12"/>
        <v>1.9750895833333351E-2</v>
      </c>
      <c r="F59" s="47"/>
      <c r="G59" s="17"/>
    </row>
    <row r="60" spans="1:37" x14ac:dyDescent="0.25">
      <c r="A60" s="40"/>
      <c r="B60" s="5" t="s">
        <v>117</v>
      </c>
      <c r="C60" s="18">
        <f t="shared" si="11"/>
        <v>0</v>
      </c>
      <c r="D60" s="24">
        <f>ABS(C60*Supporting!$B$4/0.8)</f>
        <v>0</v>
      </c>
      <c r="E60" s="17">
        <f t="shared" si="12"/>
        <v>0</v>
      </c>
      <c r="F60" s="47"/>
      <c r="G60" s="17"/>
    </row>
    <row r="61" spans="1:37" x14ac:dyDescent="0.25">
      <c r="A61" s="40"/>
    </row>
    <row r="62" spans="1:37" x14ac:dyDescent="0.25">
      <c r="A62" s="41" t="s">
        <v>157</v>
      </c>
      <c r="B62" s="5" t="s">
        <v>94</v>
      </c>
      <c r="C62" s="18">
        <v>127.76</v>
      </c>
      <c r="D62" s="24">
        <f>ABS(C62*Supporting!$B$4/0.8)</f>
        <v>1514.0246709999999</v>
      </c>
      <c r="E62" s="17">
        <f t="shared" ref="E62:E71" si="14">D62/12</f>
        <v>126.16872258333332</v>
      </c>
      <c r="F62" s="44">
        <f>ABS(C62/$C$69)</f>
        <v>0.23336438526311948</v>
      </c>
      <c r="G62" s="17"/>
      <c r="H62" s="5" t="s">
        <v>114</v>
      </c>
      <c r="I62" s="18">
        <v>0.85</v>
      </c>
      <c r="J62" s="28">
        <f>I62*Supporting!$B$6</f>
        <v>236.1113</v>
      </c>
      <c r="K62" s="20">
        <f>J62/12</f>
        <v>19.675941666666667</v>
      </c>
      <c r="M62" s="5" t="s">
        <v>88</v>
      </c>
      <c r="N62" s="18">
        <v>659.52</v>
      </c>
      <c r="O62" s="20">
        <f>N62*Supporting!$B$4</f>
        <v>6252.5331936000002</v>
      </c>
      <c r="P62" s="29">
        <f>O62/12</f>
        <v>521.04443279999998</v>
      </c>
      <c r="R62" s="5" t="s">
        <v>90</v>
      </c>
      <c r="S62" s="18">
        <v>866.68</v>
      </c>
      <c r="T62" s="4">
        <f>S62*Supporting!$B$2</f>
        <v>228952.58896000002</v>
      </c>
      <c r="U62" s="4">
        <f>T62/12</f>
        <v>19079.382413333336</v>
      </c>
      <c r="V62" s="4">
        <f>U62/365</f>
        <v>52.272280584474892</v>
      </c>
      <c r="X62" s="5" t="s">
        <v>65</v>
      </c>
      <c r="Y62" s="18">
        <v>110191.28</v>
      </c>
      <c r="Z62" s="21">
        <v>2.3649999999999999E-3</v>
      </c>
      <c r="AA62" s="4">
        <f>Y62*3.412</f>
        <v>375972.64736</v>
      </c>
      <c r="AB62" s="19">
        <f>Z62*264.2*60</f>
        <v>37.489979999999996</v>
      </c>
      <c r="AC62" s="7" t="s">
        <v>144</v>
      </c>
      <c r="AD62" s="7" t="s">
        <v>68</v>
      </c>
      <c r="AE62" s="7" t="s">
        <v>69</v>
      </c>
      <c r="AF62" s="7">
        <v>119562.68</v>
      </c>
      <c r="AG62" s="7">
        <v>3.1740000000000002E-3</v>
      </c>
      <c r="AH62" s="7">
        <v>635.41</v>
      </c>
      <c r="AI62" s="7">
        <v>200214.61</v>
      </c>
      <c r="AJ62" s="7">
        <v>0.95</v>
      </c>
      <c r="AK62" s="19">
        <f>AG62*264.2*60</f>
        <v>50.314248000000006</v>
      </c>
    </row>
    <row r="63" spans="1:37" x14ac:dyDescent="0.25">
      <c r="A63" s="41"/>
      <c r="B63" s="5" t="s">
        <v>95</v>
      </c>
      <c r="C63" s="18">
        <v>227.47</v>
      </c>
      <c r="D63" s="24">
        <f>ABS(C63*Supporting!$B$4/0.8)</f>
        <v>2695.6417651249999</v>
      </c>
      <c r="E63" s="17">
        <f t="shared" si="14"/>
        <v>224.63681376041666</v>
      </c>
      <c r="F63" s="44">
        <f>ABS(C63/$C$69)</f>
        <v>0.41549308637916238</v>
      </c>
      <c r="G63" s="17"/>
      <c r="H63" s="5" t="s">
        <v>115</v>
      </c>
      <c r="I63" s="18">
        <v>20.04</v>
      </c>
      <c r="J63" s="28">
        <f>I63*Supporting!$B$6</f>
        <v>5566.67112</v>
      </c>
      <c r="K63" s="20">
        <f>J63/12</f>
        <v>463.88925999999998</v>
      </c>
      <c r="R63" s="5" t="s">
        <v>91</v>
      </c>
      <c r="S63" s="18">
        <v>681.52</v>
      </c>
      <c r="T63" s="4">
        <f>S63*Supporting!$B$2</f>
        <v>180038.50144000002</v>
      </c>
      <c r="U63" s="4">
        <f>T63/12</f>
        <v>15003.208453333335</v>
      </c>
      <c r="V63" s="4">
        <f>U63/365</f>
        <v>41.10468069406393</v>
      </c>
      <c r="W63" s="4">
        <f>U63*Supporting!$F$2*(135-64)/(0.758*Supporting!$B$5)</f>
        <v>115.23572508615655</v>
      </c>
      <c r="AC63" s="7" t="s">
        <v>145</v>
      </c>
      <c r="AD63" s="7" t="s">
        <v>68</v>
      </c>
      <c r="AE63" s="7" t="s">
        <v>70</v>
      </c>
      <c r="AF63" s="7">
        <v>44836</v>
      </c>
      <c r="AG63" s="7">
        <v>2.3649999999999999E-3</v>
      </c>
      <c r="AH63" s="7">
        <v>177.6</v>
      </c>
      <c r="AI63" s="7">
        <v>75080.479999999996</v>
      </c>
      <c r="AJ63" s="7">
        <v>0.95</v>
      </c>
      <c r="AK63" s="19">
        <f>AG63*264.2*60</f>
        <v>37.489979999999996</v>
      </c>
    </row>
    <row r="64" spans="1:37" x14ac:dyDescent="0.25">
      <c r="A64" s="41"/>
      <c r="B64" s="5" t="s">
        <v>96</v>
      </c>
      <c r="C64" s="18">
        <v>527.62</v>
      </c>
      <c r="D64" s="24">
        <f>ABS(C64*Supporting!$B$4/0.8)</f>
        <v>6252.5805957500006</v>
      </c>
      <c r="E64" s="17">
        <f t="shared" si="14"/>
        <v>521.04838297916672</v>
      </c>
      <c r="F64" s="47"/>
      <c r="G64" s="17"/>
      <c r="H64" s="5" t="s">
        <v>170</v>
      </c>
      <c r="I64" s="20">
        <f>SUM(I62:I63)</f>
        <v>20.89</v>
      </c>
      <c r="J64" s="28">
        <f>I64*Supporting!$B$6</f>
        <v>5802.7824200000005</v>
      </c>
      <c r="K64" s="25">
        <f>J64/12</f>
        <v>483.56520166666672</v>
      </c>
      <c r="R64" s="5" t="s">
        <v>92</v>
      </c>
      <c r="S64" s="18">
        <f>S62-S63</f>
        <v>185.15999999999997</v>
      </c>
      <c r="T64" s="4">
        <f>S64*Supporting!$B$2</f>
        <v>48914.087519999994</v>
      </c>
      <c r="U64" s="4">
        <f>T64/12</f>
        <v>4076.1739599999996</v>
      </c>
      <c r="V64" s="4">
        <f>U64/365</f>
        <v>11.167599890410958</v>
      </c>
    </row>
    <row r="65" spans="1:37" x14ac:dyDescent="0.25">
      <c r="A65" s="41"/>
      <c r="B65" s="5" t="s">
        <v>100</v>
      </c>
      <c r="C65" s="18">
        <v>-5.97</v>
      </c>
      <c r="D65" s="24">
        <f>ABS(C65*Supporting!$B$4/0.8)</f>
        <v>70.747708874999987</v>
      </c>
      <c r="E65" s="17">
        <f t="shared" si="14"/>
        <v>5.8956424062499986</v>
      </c>
      <c r="F65" s="44">
        <f>ABS(C65/$C$69)</f>
        <v>1.0904707107238754E-2</v>
      </c>
      <c r="G65" s="17"/>
    </row>
    <row r="66" spans="1:37" x14ac:dyDescent="0.25">
      <c r="A66" s="41"/>
      <c r="B66" s="5" t="s">
        <v>101</v>
      </c>
      <c r="C66" s="18">
        <v>185.07</v>
      </c>
      <c r="D66" s="24">
        <f>ABS(C66*Supporting!$B$4/0.8)</f>
        <v>2193.1789751249999</v>
      </c>
      <c r="E66" s="17">
        <f t="shared" si="14"/>
        <v>182.76491459374998</v>
      </c>
      <c r="F66" s="44">
        <f>ABS(C66/$C$69)</f>
        <v>0.33804592032440139</v>
      </c>
      <c r="G66" s="17"/>
    </row>
    <row r="67" spans="1:37" x14ac:dyDescent="0.25">
      <c r="A67" s="41"/>
      <c r="B67" s="5" t="s">
        <v>116</v>
      </c>
      <c r="C67" s="18">
        <v>0.81</v>
      </c>
      <c r="D67" s="24">
        <f>ABS(C67*Supporting!$B$4/0.8)</f>
        <v>9.5989353749999999</v>
      </c>
      <c r="E67" s="17">
        <f t="shared" si="14"/>
        <v>0.79991128124999999</v>
      </c>
      <c r="F67" s="47"/>
      <c r="G67" s="17"/>
    </row>
    <row r="68" spans="1:37" x14ac:dyDescent="0.25">
      <c r="A68" s="41"/>
      <c r="B68" s="5" t="s">
        <v>117</v>
      </c>
      <c r="C68" s="18">
        <v>19.04</v>
      </c>
      <c r="D68" s="24">
        <f>ABS(C68*Supporting!$B$4/0.8)</f>
        <v>225.63423399999996</v>
      </c>
      <c r="E68" s="17">
        <f t="shared" si="14"/>
        <v>18.802852833333329</v>
      </c>
      <c r="F68" s="47"/>
      <c r="G68" s="17"/>
    </row>
    <row r="69" spans="1:37" x14ac:dyDescent="0.25">
      <c r="A69" s="41"/>
      <c r="B69" s="5" t="s">
        <v>178</v>
      </c>
      <c r="C69" s="24">
        <f>C64+C68+C67</f>
        <v>547.46999999999991</v>
      </c>
      <c r="D69" s="24">
        <f>ABS(C69*Supporting!$B$4/0.8)</f>
        <v>6487.813765124999</v>
      </c>
      <c r="E69" s="17">
        <f t="shared" si="14"/>
        <v>540.65114709374996</v>
      </c>
      <c r="F69" s="45">
        <f>SUM(F62:F68)</f>
        <v>0.99780809907392209</v>
      </c>
      <c r="G69" s="30"/>
    </row>
    <row r="70" spans="1:37" x14ac:dyDescent="0.25">
      <c r="A70" s="41"/>
      <c r="B70" s="10" t="s">
        <v>120</v>
      </c>
      <c r="C70" s="24">
        <f>C62+C63-C65+C66</f>
        <v>546.27</v>
      </c>
      <c r="D70" s="24">
        <f>ABS(C70*Supporting!$B$4/0.8)</f>
        <v>6473.5931201249996</v>
      </c>
      <c r="E70" s="17">
        <f t="shared" si="14"/>
        <v>539.46609334375</v>
      </c>
      <c r="F70" s="47"/>
      <c r="G70" s="30"/>
    </row>
    <row r="71" spans="1:37" x14ac:dyDescent="0.25">
      <c r="A71" s="41"/>
      <c r="B71" s="10" t="s">
        <v>179</v>
      </c>
      <c r="C71" s="20">
        <f>C69-C70</f>
        <v>1.1999999999999318</v>
      </c>
      <c r="D71" s="24">
        <f>ABS(C71*Supporting!$B$4/0.8)</f>
        <v>14.220644999999191</v>
      </c>
      <c r="E71" s="17">
        <f t="shared" si="14"/>
        <v>1.1850537499999325</v>
      </c>
      <c r="F71" s="45">
        <f>ABS(C71/$C$69)</f>
        <v>2.1919009260780169E-3</v>
      </c>
      <c r="G71" s="17"/>
    </row>
    <row r="72" spans="1:37" x14ac:dyDescent="0.25">
      <c r="A72" s="41"/>
    </row>
    <row r="73" spans="1:37" x14ac:dyDescent="0.25">
      <c r="A73" s="41" t="s">
        <v>158</v>
      </c>
      <c r="B73" s="5" t="s">
        <v>94</v>
      </c>
      <c r="C73" s="18">
        <v>127.76</v>
      </c>
      <c r="D73" s="24">
        <f>ABS(C73*Supporting!$B$4/0.8)</f>
        <v>1514.0246709999999</v>
      </c>
      <c r="E73" s="17">
        <f t="shared" ref="E73:E79" si="15">D73/12</f>
        <v>126.16872258333332</v>
      </c>
      <c r="F73" s="44">
        <f>ABS(C73/$C$80)</f>
        <v>0.23686454818495314</v>
      </c>
      <c r="G73" s="17"/>
      <c r="H73" s="5" t="s">
        <v>114</v>
      </c>
      <c r="I73" s="18">
        <v>0.84</v>
      </c>
      <c r="J73" s="28">
        <f>I73*Supporting!$B$6</f>
        <v>233.33352000000002</v>
      </c>
      <c r="K73" s="20">
        <f>J73/12</f>
        <v>19.444460000000003</v>
      </c>
      <c r="M73" s="5" t="s">
        <v>88</v>
      </c>
      <c r="N73" s="18">
        <v>649.41999999999996</v>
      </c>
      <c r="O73" s="20">
        <f>N73*Supporting!$B$4</f>
        <v>6156.7808506000001</v>
      </c>
      <c r="P73" s="29">
        <f>O73/12</f>
        <v>513.06507088333331</v>
      </c>
      <c r="R73" s="5" t="s">
        <v>90</v>
      </c>
      <c r="S73" s="18">
        <v>866.68</v>
      </c>
      <c r="T73" s="4">
        <f>S73*Supporting!$B$2</f>
        <v>228952.58896000002</v>
      </c>
      <c r="U73" s="4">
        <f>T73/12</f>
        <v>19079.382413333336</v>
      </c>
      <c r="V73" s="4">
        <f>U73/365</f>
        <v>52.272280584474892</v>
      </c>
      <c r="X73" s="5" t="s">
        <v>65</v>
      </c>
      <c r="Y73" s="18">
        <v>110191.28</v>
      </c>
      <c r="Z73" s="21">
        <v>2.3649999999999999E-3</v>
      </c>
      <c r="AA73" s="4">
        <f>Y73*3.412</f>
        <v>375972.64736</v>
      </c>
      <c r="AB73" s="19">
        <f>Z73*264.2*60</f>
        <v>37.489979999999996</v>
      </c>
      <c r="AC73" s="7" t="s">
        <v>144</v>
      </c>
      <c r="AD73" s="7" t="s">
        <v>68</v>
      </c>
      <c r="AE73" s="7" t="s">
        <v>69</v>
      </c>
      <c r="AF73" s="7">
        <v>119562.68</v>
      </c>
      <c r="AG73" s="7">
        <v>3.1740000000000002E-3</v>
      </c>
      <c r="AH73" s="7">
        <v>635.41</v>
      </c>
      <c r="AI73" s="7">
        <v>200214.61</v>
      </c>
      <c r="AJ73" s="7">
        <v>0.95</v>
      </c>
      <c r="AK73" s="19">
        <f>AG73*264.2*60</f>
        <v>50.314248000000006</v>
      </c>
    </row>
    <row r="74" spans="1:37" x14ac:dyDescent="0.25">
      <c r="A74" s="41"/>
      <c r="B74" s="5" t="s">
        <v>95</v>
      </c>
      <c r="C74" s="18">
        <v>227.47</v>
      </c>
      <c r="D74" s="24">
        <f>ABS(C74*Supporting!$B$4/0.8)</f>
        <v>2695.6417651249999</v>
      </c>
      <c r="E74" s="17">
        <f t="shared" si="15"/>
        <v>224.63681376041666</v>
      </c>
      <c r="F74" s="44">
        <f>ABS(C74/$C$80)</f>
        <v>0.42172494345359496</v>
      </c>
      <c r="G74" s="17"/>
      <c r="H74" s="5" t="s">
        <v>115</v>
      </c>
      <c r="I74" s="18">
        <v>20.04</v>
      </c>
      <c r="J74" s="28">
        <f>I74*Supporting!$B$6</f>
        <v>5566.67112</v>
      </c>
      <c r="K74" s="20">
        <f>J74/12</f>
        <v>463.88925999999998</v>
      </c>
      <c r="R74" s="5" t="s">
        <v>91</v>
      </c>
      <c r="S74" s="18">
        <v>717.53</v>
      </c>
      <c r="T74" s="4">
        <f>S74*Supporting!$B$2</f>
        <v>189551.33516000002</v>
      </c>
      <c r="U74" s="4">
        <f>T74/12</f>
        <v>15795.944596666668</v>
      </c>
      <c r="V74" s="4">
        <f>U74/365</f>
        <v>43.276560538812788</v>
      </c>
      <c r="W74" s="4">
        <f>U74*Supporting!$F$2*(135-64)/(0.758*Supporting!$B$5)</f>
        <v>121.32452432954265</v>
      </c>
      <c r="AC74" s="7" t="s">
        <v>145</v>
      </c>
      <c r="AD74" s="7" t="s">
        <v>68</v>
      </c>
      <c r="AE74" s="7" t="s">
        <v>70</v>
      </c>
      <c r="AF74" s="7">
        <v>44836</v>
      </c>
      <c r="AG74" s="7">
        <v>2.3649999999999999E-3</v>
      </c>
      <c r="AH74" s="7">
        <v>177.6</v>
      </c>
      <c r="AI74" s="7">
        <v>75080.479999999996</v>
      </c>
      <c r="AJ74" s="7">
        <v>0.95</v>
      </c>
      <c r="AK74" s="19">
        <f>AG74*264.2*60</f>
        <v>37.489979999999996</v>
      </c>
    </row>
    <row r="75" spans="1:37" x14ac:dyDescent="0.25">
      <c r="A75" s="41"/>
      <c r="B75" s="5" t="s">
        <v>96</v>
      </c>
      <c r="C75" s="18">
        <v>519.54</v>
      </c>
      <c r="D75" s="24">
        <f>ABS(C75*Supporting!$B$4/0.8)</f>
        <v>6156.8282527499987</v>
      </c>
      <c r="E75" s="17">
        <f t="shared" si="15"/>
        <v>513.06902106249993</v>
      </c>
      <c r="F75" s="47"/>
      <c r="G75" s="17"/>
      <c r="H75" s="5" t="s">
        <v>170</v>
      </c>
      <c r="I75" s="20">
        <f>SUM(I73:I74)</f>
        <v>20.88</v>
      </c>
      <c r="J75" s="28">
        <f>I75*Supporting!$B$6</f>
        <v>5800.0046400000001</v>
      </c>
      <c r="K75" s="25">
        <f>J75/12</f>
        <v>483.33372000000003</v>
      </c>
      <c r="R75" s="5" t="s">
        <v>92</v>
      </c>
      <c r="S75" s="18">
        <f>S73-S74</f>
        <v>149.14999999999998</v>
      </c>
      <c r="T75" s="4">
        <f>S75*Supporting!$B$2</f>
        <v>39401.253799999999</v>
      </c>
      <c r="U75" s="4">
        <f>T75/12</f>
        <v>3283.4378166666665</v>
      </c>
      <c r="V75" s="4">
        <f>U75/365</f>
        <v>8.9957200456621003</v>
      </c>
    </row>
    <row r="76" spans="1:37" x14ac:dyDescent="0.25">
      <c r="A76" s="41"/>
      <c r="B76" s="5" t="s">
        <v>100</v>
      </c>
      <c r="C76" s="18">
        <v>-5.7</v>
      </c>
      <c r="D76" s="24">
        <f>ABS(C76*Supporting!$B$4/0.8)</f>
        <v>67.548063749999997</v>
      </c>
      <c r="E76" s="17">
        <f t="shared" si="15"/>
        <v>5.6290053124999995</v>
      </c>
      <c r="F76" s="44">
        <f>ABS(C76/$C$80)</f>
        <v>1.0567688827913533E-2</v>
      </c>
      <c r="G76" s="17"/>
    </row>
    <row r="77" spans="1:37" x14ac:dyDescent="0.25">
      <c r="A77" s="41"/>
      <c r="B77" s="5" t="s">
        <v>101</v>
      </c>
      <c r="C77" s="18">
        <v>177.31</v>
      </c>
      <c r="D77" s="24">
        <f>ABS(C77*Supporting!$B$4/0.8)</f>
        <v>2101.2188041250001</v>
      </c>
      <c r="E77" s="17">
        <f t="shared" si="15"/>
        <v>175.10156701041669</v>
      </c>
      <c r="F77" s="44">
        <f>ABS(C77/$C$80)</f>
        <v>0.32872928176795585</v>
      </c>
      <c r="G77" s="17"/>
    </row>
    <row r="78" spans="1:37" x14ac:dyDescent="0.25">
      <c r="A78" s="41"/>
      <c r="B78" s="5" t="s">
        <v>116</v>
      </c>
      <c r="C78" s="18">
        <v>0.8</v>
      </c>
      <c r="D78" s="24">
        <f>ABS(C78*Supporting!$B$4/0.8)</f>
        <v>9.4804300000000001</v>
      </c>
      <c r="E78" s="17">
        <f t="shared" si="15"/>
        <v>0.79003583333333338</v>
      </c>
      <c r="F78" s="47"/>
      <c r="G78" s="17"/>
    </row>
    <row r="79" spans="1:37" x14ac:dyDescent="0.25">
      <c r="A79" s="41"/>
      <c r="B79" s="5" t="s">
        <v>117</v>
      </c>
      <c r="C79" s="18">
        <v>19.04</v>
      </c>
      <c r="D79" s="24">
        <f>ABS(C79*Supporting!$B$4/0.8)</f>
        <v>225.63423399999996</v>
      </c>
      <c r="E79" s="17">
        <f t="shared" si="15"/>
        <v>18.802852833333329</v>
      </c>
      <c r="F79" s="47"/>
      <c r="G79" s="17"/>
    </row>
    <row r="80" spans="1:37" x14ac:dyDescent="0.25">
      <c r="A80" s="41"/>
      <c r="B80" s="5" t="s">
        <v>178</v>
      </c>
      <c r="C80" s="24">
        <f>C75+C79+C78</f>
        <v>539.37999999999988</v>
      </c>
      <c r="D80" s="24">
        <f>ABS(C80*Supporting!$B$4/0.8)</f>
        <v>6391.9429167499975</v>
      </c>
      <c r="E80" s="17">
        <f t="shared" ref="E80:E82" si="16">D80/12</f>
        <v>532.6619097291665</v>
      </c>
      <c r="F80" s="45">
        <f>SUM(F73:F79)</f>
        <v>0.99788646223441746</v>
      </c>
      <c r="G80" s="30"/>
    </row>
    <row r="81" spans="1:37" x14ac:dyDescent="0.25">
      <c r="A81" s="41"/>
      <c r="B81" s="10" t="s">
        <v>120</v>
      </c>
      <c r="C81" s="24">
        <f>C73+C74-C76+C77</f>
        <v>538.24</v>
      </c>
      <c r="D81" s="24">
        <f>ABS(C81*Supporting!$B$4/0.8)</f>
        <v>6378.4333040000001</v>
      </c>
      <c r="E81" s="17">
        <f t="shared" si="16"/>
        <v>531.53610866666668</v>
      </c>
      <c r="F81" s="47"/>
      <c r="G81" s="30"/>
    </row>
    <row r="82" spans="1:37" x14ac:dyDescent="0.25">
      <c r="A82" s="41"/>
      <c r="B82" s="10" t="s">
        <v>179</v>
      </c>
      <c r="C82" s="20">
        <f>C80-C81</f>
        <v>1.1399999999998727</v>
      </c>
      <c r="D82" s="24">
        <f>ABS(C82*Supporting!$B$4/0.8)</f>
        <v>13.509612749998491</v>
      </c>
      <c r="E82" s="17">
        <f t="shared" si="16"/>
        <v>1.1258010624998742</v>
      </c>
      <c r="F82" s="45">
        <f>ABS(C82/$C$80)</f>
        <v>2.1135377655824707E-3</v>
      </c>
      <c r="G82" s="17"/>
    </row>
    <row r="83" spans="1:37" x14ac:dyDescent="0.25">
      <c r="A83" s="41"/>
    </row>
    <row r="84" spans="1:37" x14ac:dyDescent="0.25">
      <c r="A84" s="41" t="s">
        <v>159</v>
      </c>
      <c r="B84" s="5" t="s">
        <v>94</v>
      </c>
      <c r="C84" s="18">
        <f t="shared" ref="C84:C90" si="17">C62-C73</f>
        <v>0</v>
      </c>
      <c r="D84" s="24">
        <f>ABS(C84*Supporting!$B$4/0.8)</f>
        <v>0</v>
      </c>
      <c r="E84" s="17">
        <f t="shared" ref="E84:E90" si="18">D84/12</f>
        <v>0</v>
      </c>
      <c r="F84" s="47"/>
      <c r="G84" s="17"/>
      <c r="H84" s="5" t="s">
        <v>114</v>
      </c>
      <c r="I84" s="18">
        <f>I62-I73</f>
        <v>1.0000000000000009E-2</v>
      </c>
      <c r="J84" s="28">
        <f>I84*Supporting!$B$6</f>
        <v>2.7777800000000026</v>
      </c>
      <c r="K84" s="20">
        <f>J84/12</f>
        <v>0.23148166666666689</v>
      </c>
      <c r="L84" s="23">
        <f>I84/I62</f>
        <v>1.1764705882352951E-2</v>
      </c>
      <c r="M84" s="5" t="s">
        <v>88</v>
      </c>
      <c r="N84" s="18">
        <f>N62-N73</f>
        <v>10.100000000000023</v>
      </c>
      <c r="O84" s="20">
        <f>N84*Supporting!$B$4</f>
        <v>95.752343000000224</v>
      </c>
      <c r="P84" s="29">
        <f>O84/12</f>
        <v>7.9793619166666856</v>
      </c>
      <c r="Q84" s="27">
        <f>N84/N62</f>
        <v>1.5314167879670097E-2</v>
      </c>
      <c r="R84" s="5" t="s">
        <v>90</v>
      </c>
      <c r="S84" s="18">
        <f>S62-S73</f>
        <v>0</v>
      </c>
      <c r="T84" s="4">
        <f>S84*Supporting!$B$2</f>
        <v>0</v>
      </c>
      <c r="U84" s="4">
        <f>T84/12</f>
        <v>0</v>
      </c>
      <c r="V84" s="4">
        <f>U84/365</f>
        <v>0</v>
      </c>
      <c r="X84" s="5" t="s">
        <v>65</v>
      </c>
      <c r="Y84" s="18">
        <f>Y62-Y73</f>
        <v>0</v>
      </c>
      <c r="Z84" s="18">
        <f>Z62-Z73</f>
        <v>0</v>
      </c>
      <c r="AA84" s="4">
        <f>Y84*3.412</f>
        <v>0</v>
      </c>
      <c r="AB84" s="19">
        <f>Z84*264.2*60</f>
        <v>0</v>
      </c>
      <c r="AC84" s="7" t="s">
        <v>144</v>
      </c>
      <c r="AD84" s="7"/>
      <c r="AE84" s="7"/>
      <c r="AF84" s="18">
        <f t="shared" ref="AF84:AJ85" si="19">AF62-AF73</f>
        <v>0</v>
      </c>
      <c r="AG84" s="18">
        <f t="shared" si="19"/>
        <v>0</v>
      </c>
      <c r="AH84" s="18">
        <f t="shared" si="19"/>
        <v>0</v>
      </c>
      <c r="AI84" s="18">
        <f t="shared" si="19"/>
        <v>0</v>
      </c>
      <c r="AJ84" s="18">
        <f t="shared" si="19"/>
        <v>0</v>
      </c>
      <c r="AK84" s="19">
        <f>AG84*264.2*60</f>
        <v>0</v>
      </c>
    </row>
    <row r="85" spans="1:37" x14ac:dyDescent="0.25">
      <c r="A85" s="41"/>
      <c r="B85" s="5" t="s">
        <v>95</v>
      </c>
      <c r="C85" s="18">
        <f t="shared" si="17"/>
        <v>0</v>
      </c>
      <c r="D85" s="24">
        <f>ABS(C85*Supporting!$B$4/0.8)</f>
        <v>0</v>
      </c>
      <c r="E85" s="17">
        <f t="shared" si="18"/>
        <v>0</v>
      </c>
      <c r="F85" s="47"/>
      <c r="G85" s="17"/>
      <c r="H85" s="5" t="s">
        <v>115</v>
      </c>
      <c r="I85" s="18">
        <f>I63-I74</f>
        <v>0</v>
      </c>
      <c r="J85" s="28">
        <f>I85*Supporting!$B$6</f>
        <v>0</v>
      </c>
      <c r="K85" s="20">
        <f>J85/12</f>
        <v>0</v>
      </c>
      <c r="R85" s="5" t="s">
        <v>91</v>
      </c>
      <c r="S85" s="18">
        <f>S63-S74</f>
        <v>-36.009999999999991</v>
      </c>
      <c r="T85" s="4">
        <f>S85*Supporting!$B$2</f>
        <v>-9512.8337199999987</v>
      </c>
      <c r="U85" s="4">
        <f>T85/12</f>
        <v>-792.73614333333319</v>
      </c>
      <c r="V85" s="4">
        <f>U85/365</f>
        <v>-2.1718798447488581</v>
      </c>
      <c r="W85" s="4">
        <f>U85*Supporting!$F$2*(135-64)/(0.758*Supporting!$B$5)</f>
        <v>-6.0887992433861022</v>
      </c>
      <c r="AC85" s="7" t="s">
        <v>145</v>
      </c>
      <c r="AD85" s="7"/>
      <c r="AE85" s="7"/>
      <c r="AF85" s="18">
        <f t="shared" si="19"/>
        <v>0</v>
      </c>
      <c r="AG85" s="18">
        <f t="shared" si="19"/>
        <v>0</v>
      </c>
      <c r="AH85" s="18">
        <f t="shared" si="19"/>
        <v>0</v>
      </c>
      <c r="AI85" s="18">
        <f t="shared" si="19"/>
        <v>0</v>
      </c>
      <c r="AJ85" s="18">
        <f t="shared" si="19"/>
        <v>0</v>
      </c>
      <c r="AK85" s="19">
        <f>AG85*264.2*60</f>
        <v>0</v>
      </c>
    </row>
    <row r="86" spans="1:37" x14ac:dyDescent="0.25">
      <c r="A86" s="41"/>
      <c r="B86" s="5" t="s">
        <v>96</v>
      </c>
      <c r="C86" s="18">
        <f t="shared" si="17"/>
        <v>8.0800000000000409</v>
      </c>
      <c r="D86" s="24">
        <f>ABS(C86*Supporting!$B$4/0.8)</f>
        <v>95.752343000000479</v>
      </c>
      <c r="E86" s="29">
        <f t="shared" si="18"/>
        <v>7.9793619166667069</v>
      </c>
      <c r="F86" s="47"/>
      <c r="G86" s="17"/>
      <c r="H86" s="5" t="s">
        <v>170</v>
      </c>
      <c r="I86" s="20">
        <f>SUM(I84:I85)</f>
        <v>1.0000000000000009E-2</v>
      </c>
      <c r="J86" s="28">
        <f>I86*Supporting!$B$6</f>
        <v>2.7777800000000026</v>
      </c>
      <c r="K86" s="25">
        <f>J86/12</f>
        <v>0.23148166666666689</v>
      </c>
      <c r="L86" s="26">
        <f>K86/K64</f>
        <v>4.7869794159885156E-4</v>
      </c>
      <c r="R86" s="5" t="s">
        <v>92</v>
      </c>
      <c r="S86" s="18">
        <f>S64-S75</f>
        <v>36.009999999999991</v>
      </c>
      <c r="T86" s="4">
        <f>S86*Supporting!$B$2</f>
        <v>9512.8337199999987</v>
      </c>
      <c r="U86" s="4">
        <f>T86/12</f>
        <v>792.73614333333319</v>
      </c>
      <c r="V86" s="4">
        <f>U86/365</f>
        <v>2.1718798447488581</v>
      </c>
    </row>
    <row r="87" spans="1:37" x14ac:dyDescent="0.25">
      <c r="A87" s="41"/>
      <c r="B87" s="5" t="s">
        <v>100</v>
      </c>
      <c r="C87" s="18">
        <f t="shared" si="17"/>
        <v>-0.26999999999999957</v>
      </c>
      <c r="D87" s="24">
        <f>ABS(C87*Supporting!$B$4/0.8)</f>
        <v>3.1996451249999951</v>
      </c>
      <c r="E87" s="17">
        <f t="shared" si="18"/>
        <v>0.26663709374999961</v>
      </c>
      <c r="F87" s="47"/>
      <c r="G87" s="17"/>
    </row>
    <row r="88" spans="1:37" x14ac:dyDescent="0.25">
      <c r="A88" s="41"/>
      <c r="B88" s="5" t="s">
        <v>101</v>
      </c>
      <c r="C88" s="18">
        <f t="shared" si="17"/>
        <v>7.7599999999999909</v>
      </c>
      <c r="D88" s="24">
        <f>ABS(C88*Supporting!$B$4/0.8)</f>
        <v>91.960170999999889</v>
      </c>
      <c r="E88" s="17">
        <f t="shared" si="18"/>
        <v>7.6633475833333238</v>
      </c>
      <c r="F88" s="47"/>
      <c r="G88" s="17"/>
    </row>
    <row r="89" spans="1:37" x14ac:dyDescent="0.25">
      <c r="A89" s="41"/>
      <c r="B89" s="5" t="s">
        <v>116</v>
      </c>
      <c r="C89" s="18">
        <f t="shared" si="17"/>
        <v>1.0000000000000009E-2</v>
      </c>
      <c r="D89" s="24">
        <f>ABS(C89*Supporting!$B$4/0.8)</f>
        <v>0.11850537500000011</v>
      </c>
      <c r="E89" s="17">
        <f t="shared" si="18"/>
        <v>9.8754479166666756E-3</v>
      </c>
      <c r="F89" s="47"/>
      <c r="G89" s="17"/>
    </row>
    <row r="90" spans="1:37" x14ac:dyDescent="0.25">
      <c r="A90" s="41"/>
      <c r="B90" s="5" t="s">
        <v>117</v>
      </c>
      <c r="C90" s="18">
        <f t="shared" si="17"/>
        <v>0</v>
      </c>
      <c r="D90" s="24">
        <f>ABS(C90*Supporting!$B$4/0.8)</f>
        <v>0</v>
      </c>
      <c r="E90" s="17">
        <f t="shared" si="18"/>
        <v>0</v>
      </c>
      <c r="F90" s="47"/>
      <c r="G90" s="17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F7993-E8D1-4D71-B041-4B645EEA68E8}">
  <dimension ref="A1:I59"/>
  <sheetViews>
    <sheetView zoomScale="80" zoomScaleNormal="80" workbookViewId="0">
      <selection activeCell="B55" sqref="B55"/>
    </sheetView>
  </sheetViews>
  <sheetFormatPr defaultRowHeight="15" x14ac:dyDescent="0.25"/>
  <cols>
    <col min="1" max="1" width="30.5703125" bestFit="1" customWidth="1"/>
    <col min="2" max="2" width="90.5703125" bestFit="1" customWidth="1"/>
    <col min="3" max="3" width="38" bestFit="1" customWidth="1"/>
    <col min="4" max="4" width="4.7109375" customWidth="1"/>
    <col min="5" max="5" width="41.5703125" bestFit="1" customWidth="1"/>
    <col min="6" max="6" width="4.7109375" customWidth="1"/>
    <col min="7" max="7" width="36.28515625" bestFit="1" customWidth="1"/>
    <col min="8" max="8" width="8.140625" bestFit="1" customWidth="1"/>
    <col min="9" max="9" width="105" bestFit="1" customWidth="1"/>
  </cols>
  <sheetData>
    <row r="1" spans="1:9" x14ac:dyDescent="0.25">
      <c r="A1" s="3" t="s">
        <v>128</v>
      </c>
      <c r="B1" s="3" t="s">
        <v>127</v>
      </c>
      <c r="C1" s="3" t="s">
        <v>141</v>
      </c>
      <c r="D1" s="48"/>
      <c r="E1" s="3" t="s">
        <v>160</v>
      </c>
      <c r="F1" s="48"/>
      <c r="G1" s="3" t="s">
        <v>139</v>
      </c>
      <c r="H1" s="3" t="s">
        <v>138</v>
      </c>
      <c r="I1" s="3" t="s">
        <v>1</v>
      </c>
    </row>
    <row r="2" spans="1:9" x14ac:dyDescent="0.25">
      <c r="A2" t="s">
        <v>131</v>
      </c>
      <c r="B2" s="12" t="s">
        <v>13</v>
      </c>
      <c r="D2" s="49"/>
      <c r="E2" s="3" t="s">
        <v>23</v>
      </c>
      <c r="F2" s="48"/>
      <c r="G2" s="5" t="s">
        <v>2</v>
      </c>
      <c r="H2" s="9">
        <v>105.849</v>
      </c>
      <c r="I2" s="4" t="s">
        <v>166</v>
      </c>
    </row>
    <row r="3" spans="1:9" x14ac:dyDescent="0.25">
      <c r="B3" s="1" t="s">
        <v>123</v>
      </c>
      <c r="D3" s="49"/>
      <c r="E3" t="s">
        <v>27</v>
      </c>
      <c r="F3" s="49"/>
      <c r="G3" s="5" t="s">
        <v>3</v>
      </c>
      <c r="H3" s="9">
        <v>56.4</v>
      </c>
      <c r="I3" s="4" t="s">
        <v>83</v>
      </c>
    </row>
    <row r="4" spans="1:9" x14ac:dyDescent="0.25">
      <c r="B4" s="12" t="s">
        <v>133</v>
      </c>
      <c r="D4" s="49"/>
      <c r="E4" t="s">
        <v>24</v>
      </c>
      <c r="F4" s="49"/>
      <c r="G4" s="5" t="s">
        <v>4</v>
      </c>
      <c r="H4" s="4">
        <f>SUM(H2:H3)</f>
        <v>162.249</v>
      </c>
    </row>
    <row r="5" spans="1:9" x14ac:dyDescent="0.25">
      <c r="B5" s="12" t="s">
        <v>42</v>
      </c>
      <c r="D5" s="49"/>
      <c r="E5" t="s">
        <v>25</v>
      </c>
      <c r="F5" s="49"/>
      <c r="G5" s="5" t="s">
        <v>11</v>
      </c>
      <c r="H5" s="4">
        <f>H6*365</f>
        <v>13710.656398935298</v>
      </c>
    </row>
    <row r="6" spans="1:9" x14ac:dyDescent="0.25">
      <c r="B6" s="1" t="s">
        <v>119</v>
      </c>
      <c r="C6" s="12"/>
      <c r="D6" s="50"/>
      <c r="E6" t="s">
        <v>26</v>
      </c>
      <c r="F6" s="49"/>
      <c r="G6" s="5" t="s">
        <v>12</v>
      </c>
      <c r="H6" s="9">
        <v>37.563442188863831</v>
      </c>
      <c r="I6" t="s">
        <v>140</v>
      </c>
    </row>
    <row r="7" spans="1:9" x14ac:dyDescent="0.25">
      <c r="B7" s="1" t="s">
        <v>162</v>
      </c>
      <c r="D7" s="49"/>
      <c r="E7" t="s">
        <v>45</v>
      </c>
      <c r="F7" s="49"/>
    </row>
    <row r="8" spans="1:9" x14ac:dyDescent="0.25">
      <c r="B8" s="1"/>
      <c r="D8" s="49"/>
      <c r="F8" s="49"/>
    </row>
    <row r="9" spans="1:9" x14ac:dyDescent="0.25">
      <c r="A9" t="s">
        <v>129</v>
      </c>
      <c r="B9" s="12" t="s">
        <v>161</v>
      </c>
      <c r="D9" s="49"/>
      <c r="F9" s="49"/>
    </row>
    <row r="10" spans="1:9" x14ac:dyDescent="0.25">
      <c r="B10" s="12" t="s">
        <v>134</v>
      </c>
      <c r="D10" s="49"/>
      <c r="F10" s="49"/>
    </row>
    <row r="11" spans="1:9" x14ac:dyDescent="0.25">
      <c r="B11" s="1" t="s">
        <v>75</v>
      </c>
      <c r="D11" s="49"/>
      <c r="F11" s="49"/>
    </row>
    <row r="12" spans="1:9" x14ac:dyDescent="0.25">
      <c r="B12" s="1" t="s">
        <v>234</v>
      </c>
      <c r="D12" s="49"/>
      <c r="F12" s="49"/>
    </row>
    <row r="13" spans="1:9" x14ac:dyDescent="0.25">
      <c r="B13" s="1" t="s">
        <v>76</v>
      </c>
      <c r="D13" s="49"/>
      <c r="F13" s="49"/>
    </row>
    <row r="14" spans="1:9" x14ac:dyDescent="0.25">
      <c r="B14" s="1" t="s">
        <v>77</v>
      </c>
      <c r="D14" s="49"/>
      <c r="F14" s="49"/>
    </row>
    <row r="15" spans="1:9" x14ac:dyDescent="0.25">
      <c r="B15" s="12" t="s">
        <v>86</v>
      </c>
      <c r="D15" s="49"/>
      <c r="F15" s="49"/>
    </row>
    <row r="16" spans="1:9" x14ac:dyDescent="0.25">
      <c r="B16" s="12" t="s">
        <v>125</v>
      </c>
      <c r="D16" s="49"/>
      <c r="F16" s="49"/>
    </row>
    <row r="17" spans="1:6" x14ac:dyDescent="0.25">
      <c r="B17" s="1" t="s">
        <v>87</v>
      </c>
      <c r="D17" s="49"/>
      <c r="F17" s="49"/>
    </row>
    <row r="18" spans="1:6" x14ac:dyDescent="0.25">
      <c r="B18" s="1" t="s">
        <v>80</v>
      </c>
      <c r="D18" s="49"/>
      <c r="F18" s="49"/>
    </row>
    <row r="19" spans="1:6" x14ac:dyDescent="0.25">
      <c r="B19" s="1" t="s">
        <v>81</v>
      </c>
      <c r="D19" s="49"/>
      <c r="F19" s="49"/>
    </row>
    <row r="20" spans="1:6" x14ac:dyDescent="0.25">
      <c r="B20" s="1" t="s">
        <v>82</v>
      </c>
      <c r="D20" s="49"/>
      <c r="F20" s="49"/>
    </row>
    <row r="21" spans="1:6" x14ac:dyDescent="0.25">
      <c r="B21" s="1" t="s">
        <v>135</v>
      </c>
      <c r="C21" s="12" t="s">
        <v>44</v>
      </c>
      <c r="D21" s="49"/>
      <c r="F21" s="49"/>
    </row>
    <row r="22" spans="1:6" x14ac:dyDescent="0.25">
      <c r="D22" s="50"/>
      <c r="F22" s="49"/>
    </row>
    <row r="23" spans="1:6" x14ac:dyDescent="0.25">
      <c r="A23" t="s">
        <v>130</v>
      </c>
      <c r="B23" s="12" t="s">
        <v>14</v>
      </c>
      <c r="D23" s="49"/>
      <c r="F23" s="49"/>
    </row>
    <row r="24" spans="1:6" x14ac:dyDescent="0.25">
      <c r="B24" s="12" t="s">
        <v>21</v>
      </c>
      <c r="D24" s="49"/>
      <c r="F24" s="49"/>
    </row>
    <row r="25" spans="1:6" x14ac:dyDescent="0.25">
      <c r="B25" s="12" t="s">
        <v>163</v>
      </c>
      <c r="D25" s="49"/>
      <c r="F25" s="49"/>
    </row>
    <row r="26" spans="1:6" x14ac:dyDescent="0.25">
      <c r="B26" s="1" t="s">
        <v>122</v>
      </c>
      <c r="D26" s="49"/>
      <c r="F26" s="49"/>
    </row>
    <row r="27" spans="1:6" x14ac:dyDescent="0.25">
      <c r="B27" s="1" t="s">
        <v>136</v>
      </c>
      <c r="D27" s="49"/>
      <c r="F27" s="49"/>
    </row>
    <row r="28" spans="1:6" x14ac:dyDescent="0.25">
      <c r="D28" s="49"/>
      <c r="F28" s="49"/>
    </row>
    <row r="29" spans="1:6" x14ac:dyDescent="0.25">
      <c r="A29" t="s">
        <v>137</v>
      </c>
      <c r="B29" s="12" t="s">
        <v>41</v>
      </c>
      <c r="D29" s="49"/>
      <c r="F29" s="49"/>
    </row>
    <row r="30" spans="1:6" x14ac:dyDescent="0.25">
      <c r="B30" s="12" t="s">
        <v>221</v>
      </c>
      <c r="D30" s="49"/>
      <c r="F30" s="49"/>
    </row>
    <row r="31" spans="1:6" x14ac:dyDescent="0.25">
      <c r="B31" s="12" t="s">
        <v>222</v>
      </c>
      <c r="D31" s="49"/>
      <c r="F31" s="49"/>
    </row>
    <row r="32" spans="1:6" x14ac:dyDescent="0.25">
      <c r="B32" s="12" t="s">
        <v>134</v>
      </c>
      <c r="D32" s="49"/>
      <c r="F32" s="49"/>
    </row>
    <row r="33" spans="1:6" x14ac:dyDescent="0.25">
      <c r="B33" s="1" t="s">
        <v>236</v>
      </c>
      <c r="D33" s="49"/>
      <c r="F33" s="49"/>
    </row>
    <row r="34" spans="1:6" x14ac:dyDescent="0.25">
      <c r="B34" t="s">
        <v>235</v>
      </c>
      <c r="D34" s="49"/>
      <c r="F34" s="49"/>
    </row>
    <row r="35" spans="1:6" x14ac:dyDescent="0.25">
      <c r="B35" s="12" t="s">
        <v>15</v>
      </c>
      <c r="D35" s="49"/>
      <c r="F35" s="49"/>
    </row>
    <row r="36" spans="1:6" x14ac:dyDescent="0.25">
      <c r="B36" s="17" t="s">
        <v>6</v>
      </c>
      <c r="D36" s="49"/>
      <c r="F36" s="49"/>
    </row>
    <row r="37" spans="1:6" x14ac:dyDescent="0.25">
      <c r="B37" s="17" t="s">
        <v>7</v>
      </c>
      <c r="D37" s="49"/>
      <c r="F37" s="49"/>
    </row>
    <row r="38" spans="1:6" x14ac:dyDescent="0.25">
      <c r="B38" s="14" t="s">
        <v>124</v>
      </c>
      <c r="D38" s="49"/>
      <c r="F38" s="49"/>
    </row>
    <row r="39" spans="1:6" x14ac:dyDescent="0.25">
      <c r="B39" s="12" t="s">
        <v>39</v>
      </c>
      <c r="D39" s="49"/>
      <c r="F39" s="49"/>
    </row>
    <row r="40" spans="1:6" x14ac:dyDescent="0.25">
      <c r="B40" s="12" t="s">
        <v>73</v>
      </c>
      <c r="D40" s="49"/>
      <c r="F40" s="49"/>
    </row>
    <row r="41" spans="1:6" x14ac:dyDescent="0.25">
      <c r="D41" s="49"/>
      <c r="F41" s="49"/>
    </row>
    <row r="42" spans="1:6" x14ac:dyDescent="0.25">
      <c r="D42" s="49"/>
      <c r="F42" s="49"/>
    </row>
    <row r="43" spans="1:6" x14ac:dyDescent="0.25">
      <c r="A43" t="s">
        <v>132</v>
      </c>
      <c r="B43" s="12" t="s">
        <v>40</v>
      </c>
      <c r="D43" s="49"/>
      <c r="F43" s="49"/>
    </row>
    <row r="44" spans="1:6" x14ac:dyDescent="0.25">
      <c r="B44" s="12" t="s">
        <v>48</v>
      </c>
      <c r="D44" s="49"/>
      <c r="F44" s="49"/>
    </row>
    <row r="45" spans="1:6" x14ac:dyDescent="0.25">
      <c r="B45" s="12" t="s">
        <v>49</v>
      </c>
      <c r="D45" s="49"/>
      <c r="F45" s="49"/>
    </row>
    <row r="46" spans="1:6" x14ac:dyDescent="0.25">
      <c r="B46" s="12" t="s">
        <v>220</v>
      </c>
      <c r="D46" s="49"/>
      <c r="F46" s="49"/>
    </row>
    <row r="47" spans="1:6" x14ac:dyDescent="0.25">
      <c r="B47" s="12" t="s">
        <v>126</v>
      </c>
      <c r="D47" s="49"/>
      <c r="F47" s="49"/>
    </row>
    <row r="48" spans="1:6" x14ac:dyDescent="0.25">
      <c r="B48" s="12" t="s">
        <v>63</v>
      </c>
      <c r="D48" s="49"/>
      <c r="F48" s="49"/>
    </row>
    <row r="49" spans="1:6" x14ac:dyDescent="0.25">
      <c r="D49" s="49"/>
      <c r="F49" s="49"/>
    </row>
    <row r="50" spans="1:6" x14ac:dyDescent="0.25">
      <c r="A50" t="s">
        <v>164</v>
      </c>
      <c r="B50" s="16" t="s">
        <v>71</v>
      </c>
      <c r="D50" s="49"/>
      <c r="F50" s="49"/>
    </row>
    <row r="51" spans="1:6" x14ac:dyDescent="0.25">
      <c r="B51" s="16" t="s">
        <v>217</v>
      </c>
      <c r="D51" s="49"/>
      <c r="F51" s="49"/>
    </row>
    <row r="52" spans="1:6" x14ac:dyDescent="0.25">
      <c r="B52" s="12" t="s">
        <v>218</v>
      </c>
      <c r="D52" s="49"/>
      <c r="F52" s="49"/>
    </row>
    <row r="53" spans="1:6" x14ac:dyDescent="0.25">
      <c r="B53" s="12" t="s">
        <v>40</v>
      </c>
      <c r="D53" s="49"/>
      <c r="F53" s="49"/>
    </row>
    <row r="54" spans="1:6" x14ac:dyDescent="0.25">
      <c r="B54" s="12" t="s">
        <v>74</v>
      </c>
      <c r="D54" s="49"/>
      <c r="F54" s="49"/>
    </row>
    <row r="55" spans="1:6" x14ac:dyDescent="0.25">
      <c r="B55" s="12" t="s">
        <v>41</v>
      </c>
      <c r="D55" s="49"/>
      <c r="F55" s="49"/>
    </row>
    <row r="56" spans="1:6" x14ac:dyDescent="0.25">
      <c r="B56" s="12" t="s">
        <v>54</v>
      </c>
      <c r="D56" s="49"/>
      <c r="F56" s="49"/>
    </row>
    <row r="57" spans="1:6" x14ac:dyDescent="0.25">
      <c r="B57" s="12" t="s">
        <v>72</v>
      </c>
      <c r="D57" s="49"/>
      <c r="F57" s="49"/>
    </row>
    <row r="58" spans="1:6" x14ac:dyDescent="0.25">
      <c r="B58" s="12" t="s">
        <v>219</v>
      </c>
      <c r="D58" s="49"/>
      <c r="F58" s="49"/>
    </row>
    <row r="59" spans="1:6" x14ac:dyDescent="0.25">
      <c r="B59" s="12" t="s">
        <v>199</v>
      </c>
      <c r="D59" s="49"/>
      <c r="F59" s="4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45"/>
  <sheetViews>
    <sheetView topLeftCell="D1" zoomScale="80" zoomScaleNormal="80" workbookViewId="0">
      <selection activeCell="Z30" sqref="Z30"/>
    </sheetView>
  </sheetViews>
  <sheetFormatPr defaultRowHeight="15" x14ac:dyDescent="0.25"/>
  <cols>
    <col min="1" max="1" width="18.140625" style="1" bestFit="1" customWidth="1"/>
    <col min="2" max="2" width="9.85546875" bestFit="1" customWidth="1"/>
    <col min="3" max="3" width="11" bestFit="1" customWidth="1"/>
    <col min="4" max="4" width="4.7109375" customWidth="1"/>
    <col min="5" max="5" width="17.140625" bestFit="1" customWidth="1"/>
    <col min="6" max="6" width="3.85546875" bestFit="1" customWidth="1"/>
    <col min="7" max="7" width="10.85546875" bestFit="1" customWidth="1"/>
    <col min="8" max="8" width="4.7109375" customWidth="1"/>
    <col min="9" max="9" width="12.5703125" customWidth="1"/>
    <col min="10" max="10" width="7.42578125" bestFit="1" customWidth="1"/>
    <col min="11" max="11" width="8.85546875" bestFit="1" customWidth="1"/>
    <col min="12" max="12" width="4.7109375" customWidth="1"/>
    <col min="13" max="13" width="11" customWidth="1"/>
    <col min="14" max="14" width="4.42578125" bestFit="1" customWidth="1"/>
    <col min="15" max="15" width="7.85546875" bestFit="1" customWidth="1"/>
    <col min="16" max="16" width="11" customWidth="1"/>
    <col min="17" max="17" width="4.7109375" customWidth="1"/>
    <col min="18" max="18" width="13.28515625" customWidth="1"/>
    <col min="19" max="19" width="21.7109375" bestFit="1" customWidth="1"/>
    <col min="20" max="20" width="9.5703125" bestFit="1" customWidth="1"/>
    <col min="21" max="21" width="14.5703125" bestFit="1" customWidth="1"/>
    <col min="22" max="22" width="4.7109375" customWidth="1"/>
    <col min="23" max="23" width="84.42578125" bestFit="1" customWidth="1"/>
    <col min="24" max="24" width="4.7109375" customWidth="1"/>
  </cols>
  <sheetData>
    <row r="1" spans="1:32" x14ac:dyDescent="0.25">
      <c r="A1" s="3" t="s">
        <v>167</v>
      </c>
      <c r="B1" s="1"/>
      <c r="E1" s="22" t="s">
        <v>168</v>
      </c>
      <c r="I1" s="22" t="s">
        <v>169</v>
      </c>
      <c r="M1" s="22" t="s">
        <v>224</v>
      </c>
      <c r="R1" s="3" t="s">
        <v>46</v>
      </c>
      <c r="W1" s="3" t="s">
        <v>47</v>
      </c>
      <c r="X1" s="3"/>
      <c r="Y1" s="3" t="s">
        <v>225</v>
      </c>
    </row>
    <row r="2" spans="1:32" x14ac:dyDescent="0.25">
      <c r="A2" t="s">
        <v>10</v>
      </c>
      <c r="B2" s="1">
        <v>264.17200000000003</v>
      </c>
      <c r="C2" s="1" t="s">
        <v>5</v>
      </c>
      <c r="D2" s="1"/>
      <c r="E2" t="s">
        <v>19</v>
      </c>
      <c r="F2" s="1">
        <v>8.1999999999999993</v>
      </c>
      <c r="G2" s="1" t="s">
        <v>18</v>
      </c>
      <c r="H2" s="1"/>
      <c r="I2" s="1" t="s">
        <v>51</v>
      </c>
      <c r="J2" s="13">
        <v>1</v>
      </c>
      <c r="K2" s="1" t="s">
        <v>50</v>
      </c>
      <c r="L2" s="1"/>
      <c r="M2" t="s">
        <v>8</v>
      </c>
      <c r="N2">
        <v>188</v>
      </c>
      <c r="O2" s="1" t="s">
        <v>17</v>
      </c>
      <c r="P2" s="1"/>
      <c r="R2" t="s">
        <v>28</v>
      </c>
      <c r="W2" t="s">
        <v>43</v>
      </c>
      <c r="Y2" t="s">
        <v>181</v>
      </c>
    </row>
    <row r="3" spans="1:32" x14ac:dyDescent="0.25">
      <c r="A3" t="s">
        <v>10</v>
      </c>
      <c r="B3">
        <v>0.13368099999999999</v>
      </c>
      <c r="C3" t="s">
        <v>38</v>
      </c>
      <c r="E3" s="1" t="s">
        <v>106</v>
      </c>
      <c r="F3">
        <v>1</v>
      </c>
      <c r="G3" s="1" t="s">
        <v>107</v>
      </c>
      <c r="H3" s="1"/>
      <c r="I3" s="1" t="s">
        <v>52</v>
      </c>
      <c r="J3" s="13">
        <v>0.3</v>
      </c>
      <c r="K3" s="1" t="s">
        <v>53</v>
      </c>
      <c r="L3" s="1"/>
      <c r="M3" t="s">
        <v>9</v>
      </c>
      <c r="N3">
        <v>187</v>
      </c>
      <c r="O3" s="1" t="s">
        <v>17</v>
      </c>
      <c r="P3" s="1"/>
      <c r="S3" s="1" t="s">
        <v>32</v>
      </c>
      <c r="T3" s="2" t="s">
        <v>36</v>
      </c>
      <c r="U3" t="s">
        <v>33</v>
      </c>
      <c r="W3" t="s">
        <v>59</v>
      </c>
      <c r="Y3" t="s">
        <v>182</v>
      </c>
    </row>
    <row r="4" spans="1:32" x14ac:dyDescent="0.25">
      <c r="A4" s="1" t="s">
        <v>10</v>
      </c>
      <c r="B4">
        <v>9.4804300000000001</v>
      </c>
      <c r="C4" s="1" t="s">
        <v>98</v>
      </c>
      <c r="D4" s="1"/>
      <c r="E4" s="1"/>
      <c r="F4" s="13"/>
      <c r="G4" s="1"/>
      <c r="H4" s="1"/>
      <c r="I4" s="1"/>
      <c r="J4" s="1"/>
      <c r="K4" s="1"/>
      <c r="L4" s="1"/>
      <c r="M4" s="1" t="s">
        <v>58</v>
      </c>
      <c r="N4">
        <v>239</v>
      </c>
      <c r="O4" s="1" t="s">
        <v>17</v>
      </c>
      <c r="P4" s="1"/>
      <c r="S4" s="1" t="s">
        <v>30</v>
      </c>
      <c r="T4" s="2" t="s">
        <v>35</v>
      </c>
      <c r="U4" s="2" t="s">
        <v>31</v>
      </c>
      <c r="W4" t="s">
        <v>60</v>
      </c>
      <c r="Y4" t="s">
        <v>183</v>
      </c>
    </row>
    <row r="5" spans="1:32" x14ac:dyDescent="0.25">
      <c r="A5" s="1" t="s">
        <v>10</v>
      </c>
      <c r="B5">
        <v>100000</v>
      </c>
      <c r="C5" s="1" t="s">
        <v>108</v>
      </c>
      <c r="D5" s="1"/>
      <c r="E5" s="1"/>
      <c r="F5" s="1"/>
      <c r="G5" s="1"/>
      <c r="H5" s="1"/>
      <c r="I5" s="1"/>
      <c r="J5" s="1"/>
      <c r="K5" s="1"/>
      <c r="L5" s="1"/>
      <c r="M5" s="1" t="s">
        <v>16</v>
      </c>
      <c r="N5" s="11">
        <v>228</v>
      </c>
      <c r="O5" s="1" t="s">
        <v>17</v>
      </c>
      <c r="P5" s="1"/>
      <c r="R5" t="s">
        <v>29</v>
      </c>
      <c r="S5" s="1">
        <v>231</v>
      </c>
      <c r="T5" s="15">
        <v>0.32200000000000001</v>
      </c>
      <c r="U5">
        <v>9.5000000000000001E-2</v>
      </c>
      <c r="W5" t="s">
        <v>61</v>
      </c>
    </row>
    <row r="6" spans="1:32" x14ac:dyDescent="0.25">
      <c r="A6" s="1" t="s">
        <v>10</v>
      </c>
      <c r="B6">
        <v>277.77800000000002</v>
      </c>
      <c r="C6" s="1" t="s">
        <v>111</v>
      </c>
      <c r="D6" s="1"/>
      <c r="E6" s="1"/>
      <c r="F6" s="1"/>
      <c r="G6" s="1"/>
      <c r="H6" s="1"/>
      <c r="I6" s="1"/>
      <c r="J6" s="1"/>
      <c r="K6" s="1"/>
      <c r="L6" s="1"/>
      <c r="M6" s="1" t="s">
        <v>78</v>
      </c>
      <c r="N6">
        <v>197</v>
      </c>
      <c r="O6" s="1" t="s">
        <v>17</v>
      </c>
      <c r="P6" s="1"/>
      <c r="S6" s="1"/>
      <c r="W6" t="s">
        <v>165</v>
      </c>
      <c r="Y6" t="s">
        <v>184</v>
      </c>
      <c r="AF6">
        <f>CONVERT(18.3,"C","F")</f>
        <v>64.94</v>
      </c>
    </row>
    <row r="7" spans="1:32" x14ac:dyDescent="0.25">
      <c r="M7" s="1" t="s">
        <v>79</v>
      </c>
      <c r="N7">
        <v>216</v>
      </c>
      <c r="O7" s="1" t="s">
        <v>17</v>
      </c>
      <c r="S7" t="s">
        <v>34</v>
      </c>
      <c r="T7" s="2" t="s">
        <v>37</v>
      </c>
      <c r="W7" t="s">
        <v>62</v>
      </c>
      <c r="Y7" t="s">
        <v>185</v>
      </c>
    </row>
    <row r="8" spans="1:32" x14ac:dyDescent="0.25">
      <c r="R8" t="s">
        <v>29</v>
      </c>
      <c r="S8">
        <f>S5*12</f>
        <v>2772</v>
      </c>
      <c r="T8">
        <f>T5*12^3</f>
        <v>556.41600000000005</v>
      </c>
    </row>
    <row r="9" spans="1:32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Y9" t="s">
        <v>186</v>
      </c>
    </row>
    <row r="10" spans="1:32" x14ac:dyDescent="0.25"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Y10" t="s">
        <v>187</v>
      </c>
      <c r="AF10">
        <f>CONVERT(10,"C","F")</f>
        <v>50</v>
      </c>
    </row>
    <row r="11" spans="1:32" x14ac:dyDescent="0.25"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Y11" t="s">
        <v>188</v>
      </c>
    </row>
    <row r="13" spans="1:32" x14ac:dyDescent="0.25"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Y13" t="s">
        <v>189</v>
      </c>
    </row>
    <row r="14" spans="1:32" x14ac:dyDescent="0.25"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Y14" t="s">
        <v>190</v>
      </c>
    </row>
    <row r="16" spans="1:32" x14ac:dyDescent="0.25">
      <c r="Y16" t="s">
        <v>191</v>
      </c>
    </row>
    <row r="17" spans="4:33" x14ac:dyDescent="0.25"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Y17" t="s">
        <v>192</v>
      </c>
    </row>
    <row r="18" spans="4:33" x14ac:dyDescent="0.25"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Y18" t="s">
        <v>193</v>
      </c>
    </row>
    <row r="19" spans="4:33" x14ac:dyDescent="0.25"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4:33" x14ac:dyDescent="0.25"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Y20" t="s">
        <v>194</v>
      </c>
    </row>
    <row r="21" spans="4:33" x14ac:dyDescent="0.25"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Y21" t="s">
        <v>195</v>
      </c>
    </row>
    <row r="22" spans="4:33" x14ac:dyDescent="0.25"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4" spans="4:33" x14ac:dyDescent="0.25">
      <c r="N24" s="51"/>
      <c r="Y24" t="s">
        <v>196</v>
      </c>
      <c r="Z24" t="s">
        <v>198</v>
      </c>
      <c r="AA24" t="s">
        <v>197</v>
      </c>
      <c r="AB24" t="s">
        <v>230</v>
      </c>
      <c r="AD24" t="s">
        <v>226</v>
      </c>
      <c r="AE24">
        <f>INTERCEPT(AB25:AB27,AA25:AA27)</f>
        <v>20.11151496707522</v>
      </c>
    </row>
    <row r="25" spans="4:33" x14ac:dyDescent="0.25">
      <c r="Y25">
        <v>6</v>
      </c>
      <c r="Z25">
        <v>1</v>
      </c>
      <c r="AA25">
        <v>2.4500000000000002</v>
      </c>
      <c r="AB25">
        <f>Results!P24</f>
        <v>12.680075125000009</v>
      </c>
      <c r="AD25" t="s">
        <v>227</v>
      </c>
      <c r="AE25">
        <f>SLOPE(AB25:AB27,AA25:AA27)</f>
        <v>-2.5645895202236857</v>
      </c>
    </row>
    <row r="26" spans="4:33" x14ac:dyDescent="0.25">
      <c r="Y26">
        <v>9</v>
      </c>
      <c r="Z26">
        <v>7</v>
      </c>
      <c r="AA26">
        <v>2.88</v>
      </c>
      <c r="AB26">
        <f>Results!P54</f>
        <v>14.1574421333333</v>
      </c>
    </row>
    <row r="27" spans="4:33" x14ac:dyDescent="0.25">
      <c r="Y27">
        <v>16</v>
      </c>
      <c r="Z27">
        <v>201</v>
      </c>
      <c r="AA27">
        <v>4.62</v>
      </c>
      <c r="AB27">
        <f>Results!P84</f>
        <v>7.9793619166666856</v>
      </c>
    </row>
    <row r="29" spans="4:33" x14ac:dyDescent="0.25">
      <c r="Z29" t="s">
        <v>196</v>
      </c>
      <c r="AA29" t="s">
        <v>197</v>
      </c>
      <c r="AB29" t="s">
        <v>198</v>
      </c>
      <c r="AC29" t="s">
        <v>228</v>
      </c>
      <c r="AD29" t="s">
        <v>231</v>
      </c>
      <c r="AF29">
        <f>MIN(AA30:AA45)</f>
        <v>1.96</v>
      </c>
      <c r="AG29">
        <f>MAX(AA30:AA45)</f>
        <v>4.62</v>
      </c>
    </row>
    <row r="30" spans="4:33" x14ac:dyDescent="0.25">
      <c r="Z30">
        <v>1</v>
      </c>
      <c r="AA30">
        <v>3.11</v>
      </c>
      <c r="AB30">
        <v>69</v>
      </c>
      <c r="AD30">
        <f>$AE$25*AA30+$AE$24</f>
        <v>12.135641559179557</v>
      </c>
    </row>
    <row r="31" spans="4:33" x14ac:dyDescent="0.25">
      <c r="Z31">
        <f>Z30+1</f>
        <v>2</v>
      </c>
      <c r="AA31">
        <v>2.9</v>
      </c>
      <c r="AB31">
        <v>63</v>
      </c>
      <c r="AD31">
        <f t="shared" ref="AD31:AD44" si="0">$AE$25*AA31+$AE$24</f>
        <v>12.674205358426532</v>
      </c>
    </row>
    <row r="32" spans="4:33" x14ac:dyDescent="0.25">
      <c r="Z32">
        <f t="shared" ref="Z32:Z45" si="1">Z31+1</f>
        <v>3</v>
      </c>
      <c r="AA32">
        <v>2.6</v>
      </c>
      <c r="AB32">
        <v>31</v>
      </c>
      <c r="AD32">
        <f t="shared" si="0"/>
        <v>13.443582214493636</v>
      </c>
    </row>
    <row r="33" spans="26:30" x14ac:dyDescent="0.25">
      <c r="Z33">
        <f t="shared" si="1"/>
        <v>4</v>
      </c>
      <c r="AA33">
        <v>2.77</v>
      </c>
      <c r="AB33">
        <v>26</v>
      </c>
      <c r="AD33">
        <f t="shared" si="0"/>
        <v>13.007601996055609</v>
      </c>
    </row>
    <row r="34" spans="26:30" x14ac:dyDescent="0.25">
      <c r="Z34">
        <f t="shared" si="1"/>
        <v>5</v>
      </c>
      <c r="AA34">
        <v>2.75</v>
      </c>
      <c r="AB34">
        <v>21</v>
      </c>
      <c r="AD34">
        <f t="shared" si="0"/>
        <v>13.058893786460084</v>
      </c>
    </row>
    <row r="35" spans="26:30" x14ac:dyDescent="0.25">
      <c r="Z35">
        <f t="shared" si="1"/>
        <v>6</v>
      </c>
      <c r="AA35">
        <v>2.4500000000000002</v>
      </c>
      <c r="AB35">
        <v>1</v>
      </c>
      <c r="AC35">
        <f>Results!P24</f>
        <v>12.680075125000009</v>
      </c>
    </row>
    <row r="36" spans="26:30" x14ac:dyDescent="0.25">
      <c r="Z36">
        <f t="shared" si="1"/>
        <v>7</v>
      </c>
      <c r="AA36">
        <v>1.96</v>
      </c>
      <c r="AB36">
        <v>0</v>
      </c>
      <c r="AD36">
        <f t="shared" si="0"/>
        <v>15.084919507436796</v>
      </c>
    </row>
    <row r="37" spans="26:30" x14ac:dyDescent="0.25">
      <c r="Z37">
        <f t="shared" si="1"/>
        <v>8</v>
      </c>
      <c r="AA37">
        <v>2.4900000000000002</v>
      </c>
      <c r="AB37">
        <v>2</v>
      </c>
      <c r="AD37">
        <f t="shared" si="0"/>
        <v>13.725687061718242</v>
      </c>
    </row>
    <row r="38" spans="26:30" x14ac:dyDescent="0.25">
      <c r="Z38">
        <f t="shared" si="1"/>
        <v>9</v>
      </c>
      <c r="AA38">
        <v>2.88</v>
      </c>
      <c r="AB38">
        <v>7</v>
      </c>
      <c r="AC38">
        <f>Results!P54</f>
        <v>14.1574421333333</v>
      </c>
    </row>
    <row r="39" spans="26:30" x14ac:dyDescent="0.25">
      <c r="Z39">
        <f t="shared" si="1"/>
        <v>10</v>
      </c>
      <c r="AA39">
        <v>3.14</v>
      </c>
      <c r="AB39">
        <v>11</v>
      </c>
      <c r="AD39">
        <f t="shared" si="0"/>
        <v>12.058703873572846</v>
      </c>
    </row>
    <row r="40" spans="26:30" x14ac:dyDescent="0.25">
      <c r="Z40">
        <f>Z39+1</f>
        <v>11</v>
      </c>
      <c r="AA40">
        <v>3.18</v>
      </c>
      <c r="AB40">
        <v>72</v>
      </c>
      <c r="AD40">
        <f t="shared" si="0"/>
        <v>11.956120292763899</v>
      </c>
    </row>
    <row r="41" spans="26:30" x14ac:dyDescent="0.25">
      <c r="Z41">
        <f t="shared" si="1"/>
        <v>12</v>
      </c>
      <c r="AA41">
        <v>3.19</v>
      </c>
      <c r="AB41">
        <v>73</v>
      </c>
      <c r="AD41">
        <f t="shared" si="0"/>
        <v>11.930474397561662</v>
      </c>
    </row>
    <row r="42" spans="26:30" x14ac:dyDescent="0.25">
      <c r="Z42">
        <f t="shared" si="1"/>
        <v>13</v>
      </c>
      <c r="AA42">
        <v>3.02</v>
      </c>
      <c r="AB42">
        <v>65</v>
      </c>
      <c r="AD42">
        <f t="shared" si="0"/>
        <v>12.36645461599969</v>
      </c>
    </row>
    <row r="43" spans="26:30" x14ac:dyDescent="0.25">
      <c r="Z43">
        <f t="shared" si="1"/>
        <v>14</v>
      </c>
      <c r="AA43">
        <v>3.2</v>
      </c>
      <c r="AB43">
        <v>99</v>
      </c>
      <c r="AD43">
        <f t="shared" si="0"/>
        <v>11.904828502359425</v>
      </c>
    </row>
    <row r="44" spans="26:30" x14ac:dyDescent="0.25">
      <c r="Z44">
        <f>Z43+1</f>
        <v>15</v>
      </c>
      <c r="AA44">
        <v>3.11</v>
      </c>
      <c r="AB44">
        <v>3</v>
      </c>
      <c r="AD44">
        <f t="shared" si="0"/>
        <v>12.135641559179557</v>
      </c>
    </row>
    <row r="45" spans="26:30" x14ac:dyDescent="0.25">
      <c r="Z45">
        <f t="shared" si="1"/>
        <v>16</v>
      </c>
      <c r="AA45">
        <v>4.62</v>
      </c>
      <c r="AB45">
        <v>201</v>
      </c>
      <c r="AC45">
        <f>Results!P84</f>
        <v>7.9793619166666856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SummaryResults</vt:lpstr>
      <vt:lpstr>Results</vt:lpstr>
      <vt:lpstr>Notes</vt:lpstr>
      <vt:lpstr>Supporting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 White</dc:creator>
  <cp:lastModifiedBy>Bo White</cp:lastModifiedBy>
  <dcterms:created xsi:type="dcterms:W3CDTF">2018-01-12T00:21:18Z</dcterms:created>
  <dcterms:modified xsi:type="dcterms:W3CDTF">2018-03-21T04:07:13Z</dcterms:modified>
</cp:coreProperties>
</file>