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ashar\OneDrive - Sempra Energy\User Folders\Desktop\"/>
    </mc:Choice>
  </mc:AlternateContent>
  <bookViews>
    <workbookView xWindow="0" yWindow="0" windowWidth="23040" windowHeight="9084"/>
  </bookViews>
  <sheets>
    <sheet name="SCG customer database" sheetId="1" r:id="rId1"/>
    <sheet name="Site-1" sheetId="8" r:id="rId2"/>
    <sheet name="Site-2" sheetId="7" r:id="rId3"/>
    <sheet name="Site-3" sheetId="6" r:id="rId4"/>
    <sheet name="Site-4" sheetId="17" r:id="rId5"/>
    <sheet name="Site-5" sheetId="21" r:id="rId6"/>
    <sheet name="Site-6" sheetId="24" r:id="rId7"/>
    <sheet name="Site-7" sheetId="19" r:id="rId8"/>
    <sheet name="Site-8" sheetId="20" r:id="rId9"/>
    <sheet name="Site-9" sheetId="12" r:id="rId10"/>
    <sheet name="Site-10" sheetId="23" r:id="rId11"/>
    <sheet name="Site-11" sheetId="22" r:id="rId12"/>
    <sheet name="Site-12" sheetId="15" r:id="rId13"/>
    <sheet name="Site-13" sheetId="16" r:id="rId14"/>
    <sheet name="Site-14" sheetId="10" r:id="rId15"/>
  </sheets>
  <calcPr calcId="171027"/>
</workbook>
</file>

<file path=xl/calcChain.xml><?xml version="1.0" encoding="utf-8"?>
<calcChain xmlns="http://schemas.openxmlformats.org/spreadsheetml/2006/main">
  <c r="O42" i="1" l="1"/>
  <c r="K16" i="1" l="1"/>
  <c r="L16" i="1" s="1"/>
  <c r="H16" i="1"/>
  <c r="P49" i="24"/>
  <c r="P50" i="24" s="1"/>
  <c r="Y57" i="24" s="1"/>
  <c r="AA28" i="24"/>
  <c r="AA41" i="24" s="1"/>
  <c r="Y52" i="24" s="1"/>
  <c r="AA16" i="24"/>
  <c r="AA4" i="24"/>
  <c r="O43" i="24"/>
  <c r="Y55" i="24"/>
  <c r="Y54" i="24"/>
  <c r="Y41" i="24"/>
  <c r="X41" i="24"/>
  <c r="W41" i="24"/>
  <c r="V41" i="24"/>
  <c r="U41" i="24"/>
  <c r="T41" i="24"/>
  <c r="S41" i="24"/>
  <c r="R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AB28" i="24"/>
  <c r="AB16" i="24"/>
  <c r="AB4" i="24"/>
  <c r="Y59" i="24" l="1"/>
  <c r="Y60" i="24" s="1"/>
  <c r="I16" i="1" s="1"/>
  <c r="J16" i="1" s="1"/>
  <c r="AB41" i="24"/>
  <c r="N16" i="1" l="1"/>
  <c r="O16" i="1" s="1"/>
  <c r="O41" i="10"/>
  <c r="K31" i="1" s="1"/>
  <c r="L31" i="1" s="1"/>
  <c r="AA28" i="23"/>
  <c r="AA16" i="23"/>
  <c r="AA4" i="23"/>
  <c r="P49" i="23"/>
  <c r="P50" i="23" s="1"/>
  <c r="Y57" i="23" s="1"/>
  <c r="O43" i="23"/>
  <c r="K22" i="1" s="1"/>
  <c r="Y55" i="23"/>
  <c r="Y54" i="23"/>
  <c r="Y41" i="23"/>
  <c r="X41" i="23"/>
  <c r="W41" i="23"/>
  <c r="V41" i="23"/>
  <c r="U41" i="23"/>
  <c r="T41" i="23"/>
  <c r="S41" i="23"/>
  <c r="R41" i="23"/>
  <c r="Q41" i="23"/>
  <c r="P41" i="23"/>
  <c r="O41" i="23"/>
  <c r="N41" i="23"/>
  <c r="M41" i="23"/>
  <c r="L41" i="23"/>
  <c r="K41" i="23"/>
  <c r="J41" i="23"/>
  <c r="I41" i="23"/>
  <c r="H41" i="23"/>
  <c r="G41" i="23"/>
  <c r="F41" i="23"/>
  <c r="AB28" i="23"/>
  <c r="AB16" i="23"/>
  <c r="AB4" i="23"/>
  <c r="O43" i="22"/>
  <c r="K23" i="1"/>
  <c r="AA28" i="22"/>
  <c r="AA16" i="22"/>
  <c r="AA41" i="22" s="1"/>
  <c r="Y52" i="22" s="1"/>
  <c r="AA4" i="22"/>
  <c r="P49" i="22"/>
  <c r="P50" i="22" s="1"/>
  <c r="Y57" i="22" s="1"/>
  <c r="Y55" i="22"/>
  <c r="Y54" i="22"/>
  <c r="Y41" i="22"/>
  <c r="X41" i="22"/>
  <c r="W41" i="22"/>
  <c r="V41" i="22"/>
  <c r="U41" i="22"/>
  <c r="T41" i="22"/>
  <c r="S41" i="22"/>
  <c r="R41" i="22"/>
  <c r="Q41" i="22"/>
  <c r="P41" i="22"/>
  <c r="O41" i="22"/>
  <c r="N41" i="22"/>
  <c r="M41" i="22"/>
  <c r="L41" i="22"/>
  <c r="K41" i="22"/>
  <c r="J41" i="22"/>
  <c r="I41" i="22"/>
  <c r="H41" i="22"/>
  <c r="G41" i="22"/>
  <c r="F41" i="22"/>
  <c r="AB28" i="22"/>
  <c r="AB16" i="22"/>
  <c r="AB4" i="22"/>
  <c r="H22" i="1"/>
  <c r="H23" i="1"/>
  <c r="H24" i="1"/>
  <c r="AB41" i="22" l="1"/>
  <c r="AB41" i="23"/>
  <c r="AA41" i="23"/>
  <c r="Y52" i="23" s="1"/>
  <c r="Y59" i="23" s="1"/>
  <c r="Y60" i="23" s="1"/>
  <c r="I22" i="1" s="1"/>
  <c r="Y59" i="22"/>
  <c r="Y60" i="22" s="1"/>
  <c r="I23" i="1" s="1"/>
  <c r="L22" i="1" l="1"/>
  <c r="J22" i="1"/>
  <c r="N22" i="1" s="1"/>
  <c r="L23" i="1"/>
  <c r="J23" i="1"/>
  <c r="N23" i="1" s="1"/>
  <c r="O43" i="15"/>
  <c r="K24" i="1" s="1"/>
  <c r="L24" i="1" s="1"/>
  <c r="O43" i="16"/>
  <c r="K25" i="1" s="1"/>
  <c r="L25" i="1" s="1"/>
  <c r="O43" i="12"/>
  <c r="K21" i="1" s="1"/>
  <c r="L21" i="1" s="1"/>
  <c r="O43" i="20"/>
  <c r="K18" i="1" s="1"/>
  <c r="L18" i="1" s="1"/>
  <c r="O43" i="19"/>
  <c r="K17" i="1" s="1"/>
  <c r="L17" i="1" s="1"/>
  <c r="O41" i="7"/>
  <c r="K8" i="1" s="1"/>
  <c r="L8" i="1" s="1"/>
  <c r="O41" i="8"/>
  <c r="O43" i="21"/>
  <c r="K15" i="1" s="1"/>
  <c r="L15" i="1" s="1"/>
  <c r="O43" i="17"/>
  <c r="K14" i="1"/>
  <c r="L14" i="1" s="1"/>
  <c r="O41" i="6"/>
  <c r="K9" i="1" s="1"/>
  <c r="L9" i="1" s="1"/>
  <c r="K7" i="1"/>
  <c r="L7" i="1" s="1"/>
  <c r="L35" i="1" l="1"/>
  <c r="O22" i="1"/>
  <c r="O23" i="1" l="1"/>
  <c r="H25" i="1"/>
  <c r="H21" i="1"/>
  <c r="H18" i="1"/>
  <c r="H17" i="1"/>
  <c r="H15" i="1"/>
  <c r="H14" i="1"/>
  <c r="H8" i="1"/>
  <c r="H9" i="1"/>
  <c r="H7" i="1"/>
  <c r="H35" i="1" l="1"/>
  <c r="P49" i="21"/>
  <c r="P50" i="21" s="1"/>
  <c r="Y57" i="21" s="1"/>
  <c r="AA26" i="21"/>
  <c r="AA41" i="21" s="1"/>
  <c r="Y52" i="21" s="1"/>
  <c r="AA14" i="21"/>
  <c r="Y55" i="21"/>
  <c r="Y54" i="21"/>
  <c r="Y41" i="21"/>
  <c r="X41" i="21"/>
  <c r="W41" i="21"/>
  <c r="V41" i="21"/>
  <c r="U41" i="21"/>
  <c r="T41" i="21"/>
  <c r="S41" i="21"/>
  <c r="R41" i="21"/>
  <c r="Q41" i="21"/>
  <c r="P41" i="21"/>
  <c r="O41" i="21"/>
  <c r="N41" i="21"/>
  <c r="M41" i="21"/>
  <c r="L41" i="21"/>
  <c r="K41" i="21"/>
  <c r="J41" i="21"/>
  <c r="I41" i="21"/>
  <c r="H41" i="21"/>
  <c r="G41" i="21"/>
  <c r="F41" i="21"/>
  <c r="AB26" i="21"/>
  <c r="AB14" i="21"/>
  <c r="P49" i="20"/>
  <c r="P50" i="20" s="1"/>
  <c r="Y57" i="20" s="1"/>
  <c r="AA28" i="20"/>
  <c r="AA16" i="20"/>
  <c r="AA4" i="20"/>
  <c r="Y55" i="20"/>
  <c r="Y54" i="20"/>
  <c r="Y41" i="20"/>
  <c r="X41" i="20"/>
  <c r="W41" i="20"/>
  <c r="V41" i="20"/>
  <c r="U41" i="20"/>
  <c r="T41" i="20"/>
  <c r="S41" i="20"/>
  <c r="R41" i="20"/>
  <c r="Q41" i="20"/>
  <c r="P41" i="20"/>
  <c r="O41" i="20"/>
  <c r="N41" i="20"/>
  <c r="M41" i="20"/>
  <c r="L41" i="20"/>
  <c r="K41" i="20"/>
  <c r="J41" i="20"/>
  <c r="I41" i="20"/>
  <c r="H41" i="20"/>
  <c r="G41" i="20"/>
  <c r="F41" i="20"/>
  <c r="AB28" i="20"/>
  <c r="AB16" i="20"/>
  <c r="AB4" i="20"/>
  <c r="P49" i="19"/>
  <c r="P50" i="19" s="1"/>
  <c r="Y57" i="19" s="1"/>
  <c r="AA28" i="19"/>
  <c r="AA41" i="19" s="1"/>
  <c r="Y52" i="19" s="1"/>
  <c r="AA16" i="19"/>
  <c r="AA4" i="19"/>
  <c r="Y55" i="19"/>
  <c r="Y54" i="19"/>
  <c r="Y41" i="19"/>
  <c r="X41" i="19"/>
  <c r="W41" i="19"/>
  <c r="V41" i="19"/>
  <c r="U41" i="19"/>
  <c r="T41" i="19"/>
  <c r="S41" i="19"/>
  <c r="R41" i="19"/>
  <c r="Q41" i="19"/>
  <c r="P41" i="19"/>
  <c r="O41" i="19"/>
  <c r="N41" i="19"/>
  <c r="M41" i="19"/>
  <c r="L41" i="19"/>
  <c r="K41" i="19"/>
  <c r="J41" i="19"/>
  <c r="I41" i="19"/>
  <c r="H41" i="19"/>
  <c r="G41" i="19"/>
  <c r="F41" i="19"/>
  <c r="AB28" i="19"/>
  <c r="AB16" i="19"/>
  <c r="AB4" i="19"/>
  <c r="AB41" i="19" s="1"/>
  <c r="P49" i="17"/>
  <c r="P50" i="17" s="1"/>
  <c r="Y57" i="17" s="1"/>
  <c r="AA28" i="17"/>
  <c r="AA16" i="17"/>
  <c r="AA41" i="17" s="1"/>
  <c r="Y52" i="17" s="1"/>
  <c r="AA4" i="17"/>
  <c r="Y55" i="17"/>
  <c r="Y54" i="17"/>
  <c r="Y41" i="17"/>
  <c r="X41" i="17"/>
  <c r="W41" i="17"/>
  <c r="V41" i="17"/>
  <c r="U41" i="17"/>
  <c r="T41" i="17"/>
  <c r="S41" i="17"/>
  <c r="R41" i="17"/>
  <c r="Q41" i="17"/>
  <c r="P41" i="17"/>
  <c r="O41" i="17"/>
  <c r="N41" i="17"/>
  <c r="M41" i="17"/>
  <c r="L41" i="17"/>
  <c r="K41" i="17"/>
  <c r="J41" i="17"/>
  <c r="I41" i="17"/>
  <c r="H41" i="17"/>
  <c r="G41" i="17"/>
  <c r="F41" i="17"/>
  <c r="AB28" i="17"/>
  <c r="AB16" i="17"/>
  <c r="AB4" i="17"/>
  <c r="AA41" i="20" l="1"/>
  <c r="Y52" i="20" s="1"/>
  <c r="AB41" i="21"/>
  <c r="Y59" i="21"/>
  <c r="Y60" i="21" s="1"/>
  <c r="I15" i="1" s="1"/>
  <c r="J15" i="1" s="1"/>
  <c r="N15" i="1" s="1"/>
  <c r="AB41" i="20"/>
  <c r="Y59" i="20"/>
  <c r="Y60" i="20" s="1"/>
  <c r="I18" i="1" s="1"/>
  <c r="J18" i="1" s="1"/>
  <c r="N18" i="1" s="1"/>
  <c r="Y59" i="19"/>
  <c r="Y60" i="19" s="1"/>
  <c r="I17" i="1" s="1"/>
  <c r="J17" i="1" s="1"/>
  <c r="N17" i="1" s="1"/>
  <c r="AB41" i="17"/>
  <c r="Y59" i="17"/>
  <c r="Y60" i="17" s="1"/>
  <c r="I14" i="1" s="1"/>
  <c r="J14" i="1" s="1"/>
  <c r="N14" i="1" s="1"/>
  <c r="P49" i="16" l="1"/>
  <c r="AB26" i="16"/>
  <c r="AA26" i="16"/>
  <c r="AB14" i="16"/>
  <c r="AA14" i="16"/>
  <c r="AA41" i="16" s="1"/>
  <c r="Y52" i="16" s="1"/>
  <c r="G41" i="16"/>
  <c r="H41" i="16"/>
  <c r="I41" i="16"/>
  <c r="J41" i="16"/>
  <c r="K41" i="16"/>
  <c r="L41" i="16"/>
  <c r="M41" i="16"/>
  <c r="N41" i="16"/>
  <c r="O41" i="16"/>
  <c r="P41" i="16"/>
  <c r="Q41" i="16"/>
  <c r="R41" i="16"/>
  <c r="S41" i="16"/>
  <c r="T41" i="16"/>
  <c r="U41" i="16"/>
  <c r="V41" i="16"/>
  <c r="W41" i="16"/>
  <c r="X41" i="16"/>
  <c r="Y41" i="16"/>
  <c r="F41" i="16"/>
  <c r="Y55" i="16"/>
  <c r="Y54" i="16"/>
  <c r="P50" i="16"/>
  <c r="Y57" i="16" s="1"/>
  <c r="P49" i="15"/>
  <c r="P50" i="15" s="1"/>
  <c r="Y57" i="15" s="1"/>
  <c r="AA28" i="15"/>
  <c r="AA16" i="15"/>
  <c r="AA4" i="15"/>
  <c r="Y55" i="15"/>
  <c r="Y54" i="15"/>
  <c r="Y41" i="15"/>
  <c r="X41" i="15"/>
  <c r="W41" i="15"/>
  <c r="V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H41" i="15"/>
  <c r="G41" i="15"/>
  <c r="F41" i="15"/>
  <c r="AB28" i="15"/>
  <c r="AB16" i="15"/>
  <c r="AA41" i="15"/>
  <c r="Y52" i="15" s="1"/>
  <c r="AB4" i="15"/>
  <c r="P49" i="12"/>
  <c r="AA28" i="12"/>
  <c r="AB28" i="12"/>
  <c r="AB16" i="12"/>
  <c r="AB41" i="12" s="1"/>
  <c r="AA16" i="12"/>
  <c r="AA4" i="12"/>
  <c r="AA41" i="12" s="1"/>
  <c r="AB4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F41" i="12"/>
  <c r="AB41" i="16" l="1"/>
  <c r="Y59" i="16"/>
  <c r="Y60" i="16" s="1"/>
  <c r="I25" i="1" s="1"/>
  <c r="J25" i="1" s="1"/>
  <c r="AB41" i="15"/>
  <c r="Y59" i="15"/>
  <c r="Y60" i="15" s="1"/>
  <c r="I24" i="1" s="1"/>
  <c r="J24" i="1" s="1"/>
  <c r="Y55" i="12"/>
  <c r="Y54" i="12"/>
  <c r="P50" i="12"/>
  <c r="Y57" i="12" s="1"/>
  <c r="Y52" i="12"/>
  <c r="N24" i="1" l="1"/>
  <c r="O24" i="1" s="1"/>
  <c r="N25" i="1"/>
  <c r="O25" i="1" s="1"/>
  <c r="Y59" i="12"/>
  <c r="Y60" i="12" s="1"/>
  <c r="I21" i="1" s="1"/>
  <c r="J21" i="1" s="1"/>
  <c r="N21" i="1" s="1"/>
  <c r="P47" i="10" l="1"/>
  <c r="P48" i="10" s="1"/>
  <c r="Y55" i="10" s="1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U39" i="10"/>
  <c r="V39" i="10"/>
  <c r="W39" i="10"/>
  <c r="X39" i="10"/>
  <c r="Y39" i="10"/>
  <c r="F39" i="10"/>
  <c r="AA26" i="10"/>
  <c r="AA39" i="10"/>
  <c r="Y50" i="10" s="1"/>
  <c r="AB26" i="10"/>
  <c r="AB39" i="10" s="1"/>
  <c r="Y53" i="10"/>
  <c r="Y52" i="10"/>
  <c r="P47" i="6"/>
  <c r="P47" i="8"/>
  <c r="Y57" i="10" l="1"/>
  <c r="Y58" i="10" s="1"/>
  <c r="I31" i="1" s="1"/>
  <c r="J31" i="1" s="1"/>
  <c r="N31" i="1" l="1"/>
  <c r="O31" i="1" s="1"/>
  <c r="AB25" i="8"/>
  <c r="AA25" i="8"/>
  <c r="AB13" i="8"/>
  <c r="AB39" i="8" s="1"/>
  <c r="AA13" i="8"/>
  <c r="AA39" i="8" s="1"/>
  <c r="Y50" i="8" s="1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F39" i="8"/>
  <c r="AB25" i="7"/>
  <c r="AA25" i="7"/>
  <c r="AB13" i="7"/>
  <c r="AA13" i="7"/>
  <c r="AA39" i="7" s="1"/>
  <c r="Y50" i="7" s="1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F39" i="7"/>
  <c r="AA25" i="6"/>
  <c r="AA39" i="6" s="1"/>
  <c r="AA13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F39" i="6"/>
  <c r="AB25" i="6"/>
  <c r="AB13" i="6"/>
  <c r="AB39" i="6" s="1"/>
  <c r="Y53" i="8"/>
  <c r="Y52" i="8"/>
  <c r="P48" i="8"/>
  <c r="Y55" i="8" s="1"/>
  <c r="P47" i="7"/>
  <c r="P48" i="7" s="1"/>
  <c r="Y55" i="7" s="1"/>
  <c r="Y53" i="7"/>
  <c r="Y52" i="7"/>
  <c r="AB39" i="7" l="1"/>
  <c r="Y57" i="8"/>
  <c r="Y58" i="8" s="1"/>
  <c r="I7" i="1" s="1"/>
  <c r="J7" i="1" s="1"/>
  <c r="N7" i="1" s="1"/>
  <c r="Y57" i="7"/>
  <c r="Y58" i="7" s="1"/>
  <c r="Y53" i="6"/>
  <c r="Y52" i="6"/>
  <c r="P48" i="6"/>
  <c r="Y55" i="6" s="1"/>
  <c r="B4" i="6"/>
  <c r="I8" i="1" l="1"/>
  <c r="J8" i="1" s="1"/>
  <c r="N8" i="1" s="1"/>
  <c r="B5" i="6"/>
  <c r="C4" i="6"/>
  <c r="B6" i="6" l="1"/>
  <c r="C5" i="6"/>
  <c r="C6" i="6" l="1"/>
  <c r="B7" i="6"/>
  <c r="C7" i="6" l="1"/>
  <c r="B8" i="6"/>
  <c r="C8" i="6" l="1"/>
  <c r="B9" i="6"/>
  <c r="B10" i="6" l="1"/>
  <c r="C9" i="6"/>
  <c r="B11" i="6" l="1"/>
  <c r="C10" i="6"/>
  <c r="B12" i="6" l="1"/>
  <c r="C11" i="6"/>
  <c r="B13" i="6" l="1"/>
  <c r="C12" i="6"/>
  <c r="B14" i="6" l="1"/>
  <c r="C13" i="6"/>
  <c r="C14" i="6" l="1"/>
  <c r="B15" i="6"/>
  <c r="C15" i="6" l="1"/>
  <c r="B16" i="6"/>
  <c r="C16" i="6" l="1"/>
  <c r="B17" i="6"/>
  <c r="C17" i="6" l="1"/>
  <c r="B18" i="6"/>
  <c r="C18" i="6" l="1"/>
  <c r="B19" i="6"/>
  <c r="B20" i="6" l="1"/>
  <c r="C19" i="6"/>
  <c r="B21" i="6" l="1"/>
  <c r="C20" i="6"/>
  <c r="B22" i="6" l="1"/>
  <c r="C21" i="6"/>
  <c r="C22" i="6" l="1"/>
  <c r="B23" i="6"/>
  <c r="C23" i="6" l="1"/>
  <c r="B24" i="6"/>
  <c r="B25" i="6" l="1"/>
  <c r="C24" i="6"/>
  <c r="C25" i="6" l="1"/>
  <c r="B26" i="6"/>
  <c r="C26" i="6" l="1"/>
  <c r="B27" i="6"/>
  <c r="B28" i="6" l="1"/>
  <c r="C27" i="6"/>
  <c r="B29" i="6" l="1"/>
  <c r="C28" i="6"/>
  <c r="Y50" i="6"/>
  <c r="C29" i="6" l="1"/>
  <c r="B30" i="6"/>
  <c r="C30" i="6" l="1"/>
  <c r="B31" i="6"/>
  <c r="C31" i="6" l="1"/>
  <c r="B32" i="6"/>
  <c r="B33" i="6" l="1"/>
  <c r="C32" i="6"/>
  <c r="C33" i="6" l="1"/>
  <c r="B34" i="6"/>
  <c r="C34" i="6" l="1"/>
  <c r="B35" i="6"/>
  <c r="B36" i="6" l="1"/>
  <c r="C35" i="6"/>
  <c r="B37" i="6" l="1"/>
  <c r="C36" i="6"/>
  <c r="C37" i="6" l="1"/>
  <c r="Y57" i="6" l="1"/>
  <c r="Y58" i="6" s="1"/>
  <c r="I9" i="1" s="1"/>
  <c r="J9" i="1" s="1"/>
  <c r="J35" i="1" l="1"/>
  <c r="N9" i="1"/>
  <c r="O8" i="1"/>
  <c r="O21" i="1" l="1"/>
  <c r="N35" i="1" l="1"/>
  <c r="I35" i="1" s="1"/>
  <c r="O7" i="1"/>
  <c r="O15" i="1"/>
  <c r="O9" i="1"/>
  <c r="O14" i="1"/>
  <c r="O18" i="1"/>
  <c r="O17" i="1"/>
  <c r="O35" i="1" l="1"/>
</calcChain>
</file>

<file path=xl/sharedStrings.xml><?xml version="1.0" encoding="utf-8"?>
<sst xmlns="http://schemas.openxmlformats.org/spreadsheetml/2006/main" count="726" uniqueCount="105">
  <si>
    <t>BA ID</t>
  </si>
  <si>
    <t>Address</t>
  </si>
  <si>
    <t>Size (sq. ft.)</t>
  </si>
  <si>
    <t>GNN ID</t>
  </si>
  <si>
    <t>Pool/Spa heating, therms</t>
  </si>
  <si>
    <t>% space htg load</t>
  </si>
  <si>
    <t>Billing ave annual, therms</t>
  </si>
  <si>
    <t>missing winter gas use</t>
  </si>
  <si>
    <t>SCG Res customers with Pool Heaters</t>
  </si>
  <si>
    <t>missing data</t>
  </si>
  <si>
    <t>average therm used for pool/spa heating</t>
  </si>
  <si>
    <t>THERMS</t>
  </si>
  <si>
    <t xml:space="preserve">Start Date </t>
  </si>
  <si>
    <t>End Date</t>
  </si>
  <si>
    <t>HDD 65</t>
  </si>
  <si>
    <t>HDD 64</t>
  </si>
  <si>
    <t>HDD 63</t>
  </si>
  <si>
    <t>HDD 62</t>
  </si>
  <si>
    <t>HDD 61</t>
  </si>
  <si>
    <t>HDD 60</t>
  </si>
  <si>
    <t>HDD 59</t>
  </si>
  <si>
    <t>HDD 66</t>
  </si>
  <si>
    <t>HDD 67</t>
  </si>
  <si>
    <t>HDD 68</t>
  </si>
  <si>
    <t>HDD 69</t>
  </si>
  <si>
    <t>HDD 70</t>
  </si>
  <si>
    <t>HDD 71</t>
  </si>
  <si>
    <t>HDD 58</t>
  </si>
  <si>
    <t>HDD 57</t>
  </si>
  <si>
    <t>HDD 56</t>
  </si>
  <si>
    <t>HDD 55</t>
  </si>
  <si>
    <t>HDD 54</t>
  </si>
  <si>
    <t>HDD 53</t>
  </si>
  <si>
    <t>HDD 52</t>
  </si>
  <si>
    <t>DD 57</t>
  </si>
  <si>
    <t>therms</t>
  </si>
  <si>
    <t>min</t>
  </si>
  <si>
    <t>max</t>
  </si>
  <si>
    <t>start date</t>
  </si>
  <si>
    <t>end date</t>
  </si>
  <si>
    <t>R2</t>
  </si>
  <si>
    <t>Historic Summer Baseline</t>
  </si>
  <si>
    <t>HDD Design Calc</t>
  </si>
  <si>
    <t>from graph:</t>
  </si>
  <si>
    <t>slope</t>
  </si>
  <si>
    <t>therm/HDD</t>
  </si>
  <si>
    <t>unit note: HHD = day*F</t>
  </si>
  <si>
    <t>design usage at design (btu/h) with existing furnace (% AFUE)</t>
  </si>
  <si>
    <t>design load at design (btu/h)</t>
  </si>
  <si>
    <t>hr/day</t>
  </si>
  <si>
    <t>design deg F from LC</t>
  </si>
  <si>
    <t>DD</t>
  </si>
  <si>
    <t>F-day/yr</t>
  </si>
  <si>
    <t>Ti</t>
  </si>
  <si>
    <t>To</t>
  </si>
  <si>
    <t>eff</t>
  </si>
  <si>
    <t>Btu/CF</t>
  </si>
  <si>
    <t>Btu/hr</t>
  </si>
  <si>
    <t>CF/yr</t>
  </si>
  <si>
    <t>therm/yr</t>
  </si>
  <si>
    <t>DD 62</t>
  </si>
  <si>
    <t>DD 61</t>
  </si>
  <si>
    <t>Space heating</t>
  </si>
  <si>
    <t>count</t>
  </si>
  <si>
    <t>DD 58</t>
  </si>
  <si>
    <t>negative</t>
  </si>
  <si>
    <t>negtive</t>
  </si>
  <si>
    <t>DD 55</t>
  </si>
  <si>
    <t>DD 52</t>
  </si>
  <si>
    <t>DD 59</t>
  </si>
  <si>
    <t>DD 56</t>
  </si>
  <si>
    <t>notes</t>
  </si>
  <si>
    <t>therms total</t>
  </si>
  <si>
    <t>DD 68</t>
  </si>
  <si>
    <t>DD 60</t>
  </si>
  <si>
    <r>
      <t>Space heating, therms</t>
    </r>
    <r>
      <rPr>
        <b/>
        <i/>
        <sz val="12"/>
        <color theme="1"/>
        <rFont val="Calibri"/>
        <family val="2"/>
        <scheme val="minor"/>
      </rPr>
      <t xml:space="preserve"> (from HDD sheets)</t>
    </r>
  </si>
  <si>
    <t>.</t>
  </si>
  <si>
    <t>% Pool &amp; Spa htg load</t>
  </si>
  <si>
    <t>Site-1</t>
  </si>
  <si>
    <t>Site-3</t>
  </si>
  <si>
    <t>Site-2</t>
  </si>
  <si>
    <t>Site-4</t>
  </si>
  <si>
    <t>Site-5</t>
  </si>
  <si>
    <t>Site-6</t>
  </si>
  <si>
    <t>Site-7</t>
  </si>
  <si>
    <t>Site-8</t>
  </si>
  <si>
    <t>Site-9</t>
  </si>
  <si>
    <t>Site-10</t>
  </si>
  <si>
    <t>Site-11</t>
  </si>
  <si>
    <t>Site-12</t>
  </si>
  <si>
    <t>Site-13</t>
  </si>
  <si>
    <t>Site-14</t>
  </si>
  <si>
    <t>2009 RASS estimate for SF Pool heating</t>
  </si>
  <si>
    <t>2009 RASS estimate for SF Spa heating</t>
  </si>
  <si>
    <t>therms/yr</t>
  </si>
  <si>
    <t>Total Pool/Spa heating</t>
  </si>
  <si>
    <t xml:space="preserve"> % DHW htg load + % Misc. load</t>
  </si>
  <si>
    <r>
      <t xml:space="preserve">DHW load + Misc., therms </t>
    </r>
    <r>
      <rPr>
        <b/>
        <i/>
        <sz val="12"/>
        <color theme="1"/>
        <rFont val="Calibri"/>
        <family val="2"/>
        <scheme val="minor"/>
      </rPr>
      <t>(from HDD sheets)</t>
    </r>
  </si>
  <si>
    <t>Therefore, baseline pool/spa heating is verified.</t>
  </si>
  <si>
    <t>N/A</t>
  </si>
  <si>
    <t>City of Irvine</t>
  </si>
  <si>
    <t>City of Palm Desert</t>
  </si>
  <si>
    <t>City of Indian Wells</t>
  </si>
  <si>
    <t>City of Santa Monica</t>
  </si>
  <si>
    <t>City of Newport Beach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</si>
</sst>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"/>
  </numFmts>
  <fonts count="3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3" fillId="10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  <xf numFmtId="9" fontId="3" fillId="0" borderId="0" applyFont="0" applyFill="0" applyBorder="0" applyAlignment="0" applyProtection="0"/>
    <xf numFmtId="0" fontId="25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0" xfId="0" applyFill="1"/>
    <xf numFmtId="1" fontId="0" fillId="0" borderId="0" xfId="0" applyNumberFormat="1"/>
    <xf numFmtId="1" fontId="0" fillId="2" borderId="0" xfId="0" applyNumberFormat="1" applyFill="1"/>
    <xf numFmtId="1" fontId="2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20" fillId="0" borderId="0" xfId="0" applyFont="1" applyFill="1" applyBorder="1" applyAlignment="1">
      <alignment horizontal="center" wrapText="1"/>
    </xf>
    <xf numFmtId="9" fontId="0" fillId="0" borderId="0" xfId="42" applyFont="1"/>
    <xf numFmtId="0" fontId="0" fillId="0" borderId="0" xfId="0" applyAlignment="1">
      <alignment horizontal="center"/>
    </xf>
    <xf numFmtId="0" fontId="0" fillId="35" borderId="0" xfId="0" applyFill="1"/>
    <xf numFmtId="0" fontId="22" fillId="35" borderId="0" xfId="0" applyFont="1" applyFill="1"/>
    <xf numFmtId="0" fontId="23" fillId="35" borderId="0" xfId="0" applyFont="1" applyFill="1"/>
    <xf numFmtId="3" fontId="0" fillId="0" borderId="0" xfId="0" applyNumberFormat="1"/>
    <xf numFmtId="0" fontId="24" fillId="0" borderId="0" xfId="0" applyFont="1"/>
    <xf numFmtId="14" fontId="0" fillId="0" borderId="0" xfId="0" applyNumberFormat="1"/>
    <xf numFmtId="14" fontId="0" fillId="36" borderId="0" xfId="0" applyNumberFormat="1" applyFill="1"/>
    <xf numFmtId="165" fontId="24" fillId="36" borderId="0" xfId="0" applyNumberFormat="1" applyFont="1" applyFill="1"/>
    <xf numFmtId="165" fontId="24" fillId="0" borderId="0" xfId="0" applyNumberFormat="1" applyFont="1"/>
    <xf numFmtId="0" fontId="0" fillId="0" borderId="0" xfId="0" applyFont="1" applyFill="1" applyBorder="1" applyAlignment="1">
      <alignment horizontal="center" wrapText="1"/>
    </xf>
    <xf numFmtId="166" fontId="0" fillId="0" borderId="0" xfId="0" applyNumberFormat="1" applyFont="1" applyFill="1" applyBorder="1" applyAlignment="1">
      <alignment horizontal="right" wrapText="1"/>
    </xf>
    <xf numFmtId="0" fontId="18" fillId="0" borderId="0" xfId="0" applyFont="1" applyAlignment="1">
      <alignment horizontal="right"/>
    </xf>
    <xf numFmtId="0" fontId="26" fillId="0" borderId="0" xfId="43" applyFont="1"/>
    <xf numFmtId="0" fontId="27" fillId="0" borderId="0" xfId="0" applyFont="1"/>
    <xf numFmtId="9" fontId="0" fillId="0" borderId="0" xfId="0" applyNumberFormat="1"/>
    <xf numFmtId="14" fontId="0" fillId="0" borderId="0" xfId="0" applyNumberFormat="1" applyFill="1"/>
    <xf numFmtId="165" fontId="24" fillId="0" borderId="0" xfId="0" applyNumberFormat="1" applyFont="1" applyFill="1"/>
    <xf numFmtId="9" fontId="21" fillId="2" borderId="0" xfId="42" applyFont="1" applyFill="1"/>
    <xf numFmtId="0" fontId="1" fillId="0" borderId="0" xfId="0" applyFont="1" applyBorder="1" applyAlignment="1">
      <alignment horizontal="center"/>
    </xf>
    <xf numFmtId="1" fontId="28" fillId="0" borderId="0" xfId="0" applyNumberFormat="1" applyFont="1" applyFill="1"/>
    <xf numFmtId="164" fontId="0" fillId="0" borderId="0" xfId="0" applyNumberFormat="1" applyAlignment="1">
      <alignment horizontal="center"/>
    </xf>
    <xf numFmtId="9" fontId="0" fillId="0" borderId="0" xfId="42" applyNumberFormat="1" applyFont="1" applyAlignment="1">
      <alignment horizontal="center"/>
    </xf>
    <xf numFmtId="1" fontId="28" fillId="2" borderId="0" xfId="0" applyNumberFormat="1" applyFont="1" applyFill="1"/>
    <xf numFmtId="2" fontId="24" fillId="0" borderId="0" xfId="0" applyNumberFormat="1" applyFont="1" applyFill="1"/>
    <xf numFmtId="2" fontId="24" fillId="0" borderId="0" xfId="0" applyNumberFormat="1" applyFont="1"/>
    <xf numFmtId="0" fontId="0" fillId="37" borderId="0" xfId="0" applyFill="1"/>
    <xf numFmtId="1" fontId="28" fillId="38" borderId="0" xfId="0" applyNumberFormat="1" applyFont="1" applyFill="1"/>
    <xf numFmtId="0" fontId="20" fillId="0" borderId="0" xfId="0" applyFont="1"/>
    <xf numFmtId="0" fontId="1" fillId="38" borderId="0" xfId="0" applyFont="1" applyFill="1"/>
    <xf numFmtId="0" fontId="0" fillId="0" borderId="0" xfId="0" applyAlignment="1">
      <alignment horizontal="left"/>
    </xf>
    <xf numFmtId="0" fontId="30" fillId="0" borderId="0" xfId="0" applyFont="1" applyAlignment="1"/>
    <xf numFmtId="0" fontId="30" fillId="0" borderId="0" xfId="0" applyFont="1" applyAlignment="1">
      <alignment horizontal="left"/>
    </xf>
    <xf numFmtId="0" fontId="31" fillId="0" borderId="0" xfId="0" applyFont="1" applyAlignme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bernard" xfId="43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Site-1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Site 22 - HDD 61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'Site-1'!$J$13:$J$37</c:f>
              <c:numCache>
                <c:formatCode>0.00</c:formatCode>
                <c:ptCount val="25"/>
                <c:pt idx="0">
                  <c:v>0</c:v>
                </c:pt>
                <c:pt idx="1">
                  <c:v>22.899999999999995</c:v>
                </c:pt>
                <c:pt idx="2">
                  <c:v>120.00000000000003</c:v>
                </c:pt>
                <c:pt idx="3">
                  <c:v>98.40000000000002</c:v>
                </c:pt>
                <c:pt idx="4">
                  <c:v>67.099999999999994</c:v>
                </c:pt>
                <c:pt idx="5">
                  <c:v>44.199999999999989</c:v>
                </c:pt>
                <c:pt idx="6">
                  <c:v>50.500000000000007</c:v>
                </c:pt>
                <c:pt idx="7">
                  <c:v>53.899999999999991</c:v>
                </c:pt>
                <c:pt idx="8">
                  <c:v>3.8000000000000003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65.700000000000017</c:v>
                </c:pt>
                <c:pt idx="14">
                  <c:v>151.1</c:v>
                </c:pt>
                <c:pt idx="15">
                  <c:v>132.4</c:v>
                </c:pt>
                <c:pt idx="16">
                  <c:v>62.500000000000007</c:v>
                </c:pt>
                <c:pt idx="17">
                  <c:v>65.8</c:v>
                </c:pt>
                <c:pt idx="18">
                  <c:v>33.5</c:v>
                </c:pt>
                <c:pt idx="19">
                  <c:v>24.7</c:v>
                </c:pt>
                <c:pt idx="20">
                  <c:v>7.3999999999999977</c:v>
                </c:pt>
                <c:pt idx="21">
                  <c:v>0</c:v>
                </c:pt>
                <c:pt idx="22">
                  <c:v>0</c:v>
                </c:pt>
                <c:pt idx="23">
                  <c:v>0.3</c:v>
                </c:pt>
                <c:pt idx="24">
                  <c:v>2.1</c:v>
                </c:pt>
              </c:numCache>
            </c:numRef>
          </c:xVal>
          <c:yVal>
            <c:numRef>
              <c:f>'Site-1'!$D$13:$D$37</c:f>
              <c:numCache>
                <c:formatCode>0.000</c:formatCode>
                <c:ptCount val="25"/>
                <c:pt idx="0">
                  <c:v>11.520000000000003</c:v>
                </c:pt>
                <c:pt idx="1">
                  <c:v>14.920000000000003</c:v>
                </c:pt>
                <c:pt idx="2">
                  <c:v>23.459999999999997</c:v>
                </c:pt>
                <c:pt idx="3">
                  <c:v>25.500000000000004</c:v>
                </c:pt>
                <c:pt idx="4">
                  <c:v>16.84</c:v>
                </c:pt>
                <c:pt idx="5">
                  <c:v>17.079999999999998</c:v>
                </c:pt>
                <c:pt idx="6">
                  <c:v>10.540000000000001</c:v>
                </c:pt>
                <c:pt idx="7">
                  <c:v>13.88</c:v>
                </c:pt>
                <c:pt idx="8">
                  <c:v>11.079999999999998</c:v>
                </c:pt>
                <c:pt idx="9">
                  <c:v>9.379999999999999</c:v>
                </c:pt>
                <c:pt idx="10">
                  <c:v>8.0200000000000014</c:v>
                </c:pt>
                <c:pt idx="11">
                  <c:v>7.9200000000000008</c:v>
                </c:pt>
                <c:pt idx="12">
                  <c:v>8.879999999999999</c:v>
                </c:pt>
                <c:pt idx="13">
                  <c:v>17.780000000000005</c:v>
                </c:pt>
                <c:pt idx="14">
                  <c:v>27.720000000000002</c:v>
                </c:pt>
                <c:pt idx="15">
                  <c:v>27</c:v>
                </c:pt>
                <c:pt idx="16">
                  <c:v>17.900000000000002</c:v>
                </c:pt>
                <c:pt idx="17">
                  <c:v>14.339999999999998</c:v>
                </c:pt>
                <c:pt idx="18">
                  <c:v>14.400000000000004</c:v>
                </c:pt>
                <c:pt idx="19">
                  <c:v>15.300000000000004</c:v>
                </c:pt>
                <c:pt idx="20">
                  <c:v>9.5799999999999983</c:v>
                </c:pt>
                <c:pt idx="21">
                  <c:v>8.5400000000000009</c:v>
                </c:pt>
                <c:pt idx="22">
                  <c:v>7.68</c:v>
                </c:pt>
                <c:pt idx="23">
                  <c:v>7.5199999999999987</c:v>
                </c:pt>
                <c:pt idx="24">
                  <c:v>9.2600000000000016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A8-4A07-94B1-8D5661DDA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347776"/>
        <c:axId val="196382720"/>
      </c:scatterChart>
      <c:valAx>
        <c:axId val="19634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96382720"/>
        <c:crosses val="autoZero"/>
        <c:crossBetween val="midCat"/>
      </c:valAx>
      <c:valAx>
        <c:axId val="196382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347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Site-10</a:t>
            </a:r>
          </a:p>
          <a:p>
            <a:pPr>
              <a:defRPr sz="1600"/>
            </a:pPr>
            <a:endParaRPr lang="en-US"/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60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'Site-10'!$K$4:$K$39</c:f>
              <c:numCache>
                <c:formatCode>0.00</c:formatCode>
                <c:ptCount val="36"/>
                <c:pt idx="0">
                  <c:v>67.099999999999994</c:v>
                </c:pt>
                <c:pt idx="1">
                  <c:v>66.599999999999994</c:v>
                </c:pt>
                <c:pt idx="2">
                  <c:v>27.800000000000004</c:v>
                </c:pt>
                <c:pt idx="3">
                  <c:v>35.6</c:v>
                </c:pt>
                <c:pt idx="4">
                  <c:v>4.3000000000000007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16.800000000000004</c:v>
                </c:pt>
                <c:pt idx="11">
                  <c:v>100.60000000000002</c:v>
                </c:pt>
                <c:pt idx="12">
                  <c:v>80.900000000000006</c:v>
                </c:pt>
                <c:pt idx="13">
                  <c:v>51.100000000000009</c:v>
                </c:pt>
                <c:pt idx="14">
                  <c:v>33.799999999999997</c:v>
                </c:pt>
                <c:pt idx="15">
                  <c:v>36.5</c:v>
                </c:pt>
                <c:pt idx="16">
                  <c:v>36.699999999999989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52.800000000000004</c:v>
                </c:pt>
                <c:pt idx="23">
                  <c:v>130.1</c:v>
                </c:pt>
                <c:pt idx="24">
                  <c:v>108.4</c:v>
                </c:pt>
                <c:pt idx="25">
                  <c:v>50.699999999999989</c:v>
                </c:pt>
                <c:pt idx="26">
                  <c:v>49.499999999999986</c:v>
                </c:pt>
                <c:pt idx="27">
                  <c:v>22.3</c:v>
                </c:pt>
                <c:pt idx="28">
                  <c:v>13.799999999999999</c:v>
                </c:pt>
                <c:pt idx="29">
                  <c:v>3.7</c:v>
                </c:pt>
                <c:pt idx="30">
                  <c:v>0</c:v>
                </c:pt>
                <c:pt idx="31">
                  <c:v>0</c:v>
                </c:pt>
                <c:pt idx="32">
                  <c:v>0.1</c:v>
                </c:pt>
                <c:pt idx="33">
                  <c:v>0.8</c:v>
                </c:pt>
                <c:pt idx="34" formatCode="General">
                  <c:v>41.400000000000006</c:v>
                </c:pt>
                <c:pt idx="35" formatCode="General">
                  <c:v>101.5</c:v>
                </c:pt>
              </c:numCache>
            </c:numRef>
          </c:xVal>
          <c:yVal>
            <c:numRef>
              <c:f>'Site-10'!$D$4:$D$39</c:f>
              <c:numCache>
                <c:formatCode>0.000</c:formatCode>
                <c:ptCount val="36"/>
                <c:pt idx="0">
                  <c:v>81.340000000000032</c:v>
                </c:pt>
                <c:pt idx="1">
                  <c:v>66.900000000000006</c:v>
                </c:pt>
                <c:pt idx="2">
                  <c:v>79.260000000000005</c:v>
                </c:pt>
                <c:pt idx="3">
                  <c:v>44.439999999999991</c:v>
                </c:pt>
                <c:pt idx="4">
                  <c:v>5.36</c:v>
                </c:pt>
                <c:pt idx="5">
                  <c:v>5.2</c:v>
                </c:pt>
                <c:pt idx="6">
                  <c:v>5.38</c:v>
                </c:pt>
                <c:pt idx="7">
                  <c:v>5.36</c:v>
                </c:pt>
                <c:pt idx="8">
                  <c:v>7.1400000000000006</c:v>
                </c:pt>
                <c:pt idx="9">
                  <c:v>44.12</c:v>
                </c:pt>
                <c:pt idx="10">
                  <c:v>49.160000000000004</c:v>
                </c:pt>
                <c:pt idx="11">
                  <c:v>90.980000000000018</c:v>
                </c:pt>
                <c:pt idx="12">
                  <c:v>104.8</c:v>
                </c:pt>
                <c:pt idx="13">
                  <c:v>47.800000000000004</c:v>
                </c:pt>
                <c:pt idx="14">
                  <c:v>34.159999999999982</c:v>
                </c:pt>
                <c:pt idx="15">
                  <c:v>23.32</c:v>
                </c:pt>
                <c:pt idx="16">
                  <c:v>10.299999999999997</c:v>
                </c:pt>
                <c:pt idx="17">
                  <c:v>5.1800000000000006</c:v>
                </c:pt>
                <c:pt idx="18">
                  <c:v>5.32</c:v>
                </c:pt>
                <c:pt idx="19">
                  <c:v>5.36</c:v>
                </c:pt>
                <c:pt idx="20">
                  <c:v>5.1400000000000006</c:v>
                </c:pt>
                <c:pt idx="21">
                  <c:v>6.339999999999999</c:v>
                </c:pt>
                <c:pt idx="22">
                  <c:v>53.91999999999998</c:v>
                </c:pt>
                <c:pt idx="23">
                  <c:v>104.92000000000002</c:v>
                </c:pt>
                <c:pt idx="24">
                  <c:v>88.220000000000013</c:v>
                </c:pt>
                <c:pt idx="25">
                  <c:v>53.79999999999999</c:v>
                </c:pt>
                <c:pt idx="26">
                  <c:v>38.780000000000008</c:v>
                </c:pt>
                <c:pt idx="27">
                  <c:v>32.500000000000007</c:v>
                </c:pt>
                <c:pt idx="28">
                  <c:v>13.559999999999999</c:v>
                </c:pt>
                <c:pt idx="29">
                  <c:v>5.2</c:v>
                </c:pt>
                <c:pt idx="30">
                  <c:v>5.2</c:v>
                </c:pt>
                <c:pt idx="31">
                  <c:v>5.36</c:v>
                </c:pt>
                <c:pt idx="32">
                  <c:v>5.1400000000000006</c:v>
                </c:pt>
                <c:pt idx="33">
                  <c:v>5.3000000000000007</c:v>
                </c:pt>
                <c:pt idx="34" formatCode="General">
                  <c:v>49.64</c:v>
                </c:pt>
                <c:pt idx="35" formatCode="General">
                  <c:v>80.88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22-4418-A81F-2C6B1DFC0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891840"/>
        <c:axId val="227898112"/>
      </c:scatterChart>
      <c:valAx>
        <c:axId val="2278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27898112"/>
        <c:crosses val="autoZero"/>
        <c:crossBetween val="midCat"/>
      </c:valAx>
      <c:valAx>
        <c:axId val="227898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27891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Site-11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68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'Site-11'!$O$4:$O$39</c:f>
              <c:numCache>
                <c:formatCode>0.00</c:formatCode>
                <c:ptCount val="36"/>
                <c:pt idx="0">
                  <c:v>239.39999999999998</c:v>
                </c:pt>
                <c:pt idx="1">
                  <c:v>248.8</c:v>
                </c:pt>
                <c:pt idx="2">
                  <c:v>198.79999999999995</c:v>
                </c:pt>
                <c:pt idx="3">
                  <c:v>192.20000000000005</c:v>
                </c:pt>
                <c:pt idx="4">
                  <c:v>88.600000000000009</c:v>
                </c:pt>
                <c:pt idx="5">
                  <c:v>64.499999999999972</c:v>
                </c:pt>
                <c:pt idx="6">
                  <c:v>7.1</c:v>
                </c:pt>
                <c:pt idx="7">
                  <c:v>13.799999999999999</c:v>
                </c:pt>
                <c:pt idx="8">
                  <c:v>12.2</c:v>
                </c:pt>
                <c:pt idx="9">
                  <c:v>38</c:v>
                </c:pt>
                <c:pt idx="10">
                  <c:v>133.70000000000002</c:v>
                </c:pt>
                <c:pt idx="11">
                  <c:v>302.99999999999994</c:v>
                </c:pt>
                <c:pt idx="12">
                  <c:v>261.2</c:v>
                </c:pt>
                <c:pt idx="13">
                  <c:v>220.89999999999998</c:v>
                </c:pt>
                <c:pt idx="14">
                  <c:v>166.5</c:v>
                </c:pt>
                <c:pt idx="15">
                  <c:v>198.10000000000005</c:v>
                </c:pt>
                <c:pt idx="16">
                  <c:v>234.29999999999998</c:v>
                </c:pt>
                <c:pt idx="17">
                  <c:v>101.8</c:v>
                </c:pt>
                <c:pt idx="18">
                  <c:v>32.1</c:v>
                </c:pt>
                <c:pt idx="19">
                  <c:v>8.3000000000000007</c:v>
                </c:pt>
                <c:pt idx="20">
                  <c:v>2.6</c:v>
                </c:pt>
                <c:pt idx="21">
                  <c:v>12.4</c:v>
                </c:pt>
                <c:pt idx="22">
                  <c:v>202.10000000000005</c:v>
                </c:pt>
                <c:pt idx="23">
                  <c:v>330.4</c:v>
                </c:pt>
                <c:pt idx="24">
                  <c:v>330</c:v>
                </c:pt>
                <c:pt idx="25">
                  <c:v>187</c:v>
                </c:pt>
                <c:pt idx="26">
                  <c:v>237.3</c:v>
                </c:pt>
                <c:pt idx="27">
                  <c:v>168.39999999999998</c:v>
                </c:pt>
                <c:pt idx="28">
                  <c:v>187.30000000000007</c:v>
                </c:pt>
                <c:pt idx="29">
                  <c:v>91.500000000000014</c:v>
                </c:pt>
                <c:pt idx="30">
                  <c:v>21.300000000000004</c:v>
                </c:pt>
                <c:pt idx="31">
                  <c:v>26.799999999999997</c:v>
                </c:pt>
                <c:pt idx="32">
                  <c:v>36.200000000000003</c:v>
                </c:pt>
                <c:pt idx="33">
                  <c:v>80.300000000000011</c:v>
                </c:pt>
                <c:pt idx="34" formatCode="General">
                  <c:v>169.20000000000002</c:v>
                </c:pt>
                <c:pt idx="35" formatCode="General">
                  <c:v>310.29999999999995</c:v>
                </c:pt>
              </c:numCache>
            </c:numRef>
          </c:xVal>
          <c:yVal>
            <c:numRef>
              <c:f>'Site-11'!$D$4:$D$39</c:f>
              <c:numCache>
                <c:formatCode>0.000</c:formatCode>
                <c:ptCount val="36"/>
                <c:pt idx="0">
                  <c:v>169.02000000000004</c:v>
                </c:pt>
                <c:pt idx="1">
                  <c:v>76.52</c:v>
                </c:pt>
                <c:pt idx="2">
                  <c:v>76.399999999999977</c:v>
                </c:pt>
                <c:pt idx="3">
                  <c:v>60.919999999999995</c:v>
                </c:pt>
                <c:pt idx="4">
                  <c:v>35.560000000000009</c:v>
                </c:pt>
                <c:pt idx="5">
                  <c:v>30.22</c:v>
                </c:pt>
                <c:pt idx="6">
                  <c:v>35.599999999999994</c:v>
                </c:pt>
                <c:pt idx="7">
                  <c:v>40.399999999999991</c:v>
                </c:pt>
                <c:pt idx="8">
                  <c:v>42.2</c:v>
                </c:pt>
                <c:pt idx="9">
                  <c:v>53.099999999999994</c:v>
                </c:pt>
                <c:pt idx="10">
                  <c:v>262.45999999999998</c:v>
                </c:pt>
                <c:pt idx="11">
                  <c:v>123.85999999999999</c:v>
                </c:pt>
                <c:pt idx="12">
                  <c:v>204.37999999999997</c:v>
                </c:pt>
                <c:pt idx="13">
                  <c:v>69.239999999999995</c:v>
                </c:pt>
                <c:pt idx="14">
                  <c:v>156.97999999999996</c:v>
                </c:pt>
                <c:pt idx="15">
                  <c:v>59.9</c:v>
                </c:pt>
                <c:pt idx="16">
                  <c:v>114.64000000000001</c:v>
                </c:pt>
                <c:pt idx="17">
                  <c:v>37.399999999999984</c:v>
                </c:pt>
                <c:pt idx="18">
                  <c:v>30.460000000000015</c:v>
                </c:pt>
                <c:pt idx="19">
                  <c:v>31.220000000000002</c:v>
                </c:pt>
                <c:pt idx="20">
                  <c:v>28.340000000000014</c:v>
                </c:pt>
                <c:pt idx="21">
                  <c:v>32.64</c:v>
                </c:pt>
                <c:pt idx="22">
                  <c:v>76.8</c:v>
                </c:pt>
                <c:pt idx="23">
                  <c:v>85.72</c:v>
                </c:pt>
                <c:pt idx="24">
                  <c:v>239.47999999999993</c:v>
                </c:pt>
                <c:pt idx="25">
                  <c:v>94.72</c:v>
                </c:pt>
                <c:pt idx="26">
                  <c:v>73.819999999999993</c:v>
                </c:pt>
                <c:pt idx="27">
                  <c:v>200.62000000000003</c:v>
                </c:pt>
                <c:pt idx="28">
                  <c:v>78.279999999999987</c:v>
                </c:pt>
                <c:pt idx="29">
                  <c:v>34.700000000000003</c:v>
                </c:pt>
                <c:pt idx="30">
                  <c:v>30.600000000000012</c:v>
                </c:pt>
                <c:pt idx="31">
                  <c:v>37.880000000000003</c:v>
                </c:pt>
                <c:pt idx="32">
                  <c:v>53.46</c:v>
                </c:pt>
                <c:pt idx="33">
                  <c:v>75.000000000000014</c:v>
                </c:pt>
                <c:pt idx="34" formatCode="General">
                  <c:v>207.18</c:v>
                </c:pt>
                <c:pt idx="35" formatCode="General">
                  <c:v>156.73999999999998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D9-4AE6-AE59-3089C3058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82880"/>
        <c:axId val="233981440"/>
      </c:scatterChart>
      <c:valAx>
        <c:axId val="23348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33981440"/>
        <c:crosses val="autoZero"/>
        <c:crossBetween val="midCat"/>
      </c:valAx>
      <c:valAx>
        <c:axId val="233981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3482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Site-12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58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'Site-12'!$S$4:$S$39</c:f>
              <c:numCache>
                <c:formatCode>0.00</c:formatCode>
                <c:ptCount val="36"/>
                <c:pt idx="0">
                  <c:v>40.699999999999996</c:v>
                </c:pt>
                <c:pt idx="1">
                  <c:v>37.300000000000004</c:v>
                </c:pt>
                <c:pt idx="2">
                  <c:v>10.199999999999999</c:v>
                </c:pt>
                <c:pt idx="3">
                  <c:v>16.099999999999998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7.9000000000000012</c:v>
                </c:pt>
                <c:pt idx="11">
                  <c:v>68.599999999999994</c:v>
                </c:pt>
                <c:pt idx="12">
                  <c:v>50.999999999999986</c:v>
                </c:pt>
                <c:pt idx="13">
                  <c:v>25.799999999999997</c:v>
                </c:pt>
                <c:pt idx="14">
                  <c:v>18.799999999999997</c:v>
                </c:pt>
                <c:pt idx="15">
                  <c:v>15.799999999999997</c:v>
                </c:pt>
                <c:pt idx="16">
                  <c:v>11.499999999999996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31.899999999999995</c:v>
                </c:pt>
                <c:pt idx="23">
                  <c:v>92.899999999999991</c:v>
                </c:pt>
                <c:pt idx="24">
                  <c:v>67.000000000000014</c:v>
                </c:pt>
                <c:pt idx="25">
                  <c:v>31.399999999999995</c:v>
                </c:pt>
                <c:pt idx="26">
                  <c:v>24.799999999999994</c:v>
                </c:pt>
                <c:pt idx="27">
                  <c:v>7.4</c:v>
                </c:pt>
                <c:pt idx="28">
                  <c:v>2.1</c:v>
                </c:pt>
                <c:pt idx="29">
                  <c:v>0.5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 formatCode="General">
                  <c:v>24.4</c:v>
                </c:pt>
                <c:pt idx="35" formatCode="General">
                  <c:v>66.900000000000006</c:v>
                </c:pt>
              </c:numCache>
            </c:numRef>
          </c:xVal>
          <c:yVal>
            <c:numRef>
              <c:f>'Site-12'!$D$4:$D$39</c:f>
              <c:numCache>
                <c:formatCode>0.000</c:formatCode>
                <c:ptCount val="36"/>
                <c:pt idx="0">
                  <c:v>627.43999999999994</c:v>
                </c:pt>
                <c:pt idx="1">
                  <c:v>208.24</c:v>
                </c:pt>
                <c:pt idx="2">
                  <c:v>68.920000000000016</c:v>
                </c:pt>
                <c:pt idx="3">
                  <c:v>225.33999999999997</c:v>
                </c:pt>
                <c:pt idx="4">
                  <c:v>43.84</c:v>
                </c:pt>
                <c:pt idx="5">
                  <c:v>36.579999999999984</c:v>
                </c:pt>
                <c:pt idx="6">
                  <c:v>33.44</c:v>
                </c:pt>
                <c:pt idx="7">
                  <c:v>37.059999999999995</c:v>
                </c:pt>
                <c:pt idx="8">
                  <c:v>38.72</c:v>
                </c:pt>
                <c:pt idx="9">
                  <c:v>41.160000000000004</c:v>
                </c:pt>
                <c:pt idx="10">
                  <c:v>223.5</c:v>
                </c:pt>
                <c:pt idx="11">
                  <c:v>469.22</c:v>
                </c:pt>
                <c:pt idx="12">
                  <c:v>503.72</c:v>
                </c:pt>
                <c:pt idx="13">
                  <c:v>44.9</c:v>
                </c:pt>
                <c:pt idx="14">
                  <c:v>82.66</c:v>
                </c:pt>
                <c:pt idx="15">
                  <c:v>311.39999999999998</c:v>
                </c:pt>
                <c:pt idx="16">
                  <c:v>37.68</c:v>
                </c:pt>
                <c:pt idx="17">
                  <c:v>29.680000000000003</c:v>
                </c:pt>
                <c:pt idx="18">
                  <c:v>44.000000000000007</c:v>
                </c:pt>
                <c:pt idx="19">
                  <c:v>25.220000000000006</c:v>
                </c:pt>
                <c:pt idx="20">
                  <c:v>25.32</c:v>
                </c:pt>
                <c:pt idx="21">
                  <c:v>25.260000000000009</c:v>
                </c:pt>
                <c:pt idx="22">
                  <c:v>128.46</c:v>
                </c:pt>
                <c:pt idx="23">
                  <c:v>455.47999999999996</c:v>
                </c:pt>
                <c:pt idx="24">
                  <c:v>327.02</c:v>
                </c:pt>
                <c:pt idx="25">
                  <c:v>73.97999999999999</c:v>
                </c:pt>
                <c:pt idx="26">
                  <c:v>22.020000000000003</c:v>
                </c:pt>
                <c:pt idx="27">
                  <c:v>19.680000000000003</c:v>
                </c:pt>
                <c:pt idx="28">
                  <c:v>43.44</c:v>
                </c:pt>
                <c:pt idx="29">
                  <c:v>9.2600000000000016</c:v>
                </c:pt>
                <c:pt idx="30">
                  <c:v>9.5199999999999978</c:v>
                </c:pt>
                <c:pt idx="31">
                  <c:v>9.2799999999999994</c:v>
                </c:pt>
                <c:pt idx="32">
                  <c:v>11.380000000000003</c:v>
                </c:pt>
                <c:pt idx="33">
                  <c:v>9.240000000000002</c:v>
                </c:pt>
                <c:pt idx="34" formatCode="General">
                  <c:v>131.44000000000003</c:v>
                </c:pt>
                <c:pt idx="35" formatCode="General">
                  <c:v>473.55999999999995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63-4C2B-B613-9F7077FD6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17696"/>
        <c:axId val="217928064"/>
      </c:scatterChart>
      <c:valAx>
        <c:axId val="21791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7928064"/>
        <c:crosses val="autoZero"/>
        <c:crossBetween val="midCat"/>
      </c:valAx>
      <c:valAx>
        <c:axId val="217928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7917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Site-13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52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'Site-13'!$Y$14:$Y$37</c:f>
              <c:numCache>
                <c:formatCode>0.00</c:formatCode>
                <c:ptCount val="24"/>
                <c:pt idx="0">
                  <c:v>0</c:v>
                </c:pt>
                <c:pt idx="1">
                  <c:v>15.8</c:v>
                </c:pt>
                <c:pt idx="2">
                  <c:v>10.5</c:v>
                </c:pt>
                <c:pt idx="3">
                  <c:v>1.6</c:v>
                </c:pt>
                <c:pt idx="4">
                  <c:v>2.5000000000000004</c:v>
                </c:pt>
                <c:pt idx="5">
                  <c:v>0.5</c:v>
                </c:pt>
                <c:pt idx="6">
                  <c:v>0.3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26.9</c:v>
                </c:pt>
                <c:pt idx="14">
                  <c:v>9.6999999999999975</c:v>
                </c:pt>
                <c:pt idx="15">
                  <c:v>4.4000000000000004</c:v>
                </c:pt>
                <c:pt idx="16">
                  <c:v>1.6999999999999997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xVal>
          <c:yVal>
            <c:numRef>
              <c:f>'Site-13'!$D$14:$D$37</c:f>
              <c:numCache>
                <c:formatCode>0.000</c:formatCode>
                <c:ptCount val="24"/>
                <c:pt idx="0">
                  <c:v>109.1</c:v>
                </c:pt>
                <c:pt idx="1">
                  <c:v>925.60000000000014</c:v>
                </c:pt>
                <c:pt idx="2">
                  <c:v>368.30000000000007</c:v>
                </c:pt>
                <c:pt idx="3">
                  <c:v>469.69999999999993</c:v>
                </c:pt>
                <c:pt idx="4">
                  <c:v>184.79999999999998</c:v>
                </c:pt>
                <c:pt idx="5">
                  <c:v>5.2999999999999989</c:v>
                </c:pt>
                <c:pt idx="12">
                  <c:v>0</c:v>
                </c:pt>
                <c:pt idx="13">
                  <c:v>887.70000000000016</c:v>
                </c:pt>
                <c:pt idx="14">
                  <c:v>276.09999999999991</c:v>
                </c:pt>
                <c:pt idx="15">
                  <c:v>138</c:v>
                </c:pt>
                <c:pt idx="16">
                  <c:v>498.30000000000007</c:v>
                </c:pt>
                <c:pt idx="17">
                  <c:v>420.69999999999993</c:v>
                </c:pt>
                <c:pt idx="18">
                  <c:v>242.1</c:v>
                </c:pt>
                <c:pt idx="19">
                  <c:v>26.7</c:v>
                </c:pt>
                <c:pt idx="20">
                  <c:v>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19-4EDE-8F16-47CECF6C4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429696"/>
        <c:axId val="218612096"/>
      </c:scatterChart>
      <c:valAx>
        <c:axId val="21842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8612096"/>
        <c:crosses val="autoZero"/>
        <c:crossBetween val="midCat"/>
      </c:valAx>
      <c:valAx>
        <c:axId val="218612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8429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Site-14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Site 14 - HDD 64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'Site-14'!$G$26:$G$37</c:f>
              <c:numCache>
                <c:formatCode>0.00</c:formatCode>
                <c:ptCount val="12"/>
                <c:pt idx="0">
                  <c:v>114.40000000000003</c:v>
                </c:pt>
                <c:pt idx="1">
                  <c:v>222.20000000000002</c:v>
                </c:pt>
                <c:pt idx="2">
                  <c:v>213.50000000000003</c:v>
                </c:pt>
                <c:pt idx="3">
                  <c:v>107.89999999999998</c:v>
                </c:pt>
                <c:pt idx="4">
                  <c:v>130.6</c:v>
                </c:pt>
                <c:pt idx="5">
                  <c:v>81.200000000000017</c:v>
                </c:pt>
                <c:pt idx="6">
                  <c:v>81.299999999999983</c:v>
                </c:pt>
                <c:pt idx="7">
                  <c:v>30.599999999999998</c:v>
                </c:pt>
                <c:pt idx="8">
                  <c:v>0</c:v>
                </c:pt>
                <c:pt idx="9">
                  <c:v>1.7</c:v>
                </c:pt>
                <c:pt idx="10">
                  <c:v>4.1999999999999993</c:v>
                </c:pt>
                <c:pt idx="11">
                  <c:v>19.2</c:v>
                </c:pt>
              </c:numCache>
            </c:numRef>
          </c:xVal>
          <c:yVal>
            <c:numRef>
              <c:f>'Site-14'!$D$26:$D$37</c:f>
              <c:numCache>
                <c:formatCode>0.000</c:formatCode>
                <c:ptCount val="12"/>
                <c:pt idx="0">
                  <c:v>119.04000000000002</c:v>
                </c:pt>
                <c:pt idx="1">
                  <c:v>182.82000000000002</c:v>
                </c:pt>
                <c:pt idx="2">
                  <c:v>195.36000000000004</c:v>
                </c:pt>
                <c:pt idx="3">
                  <c:v>119.69999999999999</c:v>
                </c:pt>
                <c:pt idx="4">
                  <c:v>129.13999999999999</c:v>
                </c:pt>
                <c:pt idx="5">
                  <c:v>109.62000000000003</c:v>
                </c:pt>
                <c:pt idx="6">
                  <c:v>89.519999999999968</c:v>
                </c:pt>
                <c:pt idx="7">
                  <c:v>55.160000000000011</c:v>
                </c:pt>
                <c:pt idx="8">
                  <c:v>41.679999999999993</c:v>
                </c:pt>
                <c:pt idx="9">
                  <c:v>48.46</c:v>
                </c:pt>
                <c:pt idx="10">
                  <c:v>53.70000000000001</c:v>
                </c:pt>
                <c:pt idx="11">
                  <c:v>70.34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33-44FB-9F51-474CD5832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518464"/>
        <c:axId val="217520384"/>
      </c:scatterChart>
      <c:valAx>
        <c:axId val="21751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7520384"/>
        <c:crosses val="autoZero"/>
        <c:crossBetween val="midCat"/>
      </c:valAx>
      <c:valAx>
        <c:axId val="217520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7518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Site-2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Site 22 - HDD 61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'Site-2'!$I$13:$I$37</c:f>
              <c:numCache>
                <c:formatCode>0.00</c:formatCode>
                <c:ptCount val="25"/>
                <c:pt idx="0">
                  <c:v>1</c:v>
                </c:pt>
                <c:pt idx="1">
                  <c:v>30.599999999999994</c:v>
                </c:pt>
                <c:pt idx="2">
                  <c:v>142.10000000000002</c:v>
                </c:pt>
                <c:pt idx="3">
                  <c:v>117.69999999999997</c:v>
                </c:pt>
                <c:pt idx="4">
                  <c:v>85.399999999999991</c:v>
                </c:pt>
                <c:pt idx="5">
                  <c:v>57.29999999999999</c:v>
                </c:pt>
                <c:pt idx="6">
                  <c:v>67.5</c:v>
                </c:pt>
                <c:pt idx="7">
                  <c:v>74.300000000000011</c:v>
                </c:pt>
                <c:pt idx="8">
                  <c:v>9.2999999999999972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80.399999999999991</c:v>
                </c:pt>
                <c:pt idx="14">
                  <c:v>173.50000000000003</c:v>
                </c:pt>
                <c:pt idx="15">
                  <c:v>158.60000000000002</c:v>
                </c:pt>
                <c:pt idx="16">
                  <c:v>75.899999999999991</c:v>
                </c:pt>
                <c:pt idx="17">
                  <c:v>85.899999999999991</c:v>
                </c:pt>
                <c:pt idx="18">
                  <c:v>47.9</c:v>
                </c:pt>
                <c:pt idx="19">
                  <c:v>40.79999999999999</c:v>
                </c:pt>
                <c:pt idx="20">
                  <c:v>12.999999999999998</c:v>
                </c:pt>
                <c:pt idx="21">
                  <c:v>0</c:v>
                </c:pt>
                <c:pt idx="22">
                  <c:v>0</c:v>
                </c:pt>
                <c:pt idx="23">
                  <c:v>0.8</c:v>
                </c:pt>
                <c:pt idx="24">
                  <c:v>4.5000000000000009</c:v>
                </c:pt>
              </c:numCache>
            </c:numRef>
          </c:xVal>
          <c:yVal>
            <c:numRef>
              <c:f>'Site-2'!$D$13:$D$37</c:f>
              <c:numCache>
                <c:formatCode>0.000</c:formatCode>
                <c:ptCount val="25"/>
                <c:pt idx="0">
                  <c:v>17.100000000000001</c:v>
                </c:pt>
                <c:pt idx="1">
                  <c:v>19.5</c:v>
                </c:pt>
                <c:pt idx="2">
                  <c:v>42.780000000000008</c:v>
                </c:pt>
                <c:pt idx="3">
                  <c:v>47.099999999999994</c:v>
                </c:pt>
                <c:pt idx="4">
                  <c:v>22.14</c:v>
                </c:pt>
                <c:pt idx="5">
                  <c:v>25.680000000000003</c:v>
                </c:pt>
                <c:pt idx="6">
                  <c:v>28.7</c:v>
                </c:pt>
                <c:pt idx="7">
                  <c:v>47.84</c:v>
                </c:pt>
                <c:pt idx="8">
                  <c:v>30.339999999999996</c:v>
                </c:pt>
                <c:pt idx="9">
                  <c:v>15.72</c:v>
                </c:pt>
                <c:pt idx="10">
                  <c:v>12.12</c:v>
                </c:pt>
                <c:pt idx="11">
                  <c:v>19.080000000000005</c:v>
                </c:pt>
                <c:pt idx="12">
                  <c:v>24.700000000000003</c:v>
                </c:pt>
                <c:pt idx="13">
                  <c:v>37.619999999999997</c:v>
                </c:pt>
                <c:pt idx="14">
                  <c:v>68.12</c:v>
                </c:pt>
                <c:pt idx="15">
                  <c:v>58.97999999999999</c:v>
                </c:pt>
                <c:pt idx="16">
                  <c:v>45.54</c:v>
                </c:pt>
                <c:pt idx="17">
                  <c:v>38.96</c:v>
                </c:pt>
                <c:pt idx="18">
                  <c:v>32.019999999999996</c:v>
                </c:pt>
                <c:pt idx="19">
                  <c:v>33.64</c:v>
                </c:pt>
                <c:pt idx="20">
                  <c:v>35.300000000000004</c:v>
                </c:pt>
                <c:pt idx="21">
                  <c:v>26.900000000000009</c:v>
                </c:pt>
                <c:pt idx="22">
                  <c:v>22.299999999999994</c:v>
                </c:pt>
                <c:pt idx="23">
                  <c:v>26.880000000000006</c:v>
                </c:pt>
                <c:pt idx="24">
                  <c:v>28.700000000000003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09-45F2-BC33-BC1D64B64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396160"/>
        <c:axId val="196398080"/>
      </c:scatterChart>
      <c:valAx>
        <c:axId val="19639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96398080"/>
        <c:crosses val="autoZero"/>
        <c:crossBetween val="midCat"/>
      </c:valAx>
      <c:valAx>
        <c:axId val="196398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396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Site-3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Site 22 - HDD 58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'Site-3'!$S$13:$S$36</c:f>
              <c:numCache>
                <c:formatCode>0.00</c:formatCode>
                <c:ptCount val="24"/>
                <c:pt idx="0">
                  <c:v>0</c:v>
                </c:pt>
                <c:pt idx="1">
                  <c:v>7.9000000000000012</c:v>
                </c:pt>
                <c:pt idx="2">
                  <c:v>68.599999999999994</c:v>
                </c:pt>
                <c:pt idx="3">
                  <c:v>50.999999999999986</c:v>
                </c:pt>
                <c:pt idx="4">
                  <c:v>25.799999999999997</c:v>
                </c:pt>
                <c:pt idx="5">
                  <c:v>18.799999999999997</c:v>
                </c:pt>
                <c:pt idx="6">
                  <c:v>15.799999999999997</c:v>
                </c:pt>
                <c:pt idx="7">
                  <c:v>11.499999999999996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31.899999999999995</c:v>
                </c:pt>
                <c:pt idx="14">
                  <c:v>92.899999999999991</c:v>
                </c:pt>
                <c:pt idx="15">
                  <c:v>67.000000000000014</c:v>
                </c:pt>
                <c:pt idx="16">
                  <c:v>31.399999999999995</c:v>
                </c:pt>
                <c:pt idx="17">
                  <c:v>24.799999999999994</c:v>
                </c:pt>
                <c:pt idx="18">
                  <c:v>7.4</c:v>
                </c:pt>
                <c:pt idx="19">
                  <c:v>2.1</c:v>
                </c:pt>
                <c:pt idx="20">
                  <c:v>0.5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xVal>
          <c:yVal>
            <c:numRef>
              <c:f>'Site-3'!$D$13:$D$36</c:f>
              <c:numCache>
                <c:formatCode>0.000</c:formatCode>
                <c:ptCount val="24"/>
                <c:pt idx="0">
                  <c:v>22.8</c:v>
                </c:pt>
                <c:pt idx="1">
                  <c:v>26.880000000000003</c:v>
                </c:pt>
                <c:pt idx="2">
                  <c:v>50.879999999999995</c:v>
                </c:pt>
                <c:pt idx="3">
                  <c:v>51.500000000000007</c:v>
                </c:pt>
                <c:pt idx="4">
                  <c:v>32.72</c:v>
                </c:pt>
                <c:pt idx="5">
                  <c:v>33.340000000000011</c:v>
                </c:pt>
                <c:pt idx="6">
                  <c:v>27.279999999999998</c:v>
                </c:pt>
                <c:pt idx="7">
                  <c:v>28.780000000000005</c:v>
                </c:pt>
                <c:pt idx="8">
                  <c:v>21.82</c:v>
                </c:pt>
                <c:pt idx="9">
                  <c:v>22.879999999999995</c:v>
                </c:pt>
                <c:pt idx="10">
                  <c:v>19.739999999999998</c:v>
                </c:pt>
                <c:pt idx="11">
                  <c:v>18.96</c:v>
                </c:pt>
                <c:pt idx="12">
                  <c:v>22.259999999999994</c:v>
                </c:pt>
                <c:pt idx="13">
                  <c:v>37.04</c:v>
                </c:pt>
                <c:pt idx="14">
                  <c:v>75.880000000000024</c:v>
                </c:pt>
                <c:pt idx="15">
                  <c:v>63.98</c:v>
                </c:pt>
                <c:pt idx="16">
                  <c:v>35.6</c:v>
                </c:pt>
                <c:pt idx="17">
                  <c:v>31.18</c:v>
                </c:pt>
                <c:pt idx="18">
                  <c:v>17.899999999999995</c:v>
                </c:pt>
                <c:pt idx="19">
                  <c:v>21.92</c:v>
                </c:pt>
                <c:pt idx="20">
                  <c:v>22.32</c:v>
                </c:pt>
                <c:pt idx="21">
                  <c:v>21.280000000000005</c:v>
                </c:pt>
                <c:pt idx="22">
                  <c:v>24.419999999999998</c:v>
                </c:pt>
                <c:pt idx="23">
                  <c:v>22.119999999999997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3C-4673-9D39-C8EFB410F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95360"/>
        <c:axId val="204897280"/>
      </c:scatterChart>
      <c:valAx>
        <c:axId val="20489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04897280"/>
        <c:crosses val="autoZero"/>
        <c:crossBetween val="midCat"/>
      </c:valAx>
      <c:valAx>
        <c:axId val="204897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4895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Site-4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59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'Site-4'!$L$4:$L$39</c:f>
              <c:numCache>
                <c:formatCode>0.00</c:formatCode>
                <c:ptCount val="36"/>
                <c:pt idx="0">
                  <c:v>52.599999999999987</c:v>
                </c:pt>
                <c:pt idx="1">
                  <c:v>50.499999999999993</c:v>
                </c:pt>
                <c:pt idx="2">
                  <c:v>16.799999999999994</c:v>
                </c:pt>
                <c:pt idx="3">
                  <c:v>24.5</c:v>
                </c:pt>
                <c:pt idx="4">
                  <c:v>2.1999999999999997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12.099999999999998</c:v>
                </c:pt>
                <c:pt idx="11">
                  <c:v>83.300000000000011</c:v>
                </c:pt>
                <c:pt idx="12">
                  <c:v>64.8</c:v>
                </c:pt>
                <c:pt idx="13">
                  <c:v>36.700000000000003</c:v>
                </c:pt>
                <c:pt idx="14">
                  <c:v>25.7</c:v>
                </c:pt>
                <c:pt idx="15">
                  <c:v>25.29999999999999</c:v>
                </c:pt>
                <c:pt idx="16">
                  <c:v>21.6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41.70000000000001</c:v>
                </c:pt>
                <c:pt idx="23">
                  <c:v>110.2</c:v>
                </c:pt>
                <c:pt idx="24">
                  <c:v>86.200000000000031</c:v>
                </c:pt>
                <c:pt idx="25">
                  <c:v>39.900000000000013</c:v>
                </c:pt>
                <c:pt idx="26">
                  <c:v>35.299999999999997</c:v>
                </c:pt>
                <c:pt idx="27">
                  <c:v>12.9</c:v>
                </c:pt>
                <c:pt idx="28">
                  <c:v>6.2999999999999989</c:v>
                </c:pt>
                <c:pt idx="29">
                  <c:v>1.7000000000000002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0.1</c:v>
                </c:pt>
                <c:pt idx="34" formatCode="General">
                  <c:v>32.4</c:v>
                </c:pt>
                <c:pt idx="35" formatCode="General">
                  <c:v>83.200000000000017</c:v>
                </c:pt>
              </c:numCache>
            </c:numRef>
          </c:xVal>
          <c:yVal>
            <c:numRef>
              <c:f>'Site-4'!$D$4:$D$39</c:f>
              <c:numCache>
                <c:formatCode>0.000</c:formatCode>
                <c:ptCount val="36"/>
                <c:pt idx="0">
                  <c:v>96.020000000000024</c:v>
                </c:pt>
                <c:pt idx="1">
                  <c:v>43.700000000000017</c:v>
                </c:pt>
                <c:pt idx="2">
                  <c:v>12.92</c:v>
                </c:pt>
                <c:pt idx="3">
                  <c:v>8.5400000000000009</c:v>
                </c:pt>
                <c:pt idx="4">
                  <c:v>9.6599999999999984</c:v>
                </c:pt>
                <c:pt idx="5">
                  <c:v>7.56</c:v>
                </c:pt>
                <c:pt idx="6">
                  <c:v>6.8999999999999986</c:v>
                </c:pt>
                <c:pt idx="7">
                  <c:v>8.44</c:v>
                </c:pt>
                <c:pt idx="8">
                  <c:v>7.24</c:v>
                </c:pt>
                <c:pt idx="9">
                  <c:v>8.7799999999999994</c:v>
                </c:pt>
                <c:pt idx="10">
                  <c:v>32.64</c:v>
                </c:pt>
                <c:pt idx="11">
                  <c:v>120.48000000000003</c:v>
                </c:pt>
                <c:pt idx="12">
                  <c:v>103.83999999999996</c:v>
                </c:pt>
                <c:pt idx="13">
                  <c:v>27.84</c:v>
                </c:pt>
                <c:pt idx="14">
                  <c:v>22.44</c:v>
                </c:pt>
                <c:pt idx="15">
                  <c:v>91.419999999999987</c:v>
                </c:pt>
                <c:pt idx="16">
                  <c:v>57.919999999999952</c:v>
                </c:pt>
                <c:pt idx="17">
                  <c:v>9.5</c:v>
                </c:pt>
                <c:pt idx="18">
                  <c:v>8.66</c:v>
                </c:pt>
                <c:pt idx="19">
                  <c:v>7.6599999999999993</c:v>
                </c:pt>
                <c:pt idx="20">
                  <c:v>16.760000000000002</c:v>
                </c:pt>
                <c:pt idx="21">
                  <c:v>100.08000000000006</c:v>
                </c:pt>
                <c:pt idx="22">
                  <c:v>190.98</c:v>
                </c:pt>
                <c:pt idx="23">
                  <c:v>136.45999999999998</c:v>
                </c:pt>
                <c:pt idx="24">
                  <c:v>125.46000000000001</c:v>
                </c:pt>
                <c:pt idx="25">
                  <c:v>51.780000000000008</c:v>
                </c:pt>
                <c:pt idx="26">
                  <c:v>11</c:v>
                </c:pt>
                <c:pt idx="27">
                  <c:v>56.239999999999995</c:v>
                </c:pt>
                <c:pt idx="28">
                  <c:v>111.97999999999998</c:v>
                </c:pt>
                <c:pt idx="29">
                  <c:v>8.5600000000000023</c:v>
                </c:pt>
                <c:pt idx="30">
                  <c:v>7.6</c:v>
                </c:pt>
                <c:pt idx="31">
                  <c:v>8.0200000000000014</c:v>
                </c:pt>
                <c:pt idx="32">
                  <c:v>8.240000000000002</c:v>
                </c:pt>
                <c:pt idx="33">
                  <c:v>8.9400000000000013</c:v>
                </c:pt>
                <c:pt idx="34" formatCode="General">
                  <c:v>35.880000000000003</c:v>
                </c:pt>
                <c:pt idx="35" formatCode="General">
                  <c:v>132.44000000000003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ED-466B-BEC3-435AADF24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22240"/>
        <c:axId val="204948992"/>
      </c:scatterChart>
      <c:valAx>
        <c:axId val="20492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04948992"/>
        <c:crosses val="autoZero"/>
        <c:crossBetween val="midCat"/>
      </c:valAx>
      <c:valAx>
        <c:axId val="204948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4922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Site-5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56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'Site-5'!$U$14:$U$37</c:f>
              <c:numCache>
                <c:formatCode>0.00</c:formatCode>
                <c:ptCount val="24"/>
                <c:pt idx="0">
                  <c:v>2.2999999999999998</c:v>
                </c:pt>
                <c:pt idx="1">
                  <c:v>44.9</c:v>
                </c:pt>
                <c:pt idx="2">
                  <c:v>29.7</c:v>
                </c:pt>
                <c:pt idx="3">
                  <c:v>12.499999999999998</c:v>
                </c:pt>
                <c:pt idx="4">
                  <c:v>9.9000000000000021</c:v>
                </c:pt>
                <c:pt idx="5">
                  <c:v>5.6000000000000005</c:v>
                </c:pt>
                <c:pt idx="6">
                  <c:v>3.0000000000000004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17</c:v>
                </c:pt>
                <c:pt idx="13">
                  <c:v>64.100000000000009</c:v>
                </c:pt>
                <c:pt idx="14">
                  <c:v>39.100000000000009</c:v>
                </c:pt>
                <c:pt idx="15">
                  <c:v>18.399999999999999</c:v>
                </c:pt>
                <c:pt idx="16">
                  <c:v>11.299999999999999</c:v>
                </c:pt>
                <c:pt idx="17">
                  <c:v>2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xVal>
          <c:yVal>
            <c:numRef>
              <c:f>'Site-5'!$D$14:$D$37</c:f>
              <c:numCache>
                <c:formatCode>General</c:formatCode>
                <c:ptCount val="24"/>
                <c:pt idx="0">
                  <c:v>8.84</c:v>
                </c:pt>
                <c:pt idx="1">
                  <c:v>14.36</c:v>
                </c:pt>
                <c:pt idx="2" formatCode="0.000">
                  <c:v>28.06</c:v>
                </c:pt>
                <c:pt idx="3" formatCode="0.000">
                  <c:v>9.24</c:v>
                </c:pt>
                <c:pt idx="4" formatCode="0.000">
                  <c:v>10.44</c:v>
                </c:pt>
                <c:pt idx="5" formatCode="0.000">
                  <c:v>6.979999999999996</c:v>
                </c:pt>
                <c:pt idx="6" formatCode="0.000">
                  <c:v>4.5400000000000009</c:v>
                </c:pt>
                <c:pt idx="7" formatCode="0.000">
                  <c:v>8.5799999999999983</c:v>
                </c:pt>
                <c:pt idx="8" formatCode="0.000">
                  <c:v>8.9400000000000013</c:v>
                </c:pt>
                <c:pt idx="9" formatCode="0.000">
                  <c:v>7.4200000000000008</c:v>
                </c:pt>
                <c:pt idx="10" formatCode="0.000">
                  <c:v>7.4000000000000012</c:v>
                </c:pt>
                <c:pt idx="11" formatCode="0.000">
                  <c:v>8.7999999999999989</c:v>
                </c:pt>
                <c:pt idx="12" formatCode="0.000">
                  <c:v>12.380000000000004</c:v>
                </c:pt>
                <c:pt idx="13" formatCode="0.000">
                  <c:v>36.460000000000008</c:v>
                </c:pt>
                <c:pt idx="14" formatCode="0.000">
                  <c:v>37.04</c:v>
                </c:pt>
                <c:pt idx="15" formatCode="0.000">
                  <c:v>17.580000000000002</c:v>
                </c:pt>
                <c:pt idx="16" formatCode="0.000">
                  <c:v>9.6599999999999984</c:v>
                </c:pt>
                <c:pt idx="17" formatCode="0.000">
                  <c:v>10.319999999999999</c:v>
                </c:pt>
                <c:pt idx="18" formatCode="0.000">
                  <c:v>11.679999999999998</c:v>
                </c:pt>
                <c:pt idx="19" formatCode="0.000">
                  <c:v>8.7399999999999984</c:v>
                </c:pt>
                <c:pt idx="20" formatCode="0.000">
                  <c:v>8.6199999999999992</c:v>
                </c:pt>
                <c:pt idx="21" formatCode="0.000">
                  <c:v>9.2399999999999984</c:v>
                </c:pt>
                <c:pt idx="22" formatCode="0.000">
                  <c:v>11.379999999999999</c:v>
                </c:pt>
                <c:pt idx="23" formatCode="0.000">
                  <c:v>11.020000000000001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1-4C7D-8AA4-6807EC9BC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40544"/>
        <c:axId val="213746816"/>
      </c:scatterChart>
      <c:valAx>
        <c:axId val="21374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3746816"/>
        <c:crosses val="autoZero"/>
        <c:crossBetween val="midCat"/>
      </c:valAx>
      <c:valAx>
        <c:axId val="213746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740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Site-6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68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'Site-6'!$O$4:$O$39</c:f>
              <c:numCache>
                <c:formatCode>0.00</c:formatCode>
                <c:ptCount val="36"/>
                <c:pt idx="0">
                  <c:v>239.39999999999998</c:v>
                </c:pt>
                <c:pt idx="1">
                  <c:v>248.8</c:v>
                </c:pt>
                <c:pt idx="2">
                  <c:v>198.79999999999995</c:v>
                </c:pt>
                <c:pt idx="3">
                  <c:v>192.20000000000005</c:v>
                </c:pt>
                <c:pt idx="4">
                  <c:v>88.600000000000009</c:v>
                </c:pt>
                <c:pt idx="5">
                  <c:v>64.499999999999972</c:v>
                </c:pt>
                <c:pt idx="6">
                  <c:v>7.1</c:v>
                </c:pt>
                <c:pt idx="7">
                  <c:v>13.799999999999999</c:v>
                </c:pt>
                <c:pt idx="8">
                  <c:v>12.2</c:v>
                </c:pt>
                <c:pt idx="9">
                  <c:v>38</c:v>
                </c:pt>
                <c:pt idx="10">
                  <c:v>133.70000000000002</c:v>
                </c:pt>
                <c:pt idx="11">
                  <c:v>302.99999999999994</c:v>
                </c:pt>
                <c:pt idx="12">
                  <c:v>261.2</c:v>
                </c:pt>
                <c:pt idx="13">
                  <c:v>220.89999999999998</c:v>
                </c:pt>
                <c:pt idx="14">
                  <c:v>166.5</c:v>
                </c:pt>
                <c:pt idx="15">
                  <c:v>198.10000000000005</c:v>
                </c:pt>
                <c:pt idx="16">
                  <c:v>234.29999999999998</c:v>
                </c:pt>
                <c:pt idx="17">
                  <c:v>101.8</c:v>
                </c:pt>
                <c:pt idx="18">
                  <c:v>32.1</c:v>
                </c:pt>
                <c:pt idx="19">
                  <c:v>8.3000000000000007</c:v>
                </c:pt>
                <c:pt idx="20">
                  <c:v>2.6</c:v>
                </c:pt>
                <c:pt idx="21">
                  <c:v>12.4</c:v>
                </c:pt>
                <c:pt idx="22">
                  <c:v>202.10000000000005</c:v>
                </c:pt>
                <c:pt idx="23">
                  <c:v>330.4</c:v>
                </c:pt>
                <c:pt idx="24">
                  <c:v>330</c:v>
                </c:pt>
                <c:pt idx="25">
                  <c:v>187</c:v>
                </c:pt>
                <c:pt idx="26">
                  <c:v>237.3</c:v>
                </c:pt>
                <c:pt idx="27">
                  <c:v>168.39999999999998</c:v>
                </c:pt>
                <c:pt idx="28">
                  <c:v>187.30000000000007</c:v>
                </c:pt>
                <c:pt idx="29">
                  <c:v>91.500000000000014</c:v>
                </c:pt>
                <c:pt idx="30">
                  <c:v>21.300000000000004</c:v>
                </c:pt>
                <c:pt idx="31">
                  <c:v>26.799999999999997</c:v>
                </c:pt>
                <c:pt idx="32">
                  <c:v>36.200000000000003</c:v>
                </c:pt>
                <c:pt idx="33">
                  <c:v>80.300000000000011</c:v>
                </c:pt>
                <c:pt idx="34" formatCode="General">
                  <c:v>169.20000000000002</c:v>
                </c:pt>
                <c:pt idx="35" formatCode="General">
                  <c:v>310.29999999999995</c:v>
                </c:pt>
              </c:numCache>
            </c:numRef>
          </c:xVal>
          <c:yVal>
            <c:numRef>
              <c:f>'Site-6'!$D$4:$D$39</c:f>
              <c:numCache>
                <c:formatCode>0.00</c:formatCode>
                <c:ptCount val="36"/>
                <c:pt idx="0">
                  <c:v>330.42</c:v>
                </c:pt>
                <c:pt idx="1">
                  <c:v>249.73999999999998</c:v>
                </c:pt>
                <c:pt idx="2">
                  <c:v>108.33999999999999</c:v>
                </c:pt>
                <c:pt idx="3">
                  <c:v>381.32000000000022</c:v>
                </c:pt>
                <c:pt idx="4">
                  <c:v>187.16000000000003</c:v>
                </c:pt>
                <c:pt idx="5">
                  <c:v>37.76</c:v>
                </c:pt>
                <c:pt idx="6">
                  <c:v>40.139999999999993</c:v>
                </c:pt>
                <c:pt idx="7">
                  <c:v>46.22</c:v>
                </c:pt>
                <c:pt idx="8">
                  <c:v>29.899999999999995</c:v>
                </c:pt>
                <c:pt idx="9">
                  <c:v>48.160000000000004</c:v>
                </c:pt>
                <c:pt idx="10">
                  <c:v>414.78</c:v>
                </c:pt>
                <c:pt idx="11">
                  <c:v>146.07999999999998</c:v>
                </c:pt>
                <c:pt idx="12">
                  <c:v>187.74</c:v>
                </c:pt>
                <c:pt idx="13">
                  <c:v>59.019999999999996</c:v>
                </c:pt>
                <c:pt idx="14">
                  <c:v>324.85999999999996</c:v>
                </c:pt>
                <c:pt idx="15">
                  <c:v>296.23999999999995</c:v>
                </c:pt>
                <c:pt idx="16">
                  <c:v>52.039999999999985</c:v>
                </c:pt>
                <c:pt idx="17">
                  <c:v>42.2</c:v>
                </c:pt>
                <c:pt idx="18">
                  <c:v>37.26</c:v>
                </c:pt>
                <c:pt idx="19">
                  <c:v>29.619999999999994</c:v>
                </c:pt>
                <c:pt idx="20">
                  <c:v>41.319999999999993</c:v>
                </c:pt>
                <c:pt idx="21">
                  <c:v>36.920000000000009</c:v>
                </c:pt>
                <c:pt idx="22">
                  <c:v>557.67999999999995</c:v>
                </c:pt>
                <c:pt idx="23">
                  <c:v>298.61999999999995</c:v>
                </c:pt>
                <c:pt idx="24">
                  <c:v>146.43999999999997</c:v>
                </c:pt>
                <c:pt idx="25">
                  <c:v>807.38</c:v>
                </c:pt>
                <c:pt idx="26">
                  <c:v>56.400000000000013</c:v>
                </c:pt>
                <c:pt idx="27">
                  <c:v>40.900000000000013</c:v>
                </c:pt>
                <c:pt idx="28">
                  <c:v>218.54000000000002</c:v>
                </c:pt>
                <c:pt idx="29">
                  <c:v>34.340000000000003</c:v>
                </c:pt>
                <c:pt idx="30">
                  <c:v>33.46</c:v>
                </c:pt>
                <c:pt idx="31">
                  <c:v>37.600000000000009</c:v>
                </c:pt>
                <c:pt idx="32">
                  <c:v>34.06</c:v>
                </c:pt>
                <c:pt idx="33">
                  <c:v>49.460000000000008</c:v>
                </c:pt>
                <c:pt idx="34" formatCode="General">
                  <c:v>70.78</c:v>
                </c:pt>
                <c:pt idx="35" formatCode="General">
                  <c:v>113.22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ED-40DF-9C24-BF8E81FC7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731776"/>
        <c:axId val="228630912"/>
      </c:scatterChart>
      <c:valAx>
        <c:axId val="23473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28630912"/>
        <c:crosses val="autoZero"/>
        <c:crossBetween val="midCat"/>
      </c:valAx>
      <c:valAx>
        <c:axId val="228630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34731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Site-7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58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'Site-7'!$S$4:$S$39</c:f>
              <c:numCache>
                <c:formatCode>0.00</c:formatCode>
                <c:ptCount val="36"/>
                <c:pt idx="0">
                  <c:v>40.699999999999996</c:v>
                </c:pt>
                <c:pt idx="1">
                  <c:v>37.300000000000004</c:v>
                </c:pt>
                <c:pt idx="2">
                  <c:v>10.199999999999999</c:v>
                </c:pt>
                <c:pt idx="3">
                  <c:v>16.099999999999998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7.9000000000000012</c:v>
                </c:pt>
                <c:pt idx="11">
                  <c:v>68.599999999999994</c:v>
                </c:pt>
                <c:pt idx="12">
                  <c:v>50.999999999999986</c:v>
                </c:pt>
                <c:pt idx="13">
                  <c:v>25.799999999999997</c:v>
                </c:pt>
                <c:pt idx="14">
                  <c:v>18.799999999999997</c:v>
                </c:pt>
                <c:pt idx="15">
                  <c:v>15.799999999999997</c:v>
                </c:pt>
                <c:pt idx="16">
                  <c:v>11.499999999999996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31.899999999999995</c:v>
                </c:pt>
                <c:pt idx="23">
                  <c:v>92.899999999999991</c:v>
                </c:pt>
                <c:pt idx="24">
                  <c:v>67.000000000000014</c:v>
                </c:pt>
                <c:pt idx="25">
                  <c:v>31.399999999999995</c:v>
                </c:pt>
                <c:pt idx="26">
                  <c:v>24.799999999999994</c:v>
                </c:pt>
                <c:pt idx="27">
                  <c:v>7.4</c:v>
                </c:pt>
                <c:pt idx="28">
                  <c:v>2.1</c:v>
                </c:pt>
                <c:pt idx="29">
                  <c:v>0.5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 formatCode="General">
                  <c:v>24.4</c:v>
                </c:pt>
                <c:pt idx="35" formatCode="General">
                  <c:v>66.900000000000006</c:v>
                </c:pt>
              </c:numCache>
            </c:numRef>
          </c:xVal>
          <c:yVal>
            <c:numRef>
              <c:f>'Site-7'!$D$4:$D$39</c:f>
              <c:numCache>
                <c:formatCode>0.000</c:formatCode>
                <c:ptCount val="36"/>
                <c:pt idx="0">
                  <c:v>60.74</c:v>
                </c:pt>
                <c:pt idx="1">
                  <c:v>27.640000000000004</c:v>
                </c:pt>
                <c:pt idx="2">
                  <c:v>13.799999999999999</c:v>
                </c:pt>
                <c:pt idx="3">
                  <c:v>10.18</c:v>
                </c:pt>
                <c:pt idx="4">
                  <c:v>9.26</c:v>
                </c:pt>
                <c:pt idx="5">
                  <c:v>7.1</c:v>
                </c:pt>
                <c:pt idx="6">
                  <c:v>6.120000000000001</c:v>
                </c:pt>
                <c:pt idx="7">
                  <c:v>4.82</c:v>
                </c:pt>
                <c:pt idx="8">
                  <c:v>5.3800000000000008</c:v>
                </c:pt>
                <c:pt idx="9">
                  <c:v>8.7800000000000011</c:v>
                </c:pt>
                <c:pt idx="10">
                  <c:v>13.180000000000001</c:v>
                </c:pt>
                <c:pt idx="11">
                  <c:v>53.499999999999993</c:v>
                </c:pt>
                <c:pt idx="12">
                  <c:v>42.720000000000013</c:v>
                </c:pt>
                <c:pt idx="13">
                  <c:v>10.9</c:v>
                </c:pt>
                <c:pt idx="14">
                  <c:v>21.020000000000007</c:v>
                </c:pt>
                <c:pt idx="15">
                  <c:v>9.0000000000000018</c:v>
                </c:pt>
                <c:pt idx="16">
                  <c:v>15.880000000000003</c:v>
                </c:pt>
                <c:pt idx="17">
                  <c:v>10.200000000000001</c:v>
                </c:pt>
                <c:pt idx="18">
                  <c:v>9.4799999999999986</c:v>
                </c:pt>
                <c:pt idx="19">
                  <c:v>9.3400000000000016</c:v>
                </c:pt>
                <c:pt idx="20">
                  <c:v>10.320000000000002</c:v>
                </c:pt>
                <c:pt idx="21">
                  <c:v>13.480000000000002</c:v>
                </c:pt>
                <c:pt idx="22">
                  <c:v>17.940000000000001</c:v>
                </c:pt>
                <c:pt idx="23">
                  <c:v>57.020000000000017</c:v>
                </c:pt>
                <c:pt idx="24">
                  <c:v>57.28</c:v>
                </c:pt>
                <c:pt idx="25">
                  <c:v>25.119999999999997</c:v>
                </c:pt>
                <c:pt idx="26">
                  <c:v>16.059999999999995</c:v>
                </c:pt>
                <c:pt idx="27">
                  <c:v>13.440000000000001</c:v>
                </c:pt>
                <c:pt idx="28">
                  <c:v>12.959999999999999</c:v>
                </c:pt>
                <c:pt idx="29">
                  <c:v>9.6600000000000019</c:v>
                </c:pt>
                <c:pt idx="30">
                  <c:v>9.2600000000000016</c:v>
                </c:pt>
                <c:pt idx="31">
                  <c:v>9.0400000000000009</c:v>
                </c:pt>
                <c:pt idx="32">
                  <c:v>10.000000000000002</c:v>
                </c:pt>
                <c:pt idx="33">
                  <c:v>12.560000000000002</c:v>
                </c:pt>
                <c:pt idx="34" formatCode="General">
                  <c:v>17.660000000000004</c:v>
                </c:pt>
                <c:pt idx="35" formatCode="General">
                  <c:v>50.940000000000005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E3-4279-B608-6DD375EB0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951232"/>
        <c:axId val="215982080"/>
      </c:scatterChart>
      <c:valAx>
        <c:axId val="21595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5982080"/>
        <c:crosses val="autoZero"/>
        <c:crossBetween val="midCat"/>
      </c:valAx>
      <c:valAx>
        <c:axId val="215982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5951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Site-8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57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'Site-8'!$T$4:$T$39</c:f>
              <c:numCache>
                <c:formatCode>0.00</c:formatCode>
                <c:ptCount val="36"/>
                <c:pt idx="0">
                  <c:v>30.3</c:v>
                </c:pt>
                <c:pt idx="1">
                  <c:v>26.8</c:v>
                </c:pt>
                <c:pt idx="2">
                  <c:v>5.0999999999999996</c:v>
                </c:pt>
                <c:pt idx="3">
                  <c:v>10.199999999999998</c:v>
                </c:pt>
                <c:pt idx="4">
                  <c:v>0.30000000000000004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4.5000000000000009</c:v>
                </c:pt>
                <c:pt idx="11">
                  <c:v>55.800000000000004</c:v>
                </c:pt>
                <c:pt idx="12">
                  <c:v>39.300000000000004</c:v>
                </c:pt>
                <c:pt idx="13">
                  <c:v>17.8</c:v>
                </c:pt>
                <c:pt idx="14">
                  <c:v>13.899999999999997</c:v>
                </c:pt>
                <c:pt idx="15">
                  <c:v>9.1999999999999993</c:v>
                </c:pt>
                <c:pt idx="16">
                  <c:v>5.4999999999999982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23.7</c:v>
                </c:pt>
                <c:pt idx="23">
                  <c:v>77.40000000000002</c:v>
                </c:pt>
                <c:pt idx="24">
                  <c:v>50.79999999999999</c:v>
                </c:pt>
                <c:pt idx="25">
                  <c:v>24.100000000000005</c:v>
                </c:pt>
                <c:pt idx="26">
                  <c:v>16.899999999999999</c:v>
                </c:pt>
                <c:pt idx="27">
                  <c:v>3.8</c:v>
                </c:pt>
                <c:pt idx="28">
                  <c:v>0.5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 formatCode="General">
                  <c:v>18.100000000000001</c:v>
                </c:pt>
                <c:pt idx="35" formatCode="General">
                  <c:v>53</c:v>
                </c:pt>
              </c:numCache>
            </c:numRef>
          </c:xVal>
          <c:yVal>
            <c:numRef>
              <c:f>'Site-8'!$D$4:$D$39</c:f>
              <c:numCache>
                <c:formatCode>0.000</c:formatCode>
                <c:ptCount val="36"/>
                <c:pt idx="0">
                  <c:v>61.11999999999999</c:v>
                </c:pt>
                <c:pt idx="1">
                  <c:v>31.759999999999994</c:v>
                </c:pt>
                <c:pt idx="2">
                  <c:v>14.9</c:v>
                </c:pt>
                <c:pt idx="3">
                  <c:v>15.8</c:v>
                </c:pt>
                <c:pt idx="4">
                  <c:v>13.34</c:v>
                </c:pt>
                <c:pt idx="5">
                  <c:v>8.7799999999999994</c:v>
                </c:pt>
                <c:pt idx="6">
                  <c:v>6.0399999999999991</c:v>
                </c:pt>
                <c:pt idx="7">
                  <c:v>9</c:v>
                </c:pt>
                <c:pt idx="8">
                  <c:v>8.4600000000000009</c:v>
                </c:pt>
                <c:pt idx="9">
                  <c:v>10.440000000000001</c:v>
                </c:pt>
                <c:pt idx="10">
                  <c:v>23.439999999999994</c:v>
                </c:pt>
                <c:pt idx="11">
                  <c:v>95.5</c:v>
                </c:pt>
                <c:pt idx="12">
                  <c:v>97.340000000000018</c:v>
                </c:pt>
                <c:pt idx="13">
                  <c:v>35.18</c:v>
                </c:pt>
                <c:pt idx="14">
                  <c:v>31.86</c:v>
                </c:pt>
                <c:pt idx="15">
                  <c:v>14.22</c:v>
                </c:pt>
                <c:pt idx="16">
                  <c:v>15.96</c:v>
                </c:pt>
                <c:pt idx="17">
                  <c:v>9.52</c:v>
                </c:pt>
                <c:pt idx="18">
                  <c:v>12.98</c:v>
                </c:pt>
                <c:pt idx="19">
                  <c:v>5.9399999999999995</c:v>
                </c:pt>
                <c:pt idx="20">
                  <c:v>21.500000000000004</c:v>
                </c:pt>
                <c:pt idx="21">
                  <c:v>23.84</c:v>
                </c:pt>
                <c:pt idx="22">
                  <c:v>75.94</c:v>
                </c:pt>
                <c:pt idx="23">
                  <c:v>111.76000000000003</c:v>
                </c:pt>
                <c:pt idx="24">
                  <c:v>108.58</c:v>
                </c:pt>
                <c:pt idx="25">
                  <c:v>46.36</c:v>
                </c:pt>
                <c:pt idx="26">
                  <c:v>33.54</c:v>
                </c:pt>
                <c:pt idx="27">
                  <c:v>26.780000000000005</c:v>
                </c:pt>
                <c:pt idx="28">
                  <c:v>31.080000000000002</c:v>
                </c:pt>
                <c:pt idx="29">
                  <c:v>20.46</c:v>
                </c:pt>
                <c:pt idx="30">
                  <c:v>16.62</c:v>
                </c:pt>
                <c:pt idx="31">
                  <c:v>16.760000000000002</c:v>
                </c:pt>
                <c:pt idx="32">
                  <c:v>18.019999999999996</c:v>
                </c:pt>
                <c:pt idx="33">
                  <c:v>23.499999999999996</c:v>
                </c:pt>
                <c:pt idx="34" formatCode="General">
                  <c:v>34.479999999999997</c:v>
                </c:pt>
                <c:pt idx="35" formatCode="General">
                  <c:v>81.280000000000015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5D-414C-8CF1-C305EFE83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00448"/>
        <c:axId val="217402368"/>
      </c:scatterChart>
      <c:valAx>
        <c:axId val="21740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7402368"/>
        <c:crosses val="autoZero"/>
        <c:crossBetween val="midCat"/>
      </c:valAx>
      <c:valAx>
        <c:axId val="217402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7400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Site-9</a:t>
            </a:r>
          </a:p>
        </c:rich>
      </c:tx>
      <c:layout>
        <c:manualLayout>
          <c:xMode val="edge"/>
          <c:yMode val="edge"/>
          <c:x val="0.38191997976874154"/>
          <c:y val="1.5594539995451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642990709335"/>
          <c:y val="8.9302194679781469E-2"/>
          <c:w val="0.81011057696627087"/>
          <c:h val="0.80449383070174452"/>
        </c:manualLayout>
      </c:layout>
      <c:scatterChart>
        <c:scatterStyle val="lineMarker"/>
        <c:varyColors val="0"/>
        <c:ser>
          <c:idx val="0"/>
          <c:order val="0"/>
          <c:tx>
            <c:v>HDD 55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9996667315912854"/>
                  <c:y val="6.665510583996092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/>
                  </a:pPr>
                  <a:endParaRPr lang="en-US"/>
                </a:p>
              </c:txPr>
            </c:trendlineLbl>
          </c:trendline>
          <c:xVal>
            <c:numRef>
              <c:f>'Site-9'!$V$4:$V$39</c:f>
              <c:numCache>
                <c:formatCode>0.00</c:formatCode>
                <c:ptCount val="36"/>
                <c:pt idx="0">
                  <c:v>15.200000000000001</c:v>
                </c:pt>
                <c:pt idx="1">
                  <c:v>12.799999999999999</c:v>
                </c:pt>
                <c:pt idx="2">
                  <c:v>1.1000000000000001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1.2</c:v>
                </c:pt>
                <c:pt idx="11">
                  <c:v>35.400000000000006</c:v>
                </c:pt>
                <c:pt idx="12">
                  <c:v>22.5</c:v>
                </c:pt>
                <c:pt idx="13">
                  <c:v>8.4999999999999982</c:v>
                </c:pt>
                <c:pt idx="14">
                  <c:v>7.5</c:v>
                </c:pt>
                <c:pt idx="15">
                  <c:v>3.4</c:v>
                </c:pt>
                <c:pt idx="16">
                  <c:v>1.4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11.8</c:v>
                </c:pt>
                <c:pt idx="23">
                  <c:v>52.599999999999994</c:v>
                </c:pt>
                <c:pt idx="24">
                  <c:v>29.400000000000006</c:v>
                </c:pt>
                <c:pt idx="25">
                  <c:v>13.899999999999997</c:v>
                </c:pt>
                <c:pt idx="26">
                  <c:v>7.4</c:v>
                </c:pt>
                <c:pt idx="27">
                  <c:v>0.79999999999999993</c:v>
                </c:pt>
                <c:pt idx="28">
                  <c:v>0.1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 formatCode="General">
                  <c:v>9.5</c:v>
                </c:pt>
                <c:pt idx="35" formatCode="General">
                  <c:v>31.7</c:v>
                </c:pt>
              </c:numCache>
            </c:numRef>
          </c:xVal>
          <c:yVal>
            <c:numRef>
              <c:f>'Site-9'!$D$4:$D$39</c:f>
              <c:numCache>
                <c:formatCode>0.000</c:formatCode>
                <c:ptCount val="36"/>
                <c:pt idx="0">
                  <c:v>44.32</c:v>
                </c:pt>
                <c:pt idx="1">
                  <c:v>36.120000000000005</c:v>
                </c:pt>
                <c:pt idx="2">
                  <c:v>19.320000000000004</c:v>
                </c:pt>
                <c:pt idx="3">
                  <c:v>13.88</c:v>
                </c:pt>
                <c:pt idx="4">
                  <c:v>14.160000000000004</c:v>
                </c:pt>
                <c:pt idx="5">
                  <c:v>9.7800000000000011</c:v>
                </c:pt>
                <c:pt idx="6">
                  <c:v>11.4</c:v>
                </c:pt>
                <c:pt idx="7">
                  <c:v>10.160000000000002</c:v>
                </c:pt>
                <c:pt idx="8">
                  <c:v>11.48</c:v>
                </c:pt>
                <c:pt idx="9">
                  <c:v>14.6</c:v>
                </c:pt>
                <c:pt idx="10">
                  <c:v>13.12</c:v>
                </c:pt>
                <c:pt idx="11">
                  <c:v>79.179999999999993</c:v>
                </c:pt>
                <c:pt idx="12">
                  <c:v>68.840000000000018</c:v>
                </c:pt>
                <c:pt idx="13">
                  <c:v>26.380000000000003</c:v>
                </c:pt>
                <c:pt idx="14">
                  <c:v>25.840000000000003</c:v>
                </c:pt>
                <c:pt idx="15">
                  <c:v>13.92</c:v>
                </c:pt>
                <c:pt idx="16">
                  <c:v>12.980000000000004</c:v>
                </c:pt>
                <c:pt idx="17">
                  <c:v>11.2</c:v>
                </c:pt>
                <c:pt idx="18">
                  <c:v>9.52</c:v>
                </c:pt>
                <c:pt idx="19">
                  <c:v>11.940000000000003</c:v>
                </c:pt>
                <c:pt idx="20">
                  <c:v>10.46</c:v>
                </c:pt>
                <c:pt idx="21">
                  <c:v>11.82</c:v>
                </c:pt>
                <c:pt idx="22">
                  <c:v>38.32</c:v>
                </c:pt>
                <c:pt idx="23">
                  <c:v>115.22000000000001</c:v>
                </c:pt>
                <c:pt idx="24">
                  <c:v>98.74</c:v>
                </c:pt>
                <c:pt idx="25">
                  <c:v>36.839999999999996</c:v>
                </c:pt>
                <c:pt idx="26">
                  <c:v>16.360000000000003</c:v>
                </c:pt>
                <c:pt idx="27">
                  <c:v>9.6800000000000015</c:v>
                </c:pt>
                <c:pt idx="28">
                  <c:v>11.280000000000001</c:v>
                </c:pt>
                <c:pt idx="29">
                  <c:v>10.48</c:v>
                </c:pt>
                <c:pt idx="30">
                  <c:v>9.759999999999998</c:v>
                </c:pt>
                <c:pt idx="31">
                  <c:v>9.7200000000000024</c:v>
                </c:pt>
                <c:pt idx="32">
                  <c:v>10.900000000000002</c:v>
                </c:pt>
                <c:pt idx="33">
                  <c:v>10.8</c:v>
                </c:pt>
                <c:pt idx="34" formatCode="General">
                  <c:v>20.14</c:v>
                </c:pt>
                <c:pt idx="35" formatCode="General">
                  <c:v>61.839999999999996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3C-4EF8-8193-01F0A9DB5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69312"/>
        <c:axId val="217875584"/>
      </c:scatterChart>
      <c:valAx>
        <c:axId val="21786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HDD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7875584"/>
        <c:crosses val="autoZero"/>
        <c:crossBetween val="midCat"/>
      </c:valAx>
      <c:valAx>
        <c:axId val="217875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Therms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7869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10</xdr:col>
      <xdr:colOff>450849</xdr:colOff>
      <xdr:row>62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10</xdr:col>
      <xdr:colOff>450849</xdr:colOff>
      <xdr:row>62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10</xdr:col>
      <xdr:colOff>450849</xdr:colOff>
      <xdr:row>62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10</xdr:col>
      <xdr:colOff>450849</xdr:colOff>
      <xdr:row>62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10</xdr:col>
      <xdr:colOff>450849</xdr:colOff>
      <xdr:row>64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C1" workbookViewId="0">
      <pane xSplit="4" ySplit="4" topLeftCell="G5" activePane="bottomRight" state="frozen"/>
      <selection activeCell="C1" sqref="C1"/>
      <selection pane="topRight" activeCell="F1" sqref="F1"/>
      <selection pane="bottomLeft" activeCell="C6" sqref="C6"/>
      <selection pane="bottomRight" activeCell="V20" sqref="V20"/>
    </sheetView>
  </sheetViews>
  <sheetFormatPr defaultRowHeight="14.4" x14ac:dyDescent="0.3"/>
  <cols>
    <col min="1" max="1" width="11" style="15" bestFit="1" customWidth="1"/>
    <col min="2" max="2" width="12.6640625" style="15" customWidth="1"/>
    <col min="3" max="3" width="2.77734375" style="15" customWidth="1"/>
    <col min="4" max="4" width="18.6640625" customWidth="1"/>
    <col min="5" max="5" width="10.6640625" customWidth="1"/>
    <col min="6" max="6" width="12.109375" customWidth="1"/>
    <col min="7" max="7" width="9" customWidth="1"/>
    <col min="8" max="8" width="8.88671875" customWidth="1"/>
    <col min="9" max="9" width="14.77734375" style="15" customWidth="1"/>
    <col min="10" max="10" width="9.33203125" customWidth="1"/>
    <col min="11" max="11" width="13.21875" customWidth="1"/>
    <col min="12" max="12" width="10.77734375" customWidth="1"/>
    <col min="13" max="13" width="11.109375" customWidth="1"/>
    <col min="15" max="15" width="10.21875" customWidth="1"/>
  </cols>
  <sheetData>
    <row r="1" spans="1:15" ht="32.549999999999997" customHeight="1" x14ac:dyDescent="0.45">
      <c r="D1" s="17" t="s">
        <v>8</v>
      </c>
      <c r="E1" s="18"/>
      <c r="F1" s="18"/>
    </row>
    <row r="2" spans="1:15" ht="10.95" customHeight="1" x14ac:dyDescent="0.3"/>
    <row r="4" spans="1:15" ht="60.6" customHeight="1" x14ac:dyDescent="0.3">
      <c r="A4" s="1" t="s">
        <v>3</v>
      </c>
      <c r="B4" s="1" t="s">
        <v>0</v>
      </c>
      <c r="C4" s="1"/>
      <c r="D4" s="1" t="s">
        <v>1</v>
      </c>
      <c r="E4" s="1" t="s">
        <v>2</v>
      </c>
      <c r="F4" s="8" t="s">
        <v>6</v>
      </c>
      <c r="G4" s="8" t="s">
        <v>71</v>
      </c>
      <c r="H4" s="10" t="s">
        <v>72</v>
      </c>
      <c r="I4" s="8" t="s">
        <v>75</v>
      </c>
      <c r="J4" s="13" t="s">
        <v>5</v>
      </c>
      <c r="K4" s="8" t="s">
        <v>97</v>
      </c>
      <c r="L4" s="13" t="s">
        <v>96</v>
      </c>
      <c r="N4" s="13" t="s">
        <v>77</v>
      </c>
      <c r="O4" s="13" t="s">
        <v>4</v>
      </c>
    </row>
    <row r="5" spans="1:15" ht="7.5" customHeight="1" x14ac:dyDescent="0.3">
      <c r="A5" s="34"/>
      <c r="B5" s="34"/>
      <c r="C5" s="34"/>
      <c r="D5" s="34"/>
      <c r="E5" s="34"/>
      <c r="F5" s="8"/>
      <c r="G5" s="8"/>
      <c r="I5" s="13"/>
      <c r="J5" s="13"/>
      <c r="K5" s="13"/>
      <c r="L5" s="13"/>
      <c r="N5" s="13"/>
      <c r="O5" s="13"/>
    </row>
    <row r="6" spans="1:15" ht="18" x14ac:dyDescent="0.35">
      <c r="D6" s="46" t="s">
        <v>100</v>
      </c>
      <c r="I6" s="46"/>
      <c r="J6" s="46"/>
      <c r="K6" s="46"/>
      <c r="L6" s="46"/>
    </row>
    <row r="7" spans="1:15" x14ac:dyDescent="0.3">
      <c r="A7" s="15">
        <v>69077300</v>
      </c>
      <c r="B7" s="15">
        <v>69077358</v>
      </c>
      <c r="D7" s="45" t="s">
        <v>78</v>
      </c>
      <c r="E7" s="2">
        <v>2500</v>
      </c>
      <c r="F7">
        <v>173</v>
      </c>
      <c r="H7" s="5">
        <f>F7</f>
        <v>173</v>
      </c>
      <c r="I7" s="36">
        <f>'Site-1'!Y58</f>
        <v>41.989078076923079</v>
      </c>
      <c r="J7" s="14">
        <f>I7/F7</f>
        <v>0.24271143397065364</v>
      </c>
      <c r="K7" s="36">
        <f>'Site-1'!$O$41*12</f>
        <v>98.11999999999999</v>
      </c>
      <c r="L7" s="14">
        <f>K7/F7</f>
        <v>0.56716763005780346</v>
      </c>
      <c r="N7" s="14">
        <f>1-J7-L7</f>
        <v>0.19012093597154289</v>
      </c>
      <c r="O7" s="12">
        <f>N7/J7*I7</f>
        <v>32.890921923076924</v>
      </c>
    </row>
    <row r="8" spans="1:15" x14ac:dyDescent="0.3">
      <c r="A8" s="15">
        <v>153621900</v>
      </c>
      <c r="B8" s="15">
        <v>153621969</v>
      </c>
      <c r="D8" s="45" t="s">
        <v>80</v>
      </c>
      <c r="E8" s="2">
        <v>2500</v>
      </c>
      <c r="F8" s="5">
        <v>389.53</v>
      </c>
      <c r="H8" s="5">
        <f t="shared" ref="H8:H9" si="0">F8</f>
        <v>389.53</v>
      </c>
      <c r="I8" s="36">
        <f>'Site-2'!Y58</f>
        <v>92.6550692307692</v>
      </c>
      <c r="J8" s="14">
        <f>I8/F8</f>
        <v>0.23786375691415093</v>
      </c>
      <c r="K8" s="36">
        <f>'Site-2'!$O$41*12</f>
        <v>246.00000000000006</v>
      </c>
      <c r="L8" s="14">
        <f>K8/F8</f>
        <v>0.63153030575308722</v>
      </c>
      <c r="N8" s="14">
        <f t="shared" ref="N8:N9" si="1">1-J8-L8</f>
        <v>0.13060593733276182</v>
      </c>
      <c r="O8" s="12">
        <f t="shared" ref="O8:O9" si="2">N8/J8*I8</f>
        <v>50.874930769230708</v>
      </c>
    </row>
    <row r="9" spans="1:15" x14ac:dyDescent="0.3">
      <c r="A9" s="15">
        <v>342076100</v>
      </c>
      <c r="B9" s="15">
        <v>342076185</v>
      </c>
      <c r="D9" s="45" t="s">
        <v>79</v>
      </c>
      <c r="E9" s="2">
        <v>2000</v>
      </c>
      <c r="F9" s="5">
        <v>376.74</v>
      </c>
      <c r="G9" s="5"/>
      <c r="H9" s="5">
        <f t="shared" si="0"/>
        <v>376.74</v>
      </c>
      <c r="I9" s="36">
        <f>'Site-3'!Y58</f>
        <v>68.370744615384609</v>
      </c>
      <c r="J9" s="14">
        <f>I9/F9</f>
        <v>0.18147991881771144</v>
      </c>
      <c r="K9" s="36">
        <f>'Site-3'!$O$41*12</f>
        <v>258.8</v>
      </c>
      <c r="L9" s="14">
        <f>K9/F9</f>
        <v>0.6869459043372087</v>
      </c>
      <c r="N9" s="14">
        <f t="shared" si="1"/>
        <v>0.13157417684507988</v>
      </c>
      <c r="O9" s="12">
        <f t="shared" si="2"/>
        <v>49.569255384615388</v>
      </c>
    </row>
    <row r="10" spans="1:15" x14ac:dyDescent="0.3">
      <c r="A10" s="15">
        <v>82078900</v>
      </c>
      <c r="B10" s="15">
        <v>82078997</v>
      </c>
      <c r="D10" s="3" t="s">
        <v>99</v>
      </c>
      <c r="E10">
        <v>2800</v>
      </c>
      <c r="F10" t="s">
        <v>9</v>
      </c>
    </row>
    <row r="11" spans="1:15" x14ac:dyDescent="0.3">
      <c r="A11" s="15">
        <v>91934600</v>
      </c>
      <c r="B11" s="15">
        <v>91934691</v>
      </c>
      <c r="D11" s="3" t="s">
        <v>99</v>
      </c>
      <c r="E11">
        <v>1200</v>
      </c>
      <c r="F11" t="s">
        <v>9</v>
      </c>
    </row>
    <row r="12" spans="1:15" x14ac:dyDescent="0.3">
      <c r="D12" s="4"/>
    </row>
    <row r="13" spans="1:15" ht="18" x14ac:dyDescent="0.35">
      <c r="D13" s="46" t="s">
        <v>101</v>
      </c>
      <c r="J13" s="47"/>
      <c r="K13" s="47"/>
      <c r="L13" s="47"/>
      <c r="M13" s="47"/>
    </row>
    <row r="14" spans="1:15" x14ac:dyDescent="0.3">
      <c r="A14" s="15">
        <v>103257955</v>
      </c>
      <c r="B14" s="15">
        <v>103257900</v>
      </c>
      <c r="D14" s="45" t="s">
        <v>81</v>
      </c>
      <c r="E14" s="2">
        <v>3045</v>
      </c>
      <c r="F14" s="5">
        <v>782.78666666666675</v>
      </c>
      <c r="G14" s="5"/>
      <c r="H14" s="5">
        <f t="shared" ref="H14:H16" si="3">F14</f>
        <v>782.78666666666675</v>
      </c>
      <c r="I14" s="36">
        <f>'Site-4'!Y60</f>
        <v>199.2541477124183</v>
      </c>
      <c r="J14" s="14">
        <f t="shared" ref="J14:J15" si="4">I14/F14</f>
        <v>0.25454463674106814</v>
      </c>
      <c r="K14" s="36">
        <f>'Site-4'!$O$43*12</f>
        <v>106.02666666666667</v>
      </c>
      <c r="L14" s="14">
        <f t="shared" ref="L14:L15" si="5">K14/F14</f>
        <v>0.13544771670442352</v>
      </c>
      <c r="N14" s="14">
        <f t="shared" ref="N14:N18" si="6">1-J14-L14</f>
        <v>0.61000764655450834</v>
      </c>
      <c r="O14" s="12">
        <f t="shared" ref="O14:O18" si="7">N14/J14*I14</f>
        <v>477.50585228758183</v>
      </c>
    </row>
    <row r="15" spans="1:15" x14ac:dyDescent="0.3">
      <c r="A15" s="15">
        <v>162274167</v>
      </c>
      <c r="B15" s="15">
        <v>162274100</v>
      </c>
      <c r="D15" s="45" t="s">
        <v>82</v>
      </c>
      <c r="E15" s="2">
        <v>2500</v>
      </c>
      <c r="F15">
        <v>147</v>
      </c>
      <c r="H15" s="5">
        <f t="shared" si="3"/>
        <v>147</v>
      </c>
      <c r="I15" s="36">
        <f>'Site-5'!Y60</f>
        <v>24.975294117647053</v>
      </c>
      <c r="J15" s="14">
        <f t="shared" si="4"/>
        <v>0.16989995998399357</v>
      </c>
      <c r="K15" s="36">
        <f>'Site-5'!$O$43*12</f>
        <v>106</v>
      </c>
      <c r="L15" s="14">
        <f t="shared" si="5"/>
        <v>0.72108843537414968</v>
      </c>
      <c r="N15" s="14">
        <f t="shared" si="6"/>
        <v>0.10901160464185677</v>
      </c>
      <c r="O15" s="12">
        <f t="shared" si="7"/>
        <v>16.024705882352944</v>
      </c>
    </row>
    <row r="16" spans="1:15" x14ac:dyDescent="0.3">
      <c r="A16" s="15">
        <v>265892092</v>
      </c>
      <c r="B16" s="15">
        <v>265892000</v>
      </c>
      <c r="D16" s="45" t="s">
        <v>83</v>
      </c>
      <c r="E16" s="2">
        <v>4971</v>
      </c>
      <c r="F16" s="5">
        <v>1875.3733333333337</v>
      </c>
      <c r="H16" s="5">
        <f t="shared" si="3"/>
        <v>1875.3733333333337</v>
      </c>
      <c r="I16" s="36">
        <f>'Site-6'!$Y$60</f>
        <v>1123.3672376470586</v>
      </c>
      <c r="J16" s="14">
        <f t="shared" ref="J16" si="8">I16/F16</f>
        <v>0.59900992388025409</v>
      </c>
      <c r="K16" s="36">
        <f>'Site-6'!$O$43*12</f>
        <v>439.43999999999994</v>
      </c>
      <c r="L16" s="14">
        <f t="shared" ref="L16" si="9">K16/F16</f>
        <v>0.23432134401683569</v>
      </c>
      <c r="N16" s="14">
        <f t="shared" si="6"/>
        <v>0.16666873210291022</v>
      </c>
      <c r="O16" s="12">
        <f t="shared" ref="O16" si="10">N16/J16*I16</f>
        <v>312.56609568627516</v>
      </c>
    </row>
    <row r="17" spans="1:15" x14ac:dyDescent="0.3">
      <c r="A17" s="15">
        <v>412466737</v>
      </c>
      <c r="B17" s="15">
        <v>412466700</v>
      </c>
      <c r="D17" s="45" t="s">
        <v>84</v>
      </c>
      <c r="E17" s="2">
        <v>4690</v>
      </c>
      <c r="F17">
        <v>230</v>
      </c>
      <c r="H17" s="5">
        <f t="shared" ref="H17:H18" si="11">F17</f>
        <v>230</v>
      </c>
      <c r="I17" s="36">
        <f>'Site-7'!Y60</f>
        <v>71.24368235294115</v>
      </c>
      <c r="J17" s="14">
        <f t="shared" ref="J17:J18" si="12">I17/F17</f>
        <v>0.30975514066496151</v>
      </c>
      <c r="K17" s="36">
        <f>'Site-7'!$O$43*12</f>
        <v>98.346666666666664</v>
      </c>
      <c r="L17" s="14">
        <f t="shared" ref="L17:L18" si="13">K17/F17</f>
        <v>0.42759420289855071</v>
      </c>
      <c r="N17" s="14">
        <f t="shared" si="6"/>
        <v>0.26265065643648783</v>
      </c>
      <c r="O17" s="12">
        <f t="shared" si="7"/>
        <v>60.409650980392207</v>
      </c>
    </row>
    <row r="18" spans="1:15" x14ac:dyDescent="0.3">
      <c r="A18" s="15">
        <v>523278705</v>
      </c>
      <c r="B18" s="15">
        <v>523278700</v>
      </c>
      <c r="D18" s="45" t="s">
        <v>85</v>
      </c>
      <c r="E18" s="2">
        <v>3300</v>
      </c>
      <c r="F18" s="5">
        <v>398</v>
      </c>
      <c r="G18" s="5"/>
      <c r="H18" s="5">
        <f t="shared" si="11"/>
        <v>398</v>
      </c>
      <c r="I18" s="36">
        <f>'Site-8'!Y60</f>
        <v>115.54313725490192</v>
      </c>
      <c r="J18" s="14">
        <f t="shared" si="12"/>
        <v>0.2903093900876933</v>
      </c>
      <c r="K18" s="36">
        <f>'Site-8'!$O$43*12</f>
        <v>153.76000000000002</v>
      </c>
      <c r="L18" s="14">
        <f t="shared" si="13"/>
        <v>0.38633165829145732</v>
      </c>
      <c r="N18" s="14">
        <f t="shared" si="6"/>
        <v>0.32335895162084938</v>
      </c>
      <c r="O18" s="12">
        <f t="shared" si="7"/>
        <v>128.69686274509803</v>
      </c>
    </row>
    <row r="19" spans="1:15" x14ac:dyDescent="0.3">
      <c r="D19" s="4"/>
      <c r="E19" s="16"/>
      <c r="F19" s="5"/>
      <c r="G19" s="5"/>
      <c r="H19" s="12"/>
      <c r="I19" s="36"/>
      <c r="J19" s="14"/>
      <c r="K19" s="14"/>
      <c r="L19" s="14"/>
      <c r="N19" s="14"/>
      <c r="O19" s="12"/>
    </row>
    <row r="20" spans="1:15" ht="18" x14ac:dyDescent="0.35">
      <c r="D20" s="46" t="s">
        <v>102</v>
      </c>
      <c r="J20" s="46"/>
      <c r="K20" s="46"/>
      <c r="L20" s="46"/>
      <c r="M20" s="46"/>
    </row>
    <row r="21" spans="1:15" x14ac:dyDescent="0.3">
      <c r="A21" s="15">
        <v>458364400</v>
      </c>
      <c r="B21" s="15">
        <v>458364497</v>
      </c>
      <c r="D21" s="45" t="s">
        <v>86</v>
      </c>
      <c r="E21" s="2">
        <v>2378</v>
      </c>
      <c r="F21">
        <v>317</v>
      </c>
      <c r="H21" s="5">
        <f t="shared" ref="H21:H24" si="14">F21</f>
        <v>317</v>
      </c>
      <c r="I21" s="36">
        <f>'Site-9'!Y60</f>
        <v>77.002231764705826</v>
      </c>
      <c r="J21" s="14">
        <f t="shared" ref="J21:J22" si="15">I21/F21</f>
        <v>0.24290924846910356</v>
      </c>
      <c r="K21" s="36">
        <f>'Site-9'!$O$43*12</f>
        <v>127.12</v>
      </c>
      <c r="L21" s="14">
        <f>K21/F21</f>
        <v>0.40100946372239749</v>
      </c>
      <c r="N21" s="14">
        <f t="shared" ref="N21:N25" si="16">1-J21-L21</f>
        <v>0.35608128780849896</v>
      </c>
      <c r="O21" s="12">
        <f>N21/J21*I21</f>
        <v>112.87776823529417</v>
      </c>
    </row>
    <row r="22" spans="1:15" x14ac:dyDescent="0.3">
      <c r="A22" s="15">
        <v>245275600</v>
      </c>
      <c r="B22" s="15">
        <v>245275618</v>
      </c>
      <c r="D22" s="45" t="s">
        <v>87</v>
      </c>
      <c r="E22" s="2">
        <v>8550</v>
      </c>
      <c r="F22" s="5">
        <v>424.92666666666668</v>
      </c>
      <c r="H22" s="5">
        <f t="shared" si="14"/>
        <v>424.92666666666668</v>
      </c>
      <c r="I22" s="36">
        <f>'Site-10'!$Y$60</f>
        <v>186.08643529411759</v>
      </c>
      <c r="J22" s="14">
        <f t="shared" si="15"/>
        <v>0.437925999688066</v>
      </c>
      <c r="K22" s="36">
        <f>'Site-10'!$O$43*12</f>
        <v>65.866666666666674</v>
      </c>
      <c r="L22" s="14">
        <f t="shared" ref="L22" si="17">K22/F22</f>
        <v>0.15500713848664086</v>
      </c>
      <c r="N22" s="14">
        <f t="shared" si="16"/>
        <v>0.40706686182529317</v>
      </c>
      <c r="O22" s="12">
        <f>N22/J22*I22</f>
        <v>172.97356470588241</v>
      </c>
    </row>
    <row r="23" spans="1:15" x14ac:dyDescent="0.3">
      <c r="A23" s="15">
        <v>582517600</v>
      </c>
      <c r="B23" s="15">
        <v>582517629</v>
      </c>
      <c r="D23" s="45" t="s">
        <v>88</v>
      </c>
      <c r="E23" s="2">
        <v>7125</v>
      </c>
      <c r="F23">
        <v>1072</v>
      </c>
      <c r="H23" s="5">
        <f t="shared" si="14"/>
        <v>1072</v>
      </c>
      <c r="I23" s="36">
        <f>'Site-11'!$Y$60</f>
        <v>609.3617827450978</v>
      </c>
      <c r="J23" s="14">
        <f t="shared" ref="J23" si="18">I23/F23</f>
        <v>0.56843449882938224</v>
      </c>
      <c r="K23" s="36">
        <f>'Site-11'!$O$43*12</f>
        <v>440.21333333333337</v>
      </c>
      <c r="L23" s="14">
        <f t="shared" ref="L23" si="19">K23/F23</f>
        <v>0.41064676616915424</v>
      </c>
      <c r="N23" s="14">
        <f t="shared" si="16"/>
        <v>2.0918735001463518E-2</v>
      </c>
      <c r="O23" s="12">
        <f>N23/J23*I23</f>
        <v>22.424883921568892</v>
      </c>
    </row>
    <row r="24" spans="1:15" x14ac:dyDescent="0.3">
      <c r="A24" s="15">
        <v>651689200</v>
      </c>
      <c r="B24" s="15">
        <v>651689269</v>
      </c>
      <c r="D24" s="45" t="s">
        <v>89</v>
      </c>
      <c r="E24" s="2">
        <v>5980</v>
      </c>
      <c r="F24" s="5">
        <v>1645.926666666667</v>
      </c>
      <c r="H24" s="5">
        <f t="shared" si="14"/>
        <v>1645.926666666667</v>
      </c>
      <c r="I24" s="36">
        <f>'Site-12'!$Y$60</f>
        <v>668.18795294117638</v>
      </c>
      <c r="J24" s="14">
        <f t="shared" ref="J24:J25" si="20">I24/F24</f>
        <v>0.40596459518721545</v>
      </c>
      <c r="K24" s="36">
        <f>'Site-12'!$O$43*12</f>
        <v>311.91999999999996</v>
      </c>
      <c r="L24" s="14">
        <f t="shared" ref="L24:L25" si="21">K24/F24</f>
        <v>0.18951026574695506</v>
      </c>
      <c r="N24" s="14">
        <f t="shared" si="16"/>
        <v>0.40452513906582943</v>
      </c>
      <c r="O24" s="12">
        <f>N24/J24*I24</f>
        <v>665.81871372549051</v>
      </c>
    </row>
    <row r="25" spans="1:15" x14ac:dyDescent="0.3">
      <c r="A25" s="15">
        <v>1171989900</v>
      </c>
      <c r="B25" s="15">
        <v>1171989928</v>
      </c>
      <c r="D25" s="45" t="s">
        <v>90</v>
      </c>
      <c r="E25" s="2">
        <v>6234</v>
      </c>
      <c r="F25" s="5">
        <v>2141.8000000000002</v>
      </c>
      <c r="H25" s="5">
        <f t="shared" ref="H25" si="22">F25</f>
        <v>2141.8000000000002</v>
      </c>
      <c r="I25" s="36">
        <f>'Site-13'!Y60</f>
        <v>335.66338235294114</v>
      </c>
      <c r="J25" s="14">
        <f t="shared" si="20"/>
        <v>0.15672022707673036</v>
      </c>
      <c r="K25" s="36">
        <f>'Site-13'!$O$43*12</f>
        <v>320.39999999999998</v>
      </c>
      <c r="L25" s="14">
        <f t="shared" si="21"/>
        <v>0.1495937996078065</v>
      </c>
      <c r="N25" s="14">
        <f t="shared" si="16"/>
        <v>0.69368597331546311</v>
      </c>
      <c r="O25" s="12">
        <f t="shared" ref="O25" si="23">N25/J25*I25</f>
        <v>1485.7366176470591</v>
      </c>
    </row>
    <row r="26" spans="1:15" x14ac:dyDescent="0.3">
      <c r="E26" s="41"/>
      <c r="F26" s="5"/>
      <c r="H26" s="5"/>
      <c r="I26" s="36"/>
      <c r="J26" s="14"/>
      <c r="K26" s="36"/>
      <c r="L26" s="14"/>
      <c r="N26" s="14"/>
      <c r="O26" s="12"/>
    </row>
    <row r="27" spans="1:15" ht="18" x14ac:dyDescent="0.35">
      <c r="D27" s="46" t="s">
        <v>103</v>
      </c>
      <c r="J27" s="46"/>
      <c r="K27" s="46"/>
      <c r="L27" s="46"/>
      <c r="M27" s="46"/>
    </row>
    <row r="28" spans="1:15" x14ac:dyDescent="0.3">
      <c r="A28" s="15">
        <v>64034100</v>
      </c>
      <c r="B28" s="15">
        <v>64034135</v>
      </c>
      <c r="D28" t="s">
        <v>99</v>
      </c>
      <c r="E28" s="4">
        <v>3400</v>
      </c>
      <c r="F28">
        <v>2310</v>
      </c>
      <c r="G28" t="s">
        <v>66</v>
      </c>
      <c r="I28" s="36"/>
    </row>
    <row r="29" spans="1:15" x14ac:dyDescent="0.3">
      <c r="A29" s="15">
        <v>81046200</v>
      </c>
      <c r="B29" s="15">
        <v>81046288</v>
      </c>
      <c r="D29" s="3" t="s">
        <v>99</v>
      </c>
      <c r="E29">
        <v>2525</v>
      </c>
      <c r="F29" t="s">
        <v>9</v>
      </c>
    </row>
    <row r="30" spans="1:15" x14ac:dyDescent="0.3">
      <c r="A30" s="15">
        <v>81046300</v>
      </c>
      <c r="B30" s="15">
        <v>81046377</v>
      </c>
      <c r="D30" s="3" t="s">
        <v>99</v>
      </c>
      <c r="E30" s="5">
        <v>1912.5</v>
      </c>
      <c r="F30" t="s">
        <v>9</v>
      </c>
    </row>
    <row r="31" spans="1:15" x14ac:dyDescent="0.3">
      <c r="A31" s="15">
        <v>84548000</v>
      </c>
      <c r="B31" s="15">
        <v>84548094</v>
      </c>
      <c r="D31" s="45" t="s">
        <v>91</v>
      </c>
      <c r="E31" s="6">
        <v>2462.5</v>
      </c>
      <c r="F31">
        <v>1176</v>
      </c>
      <c r="H31">
        <v>1176</v>
      </c>
      <c r="I31" s="36">
        <f>'Site-14'!Y58</f>
        <v>487.36628338983047</v>
      </c>
      <c r="J31" s="14">
        <f t="shared" ref="J31" si="24">I31/F31</f>
        <v>0.41442711172604629</v>
      </c>
      <c r="K31" s="36">
        <f>'Site-14'!$O$41*12</f>
        <v>575.36</v>
      </c>
      <c r="L31" s="14">
        <f>K31/F31</f>
        <v>0.48925170068027213</v>
      </c>
      <c r="N31" s="14">
        <f>1-J31-L31</f>
        <v>9.6321187593681579E-2</v>
      </c>
      <c r="O31" s="12">
        <f>N31/J31*I31</f>
        <v>113.27371661016954</v>
      </c>
    </row>
    <row r="32" spans="1:15" x14ac:dyDescent="0.3">
      <c r="A32" s="15">
        <v>107036500</v>
      </c>
      <c r="B32" s="15">
        <v>107036560</v>
      </c>
      <c r="D32" t="s">
        <v>99</v>
      </c>
      <c r="E32" s="4">
        <v>2070</v>
      </c>
      <c r="F32">
        <v>373</v>
      </c>
      <c r="G32" t="s">
        <v>65</v>
      </c>
      <c r="I32" s="36"/>
    </row>
    <row r="33" spans="1:16" x14ac:dyDescent="0.3">
      <c r="E33" s="41"/>
      <c r="F33" s="5"/>
      <c r="H33" s="5"/>
      <c r="I33" s="36"/>
      <c r="J33" s="14"/>
      <c r="K33" s="36"/>
      <c r="L33" s="14"/>
      <c r="N33" s="14"/>
      <c r="O33" s="12"/>
    </row>
    <row r="34" spans="1:16" x14ac:dyDescent="0.3">
      <c r="I34" s="36"/>
      <c r="J34" s="14"/>
      <c r="K34" s="14"/>
      <c r="L34" s="14"/>
      <c r="N34" s="14"/>
      <c r="O34" s="12"/>
    </row>
    <row r="35" spans="1:16" ht="18" x14ac:dyDescent="0.35">
      <c r="E35" s="4"/>
      <c r="F35" s="35"/>
      <c r="H35" s="38">
        <f>AVERAGE(H7:H32)</f>
        <v>796.43452380952385</v>
      </c>
      <c r="I35" s="37">
        <f>SUM(J32:N35)</f>
        <v>1.0000000000000004</v>
      </c>
      <c r="J35" s="33">
        <f>AVERAGE(J7:J32)</f>
        <v>0.32228256014550222</v>
      </c>
      <c r="K35" s="14"/>
      <c r="L35" s="33">
        <f>AVERAGE(L7:L32)</f>
        <v>0.39896045227476751</v>
      </c>
      <c r="N35" s="33">
        <f>AVERAGE(N7:N32)</f>
        <v>0.27875698757973055</v>
      </c>
      <c r="O35" s="42">
        <f>AVERAGE(O7:O32)</f>
        <v>264.4031100360063</v>
      </c>
      <c r="P35" t="s">
        <v>10</v>
      </c>
    </row>
    <row r="36" spans="1:16" ht="18" x14ac:dyDescent="0.35">
      <c r="E36" s="4"/>
      <c r="F36" s="35"/>
      <c r="H36" s="12" t="s">
        <v>76</v>
      </c>
      <c r="I36" s="37"/>
      <c r="J36" s="37"/>
      <c r="K36" s="37"/>
      <c r="L36" s="37"/>
      <c r="M36" s="37"/>
      <c r="N36" s="37"/>
      <c r="O36" s="37"/>
    </row>
    <row r="37" spans="1:16" ht="18" x14ac:dyDescent="0.35">
      <c r="D37" s="46" t="s">
        <v>104</v>
      </c>
      <c r="J37" s="48"/>
      <c r="K37" s="48"/>
      <c r="L37" s="48"/>
      <c r="M37" s="48"/>
    </row>
    <row r="38" spans="1:16" x14ac:dyDescent="0.3">
      <c r="A38" s="15">
        <v>91075700</v>
      </c>
      <c r="B38" s="15">
        <v>91075703</v>
      </c>
      <c r="D38" s="3" t="s">
        <v>99</v>
      </c>
      <c r="E38" s="7">
        <v>2762.5</v>
      </c>
      <c r="F38" t="s">
        <v>7</v>
      </c>
    </row>
    <row r="39" spans="1:16" x14ac:dyDescent="0.3">
      <c r="A39" s="15">
        <v>102548800</v>
      </c>
      <c r="B39" s="15">
        <v>102548891</v>
      </c>
      <c r="D39" t="s">
        <v>99</v>
      </c>
      <c r="E39" s="4">
        <v>3400</v>
      </c>
      <c r="F39" t="s">
        <v>7</v>
      </c>
    </row>
    <row r="40" spans="1:16" ht="15.6" x14ac:dyDescent="0.3">
      <c r="A40" s="15">
        <v>151702800</v>
      </c>
      <c r="B40" s="15">
        <v>151702842</v>
      </c>
      <c r="D40" s="3" t="s">
        <v>99</v>
      </c>
      <c r="E40" s="4">
        <v>3500</v>
      </c>
      <c r="F40" t="s">
        <v>7</v>
      </c>
      <c r="K40" s="43" t="s">
        <v>92</v>
      </c>
      <c r="O40" s="43">
        <v>219</v>
      </c>
      <c r="P40" t="s">
        <v>94</v>
      </c>
    </row>
    <row r="41" spans="1:16" ht="15.6" x14ac:dyDescent="0.3">
      <c r="A41" s="15">
        <v>219073400</v>
      </c>
      <c r="B41" s="15">
        <v>219073400</v>
      </c>
      <c r="D41" t="s">
        <v>99</v>
      </c>
      <c r="E41" s="4">
        <v>4400</v>
      </c>
      <c r="F41" t="s">
        <v>7</v>
      </c>
      <c r="K41" s="43" t="s">
        <v>93</v>
      </c>
      <c r="O41" s="43">
        <v>52</v>
      </c>
      <c r="P41" t="s">
        <v>94</v>
      </c>
    </row>
    <row r="42" spans="1:16" ht="15.6" x14ac:dyDescent="0.3">
      <c r="A42" s="15">
        <v>240582655</v>
      </c>
      <c r="B42" s="15">
        <v>240582663</v>
      </c>
      <c r="D42" t="s">
        <v>99</v>
      </c>
      <c r="E42" s="4">
        <v>2400</v>
      </c>
      <c r="F42" t="s">
        <v>7</v>
      </c>
      <c r="K42" s="43" t="s">
        <v>95</v>
      </c>
      <c r="O42" s="44">
        <f>SUM(O40:O41)</f>
        <v>271</v>
      </c>
      <c r="P42" t="s">
        <v>94</v>
      </c>
    </row>
    <row r="43" spans="1:16" x14ac:dyDescent="0.3">
      <c r="O43" s="14"/>
    </row>
    <row r="44" spans="1:16" x14ac:dyDescent="0.3">
      <c r="L44" t="s">
        <v>98</v>
      </c>
    </row>
  </sheetData>
  <pageMargins left="0.7" right="0.7" top="0.75" bottom="0.75" header="0.3" footer="0.3"/>
  <pageSetup orientation="portrait" r:id="rId1"/>
  <ignoredErrors>
    <ignoredError sqref="I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32" workbookViewId="0">
      <selection activeCell="N59" sqref="N59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67</v>
      </c>
      <c r="AB3" t="s">
        <v>35</v>
      </c>
    </row>
    <row r="4" spans="1:37" x14ac:dyDescent="0.3">
      <c r="A4" s="15">
        <v>1</v>
      </c>
      <c r="B4" s="31">
        <v>41640</v>
      </c>
      <c r="C4" s="31">
        <v>41670</v>
      </c>
      <c r="D4" s="32">
        <v>44.32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>
        <f>SUM(V4:V15)</f>
        <v>69.700000000000017</v>
      </c>
      <c r="AB4" s="12">
        <f>SUM(D4:D15)</f>
        <v>277.52</v>
      </c>
      <c r="AK4" s="21"/>
    </row>
    <row r="5" spans="1:37" x14ac:dyDescent="0.3">
      <c r="A5" s="15">
        <v>2</v>
      </c>
      <c r="B5" s="31">
        <v>41671</v>
      </c>
      <c r="C5" s="31">
        <v>41698</v>
      </c>
      <c r="D5" s="32">
        <v>36.120000000000005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A6" s="15">
        <v>3</v>
      </c>
      <c r="B6" s="31">
        <v>41699</v>
      </c>
      <c r="C6" s="31">
        <v>41729</v>
      </c>
      <c r="D6" s="32">
        <v>19.320000000000004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A7" s="15">
        <v>4</v>
      </c>
      <c r="B7" s="31">
        <v>41730</v>
      </c>
      <c r="C7" s="31">
        <v>41759</v>
      </c>
      <c r="D7" s="32">
        <v>13.88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A8" s="15">
        <v>5</v>
      </c>
      <c r="B8" s="31">
        <v>41760</v>
      </c>
      <c r="C8" s="31">
        <v>41790</v>
      </c>
      <c r="D8" s="32">
        <v>14.160000000000004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A9" s="15">
        <v>6</v>
      </c>
      <c r="B9" s="31">
        <v>41791</v>
      </c>
      <c r="C9" s="31">
        <v>41820</v>
      </c>
      <c r="D9" s="32">
        <v>9.7800000000000011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A10" s="15">
        <v>7</v>
      </c>
      <c r="B10" s="31">
        <v>41821</v>
      </c>
      <c r="C10" s="31">
        <v>41851</v>
      </c>
      <c r="D10" s="32">
        <v>11.4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A11" s="15">
        <v>8</v>
      </c>
      <c r="B11" s="31">
        <v>41852</v>
      </c>
      <c r="C11" s="31">
        <v>41882</v>
      </c>
      <c r="D11" s="32">
        <v>10.160000000000002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A12" s="15">
        <v>9</v>
      </c>
      <c r="B12" s="31">
        <v>41883</v>
      </c>
      <c r="C12" s="31">
        <v>41912</v>
      </c>
      <c r="D12" s="32">
        <v>11.48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10</v>
      </c>
      <c r="B13" s="21">
        <v>41913</v>
      </c>
      <c r="C13" s="21">
        <v>41943</v>
      </c>
      <c r="D13" s="24">
        <v>14.6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11</v>
      </c>
      <c r="B14" s="21">
        <v>41944</v>
      </c>
      <c r="C14" s="21">
        <v>41973</v>
      </c>
      <c r="D14" s="24">
        <v>13.12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12</v>
      </c>
      <c r="B15" s="21">
        <v>41974</v>
      </c>
      <c r="C15" s="21">
        <v>42004</v>
      </c>
      <c r="D15" s="24">
        <v>79.179999999999993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13</v>
      </c>
      <c r="B16" s="21">
        <v>42005</v>
      </c>
      <c r="C16" s="21">
        <v>42035</v>
      </c>
      <c r="D16" s="24">
        <v>68.840000000000018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>
        <f>SUM(V16:V27)</f>
        <v>107.69999999999999</v>
      </c>
      <c r="AB16" s="12">
        <f>SUM(D16:D27)</f>
        <v>356.44000000000005</v>
      </c>
    </row>
    <row r="17" spans="1:28" x14ac:dyDescent="0.3">
      <c r="A17" s="15">
        <v>14</v>
      </c>
      <c r="B17" s="21">
        <v>42036</v>
      </c>
      <c r="C17" s="21">
        <v>42063</v>
      </c>
      <c r="D17" s="24">
        <v>26.380000000000003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15</v>
      </c>
      <c r="B18" s="21">
        <v>42064</v>
      </c>
      <c r="C18" s="21">
        <v>42094</v>
      </c>
      <c r="D18" s="24">
        <v>25.840000000000003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16</v>
      </c>
      <c r="B19" s="21">
        <v>42095</v>
      </c>
      <c r="C19" s="21">
        <v>42124</v>
      </c>
      <c r="D19" s="24">
        <v>13.92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17</v>
      </c>
      <c r="B20" s="21">
        <v>42125</v>
      </c>
      <c r="C20" s="21">
        <v>42155</v>
      </c>
      <c r="D20" s="24">
        <v>12.980000000000004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18</v>
      </c>
      <c r="B21" s="21">
        <v>42156</v>
      </c>
      <c r="C21" s="21">
        <v>42185</v>
      </c>
      <c r="D21" s="24">
        <v>11.2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19</v>
      </c>
      <c r="B22" s="21">
        <v>42186</v>
      </c>
      <c r="C22" s="21">
        <v>42216</v>
      </c>
      <c r="D22" s="24">
        <v>9.52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20</v>
      </c>
      <c r="B23" s="21">
        <v>42217</v>
      </c>
      <c r="C23" s="21">
        <v>42247</v>
      </c>
      <c r="D23" s="24">
        <v>11.940000000000003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21</v>
      </c>
      <c r="B24" s="21">
        <v>42248</v>
      </c>
      <c r="C24" s="21">
        <v>42277</v>
      </c>
      <c r="D24" s="24">
        <v>10.46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22</v>
      </c>
      <c r="B25" s="21">
        <v>42278</v>
      </c>
      <c r="C25" s="21">
        <v>42308</v>
      </c>
      <c r="D25" s="24">
        <v>11.82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23</v>
      </c>
      <c r="B26" s="21">
        <v>42309</v>
      </c>
      <c r="C26" s="21">
        <v>42338</v>
      </c>
      <c r="D26" s="24">
        <v>38.32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24</v>
      </c>
      <c r="B27" s="21">
        <v>42339</v>
      </c>
      <c r="C27" s="21">
        <v>42369</v>
      </c>
      <c r="D27" s="24">
        <v>115.22000000000001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25</v>
      </c>
      <c r="B28" s="21">
        <v>42370</v>
      </c>
      <c r="C28" s="21">
        <v>42400</v>
      </c>
      <c r="D28" s="24">
        <v>98.74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  <c r="AA28" s="11">
        <f>SUM(V28:V39)</f>
        <v>92.8</v>
      </c>
      <c r="AB28" s="12">
        <f>SUM(D28:D39)</f>
        <v>306.53999999999996</v>
      </c>
    </row>
    <row r="29" spans="1:28" x14ac:dyDescent="0.3">
      <c r="A29" s="15">
        <v>26</v>
      </c>
      <c r="B29" s="21">
        <v>42401</v>
      </c>
      <c r="C29" s="21">
        <v>42429</v>
      </c>
      <c r="D29" s="24">
        <v>36.839999999999996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27</v>
      </c>
      <c r="B30" s="21">
        <v>42430</v>
      </c>
      <c r="C30" s="21">
        <v>42460</v>
      </c>
      <c r="D30" s="24">
        <v>16.360000000000003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28</v>
      </c>
      <c r="B31" s="21">
        <v>42461</v>
      </c>
      <c r="C31" s="21">
        <v>42490</v>
      </c>
      <c r="D31" s="24">
        <v>9.6800000000000015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29</v>
      </c>
      <c r="B32" s="21">
        <v>42491</v>
      </c>
      <c r="C32" s="21">
        <v>42521</v>
      </c>
      <c r="D32" s="24">
        <v>11.280000000000001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30</v>
      </c>
      <c r="B33" s="21">
        <v>42522</v>
      </c>
      <c r="C33" s="21">
        <v>42551</v>
      </c>
      <c r="D33" s="24">
        <v>10.48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31</v>
      </c>
      <c r="B34" s="21">
        <v>42552</v>
      </c>
      <c r="C34" s="21">
        <v>42582</v>
      </c>
      <c r="D34" s="24">
        <v>9.759999999999998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32</v>
      </c>
      <c r="B35" s="21">
        <v>42583</v>
      </c>
      <c r="C35" s="21">
        <v>42613</v>
      </c>
      <c r="D35" s="24">
        <v>9.7200000000000024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33</v>
      </c>
      <c r="B36" s="21">
        <v>42614</v>
      </c>
      <c r="C36" s="21">
        <v>42643</v>
      </c>
      <c r="D36" s="24">
        <v>10.900000000000002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34</v>
      </c>
      <c r="B37" s="21">
        <v>42644</v>
      </c>
      <c r="C37" s="21">
        <v>42674</v>
      </c>
      <c r="D37" s="24">
        <v>10.8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A38" s="15">
        <v>35</v>
      </c>
      <c r="B38" s="21">
        <v>42675</v>
      </c>
      <c r="C38" s="21">
        <v>42704</v>
      </c>
      <c r="D38">
        <v>20.14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A39" s="15">
        <v>36</v>
      </c>
      <c r="B39" s="21">
        <v>42705</v>
      </c>
      <c r="C39" s="21">
        <v>42735</v>
      </c>
      <c r="D39">
        <v>61.839999999999996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RSQ($D$4:$D$39,F4:F39)</f>
        <v>0.64870200437576564</v>
      </c>
      <c r="G41" s="26">
        <f t="shared" ref="G41:Y41" si="0">RSQ($D$4:$D$39,G4:G39)</f>
        <v>0.6832761166440271</v>
      </c>
      <c r="H41" s="26">
        <f t="shared" si="0"/>
        <v>0.72174119244000012</v>
      </c>
      <c r="I41" s="26">
        <f t="shared" si="0"/>
        <v>0.76338210359164149</v>
      </c>
      <c r="J41" s="26">
        <f t="shared" si="0"/>
        <v>0.80869999149460192</v>
      </c>
      <c r="K41" s="26">
        <f t="shared" si="0"/>
        <v>0.85045115833523499</v>
      </c>
      <c r="L41" s="26">
        <f t="shared" si="0"/>
        <v>0.88848083019467128</v>
      </c>
      <c r="M41" s="26">
        <f t="shared" si="0"/>
        <v>0.61801476526099908</v>
      </c>
      <c r="N41" s="26">
        <f t="shared" si="0"/>
        <v>0.59092144413625969</v>
      </c>
      <c r="O41" s="26">
        <f t="shared" si="0"/>
        <v>0.56797040434899781</v>
      </c>
      <c r="P41" s="26">
        <f t="shared" si="0"/>
        <v>0.54919621784115702</v>
      </c>
      <c r="Q41" s="26">
        <f t="shared" si="0"/>
        <v>0.53378366027911417</v>
      </c>
      <c r="R41" s="26">
        <f t="shared" si="0"/>
        <v>0.52203132303953748</v>
      </c>
      <c r="S41" s="26">
        <f t="shared" si="0"/>
        <v>0.91639772882801829</v>
      </c>
      <c r="T41" s="26">
        <f t="shared" si="0"/>
        <v>0.93186330525652616</v>
      </c>
      <c r="U41" s="26">
        <f t="shared" si="0"/>
        <v>0.94014214321283818</v>
      </c>
      <c r="V41" s="26">
        <f t="shared" si="0"/>
        <v>0.94051861297978856</v>
      </c>
      <c r="W41" s="26">
        <f t="shared" si="0"/>
        <v>0.92895005672147446</v>
      </c>
      <c r="X41" s="26">
        <f t="shared" si="0"/>
        <v>0.90901608495108943</v>
      </c>
      <c r="Y41" s="26">
        <f t="shared" si="0"/>
        <v>0.87663462335328002</v>
      </c>
      <c r="AA41" s="11">
        <f>AVERAGE(AA4:AA32)</f>
        <v>90.066666666666663</v>
      </c>
      <c r="AB41" s="11">
        <f>AVERAGE(AB4:AB32)</f>
        <v>313.5</v>
      </c>
    </row>
    <row r="43" spans="1:28" x14ac:dyDescent="0.3">
      <c r="L43" t="s">
        <v>41</v>
      </c>
      <c r="O43" s="11">
        <f>AVERAGE(D10:D12,D22:D24,D34:D36)</f>
        <v>10.593333333333334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2.0762999999999998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P48*(1/0.00001)*(1/24)*(55-(S52))</f>
        <v>90838.124999999956</v>
      </c>
      <c r="Q49" t="s">
        <v>47</v>
      </c>
      <c r="R49" s="29"/>
    </row>
    <row r="50" spans="16:27" x14ac:dyDescent="0.3">
      <c r="P50" s="19">
        <f>P49*Q51</f>
        <v>72670.499999999971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90.066666666666663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72670.499999999971</v>
      </c>
      <c r="Z57" t="s">
        <v>57</v>
      </c>
    </row>
    <row r="59" spans="16:27" x14ac:dyDescent="0.3">
      <c r="Y59" s="5">
        <f>Y51*Y57*Y52/(Y53-Y54)/Y56/Y55</f>
        <v>7700.223176470583</v>
      </c>
      <c r="Z59" t="s">
        <v>58</v>
      </c>
    </row>
    <row r="60" spans="16:27" x14ac:dyDescent="0.3">
      <c r="Y60" s="5">
        <f>Y59/100</f>
        <v>77.002231764705826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5" priority="1" rank="1"/>
  </conditionalFormatting>
  <dataValidations disablePrompts="1"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40" workbookViewId="0">
      <selection activeCell="N61" sqref="N61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74</v>
      </c>
      <c r="AB3" t="s">
        <v>35</v>
      </c>
    </row>
    <row r="4" spans="1:37" x14ac:dyDescent="0.3">
      <c r="A4" s="15">
        <v>1</v>
      </c>
      <c r="B4" s="31">
        <v>41640</v>
      </c>
      <c r="C4" s="31">
        <v>41670</v>
      </c>
      <c r="D4" s="32">
        <v>81.340000000000032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>
        <f>SUM(K4:K15)</f>
        <v>318.90000000000003</v>
      </c>
      <c r="AB4" s="12">
        <f>SUM(D4:D15)</f>
        <v>484.6400000000001</v>
      </c>
      <c r="AK4" s="21"/>
    </row>
    <row r="5" spans="1:37" x14ac:dyDescent="0.3">
      <c r="A5" s="15">
        <v>2</v>
      </c>
      <c r="B5" s="31">
        <v>41671</v>
      </c>
      <c r="C5" s="31">
        <v>41698</v>
      </c>
      <c r="D5" s="32">
        <v>66.900000000000006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A6" s="15">
        <v>3</v>
      </c>
      <c r="B6" s="31">
        <v>41699</v>
      </c>
      <c r="C6" s="31">
        <v>41729</v>
      </c>
      <c r="D6" s="32">
        <v>79.260000000000005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A7" s="15">
        <v>4</v>
      </c>
      <c r="B7" s="31">
        <v>41730</v>
      </c>
      <c r="C7" s="31">
        <v>41759</v>
      </c>
      <c r="D7" s="32">
        <v>44.439999999999991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A8" s="15">
        <v>5</v>
      </c>
      <c r="B8" s="31">
        <v>41760</v>
      </c>
      <c r="C8" s="31">
        <v>41790</v>
      </c>
      <c r="D8" s="32">
        <v>5.36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A9" s="15">
        <v>6</v>
      </c>
      <c r="B9" s="31">
        <v>41791</v>
      </c>
      <c r="C9" s="31">
        <v>41820</v>
      </c>
      <c r="D9" s="32">
        <v>5.2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A10" s="15">
        <v>7</v>
      </c>
      <c r="B10" s="31">
        <v>41821</v>
      </c>
      <c r="C10" s="31">
        <v>41851</v>
      </c>
      <c r="D10" s="32">
        <v>5.38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A11" s="15">
        <v>8</v>
      </c>
      <c r="B11" s="31">
        <v>41852</v>
      </c>
      <c r="C11" s="31">
        <v>41882</v>
      </c>
      <c r="D11" s="32">
        <v>5.36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A12" s="15">
        <v>9</v>
      </c>
      <c r="B12" s="31">
        <v>41883</v>
      </c>
      <c r="C12" s="31">
        <v>41912</v>
      </c>
      <c r="D12" s="32">
        <v>7.1400000000000006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10</v>
      </c>
      <c r="B13" s="21">
        <v>41913</v>
      </c>
      <c r="C13" s="21">
        <v>41943</v>
      </c>
      <c r="D13" s="24">
        <v>44.12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11</v>
      </c>
      <c r="B14" s="21">
        <v>41944</v>
      </c>
      <c r="C14" s="21">
        <v>41973</v>
      </c>
      <c r="D14" s="24">
        <v>49.160000000000004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12</v>
      </c>
      <c r="B15" s="21">
        <v>41974</v>
      </c>
      <c r="C15" s="21">
        <v>42004</v>
      </c>
      <c r="D15" s="24">
        <v>90.980000000000018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13</v>
      </c>
      <c r="B16" s="21">
        <v>42005</v>
      </c>
      <c r="C16" s="21">
        <v>42035</v>
      </c>
      <c r="D16" s="24">
        <v>104.8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>
        <f>SUM(K16:K27)</f>
        <v>422.9</v>
      </c>
      <c r="AB16" s="12">
        <f>SUM(D16:D27)</f>
        <v>406.56</v>
      </c>
    </row>
    <row r="17" spans="1:28" x14ac:dyDescent="0.3">
      <c r="A17" s="15">
        <v>14</v>
      </c>
      <c r="B17" s="21">
        <v>42036</v>
      </c>
      <c r="C17" s="21">
        <v>42063</v>
      </c>
      <c r="D17" s="24">
        <v>47.800000000000004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15</v>
      </c>
      <c r="B18" s="21">
        <v>42064</v>
      </c>
      <c r="C18" s="21">
        <v>42094</v>
      </c>
      <c r="D18" s="24">
        <v>34.159999999999982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16</v>
      </c>
      <c r="B19" s="21">
        <v>42095</v>
      </c>
      <c r="C19" s="21">
        <v>42124</v>
      </c>
      <c r="D19" s="24">
        <v>23.32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17</v>
      </c>
      <c r="B20" s="21">
        <v>42125</v>
      </c>
      <c r="C20" s="21">
        <v>42155</v>
      </c>
      <c r="D20" s="24">
        <v>10.299999999999997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18</v>
      </c>
      <c r="B21" s="21">
        <v>42156</v>
      </c>
      <c r="C21" s="21">
        <v>42185</v>
      </c>
      <c r="D21" s="24">
        <v>5.1800000000000006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19</v>
      </c>
      <c r="B22" s="21">
        <v>42186</v>
      </c>
      <c r="C22" s="21">
        <v>42216</v>
      </c>
      <c r="D22" s="24">
        <v>5.32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20</v>
      </c>
      <c r="B23" s="21">
        <v>42217</v>
      </c>
      <c r="C23" s="21">
        <v>42247</v>
      </c>
      <c r="D23" s="24">
        <v>5.36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21</v>
      </c>
      <c r="B24" s="21">
        <v>42248</v>
      </c>
      <c r="C24" s="21">
        <v>42277</v>
      </c>
      <c r="D24" s="24">
        <v>5.1400000000000006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22</v>
      </c>
      <c r="B25" s="21">
        <v>42278</v>
      </c>
      <c r="C25" s="21">
        <v>42308</v>
      </c>
      <c r="D25" s="24">
        <v>6.339999999999999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23</v>
      </c>
      <c r="B26" s="21">
        <v>42309</v>
      </c>
      <c r="C26" s="21">
        <v>42338</v>
      </c>
      <c r="D26" s="24">
        <v>53.91999999999998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24</v>
      </c>
      <c r="B27" s="21">
        <v>42339</v>
      </c>
      <c r="C27" s="21">
        <v>42369</v>
      </c>
      <c r="D27" s="24">
        <v>104.92000000000002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25</v>
      </c>
      <c r="B28" s="21">
        <v>42370</v>
      </c>
      <c r="C28" s="21">
        <v>42400</v>
      </c>
      <c r="D28" s="24">
        <v>88.220000000000013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  <c r="AA28" s="11">
        <f>SUM(K28:K39)</f>
        <v>392.2</v>
      </c>
      <c r="AB28" s="12">
        <f>SUM(D28:D39)</f>
        <v>383.58</v>
      </c>
    </row>
    <row r="29" spans="1:28" x14ac:dyDescent="0.3">
      <c r="A29" s="15">
        <v>26</v>
      </c>
      <c r="B29" s="21">
        <v>42401</v>
      </c>
      <c r="C29" s="21">
        <v>42429</v>
      </c>
      <c r="D29" s="24">
        <v>53.79999999999999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27</v>
      </c>
      <c r="B30" s="21">
        <v>42430</v>
      </c>
      <c r="C30" s="21">
        <v>42460</v>
      </c>
      <c r="D30" s="24">
        <v>38.780000000000008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28</v>
      </c>
      <c r="B31" s="21">
        <v>42461</v>
      </c>
      <c r="C31" s="21">
        <v>42490</v>
      </c>
      <c r="D31" s="24">
        <v>32.500000000000007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29</v>
      </c>
      <c r="B32" s="21">
        <v>42491</v>
      </c>
      <c r="C32" s="21">
        <v>42521</v>
      </c>
      <c r="D32" s="24">
        <v>13.559999999999999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30</v>
      </c>
      <c r="B33" s="21">
        <v>42522</v>
      </c>
      <c r="C33" s="21">
        <v>42551</v>
      </c>
      <c r="D33" s="24">
        <v>5.2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31</v>
      </c>
      <c r="B34" s="21">
        <v>42552</v>
      </c>
      <c r="C34" s="21">
        <v>42582</v>
      </c>
      <c r="D34" s="24">
        <v>5.2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32</v>
      </c>
      <c r="B35" s="21">
        <v>42583</v>
      </c>
      <c r="C35" s="21">
        <v>42613</v>
      </c>
      <c r="D35" s="24">
        <v>5.36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33</v>
      </c>
      <c r="B36" s="21">
        <v>42614</v>
      </c>
      <c r="C36" s="21">
        <v>42643</v>
      </c>
      <c r="D36" s="24">
        <v>5.1400000000000006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34</v>
      </c>
      <c r="B37" s="21">
        <v>42644</v>
      </c>
      <c r="C37" s="21">
        <v>42674</v>
      </c>
      <c r="D37" s="24">
        <v>5.3000000000000007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A38" s="15">
        <v>35</v>
      </c>
      <c r="B38" s="21">
        <v>42675</v>
      </c>
      <c r="C38" s="21">
        <v>42704</v>
      </c>
      <c r="D38">
        <v>49.64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A39" s="15">
        <v>36</v>
      </c>
      <c r="B39" s="21">
        <v>42705</v>
      </c>
      <c r="C39" s="21">
        <v>42735</v>
      </c>
      <c r="D39">
        <v>80.88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RSQ($D$4:$D$39,F4:F39)</f>
        <v>0.75438087647651142</v>
      </c>
      <c r="G41" s="26">
        <f t="shared" ref="G41:Y41" si="0">RSQ($D$4:$D$39,G4:G39)</f>
        <v>0.77053394396962827</v>
      </c>
      <c r="H41" s="26">
        <f t="shared" si="0"/>
        <v>0.784874361363608</v>
      </c>
      <c r="I41" s="26">
        <f t="shared" si="0"/>
        <v>0.79744757120946508</v>
      </c>
      <c r="J41" s="26">
        <f t="shared" si="0"/>
        <v>0.80845669423804034</v>
      </c>
      <c r="K41" s="26">
        <f t="shared" si="0"/>
        <v>0.81064512194508231</v>
      </c>
      <c r="L41" s="26">
        <f t="shared" si="0"/>
        <v>0.80392112281226591</v>
      </c>
      <c r="M41" s="26">
        <f t="shared" si="0"/>
        <v>0.73725293662904423</v>
      </c>
      <c r="N41" s="26">
        <f t="shared" si="0"/>
        <v>0.72148922419160078</v>
      </c>
      <c r="O41" s="26">
        <f t="shared" si="0"/>
        <v>0.70686691311560668</v>
      </c>
      <c r="P41" s="26">
        <f t="shared" si="0"/>
        <v>0.69353380202788761</v>
      </c>
      <c r="Q41" s="26">
        <f t="shared" si="0"/>
        <v>0.68294766966038978</v>
      </c>
      <c r="R41" s="26">
        <f t="shared" si="0"/>
        <v>0.67378947461306293</v>
      </c>
      <c r="S41" s="26">
        <f t="shared" si="0"/>
        <v>0.78914060470167291</v>
      </c>
      <c r="T41" s="26">
        <f t="shared" si="0"/>
        <v>0.76010886925791787</v>
      </c>
      <c r="U41" s="26">
        <f t="shared" si="0"/>
        <v>0.72686512121096924</v>
      </c>
      <c r="V41" s="26">
        <f t="shared" si="0"/>
        <v>0.69185967078464694</v>
      </c>
      <c r="W41" s="26">
        <f t="shared" si="0"/>
        <v>0.65098028209717684</v>
      </c>
      <c r="X41" s="26">
        <f t="shared" si="0"/>
        <v>0.61024672158201532</v>
      </c>
      <c r="Y41" s="26">
        <f t="shared" si="0"/>
        <v>0.56910815444942586</v>
      </c>
      <c r="AA41" s="11">
        <f>AVERAGE(AA4:AA32)</f>
        <v>378</v>
      </c>
      <c r="AB41" s="11">
        <f>AVERAGE(AB4:AB32)</f>
        <v>424.92666666666668</v>
      </c>
    </row>
    <row r="43" spans="1:28" x14ac:dyDescent="0.3">
      <c r="L43" t="s">
        <v>41</v>
      </c>
      <c r="O43" s="11">
        <f>AVERAGE(D10:D12,D22:D24,D34:D36)</f>
        <v>5.4888888888888898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0.80989999999999995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P48*(1/0.00001)*(1/24)*(60-(S52))</f>
        <v>52306.041666666657</v>
      </c>
      <c r="Q49" t="s">
        <v>47</v>
      </c>
      <c r="R49" s="29"/>
    </row>
    <row r="50" spans="16:27" x14ac:dyDescent="0.3">
      <c r="P50" s="19">
        <f>P49*Q51</f>
        <v>41844.833333333328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378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41844.833333333328</v>
      </c>
      <c r="Z57" t="s">
        <v>57</v>
      </c>
    </row>
    <row r="59" spans="16:27" x14ac:dyDescent="0.3">
      <c r="Y59" s="5">
        <f>Y51*Y57*Y52/(Y53-Y54)/Y56/Y55</f>
        <v>18608.643529411758</v>
      </c>
      <c r="Z59" t="s">
        <v>58</v>
      </c>
    </row>
    <row r="60" spans="16:27" x14ac:dyDescent="0.3">
      <c r="Y60" s="5">
        <f>Y59/100</f>
        <v>186.08643529411759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4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40" workbookViewId="0">
      <selection activeCell="O56" sqref="O56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73</v>
      </c>
      <c r="AB3" t="s">
        <v>35</v>
      </c>
    </row>
    <row r="4" spans="1:37" x14ac:dyDescent="0.3">
      <c r="A4" s="15">
        <v>1</v>
      </c>
      <c r="B4" s="31">
        <v>41640</v>
      </c>
      <c r="C4" s="31">
        <v>41670</v>
      </c>
      <c r="D4" s="32">
        <v>169.02000000000004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>
        <f>SUM(O4:O15)</f>
        <v>1540.1</v>
      </c>
      <c r="AB4" s="12">
        <f>SUM(D4:D15)</f>
        <v>1006.2600000000001</v>
      </c>
      <c r="AK4" s="21"/>
    </row>
    <row r="5" spans="1:37" x14ac:dyDescent="0.3">
      <c r="A5" s="15">
        <v>2</v>
      </c>
      <c r="B5" s="31">
        <v>41671</v>
      </c>
      <c r="C5" s="31">
        <v>41698</v>
      </c>
      <c r="D5" s="32">
        <v>76.52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A6" s="15">
        <v>3</v>
      </c>
      <c r="B6" s="31">
        <v>41699</v>
      </c>
      <c r="C6" s="31">
        <v>41729</v>
      </c>
      <c r="D6" s="32">
        <v>76.399999999999977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A7" s="15">
        <v>4</v>
      </c>
      <c r="B7" s="31">
        <v>41730</v>
      </c>
      <c r="C7" s="31">
        <v>41759</v>
      </c>
      <c r="D7" s="32">
        <v>60.919999999999995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A8" s="15">
        <v>5</v>
      </c>
      <c r="B8" s="31">
        <v>41760</v>
      </c>
      <c r="C8" s="31">
        <v>41790</v>
      </c>
      <c r="D8" s="32">
        <v>35.560000000000009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A9" s="15">
        <v>6</v>
      </c>
      <c r="B9" s="31">
        <v>41791</v>
      </c>
      <c r="C9" s="31">
        <v>41820</v>
      </c>
      <c r="D9" s="32">
        <v>30.22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A10" s="15">
        <v>7</v>
      </c>
      <c r="B10" s="31">
        <v>41821</v>
      </c>
      <c r="C10" s="31">
        <v>41851</v>
      </c>
      <c r="D10" s="32">
        <v>35.599999999999994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A11" s="15">
        <v>8</v>
      </c>
      <c r="B11" s="31">
        <v>41852</v>
      </c>
      <c r="C11" s="31">
        <v>41882</v>
      </c>
      <c r="D11" s="32">
        <v>40.399999999999991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A12" s="15">
        <v>9</v>
      </c>
      <c r="B12" s="31">
        <v>41883</v>
      </c>
      <c r="C12" s="31">
        <v>41912</v>
      </c>
      <c r="D12" s="32">
        <v>42.2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10</v>
      </c>
      <c r="B13" s="21">
        <v>41913</v>
      </c>
      <c r="C13" s="21">
        <v>41943</v>
      </c>
      <c r="D13" s="24">
        <v>53.099999999999994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11</v>
      </c>
      <c r="B14" s="21">
        <v>41944</v>
      </c>
      <c r="C14" s="21">
        <v>41973</v>
      </c>
      <c r="D14" s="24">
        <v>262.45999999999998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12</v>
      </c>
      <c r="B15" s="21">
        <v>41974</v>
      </c>
      <c r="C15" s="21">
        <v>42004</v>
      </c>
      <c r="D15" s="24">
        <v>123.85999999999999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13</v>
      </c>
      <c r="B16" s="21">
        <v>42005</v>
      </c>
      <c r="C16" s="21">
        <v>42035</v>
      </c>
      <c r="D16" s="24">
        <v>204.37999999999997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>
        <f>SUM(O16:O27)</f>
        <v>1770.6999999999998</v>
      </c>
      <c r="AB16" s="12">
        <f>SUM(D16:D27)</f>
        <v>927.71999999999991</v>
      </c>
    </row>
    <row r="17" spans="1:28" x14ac:dyDescent="0.3">
      <c r="A17" s="15">
        <v>14</v>
      </c>
      <c r="B17" s="21">
        <v>42036</v>
      </c>
      <c r="C17" s="21">
        <v>42063</v>
      </c>
      <c r="D17" s="24">
        <v>69.239999999999995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15</v>
      </c>
      <c r="B18" s="21">
        <v>42064</v>
      </c>
      <c r="C18" s="21">
        <v>42094</v>
      </c>
      <c r="D18" s="24">
        <v>156.97999999999996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16</v>
      </c>
      <c r="B19" s="21">
        <v>42095</v>
      </c>
      <c r="C19" s="21">
        <v>42124</v>
      </c>
      <c r="D19" s="24">
        <v>59.9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17</v>
      </c>
      <c r="B20" s="21">
        <v>42125</v>
      </c>
      <c r="C20" s="21">
        <v>42155</v>
      </c>
      <c r="D20" s="24">
        <v>114.64000000000001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18</v>
      </c>
      <c r="B21" s="21">
        <v>42156</v>
      </c>
      <c r="C21" s="21">
        <v>42185</v>
      </c>
      <c r="D21" s="24">
        <v>37.399999999999984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19</v>
      </c>
      <c r="B22" s="21">
        <v>42186</v>
      </c>
      <c r="C22" s="21">
        <v>42216</v>
      </c>
      <c r="D22" s="24">
        <v>30.460000000000015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20</v>
      </c>
      <c r="B23" s="21">
        <v>42217</v>
      </c>
      <c r="C23" s="21">
        <v>42247</v>
      </c>
      <c r="D23" s="24">
        <v>31.220000000000002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21</v>
      </c>
      <c r="B24" s="21">
        <v>42248</v>
      </c>
      <c r="C24" s="21">
        <v>42277</v>
      </c>
      <c r="D24" s="24">
        <v>28.340000000000014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22</v>
      </c>
      <c r="B25" s="21">
        <v>42278</v>
      </c>
      <c r="C25" s="21">
        <v>42308</v>
      </c>
      <c r="D25" s="24">
        <v>32.64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23</v>
      </c>
      <c r="B26" s="21">
        <v>42309</v>
      </c>
      <c r="C26" s="21">
        <v>42338</v>
      </c>
      <c r="D26" s="24">
        <v>76.8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24</v>
      </c>
      <c r="B27" s="21">
        <v>42339</v>
      </c>
      <c r="C27" s="21">
        <v>42369</v>
      </c>
      <c r="D27" s="24">
        <v>85.72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25</v>
      </c>
      <c r="B28" s="21">
        <v>42370</v>
      </c>
      <c r="C28" s="21">
        <v>42400</v>
      </c>
      <c r="D28" s="24">
        <v>239.47999999999993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  <c r="AA28" s="11">
        <f>SUM(O28:O39)</f>
        <v>1845.6</v>
      </c>
      <c r="AB28" s="12">
        <f>SUM(D28:D39)</f>
        <v>1282.48</v>
      </c>
    </row>
    <row r="29" spans="1:28" x14ac:dyDescent="0.3">
      <c r="A29" s="15">
        <v>26</v>
      </c>
      <c r="B29" s="21">
        <v>42401</v>
      </c>
      <c r="C29" s="21">
        <v>42429</v>
      </c>
      <c r="D29" s="24">
        <v>94.72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27</v>
      </c>
      <c r="B30" s="21">
        <v>42430</v>
      </c>
      <c r="C30" s="21">
        <v>42460</v>
      </c>
      <c r="D30" s="24">
        <v>73.819999999999993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28</v>
      </c>
      <c r="B31" s="21">
        <v>42461</v>
      </c>
      <c r="C31" s="21">
        <v>42490</v>
      </c>
      <c r="D31" s="24">
        <v>200.62000000000003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29</v>
      </c>
      <c r="B32" s="21">
        <v>42491</v>
      </c>
      <c r="C32" s="21">
        <v>42521</v>
      </c>
      <c r="D32" s="24">
        <v>78.279999999999987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30</v>
      </c>
      <c r="B33" s="21">
        <v>42522</v>
      </c>
      <c r="C33" s="21">
        <v>42551</v>
      </c>
      <c r="D33" s="24">
        <v>34.700000000000003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31</v>
      </c>
      <c r="B34" s="21">
        <v>42552</v>
      </c>
      <c r="C34" s="21">
        <v>42582</v>
      </c>
      <c r="D34" s="24">
        <v>30.600000000000012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32</v>
      </c>
      <c r="B35" s="21">
        <v>42583</v>
      </c>
      <c r="C35" s="21">
        <v>42613</v>
      </c>
      <c r="D35" s="24">
        <v>37.880000000000003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33</v>
      </c>
      <c r="B36" s="21">
        <v>42614</v>
      </c>
      <c r="C36" s="21">
        <v>42643</v>
      </c>
      <c r="D36" s="24">
        <v>53.46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34</v>
      </c>
      <c r="B37" s="21">
        <v>42644</v>
      </c>
      <c r="C37" s="21">
        <v>42674</v>
      </c>
      <c r="D37" s="24">
        <v>75.000000000000014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A38" s="15">
        <v>35</v>
      </c>
      <c r="B38" s="21">
        <v>42675</v>
      </c>
      <c r="C38" s="21">
        <v>42704</v>
      </c>
      <c r="D38">
        <v>207.18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A39" s="15">
        <v>36</v>
      </c>
      <c r="B39" s="21">
        <v>42705</v>
      </c>
      <c r="C39" s="21">
        <v>42735</v>
      </c>
      <c r="D39">
        <v>156.73999999999998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RSQ($D$4:$D$39,F4:F39)</f>
        <v>0.36310692255762467</v>
      </c>
      <c r="G41" s="26">
        <f t="shared" ref="G41:Y41" si="0">RSQ($D$4:$D$39,G4:G39)</f>
        <v>0.35734896416385648</v>
      </c>
      <c r="H41" s="26">
        <f t="shared" si="0"/>
        <v>0.34811439468783717</v>
      </c>
      <c r="I41" s="26">
        <f t="shared" si="0"/>
        <v>0.33902460359166542</v>
      </c>
      <c r="J41" s="26">
        <f t="shared" si="0"/>
        <v>0.32811598445385054</v>
      </c>
      <c r="K41" s="26">
        <f t="shared" si="0"/>
        <v>0.31284029444628347</v>
      </c>
      <c r="L41" s="26">
        <f t="shared" si="0"/>
        <v>0.29284965861883966</v>
      </c>
      <c r="M41" s="26">
        <f t="shared" si="0"/>
        <v>0.36677608901165504</v>
      </c>
      <c r="N41" s="26">
        <f t="shared" si="0"/>
        <v>0.3699227936455351</v>
      </c>
      <c r="O41" s="26">
        <f t="shared" si="0"/>
        <v>0.37051084313359717</v>
      </c>
      <c r="P41" s="26">
        <f t="shared" si="0"/>
        <v>0.37031375997286797</v>
      </c>
      <c r="Q41" s="26">
        <f t="shared" si="0"/>
        <v>0.36983328028207185</v>
      </c>
      <c r="R41" s="26">
        <f t="shared" si="0"/>
        <v>0.36807910830343621</v>
      </c>
      <c r="S41" s="26">
        <f t="shared" si="0"/>
        <v>0.26713284336720949</v>
      </c>
      <c r="T41" s="26">
        <f t="shared" si="0"/>
        <v>0.23841265254341115</v>
      </c>
      <c r="U41" s="26">
        <f t="shared" si="0"/>
        <v>0.21287089485225644</v>
      </c>
      <c r="V41" s="26">
        <f t="shared" si="0"/>
        <v>0.18980188248709734</v>
      </c>
      <c r="W41" s="26">
        <f t="shared" si="0"/>
        <v>0.16792798294847702</v>
      </c>
      <c r="X41" s="26">
        <f t="shared" si="0"/>
        <v>0.14418397707970237</v>
      </c>
      <c r="Y41" s="26">
        <f t="shared" si="0"/>
        <v>0.11950149189767645</v>
      </c>
      <c r="AA41" s="11">
        <f>AVERAGE(AA4:AA32)</f>
        <v>1718.8</v>
      </c>
      <c r="AB41" s="11">
        <f>AVERAGE(AB4:AB32)</f>
        <v>1072.1533333333334</v>
      </c>
    </row>
    <row r="43" spans="1:28" x14ac:dyDescent="0.3">
      <c r="L43" t="s">
        <v>41</v>
      </c>
      <c r="O43" s="11">
        <f>AVERAGE(D10:D12,D22:D24,D34:D36)</f>
        <v>36.684444444444445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0.38469999999999999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P48*(1/0.00001)*(1/24)*(68-(S52))</f>
        <v>37668.541666666657</v>
      </c>
      <c r="Q49" t="s">
        <v>47</v>
      </c>
      <c r="R49" s="29"/>
    </row>
    <row r="50" spans="16:27" x14ac:dyDescent="0.3">
      <c r="P50" s="19">
        <f>P49*Q51</f>
        <v>30134.833333333328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1718.8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30134.833333333328</v>
      </c>
      <c r="Z57" t="s">
        <v>57</v>
      </c>
    </row>
    <row r="59" spans="16:27" x14ac:dyDescent="0.3">
      <c r="Y59" s="5">
        <f>Y51*Y57*Y52/(Y53-Y54)/Y56/Y55</f>
        <v>60936.178274509781</v>
      </c>
      <c r="Z59" t="s">
        <v>58</v>
      </c>
    </row>
    <row r="60" spans="16:27" x14ac:dyDescent="0.3">
      <c r="Y60" s="5">
        <f>Y59/100</f>
        <v>609.3617827450978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3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31" workbookViewId="0">
      <selection activeCell="O58" sqref="O58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64</v>
      </c>
      <c r="AB3" t="s">
        <v>35</v>
      </c>
    </row>
    <row r="4" spans="1:37" x14ac:dyDescent="0.3">
      <c r="A4" s="15">
        <v>1</v>
      </c>
      <c r="B4" s="31">
        <v>41640</v>
      </c>
      <c r="C4" s="31">
        <v>41670</v>
      </c>
      <c r="D4" s="32">
        <v>627.43999999999994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>
        <f>SUM(S4:S15)</f>
        <v>181.8</v>
      </c>
      <c r="AB4" s="12">
        <f>SUM(D4:D15)</f>
        <v>2053.46</v>
      </c>
      <c r="AK4" s="21"/>
    </row>
    <row r="5" spans="1:37" x14ac:dyDescent="0.3">
      <c r="A5" s="15">
        <v>2</v>
      </c>
      <c r="B5" s="31">
        <v>41671</v>
      </c>
      <c r="C5" s="31">
        <v>41698</v>
      </c>
      <c r="D5" s="32">
        <v>208.24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A6" s="15">
        <v>3</v>
      </c>
      <c r="B6" s="31">
        <v>41699</v>
      </c>
      <c r="C6" s="31">
        <v>41729</v>
      </c>
      <c r="D6" s="32">
        <v>68.920000000000016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A7" s="15">
        <v>4</v>
      </c>
      <c r="B7" s="31">
        <v>41730</v>
      </c>
      <c r="C7" s="31">
        <v>41759</v>
      </c>
      <c r="D7" s="32">
        <v>225.33999999999997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A8" s="15">
        <v>5</v>
      </c>
      <c r="B8" s="31">
        <v>41760</v>
      </c>
      <c r="C8" s="31">
        <v>41790</v>
      </c>
      <c r="D8" s="32">
        <v>43.84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A9" s="15">
        <v>6</v>
      </c>
      <c r="B9" s="31">
        <v>41791</v>
      </c>
      <c r="C9" s="31">
        <v>41820</v>
      </c>
      <c r="D9" s="32">
        <v>36.579999999999984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A10" s="15">
        <v>7</v>
      </c>
      <c r="B10" s="31">
        <v>41821</v>
      </c>
      <c r="C10" s="31">
        <v>41851</v>
      </c>
      <c r="D10" s="32">
        <v>33.44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A11" s="15">
        <v>8</v>
      </c>
      <c r="B11" s="31">
        <v>41852</v>
      </c>
      <c r="C11" s="31">
        <v>41882</v>
      </c>
      <c r="D11" s="32">
        <v>37.059999999999995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A12" s="15">
        <v>9</v>
      </c>
      <c r="B12" s="31">
        <v>41883</v>
      </c>
      <c r="C12" s="31">
        <v>41912</v>
      </c>
      <c r="D12" s="32">
        <v>38.72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10</v>
      </c>
      <c r="B13" s="21">
        <v>41913</v>
      </c>
      <c r="C13" s="21">
        <v>41943</v>
      </c>
      <c r="D13" s="24">
        <v>41.160000000000004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11</v>
      </c>
      <c r="B14" s="21">
        <v>41944</v>
      </c>
      <c r="C14" s="21">
        <v>41973</v>
      </c>
      <c r="D14" s="24">
        <v>223.5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12</v>
      </c>
      <c r="B15" s="21">
        <v>41974</v>
      </c>
      <c r="C15" s="21">
        <v>42004</v>
      </c>
      <c r="D15" s="24">
        <v>469.22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13</v>
      </c>
      <c r="B16" s="21">
        <v>42005</v>
      </c>
      <c r="C16" s="21">
        <v>42035</v>
      </c>
      <c r="D16" s="24">
        <v>503.72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>
        <f>SUM(S16:S27)</f>
        <v>247.7</v>
      </c>
      <c r="AB16" s="12">
        <f>SUM(D16:D27)</f>
        <v>1713.78</v>
      </c>
    </row>
    <row r="17" spans="1:28" x14ac:dyDescent="0.3">
      <c r="A17" s="15">
        <v>14</v>
      </c>
      <c r="B17" s="21">
        <v>42036</v>
      </c>
      <c r="C17" s="21">
        <v>42063</v>
      </c>
      <c r="D17" s="24">
        <v>44.9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15</v>
      </c>
      <c r="B18" s="21">
        <v>42064</v>
      </c>
      <c r="C18" s="21">
        <v>42094</v>
      </c>
      <c r="D18" s="24">
        <v>82.66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16</v>
      </c>
      <c r="B19" s="21">
        <v>42095</v>
      </c>
      <c r="C19" s="21">
        <v>42124</v>
      </c>
      <c r="D19" s="24">
        <v>311.39999999999998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17</v>
      </c>
      <c r="B20" s="21">
        <v>42125</v>
      </c>
      <c r="C20" s="21">
        <v>42155</v>
      </c>
      <c r="D20" s="24">
        <v>37.68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18</v>
      </c>
      <c r="B21" s="21">
        <v>42156</v>
      </c>
      <c r="C21" s="21">
        <v>42185</v>
      </c>
      <c r="D21" s="24">
        <v>29.680000000000003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19</v>
      </c>
      <c r="B22" s="21">
        <v>42186</v>
      </c>
      <c r="C22" s="21">
        <v>42216</v>
      </c>
      <c r="D22" s="24">
        <v>44.000000000000007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20</v>
      </c>
      <c r="B23" s="21">
        <v>42217</v>
      </c>
      <c r="C23" s="21">
        <v>42247</v>
      </c>
      <c r="D23" s="24">
        <v>25.220000000000006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21</v>
      </c>
      <c r="B24" s="21">
        <v>42248</v>
      </c>
      <c r="C24" s="21">
        <v>42277</v>
      </c>
      <c r="D24" s="24">
        <v>25.32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22</v>
      </c>
      <c r="B25" s="21">
        <v>42278</v>
      </c>
      <c r="C25" s="21">
        <v>42308</v>
      </c>
      <c r="D25" s="24">
        <v>25.260000000000009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23</v>
      </c>
      <c r="B26" s="21">
        <v>42309</v>
      </c>
      <c r="C26" s="21">
        <v>42338</v>
      </c>
      <c r="D26" s="24">
        <v>128.46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24</v>
      </c>
      <c r="B27" s="21">
        <v>42339</v>
      </c>
      <c r="C27" s="21">
        <v>42369</v>
      </c>
      <c r="D27" s="24">
        <v>455.47999999999996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25</v>
      </c>
      <c r="B28" s="21">
        <v>42370</v>
      </c>
      <c r="C28" s="21">
        <v>42400</v>
      </c>
      <c r="D28" s="24">
        <v>327.02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  <c r="AA28" s="11">
        <f>SUM(S28:S39)</f>
        <v>224.5</v>
      </c>
      <c r="AB28" s="12">
        <f>SUM(D28:D39)</f>
        <v>1139.82</v>
      </c>
    </row>
    <row r="29" spans="1:28" x14ac:dyDescent="0.3">
      <c r="A29" s="15">
        <v>26</v>
      </c>
      <c r="B29" s="21">
        <v>42401</v>
      </c>
      <c r="C29" s="21">
        <v>42429</v>
      </c>
      <c r="D29" s="24">
        <v>73.97999999999999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27</v>
      </c>
      <c r="B30" s="21">
        <v>42430</v>
      </c>
      <c r="C30" s="21">
        <v>42460</v>
      </c>
      <c r="D30" s="24">
        <v>22.020000000000003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28</v>
      </c>
      <c r="B31" s="21">
        <v>42461</v>
      </c>
      <c r="C31" s="21">
        <v>42490</v>
      </c>
      <c r="D31" s="24">
        <v>19.680000000000003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29</v>
      </c>
      <c r="B32" s="21">
        <v>42491</v>
      </c>
      <c r="C32" s="21">
        <v>42521</v>
      </c>
      <c r="D32" s="24">
        <v>43.44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30</v>
      </c>
      <c r="B33" s="21">
        <v>42522</v>
      </c>
      <c r="C33" s="21">
        <v>42551</v>
      </c>
      <c r="D33" s="24">
        <v>9.2600000000000016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31</v>
      </c>
      <c r="B34" s="21">
        <v>42552</v>
      </c>
      <c r="C34" s="21">
        <v>42582</v>
      </c>
      <c r="D34" s="24">
        <v>9.5199999999999978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32</v>
      </c>
      <c r="B35" s="21">
        <v>42583</v>
      </c>
      <c r="C35" s="21">
        <v>42613</v>
      </c>
      <c r="D35" s="24">
        <v>9.2799999999999994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33</v>
      </c>
      <c r="B36" s="21">
        <v>42614</v>
      </c>
      <c r="C36" s="21">
        <v>42643</v>
      </c>
      <c r="D36" s="24">
        <v>11.380000000000003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34</v>
      </c>
      <c r="B37" s="21">
        <v>42644</v>
      </c>
      <c r="C37" s="21">
        <v>42674</v>
      </c>
      <c r="D37" s="24">
        <v>9.240000000000002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A38" s="15">
        <v>35</v>
      </c>
      <c r="B38" s="21">
        <v>42675</v>
      </c>
      <c r="C38" s="21">
        <v>42704</v>
      </c>
      <c r="D38">
        <v>131.44000000000003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A39" s="15">
        <v>36</v>
      </c>
      <c r="B39" s="21">
        <v>42705</v>
      </c>
      <c r="C39" s="21">
        <v>42735</v>
      </c>
      <c r="D39">
        <v>473.55999999999995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RSQ($D$4:$D$39,F4:F39)</f>
        <v>0.55828650487674292</v>
      </c>
      <c r="G41" s="26">
        <f t="shared" ref="G41:Y41" si="0">RSQ($D$4:$D$39,G4:G39)</f>
        <v>0.57785820254940357</v>
      </c>
      <c r="H41" s="26">
        <f t="shared" si="0"/>
        <v>0.59762912138495194</v>
      </c>
      <c r="I41" s="26">
        <f t="shared" si="0"/>
        <v>0.61888822359240936</v>
      </c>
      <c r="J41" s="26">
        <f t="shared" si="0"/>
        <v>0.64253056628493155</v>
      </c>
      <c r="K41" s="26">
        <f t="shared" si="0"/>
        <v>0.65954631505385297</v>
      </c>
      <c r="L41" s="26">
        <f t="shared" si="0"/>
        <v>0.67505545372823028</v>
      </c>
      <c r="M41" s="26">
        <f t="shared" si="0"/>
        <v>0.54058118423804147</v>
      </c>
      <c r="N41" s="26">
        <f t="shared" si="0"/>
        <v>0.52369294371528685</v>
      </c>
      <c r="O41" s="26">
        <f t="shared" si="0"/>
        <v>0.50870605514381306</v>
      </c>
      <c r="P41" s="26">
        <f t="shared" si="0"/>
        <v>0.49583622090091173</v>
      </c>
      <c r="Q41" s="26">
        <f t="shared" si="0"/>
        <v>0.48547132595707299</v>
      </c>
      <c r="R41" s="26">
        <f t="shared" si="0"/>
        <v>0.47712777562930464</v>
      </c>
      <c r="S41" s="26">
        <f t="shared" si="0"/>
        <v>0.67605438500109694</v>
      </c>
      <c r="T41" s="26">
        <f t="shared" si="0"/>
        <v>0.66460997834426239</v>
      </c>
      <c r="U41" s="26">
        <f t="shared" si="0"/>
        <v>0.64457925592874199</v>
      </c>
      <c r="V41" s="26">
        <f t="shared" si="0"/>
        <v>0.61893617175765869</v>
      </c>
      <c r="W41" s="26">
        <f t="shared" si="0"/>
        <v>0.58836777016042219</v>
      </c>
      <c r="X41" s="26">
        <f t="shared" si="0"/>
        <v>0.55731001568938909</v>
      </c>
      <c r="Y41" s="26">
        <f t="shared" si="0"/>
        <v>0.52348104170533971</v>
      </c>
      <c r="AA41" s="11">
        <f>AVERAGE(AA4:AA32)</f>
        <v>218</v>
      </c>
      <c r="AB41" s="11">
        <f>AVERAGE(AB4:AB32)</f>
        <v>1635.6866666666665</v>
      </c>
    </row>
    <row r="43" spans="1:28" x14ac:dyDescent="0.3">
      <c r="L43" t="s">
        <v>41</v>
      </c>
      <c r="O43" s="11">
        <f>AVERAGE(D10:D12,D22:D24,D34:D36)</f>
        <v>25.993333333333332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5.7896000000000001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P48*(1/0.00001)*(1/24)*(58-(S52))</f>
        <v>325664.99999999994</v>
      </c>
      <c r="Q49" t="s">
        <v>47</v>
      </c>
      <c r="R49" s="29"/>
    </row>
    <row r="50" spans="16:27" x14ac:dyDescent="0.3">
      <c r="P50" s="19">
        <f>P49*Q51</f>
        <v>260531.99999999997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218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260531.99999999997</v>
      </c>
      <c r="Z57" t="s">
        <v>57</v>
      </c>
    </row>
    <row r="59" spans="16:27" x14ac:dyDescent="0.3">
      <c r="Y59" s="5">
        <f>Y51*Y57*Y52/(Y53-Y54)/Y56/Y55</f>
        <v>66818.795294117634</v>
      </c>
      <c r="Z59" t="s">
        <v>58</v>
      </c>
    </row>
    <row r="60" spans="16:27" x14ac:dyDescent="0.3">
      <c r="Y60" s="5">
        <f>Y59/100</f>
        <v>668.18795294117638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2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34" workbookViewId="0">
      <selection activeCell="N56" sqref="N56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68</v>
      </c>
      <c r="AB3" t="s">
        <v>35</v>
      </c>
    </row>
    <row r="4" spans="1:37" x14ac:dyDescent="0.3">
      <c r="B4" s="31">
        <v>41640</v>
      </c>
      <c r="C4" s="31">
        <v>41670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K4" s="21"/>
    </row>
    <row r="5" spans="1:37" x14ac:dyDescent="0.3">
      <c r="B5" s="31">
        <v>41671</v>
      </c>
      <c r="C5" s="31">
        <v>41698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B6" s="31">
        <v>41699</v>
      </c>
      <c r="C6" s="31">
        <v>41729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B7" s="31">
        <v>41730</v>
      </c>
      <c r="C7" s="31">
        <v>41759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B8" s="31">
        <v>41760</v>
      </c>
      <c r="C8" s="31">
        <v>41790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B9" s="31">
        <v>41791</v>
      </c>
      <c r="C9" s="31">
        <v>41820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B10" s="31">
        <v>41821</v>
      </c>
      <c r="C10" s="31">
        <v>41851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B11" s="31">
        <v>41852</v>
      </c>
      <c r="C11" s="31">
        <v>41882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B12" s="31">
        <v>41883</v>
      </c>
      <c r="C12" s="31">
        <v>41912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B13" s="21">
        <v>41913</v>
      </c>
      <c r="C13" s="21">
        <v>41943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</v>
      </c>
      <c r="B14" s="21">
        <v>41944</v>
      </c>
      <c r="C14" s="21">
        <v>41973</v>
      </c>
      <c r="D14" s="24">
        <v>109.1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  <c r="AA14" s="11">
        <f>SUM(Y14:Y25)</f>
        <v>31.200000000000003</v>
      </c>
      <c r="AB14" s="12">
        <f>SUM(D14:D25)</f>
        <v>2062.8000000000002</v>
      </c>
    </row>
    <row r="15" spans="1:37" x14ac:dyDescent="0.3">
      <c r="A15" s="15">
        <v>2</v>
      </c>
      <c r="B15" s="21">
        <v>41974</v>
      </c>
      <c r="C15" s="21">
        <v>42004</v>
      </c>
      <c r="D15" s="24">
        <v>925.60000000000014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3</v>
      </c>
      <c r="B16" s="21">
        <v>42005</v>
      </c>
      <c r="C16" s="21">
        <v>42035</v>
      </c>
      <c r="D16" s="24">
        <v>368.30000000000007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</row>
    <row r="17" spans="1:28" x14ac:dyDescent="0.3">
      <c r="A17" s="15">
        <v>4</v>
      </c>
      <c r="B17" s="21">
        <v>42036</v>
      </c>
      <c r="C17" s="21">
        <v>42063</v>
      </c>
      <c r="D17" s="24">
        <v>469.69999999999993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5</v>
      </c>
      <c r="B18" s="21">
        <v>42064</v>
      </c>
      <c r="C18" s="21">
        <v>42094</v>
      </c>
      <c r="D18" s="24">
        <v>184.79999999999998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6</v>
      </c>
      <c r="B19" s="21">
        <v>42095</v>
      </c>
      <c r="C19" s="21">
        <v>42124</v>
      </c>
      <c r="D19" s="24">
        <v>5.2999999999999989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7</v>
      </c>
      <c r="B20" s="21">
        <v>42125</v>
      </c>
      <c r="C20" s="21">
        <v>42155</v>
      </c>
      <c r="D20" s="24"/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8</v>
      </c>
      <c r="B21" s="21">
        <v>42156</v>
      </c>
      <c r="C21" s="21">
        <v>42185</v>
      </c>
      <c r="D21" s="24"/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9</v>
      </c>
      <c r="B22" s="21">
        <v>42186</v>
      </c>
      <c r="C22" s="21">
        <v>42216</v>
      </c>
      <c r="D22" s="24"/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10</v>
      </c>
      <c r="B23" s="21">
        <v>42217</v>
      </c>
      <c r="C23" s="21">
        <v>42247</v>
      </c>
      <c r="D23" s="24"/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11</v>
      </c>
      <c r="B24" s="21">
        <v>42248</v>
      </c>
      <c r="C24" s="21">
        <v>42277</v>
      </c>
      <c r="D24" s="24"/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12</v>
      </c>
      <c r="B25" s="21">
        <v>42278</v>
      </c>
      <c r="C25" s="21">
        <v>42308</v>
      </c>
      <c r="D25" s="24"/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13</v>
      </c>
      <c r="B26" s="21">
        <v>42309</v>
      </c>
      <c r="C26" s="21">
        <v>42338</v>
      </c>
      <c r="D26" s="24">
        <v>0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  <c r="AA26" s="11">
        <f>SUM(Y26:Y37)</f>
        <v>45.8</v>
      </c>
      <c r="AB26" s="12">
        <f>SUM(D26:D37)</f>
        <v>2490.9</v>
      </c>
    </row>
    <row r="27" spans="1:28" x14ac:dyDescent="0.3">
      <c r="A27" s="15">
        <v>14</v>
      </c>
      <c r="B27" s="21">
        <v>42339</v>
      </c>
      <c r="C27" s="21">
        <v>42369</v>
      </c>
      <c r="D27" s="24">
        <v>887.70000000000016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15</v>
      </c>
      <c r="B28" s="21">
        <v>42370</v>
      </c>
      <c r="C28" s="21">
        <v>42400</v>
      </c>
      <c r="D28" s="24">
        <v>276.09999999999991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</row>
    <row r="29" spans="1:28" x14ac:dyDescent="0.3">
      <c r="A29" s="15">
        <v>16</v>
      </c>
      <c r="B29" s="21">
        <v>42401</v>
      </c>
      <c r="C29" s="21">
        <v>42429</v>
      </c>
      <c r="D29" s="24">
        <v>138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17</v>
      </c>
      <c r="B30" s="21">
        <v>42430</v>
      </c>
      <c r="C30" s="21">
        <v>42460</v>
      </c>
      <c r="D30" s="24">
        <v>498.30000000000007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18</v>
      </c>
      <c r="B31" s="21">
        <v>42461</v>
      </c>
      <c r="C31" s="21">
        <v>42490</v>
      </c>
      <c r="D31" s="24">
        <v>420.69999999999993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19</v>
      </c>
      <c r="B32" s="21">
        <v>42491</v>
      </c>
      <c r="C32" s="21">
        <v>42521</v>
      </c>
      <c r="D32" s="24">
        <v>242.1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20</v>
      </c>
      <c r="B33" s="21">
        <v>42522</v>
      </c>
      <c r="C33" s="21">
        <v>42551</v>
      </c>
      <c r="D33" s="24">
        <v>26.7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21</v>
      </c>
      <c r="B34" s="21">
        <v>42552</v>
      </c>
      <c r="C34" s="21">
        <v>42582</v>
      </c>
      <c r="D34" s="24">
        <v>1.3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22</v>
      </c>
      <c r="B35" s="21">
        <v>42583</v>
      </c>
      <c r="C35" s="21">
        <v>42613</v>
      </c>
      <c r="D35" s="24"/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23</v>
      </c>
      <c r="B36" s="21">
        <v>42614</v>
      </c>
      <c r="C36" s="21">
        <v>42643</v>
      </c>
      <c r="D36" s="24"/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24</v>
      </c>
      <c r="B37" s="21">
        <v>42644</v>
      </c>
      <c r="C37" s="21">
        <v>42674</v>
      </c>
      <c r="D37" s="24"/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B38" s="21">
        <v>42675</v>
      </c>
      <c r="C38" s="21">
        <v>42704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B39" s="21">
        <v>42705</v>
      </c>
      <c r="C39" s="21">
        <v>42735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RSQ($D$14:$D$37,F14:F37)</f>
        <v>0.51468275272458386</v>
      </c>
      <c r="G41" s="26">
        <f t="shared" ref="G41:Y41" si="0">RSQ($D$14:$D$37,G14:G37)</f>
        <v>0.51632614234711416</v>
      </c>
      <c r="H41" s="26">
        <f t="shared" si="0"/>
        <v>0.51739487514665827</v>
      </c>
      <c r="I41" s="26">
        <f t="shared" si="0"/>
        <v>0.51459376562226777</v>
      </c>
      <c r="J41" s="26">
        <f t="shared" si="0"/>
        <v>0.5106708666950841</v>
      </c>
      <c r="K41" s="26">
        <f t="shared" si="0"/>
        <v>0.5096083541690144</v>
      </c>
      <c r="L41" s="26">
        <f t="shared" si="0"/>
        <v>0.50570350064609615</v>
      </c>
      <c r="M41" s="26">
        <f t="shared" si="0"/>
        <v>0.51173380057178408</v>
      </c>
      <c r="N41" s="26">
        <f t="shared" si="0"/>
        <v>0.50794738605303869</v>
      </c>
      <c r="O41" s="26">
        <f t="shared" si="0"/>
        <v>0.50527322701240418</v>
      </c>
      <c r="P41" s="26">
        <f t="shared" si="0"/>
        <v>0.50157008849672091</v>
      </c>
      <c r="Q41" s="26">
        <f t="shared" si="0"/>
        <v>0.49918847269385169</v>
      </c>
      <c r="R41" s="26">
        <f t="shared" si="0"/>
        <v>0.49779265950692703</v>
      </c>
      <c r="S41" s="26">
        <f t="shared" si="0"/>
        <v>0.51609835244868374</v>
      </c>
      <c r="T41" s="26">
        <f t="shared" si="0"/>
        <v>0.53115152369146845</v>
      </c>
      <c r="U41" s="26">
        <f t="shared" si="0"/>
        <v>0.54363571528110177</v>
      </c>
      <c r="V41" s="26">
        <f t="shared" si="0"/>
        <v>0.55190114024347181</v>
      </c>
      <c r="W41" s="26">
        <f t="shared" si="0"/>
        <v>0.56441936640864721</v>
      </c>
      <c r="X41" s="26">
        <f t="shared" si="0"/>
        <v>0.57114299931163925</v>
      </c>
      <c r="Y41" s="26">
        <f t="shared" si="0"/>
        <v>0.58298968570885146</v>
      </c>
      <c r="AA41" s="11">
        <f>AVERAGE(AA4:AA32)</f>
        <v>38.5</v>
      </c>
      <c r="AB41" s="11">
        <f>AVERAGE(AB4:AB32)</f>
        <v>2276.8500000000004</v>
      </c>
    </row>
    <row r="43" spans="1:28" x14ac:dyDescent="0.3">
      <c r="L43" t="s">
        <v>41</v>
      </c>
      <c r="O43" s="11">
        <f>AVERAGE(D33)</f>
        <v>26.7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29.643000000000001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P48*(1/0.00001)*(1/24)*(52-(S52))</f>
        <v>926343.74999999977</v>
      </c>
      <c r="Q49" t="s">
        <v>47</v>
      </c>
      <c r="R49" s="29"/>
    </row>
    <row r="50" spans="16:27" x14ac:dyDescent="0.3">
      <c r="P50" s="19">
        <f>P49*Q51</f>
        <v>741074.99999999988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38.5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741074.99999999988</v>
      </c>
      <c r="Z57" t="s">
        <v>57</v>
      </c>
    </row>
    <row r="59" spans="16:27" x14ac:dyDescent="0.3">
      <c r="Y59" s="5">
        <f>Y51*Y57*Y52/(Y53-Y54)/Y56/Y55</f>
        <v>33566.338235294112</v>
      </c>
      <c r="Z59" t="s">
        <v>58</v>
      </c>
    </row>
    <row r="60" spans="16:27" x14ac:dyDescent="0.3">
      <c r="Y60" s="5">
        <f>Y59/100</f>
        <v>335.66338235294114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1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2"/>
  <sheetViews>
    <sheetView topLeftCell="A31" workbookViewId="0">
      <selection activeCell="M50" sqref="M50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61</v>
      </c>
      <c r="AB3" t="s">
        <v>35</v>
      </c>
    </row>
    <row r="4" spans="1:37" x14ac:dyDescent="0.3">
      <c r="A4" s="15"/>
      <c r="B4" s="22">
        <v>41640</v>
      </c>
      <c r="C4" s="22">
        <v>41670</v>
      </c>
      <c r="D4" s="23">
        <v>0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K4" s="21"/>
    </row>
    <row r="5" spans="1:37" x14ac:dyDescent="0.3">
      <c r="B5" s="22">
        <v>41671</v>
      </c>
      <c r="C5" s="22">
        <v>41698</v>
      </c>
      <c r="D5" s="23">
        <v>0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B6" s="22">
        <v>41699</v>
      </c>
      <c r="C6" s="22">
        <v>41729</v>
      </c>
      <c r="D6" s="23">
        <v>0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B7" s="22">
        <v>41730</v>
      </c>
      <c r="C7" s="22">
        <v>41759</v>
      </c>
      <c r="D7" s="23">
        <v>0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B8" s="22">
        <v>41760</v>
      </c>
      <c r="C8" s="22">
        <v>41790</v>
      </c>
      <c r="D8" s="23">
        <v>0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B9" s="22">
        <v>41791</v>
      </c>
      <c r="C9" s="22">
        <v>41820</v>
      </c>
      <c r="D9" s="23">
        <v>0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B10" s="22">
        <v>41821</v>
      </c>
      <c r="C10" s="22">
        <v>41851</v>
      </c>
      <c r="D10" s="23">
        <v>0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B11" s="22">
        <v>41852</v>
      </c>
      <c r="C11" s="22">
        <v>41882</v>
      </c>
      <c r="D11" s="23">
        <v>0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B12" s="22">
        <v>41883</v>
      </c>
      <c r="C12" s="22">
        <v>41912</v>
      </c>
      <c r="D12" s="23">
        <v>0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B13" s="22">
        <v>41913</v>
      </c>
      <c r="C13" s="22">
        <v>41943</v>
      </c>
      <c r="D13" s="23">
        <v>0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B14" s="22">
        <v>41944</v>
      </c>
      <c r="C14" s="22">
        <v>41973</v>
      </c>
      <c r="D14" s="23">
        <v>0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B15" s="22">
        <v>41974</v>
      </c>
      <c r="C15" s="22">
        <v>42004</v>
      </c>
      <c r="D15" s="23">
        <v>0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B16" s="22">
        <v>42005</v>
      </c>
      <c r="C16" s="22">
        <v>42035</v>
      </c>
      <c r="D16" s="23">
        <v>0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</row>
    <row r="17" spans="1:28" x14ac:dyDescent="0.3">
      <c r="B17" s="22">
        <v>42036</v>
      </c>
      <c r="C17" s="22">
        <v>42063</v>
      </c>
      <c r="D17" s="23">
        <v>0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B18" s="22">
        <v>42064</v>
      </c>
      <c r="C18" s="22">
        <v>42094</v>
      </c>
      <c r="D18" s="23">
        <v>0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B19" s="22">
        <v>42095</v>
      </c>
      <c r="C19" s="22">
        <v>42124</v>
      </c>
      <c r="D19" s="23">
        <v>0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B20" s="22">
        <v>42125</v>
      </c>
      <c r="C20" s="22">
        <v>42155</v>
      </c>
      <c r="D20" s="23">
        <v>0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B21" s="22">
        <v>42156</v>
      </c>
      <c r="C21" s="22">
        <v>42185</v>
      </c>
      <c r="D21" s="23">
        <v>0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B22" s="22">
        <v>42186</v>
      </c>
      <c r="C22" s="22">
        <v>42216</v>
      </c>
      <c r="D22" s="23">
        <v>0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/>
      <c r="B23" s="21">
        <v>42217</v>
      </c>
      <c r="C23" s="21">
        <v>42247</v>
      </c>
      <c r="D23" s="24">
        <v>43.52000000000001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/>
      <c r="B24" s="21">
        <v>42248</v>
      </c>
      <c r="C24" s="21">
        <v>42277</v>
      </c>
      <c r="D24" s="24">
        <v>41.26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/>
      <c r="B25" s="21">
        <v>42278</v>
      </c>
      <c r="C25" s="21">
        <v>42308</v>
      </c>
      <c r="D25" s="24">
        <v>49.2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1</v>
      </c>
      <c r="B26" s="21">
        <v>42309</v>
      </c>
      <c r="C26" s="21">
        <v>42338</v>
      </c>
      <c r="D26" s="24">
        <v>119.04000000000002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  <c r="AA26" s="11">
        <f>SUM(G26:G37)</f>
        <v>1006.8000000000002</v>
      </c>
      <c r="AB26" s="12">
        <f>SUM(D26:D37)</f>
        <v>1214.54</v>
      </c>
    </row>
    <row r="27" spans="1:28" x14ac:dyDescent="0.3">
      <c r="A27" s="15">
        <v>2</v>
      </c>
      <c r="B27" s="21">
        <v>42339</v>
      </c>
      <c r="C27" s="21">
        <v>42369</v>
      </c>
      <c r="D27" s="24">
        <v>182.82000000000002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3</v>
      </c>
      <c r="B28" s="21">
        <v>42370</v>
      </c>
      <c r="C28" s="21">
        <v>42400</v>
      </c>
      <c r="D28" s="24">
        <v>195.36000000000004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</row>
    <row r="29" spans="1:28" x14ac:dyDescent="0.3">
      <c r="A29" s="15">
        <v>4</v>
      </c>
      <c r="B29" s="21">
        <v>42401</v>
      </c>
      <c r="C29" s="21">
        <v>42429</v>
      </c>
      <c r="D29" s="24">
        <v>119.69999999999999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5</v>
      </c>
      <c r="B30" s="21">
        <v>42430</v>
      </c>
      <c r="C30" s="21">
        <v>42460</v>
      </c>
      <c r="D30" s="24">
        <v>129.13999999999999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6</v>
      </c>
      <c r="B31" s="21">
        <v>42461</v>
      </c>
      <c r="C31" s="21">
        <v>42490</v>
      </c>
      <c r="D31" s="24">
        <v>109.62000000000003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7</v>
      </c>
      <c r="B32" s="21">
        <v>42491</v>
      </c>
      <c r="C32" s="21">
        <v>42521</v>
      </c>
      <c r="D32" s="24">
        <v>89.519999999999968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8</v>
      </c>
      <c r="B33" s="21">
        <v>42522</v>
      </c>
      <c r="C33" s="21">
        <v>42551</v>
      </c>
      <c r="D33" s="24">
        <v>55.160000000000011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9</v>
      </c>
      <c r="B34" s="21">
        <v>42552</v>
      </c>
      <c r="C34" s="21">
        <v>42582</v>
      </c>
      <c r="D34" s="24">
        <v>41.679999999999993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10</v>
      </c>
      <c r="B35" s="21">
        <v>42583</v>
      </c>
      <c r="C35" s="21">
        <v>42613</v>
      </c>
      <c r="D35" s="24">
        <v>48.46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11</v>
      </c>
      <c r="B36" s="21">
        <v>42614</v>
      </c>
      <c r="C36" s="21">
        <v>42643</v>
      </c>
      <c r="D36" s="24">
        <v>53.70000000000001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12</v>
      </c>
      <c r="B37" s="21">
        <v>42644</v>
      </c>
      <c r="C37" s="21">
        <v>42674</v>
      </c>
      <c r="D37" s="24">
        <v>70.34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9" spans="1:28" x14ac:dyDescent="0.3">
      <c r="E39" s="25" t="s">
        <v>40</v>
      </c>
      <c r="F39" s="26">
        <f>RSQ($D$26:$D$37,F26:F37)</f>
        <v>0.97348572545295642</v>
      </c>
      <c r="G39" s="26">
        <f t="shared" ref="G39:Y39" si="0">RSQ($D$26:$D$37,G26:G37)</f>
        <v>0.97615689910472259</v>
      </c>
      <c r="H39" s="26">
        <f t="shared" si="0"/>
        <v>0.97334594670593688</v>
      </c>
      <c r="I39" s="26">
        <f t="shared" si="0"/>
        <v>0.96394759095633664</v>
      </c>
      <c r="J39" s="26">
        <f t="shared" si="0"/>
        <v>0.94430820714028418</v>
      </c>
      <c r="K39" s="26">
        <f t="shared" si="0"/>
        <v>0.91722204957676245</v>
      </c>
      <c r="L39" s="26">
        <f t="shared" si="0"/>
        <v>0.87918907347307695</v>
      </c>
      <c r="M39" s="26">
        <f t="shared" si="0"/>
        <v>0.96791311970400462</v>
      </c>
      <c r="N39" s="26">
        <f t="shared" si="0"/>
        <v>0.96025095056730214</v>
      </c>
      <c r="O39" s="26">
        <f t="shared" si="0"/>
        <v>0.95187679159474547</v>
      </c>
      <c r="P39" s="26">
        <f t="shared" si="0"/>
        <v>0.94343731978688028</v>
      </c>
      <c r="Q39" s="26">
        <f t="shared" si="0"/>
        <v>0.9356681775643394</v>
      </c>
      <c r="R39" s="26">
        <f t="shared" si="0"/>
        <v>0.92905431598917632</v>
      </c>
      <c r="S39" s="26">
        <f t="shared" si="0"/>
        <v>0.83900460864740001</v>
      </c>
      <c r="T39" s="26">
        <f t="shared" si="0"/>
        <v>0.79573888228248557</v>
      </c>
      <c r="U39" s="26">
        <f t="shared" si="0"/>
        <v>0.75852059110431791</v>
      </c>
      <c r="V39" s="26">
        <f t="shared" si="0"/>
        <v>0.7171770402859331</v>
      </c>
      <c r="W39" s="26">
        <f t="shared" si="0"/>
        <v>0.67181411188356854</v>
      </c>
      <c r="X39" s="26">
        <f t="shared" si="0"/>
        <v>0.61817954153328625</v>
      </c>
      <c r="Y39" s="26">
        <f t="shared" si="0"/>
        <v>0.55749523943937551</v>
      </c>
      <c r="AA39" s="11">
        <f>AVERAGE(AA13:AA26)</f>
        <v>1006.8000000000002</v>
      </c>
      <c r="AB39" s="11">
        <f>AVERAGE(AB13:AB26)</f>
        <v>1214.54</v>
      </c>
    </row>
    <row r="41" spans="1:28" x14ac:dyDescent="0.3">
      <c r="L41" t="s">
        <v>41</v>
      </c>
      <c r="O41" s="11">
        <f>AVERAGE(D34:D36)</f>
        <v>47.946666666666665</v>
      </c>
    </row>
    <row r="44" spans="1:28" x14ac:dyDescent="0.3">
      <c r="N44" s="27" t="s">
        <v>42</v>
      </c>
    </row>
    <row r="46" spans="1:28" x14ac:dyDescent="0.3">
      <c r="N46" s="9" t="s">
        <v>43</v>
      </c>
      <c r="O46" t="s">
        <v>44</v>
      </c>
      <c r="P46">
        <v>0.64910000000000001</v>
      </c>
      <c r="Q46" t="s">
        <v>45</v>
      </c>
      <c r="R46" s="28"/>
      <c r="S46" s="28"/>
      <c r="T46" s="28" t="s">
        <v>46</v>
      </c>
    </row>
    <row r="47" spans="1:28" x14ac:dyDescent="0.3">
      <c r="P47" s="19">
        <f>P46*(1/0.00001)*(1/24)*(64-(S50))</f>
        <v>47600.666666666664</v>
      </c>
      <c r="Q47" t="s">
        <v>47</v>
      </c>
      <c r="R47" s="29"/>
    </row>
    <row r="48" spans="1:28" x14ac:dyDescent="0.3">
      <c r="P48" s="19">
        <f>P47*Q49</f>
        <v>38080.533333333333</v>
      </c>
      <c r="Q48" t="s">
        <v>48</v>
      </c>
      <c r="R48" s="29"/>
    </row>
    <row r="49" spans="17:27" x14ac:dyDescent="0.3">
      <c r="Q49" s="30">
        <v>0.8</v>
      </c>
      <c r="Y49">
        <v>24</v>
      </c>
      <c r="Z49" t="s">
        <v>49</v>
      </c>
    </row>
    <row r="50" spans="17:27" x14ac:dyDescent="0.3">
      <c r="Q50" s="9"/>
      <c r="R50" s="9" t="s">
        <v>50</v>
      </c>
      <c r="S50">
        <v>46.4</v>
      </c>
      <c r="Y50" s="5">
        <f>AA39</f>
        <v>1006.8000000000002</v>
      </c>
      <c r="Z50" t="s">
        <v>51</v>
      </c>
      <c r="AA50" t="s">
        <v>52</v>
      </c>
    </row>
    <row r="51" spans="17:27" x14ac:dyDescent="0.3">
      <c r="Y51">
        <v>70</v>
      </c>
      <c r="Z51" t="s">
        <v>53</v>
      </c>
    </row>
    <row r="52" spans="17:27" x14ac:dyDescent="0.3">
      <c r="Y52">
        <f>S50</f>
        <v>46.4</v>
      </c>
      <c r="Z52" t="s">
        <v>54</v>
      </c>
    </row>
    <row r="53" spans="17:27" x14ac:dyDescent="0.3">
      <c r="Y53" s="30">
        <f>Q49</f>
        <v>0.8</v>
      </c>
      <c r="Z53" t="s">
        <v>55</v>
      </c>
    </row>
    <row r="54" spans="17:27" x14ac:dyDescent="0.3">
      <c r="Y54">
        <v>1000</v>
      </c>
      <c r="Z54" t="s">
        <v>56</v>
      </c>
    </row>
    <row r="55" spans="17:27" x14ac:dyDescent="0.3">
      <c r="Y55" s="19">
        <f>P48</f>
        <v>38080.533333333333</v>
      </c>
      <c r="Z55" t="s">
        <v>57</v>
      </c>
    </row>
    <row r="57" spans="17:27" x14ac:dyDescent="0.3">
      <c r="Y57" s="5">
        <f>Y49*Y55*Y50/(Y51-Y52)/Y54/Y53</f>
        <v>48736.62833898305</v>
      </c>
      <c r="Z57" t="s">
        <v>58</v>
      </c>
    </row>
    <row r="58" spans="17:27" x14ac:dyDescent="0.3">
      <c r="Y58" s="5">
        <f>Y57/100</f>
        <v>487.36628338983047</v>
      </c>
      <c r="Z58" t="s">
        <v>59</v>
      </c>
      <c r="AA58" t="s">
        <v>62</v>
      </c>
    </row>
    <row r="62" spans="17:27" x14ac:dyDescent="0.3">
      <c r="Y62" s="14"/>
    </row>
  </sheetData>
  <conditionalFormatting sqref="F39:Y39">
    <cfRule type="top10" dxfId="0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2"/>
  <sheetViews>
    <sheetView topLeftCell="A34" zoomScale="90" zoomScaleNormal="90" workbookViewId="0">
      <selection activeCell="R59" sqref="R59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61</v>
      </c>
      <c r="AB3" t="s">
        <v>35</v>
      </c>
    </row>
    <row r="4" spans="1:37" x14ac:dyDescent="0.3">
      <c r="A4" s="15"/>
      <c r="B4" s="22">
        <v>41640</v>
      </c>
      <c r="C4" s="22">
        <v>41670</v>
      </c>
      <c r="D4" s="23">
        <v>0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K4" s="21"/>
    </row>
    <row r="5" spans="1:37" x14ac:dyDescent="0.3">
      <c r="B5" s="22">
        <v>41671</v>
      </c>
      <c r="C5" s="22">
        <v>41698</v>
      </c>
      <c r="D5" s="23">
        <v>0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B6" s="22">
        <v>41699</v>
      </c>
      <c r="C6" s="22">
        <v>41729</v>
      </c>
      <c r="D6" s="23">
        <v>0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B7" s="22">
        <v>41730</v>
      </c>
      <c r="C7" s="22">
        <v>41759</v>
      </c>
      <c r="D7" s="23">
        <v>0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B8" s="22">
        <v>41760</v>
      </c>
      <c r="C8" s="22">
        <v>41790</v>
      </c>
      <c r="D8" s="23">
        <v>0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B9" s="22">
        <v>41791</v>
      </c>
      <c r="C9" s="22">
        <v>41820</v>
      </c>
      <c r="D9" s="23">
        <v>0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B10" s="22">
        <v>41821</v>
      </c>
      <c r="C10" s="22">
        <v>41851</v>
      </c>
      <c r="D10" s="23">
        <v>0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B11" s="22">
        <v>41852</v>
      </c>
      <c r="C11" s="22">
        <v>41882</v>
      </c>
      <c r="D11" s="23">
        <v>0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B12" s="22">
        <v>41883</v>
      </c>
      <c r="C12" s="22">
        <v>41912</v>
      </c>
      <c r="D12" s="23">
        <v>0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</v>
      </c>
      <c r="B13" s="21">
        <v>41913</v>
      </c>
      <c r="C13" s="21">
        <v>41943</v>
      </c>
      <c r="D13" s="24">
        <v>11.520000000000003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AA13" s="11">
        <f>SUM(J13:J24)</f>
        <v>460.80000000000007</v>
      </c>
      <c r="AB13" s="12">
        <f>SUM(D13:D24)</f>
        <v>170.14</v>
      </c>
    </row>
    <row r="14" spans="1:37" x14ac:dyDescent="0.3">
      <c r="A14" s="15">
        <v>2</v>
      </c>
      <c r="B14" s="21">
        <v>41944</v>
      </c>
      <c r="C14" s="21">
        <v>41973</v>
      </c>
      <c r="D14" s="24">
        <v>14.920000000000003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3</v>
      </c>
      <c r="B15" s="21">
        <v>41974</v>
      </c>
      <c r="C15" s="21">
        <v>42004</v>
      </c>
      <c r="D15" s="24">
        <v>23.459999999999997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4</v>
      </c>
      <c r="B16" s="21">
        <v>42005</v>
      </c>
      <c r="C16" s="21">
        <v>42035</v>
      </c>
      <c r="D16" s="24">
        <v>25.500000000000004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</row>
    <row r="17" spans="1:28" x14ac:dyDescent="0.3">
      <c r="A17" s="15">
        <v>5</v>
      </c>
      <c r="B17" s="21">
        <v>42036</v>
      </c>
      <c r="C17" s="21">
        <v>42063</v>
      </c>
      <c r="D17" s="24">
        <v>16.84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6</v>
      </c>
      <c r="B18" s="21">
        <v>42064</v>
      </c>
      <c r="C18" s="21">
        <v>42094</v>
      </c>
      <c r="D18" s="24">
        <v>17.079999999999998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7</v>
      </c>
      <c r="B19" s="21">
        <v>42095</v>
      </c>
      <c r="C19" s="21">
        <v>42124</v>
      </c>
      <c r="D19" s="24">
        <v>10.540000000000001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8</v>
      </c>
      <c r="B20" s="21">
        <v>42125</v>
      </c>
      <c r="C20" s="21">
        <v>42155</v>
      </c>
      <c r="D20" s="24">
        <v>13.88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9</v>
      </c>
      <c r="B21" s="21">
        <v>42156</v>
      </c>
      <c r="C21" s="21">
        <v>42185</v>
      </c>
      <c r="D21" s="24">
        <v>11.079999999999998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10</v>
      </c>
      <c r="B22" s="21">
        <v>42186</v>
      </c>
      <c r="C22" s="21">
        <v>42216</v>
      </c>
      <c r="D22" s="24">
        <v>9.379999999999999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11</v>
      </c>
      <c r="B23" s="21">
        <v>42217</v>
      </c>
      <c r="C23" s="21">
        <v>42247</v>
      </c>
      <c r="D23" s="24">
        <v>8.0200000000000014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12</v>
      </c>
      <c r="B24" s="21">
        <v>42248</v>
      </c>
      <c r="C24" s="21">
        <v>42277</v>
      </c>
      <c r="D24" s="24">
        <v>7.9200000000000008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13</v>
      </c>
      <c r="B25" s="21">
        <v>42278</v>
      </c>
      <c r="C25" s="21">
        <v>42308</v>
      </c>
      <c r="D25" s="24">
        <v>8.879999999999999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AA25" s="11">
        <f>SUM(J25:J36)</f>
        <v>543.4</v>
      </c>
      <c r="AB25" s="12">
        <f>SUM(D25:D36)</f>
        <v>176.64000000000004</v>
      </c>
    </row>
    <row r="26" spans="1:28" x14ac:dyDescent="0.3">
      <c r="A26" s="15">
        <v>14</v>
      </c>
      <c r="B26" s="21">
        <v>42309</v>
      </c>
      <c r="C26" s="21">
        <v>42338</v>
      </c>
      <c r="D26" s="24">
        <v>17.780000000000005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15</v>
      </c>
      <c r="B27" s="21">
        <v>42339</v>
      </c>
      <c r="C27" s="21">
        <v>42369</v>
      </c>
      <c r="D27" s="24">
        <v>27.720000000000002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16</v>
      </c>
      <c r="B28" s="21">
        <v>42370</v>
      </c>
      <c r="C28" s="21">
        <v>42400</v>
      </c>
      <c r="D28" s="24">
        <v>27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</row>
    <row r="29" spans="1:28" x14ac:dyDescent="0.3">
      <c r="A29" s="15">
        <v>17</v>
      </c>
      <c r="B29" s="21">
        <v>42401</v>
      </c>
      <c r="C29" s="21">
        <v>42429</v>
      </c>
      <c r="D29" s="24">
        <v>17.900000000000002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18</v>
      </c>
      <c r="B30" s="21">
        <v>42430</v>
      </c>
      <c r="C30" s="21">
        <v>42460</v>
      </c>
      <c r="D30" s="24">
        <v>14.339999999999998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19</v>
      </c>
      <c r="B31" s="21">
        <v>42461</v>
      </c>
      <c r="C31" s="21">
        <v>42490</v>
      </c>
      <c r="D31" s="24">
        <v>14.400000000000004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20</v>
      </c>
      <c r="B32" s="21">
        <v>42491</v>
      </c>
      <c r="C32" s="21">
        <v>42521</v>
      </c>
      <c r="D32" s="24">
        <v>15.300000000000004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21</v>
      </c>
      <c r="B33" s="21">
        <v>42522</v>
      </c>
      <c r="C33" s="21">
        <v>42551</v>
      </c>
      <c r="D33" s="24">
        <v>9.5799999999999983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22</v>
      </c>
      <c r="B34" s="21">
        <v>42552</v>
      </c>
      <c r="C34" s="21">
        <v>42582</v>
      </c>
      <c r="D34" s="24">
        <v>8.5400000000000009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23</v>
      </c>
      <c r="B35" s="21">
        <v>42583</v>
      </c>
      <c r="C35" s="21">
        <v>42613</v>
      </c>
      <c r="D35" s="24">
        <v>7.68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24</v>
      </c>
      <c r="B36" s="21">
        <v>42614</v>
      </c>
      <c r="C36" s="21">
        <v>42643</v>
      </c>
      <c r="D36" s="24">
        <v>7.5199999999999987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25</v>
      </c>
      <c r="B37" s="21">
        <v>42644</v>
      </c>
      <c r="C37" s="21">
        <v>42674</v>
      </c>
      <c r="D37" s="24">
        <v>9.2600000000000016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9" spans="1:28" x14ac:dyDescent="0.3">
      <c r="E39" s="25" t="s">
        <v>40</v>
      </c>
      <c r="F39" s="26">
        <f>RSQ($D$13:$D$36,F13:F36)</f>
        <v>0.85050990361671908</v>
      </c>
      <c r="G39" s="26">
        <f t="shared" ref="G39:Y39" si="0">RSQ($D$13:$D$36,G13:G36)</f>
        <v>0.86389784262038838</v>
      </c>
      <c r="H39" s="26">
        <f t="shared" si="0"/>
        <v>0.87572961531097815</v>
      </c>
      <c r="I39" s="26">
        <f t="shared" si="0"/>
        <v>0.88484213170170478</v>
      </c>
      <c r="J39" s="26">
        <f t="shared" si="0"/>
        <v>0.89123703753229078</v>
      </c>
      <c r="K39" s="26">
        <f t="shared" si="0"/>
        <v>0.89092645308191842</v>
      </c>
      <c r="L39" s="26">
        <f t="shared" si="0"/>
        <v>0.88155851265483665</v>
      </c>
      <c r="M39" s="26">
        <f t="shared" si="0"/>
        <v>0.83570440180160388</v>
      </c>
      <c r="N39" s="26">
        <f t="shared" si="0"/>
        <v>0.82224787435047064</v>
      </c>
      <c r="O39" s="26">
        <f t="shared" si="0"/>
        <v>0.80894401344189582</v>
      </c>
      <c r="P39" s="26">
        <f t="shared" si="0"/>
        <v>0.79680439277237136</v>
      </c>
      <c r="Q39" s="26">
        <f t="shared" si="0"/>
        <v>0.78640325871364003</v>
      </c>
      <c r="R39" s="26">
        <f t="shared" si="0"/>
        <v>0.77743299543915845</v>
      </c>
      <c r="S39" s="26">
        <f t="shared" si="0"/>
        <v>0.86294428716602545</v>
      </c>
      <c r="T39" s="26">
        <f t="shared" si="0"/>
        <v>0.8374364691387286</v>
      </c>
      <c r="U39" s="26">
        <f t="shared" si="0"/>
        <v>0.81065589781591907</v>
      </c>
      <c r="V39" s="26">
        <f t="shared" si="0"/>
        <v>0.78316458476472905</v>
      </c>
      <c r="W39" s="26">
        <f t="shared" si="0"/>
        <v>0.75111468791536262</v>
      </c>
      <c r="X39" s="26">
        <f t="shared" si="0"/>
        <v>0.7160900602079413</v>
      </c>
      <c r="Y39" s="26">
        <f t="shared" si="0"/>
        <v>0.67750198148404461</v>
      </c>
      <c r="AA39" s="11">
        <f>AVERAGE(AA13:AA26)</f>
        <v>502.1</v>
      </c>
      <c r="AB39" s="11">
        <f>AVERAGE(AB13:AB26)</f>
        <v>173.39000000000001</v>
      </c>
    </row>
    <row r="41" spans="1:28" x14ac:dyDescent="0.3">
      <c r="L41" t="s">
        <v>41</v>
      </c>
      <c r="O41" s="11">
        <f>AVERAGE(D22:D24,D34:D36)</f>
        <v>8.1766666666666659</v>
      </c>
    </row>
    <row r="44" spans="1:28" x14ac:dyDescent="0.3">
      <c r="N44" s="27" t="s">
        <v>42</v>
      </c>
    </row>
    <row r="46" spans="1:28" x14ac:dyDescent="0.3">
      <c r="N46" s="9" t="s">
        <v>43</v>
      </c>
      <c r="O46" t="s">
        <v>44</v>
      </c>
      <c r="P46">
        <v>0.12790000000000001</v>
      </c>
      <c r="Q46" t="s">
        <v>45</v>
      </c>
      <c r="R46" s="28"/>
      <c r="S46" s="28"/>
      <c r="T46" s="28" t="s">
        <v>46</v>
      </c>
    </row>
    <row r="47" spans="1:28" x14ac:dyDescent="0.3">
      <c r="P47" s="19">
        <f>P46*(1/0.00001)*(1/24)*(61-(S50))</f>
        <v>9059.5833333333321</v>
      </c>
      <c r="Q47" t="s">
        <v>47</v>
      </c>
      <c r="R47" s="29"/>
    </row>
    <row r="48" spans="1:28" x14ac:dyDescent="0.3">
      <c r="P48" s="19">
        <f>P47*Q49</f>
        <v>7247.6666666666661</v>
      </c>
      <c r="Q48" t="s">
        <v>48</v>
      </c>
      <c r="R48" s="29"/>
    </row>
    <row r="49" spans="17:27" x14ac:dyDescent="0.3">
      <c r="Q49" s="30">
        <v>0.8</v>
      </c>
      <c r="Y49">
        <v>24</v>
      </c>
      <c r="Z49" t="s">
        <v>49</v>
      </c>
    </row>
    <row r="50" spans="17:27" x14ac:dyDescent="0.3">
      <c r="Q50" s="9"/>
      <c r="R50" s="9" t="s">
        <v>50</v>
      </c>
      <c r="S50">
        <v>44</v>
      </c>
      <c r="Y50" s="5">
        <f>AA39</f>
        <v>502.1</v>
      </c>
      <c r="Z50" t="s">
        <v>51</v>
      </c>
      <c r="AA50" t="s">
        <v>52</v>
      </c>
    </row>
    <row r="51" spans="17:27" x14ac:dyDescent="0.3">
      <c r="Y51">
        <v>70</v>
      </c>
      <c r="Z51" t="s">
        <v>53</v>
      </c>
    </row>
    <row r="52" spans="17:27" x14ac:dyDescent="0.3">
      <c r="Y52">
        <f>S50</f>
        <v>44</v>
      </c>
      <c r="Z52" t="s">
        <v>54</v>
      </c>
    </row>
    <row r="53" spans="17:27" x14ac:dyDescent="0.3">
      <c r="Y53" s="30">
        <f>Q49</f>
        <v>0.8</v>
      </c>
      <c r="Z53" t="s">
        <v>55</v>
      </c>
    </row>
    <row r="54" spans="17:27" x14ac:dyDescent="0.3">
      <c r="Y54">
        <v>1000</v>
      </c>
      <c r="Z54" t="s">
        <v>56</v>
      </c>
    </row>
    <row r="55" spans="17:27" x14ac:dyDescent="0.3">
      <c r="Y55" s="19">
        <f>P48</f>
        <v>7247.6666666666661</v>
      </c>
      <c r="Z55" t="s">
        <v>57</v>
      </c>
    </row>
    <row r="57" spans="17:27" x14ac:dyDescent="0.3">
      <c r="Y57" s="5">
        <f>Y49*Y55*Y50/(Y51-Y52)/Y54/Y53</f>
        <v>4198.9078076923079</v>
      </c>
      <c r="Z57" t="s">
        <v>58</v>
      </c>
    </row>
    <row r="58" spans="17:27" x14ac:dyDescent="0.3">
      <c r="Y58" s="5">
        <f>Y57/100</f>
        <v>41.989078076923079</v>
      </c>
      <c r="Z58" t="s">
        <v>59</v>
      </c>
      <c r="AA58" t="s">
        <v>62</v>
      </c>
    </row>
    <row r="62" spans="17:27" x14ac:dyDescent="0.3">
      <c r="Y62" s="14"/>
    </row>
  </sheetData>
  <conditionalFormatting sqref="F39:Y39">
    <cfRule type="top10" dxfId="13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2"/>
  <sheetViews>
    <sheetView topLeftCell="A30" workbookViewId="0">
      <selection activeCell="N53" sqref="N53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60</v>
      </c>
      <c r="AB3" t="s">
        <v>35</v>
      </c>
    </row>
    <row r="4" spans="1:37" x14ac:dyDescent="0.3">
      <c r="A4" s="15"/>
      <c r="B4" s="22">
        <v>41640</v>
      </c>
      <c r="C4" s="22">
        <v>41670</v>
      </c>
      <c r="D4" s="23">
        <v>0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K4" s="21"/>
    </row>
    <row r="5" spans="1:37" x14ac:dyDescent="0.3">
      <c r="B5" s="22">
        <v>41671</v>
      </c>
      <c r="C5" s="22">
        <v>41698</v>
      </c>
      <c r="D5" s="23">
        <v>0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B6" s="22">
        <v>41699</v>
      </c>
      <c r="C6" s="22">
        <v>41729</v>
      </c>
      <c r="D6" s="23">
        <v>0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B7" s="22">
        <v>41730</v>
      </c>
      <c r="C7" s="22">
        <v>41759</v>
      </c>
      <c r="D7" s="23">
        <v>0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B8" s="22">
        <v>41760</v>
      </c>
      <c r="C8" s="22">
        <v>41790</v>
      </c>
      <c r="D8" s="23">
        <v>0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B9" s="22">
        <v>41791</v>
      </c>
      <c r="C9" s="22">
        <v>41820</v>
      </c>
      <c r="D9" s="23">
        <v>0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B10" s="22">
        <v>41821</v>
      </c>
      <c r="C10" s="22">
        <v>41851</v>
      </c>
      <c r="D10" s="23">
        <v>0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B11" s="22">
        <v>41852</v>
      </c>
      <c r="C11" s="22">
        <v>41882</v>
      </c>
      <c r="D11" s="23">
        <v>0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B12" s="22">
        <v>41883</v>
      </c>
      <c r="C12" s="22">
        <v>41912</v>
      </c>
      <c r="D12" s="23">
        <v>0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</v>
      </c>
      <c r="B13" s="21">
        <v>41913</v>
      </c>
      <c r="C13" s="21">
        <v>41943</v>
      </c>
      <c r="D13" s="24">
        <v>17.100000000000001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AA13" s="11">
        <f>SUM(I13:I24)</f>
        <v>585.19999999999993</v>
      </c>
      <c r="AB13" s="12">
        <f>SUM(D13:D24)</f>
        <v>328.1</v>
      </c>
    </row>
    <row r="14" spans="1:37" x14ac:dyDescent="0.3">
      <c r="A14" s="15">
        <v>2</v>
      </c>
      <c r="B14" s="21">
        <v>41944</v>
      </c>
      <c r="C14" s="21">
        <v>41973</v>
      </c>
      <c r="D14" s="24">
        <v>19.5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3</v>
      </c>
      <c r="B15" s="21">
        <v>41974</v>
      </c>
      <c r="C15" s="21">
        <v>42004</v>
      </c>
      <c r="D15" s="24">
        <v>42.780000000000008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4</v>
      </c>
      <c r="B16" s="21">
        <v>42005</v>
      </c>
      <c r="C16" s="21">
        <v>42035</v>
      </c>
      <c r="D16" s="24">
        <v>47.099999999999994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</row>
    <row r="17" spans="1:28" x14ac:dyDescent="0.3">
      <c r="A17" s="15">
        <v>5</v>
      </c>
      <c r="B17" s="21">
        <v>42036</v>
      </c>
      <c r="C17" s="21">
        <v>42063</v>
      </c>
      <c r="D17" s="24">
        <v>22.14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6</v>
      </c>
      <c r="B18" s="21">
        <v>42064</v>
      </c>
      <c r="C18" s="21">
        <v>42094</v>
      </c>
      <c r="D18" s="24">
        <v>25.680000000000003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7</v>
      </c>
      <c r="B19" s="21">
        <v>42095</v>
      </c>
      <c r="C19" s="21">
        <v>42124</v>
      </c>
      <c r="D19" s="24">
        <v>28.7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8</v>
      </c>
      <c r="B20" s="21">
        <v>42125</v>
      </c>
      <c r="C20" s="21">
        <v>42155</v>
      </c>
      <c r="D20" s="24">
        <v>47.84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9</v>
      </c>
      <c r="B21" s="21">
        <v>42156</v>
      </c>
      <c r="C21" s="21">
        <v>42185</v>
      </c>
      <c r="D21" s="24">
        <v>30.339999999999996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10</v>
      </c>
      <c r="B22" s="21">
        <v>42186</v>
      </c>
      <c r="C22" s="21">
        <v>42216</v>
      </c>
      <c r="D22" s="24">
        <v>15.72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11</v>
      </c>
      <c r="B23" s="21">
        <v>42217</v>
      </c>
      <c r="C23" s="21">
        <v>42247</v>
      </c>
      <c r="D23" s="24">
        <v>12.12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12</v>
      </c>
      <c r="B24" s="21">
        <v>42248</v>
      </c>
      <c r="C24" s="21">
        <v>42277</v>
      </c>
      <c r="D24" s="24">
        <v>19.080000000000005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13</v>
      </c>
      <c r="B25" s="21">
        <v>42278</v>
      </c>
      <c r="C25" s="21">
        <v>42308</v>
      </c>
      <c r="D25" s="24">
        <v>24.700000000000003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AA25" s="11">
        <f>SUM(I25:I36)</f>
        <v>676.8</v>
      </c>
      <c r="AB25" s="12">
        <f>SUM(D25:D36)</f>
        <v>450.96</v>
      </c>
    </row>
    <row r="26" spans="1:28" x14ac:dyDescent="0.3">
      <c r="A26" s="15">
        <v>14</v>
      </c>
      <c r="B26" s="21">
        <v>42309</v>
      </c>
      <c r="C26" s="21">
        <v>42338</v>
      </c>
      <c r="D26" s="24">
        <v>37.619999999999997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15</v>
      </c>
      <c r="B27" s="21">
        <v>42339</v>
      </c>
      <c r="C27" s="21">
        <v>42369</v>
      </c>
      <c r="D27" s="24">
        <v>68.12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16</v>
      </c>
      <c r="B28" s="21">
        <v>42370</v>
      </c>
      <c r="C28" s="21">
        <v>42400</v>
      </c>
      <c r="D28" s="24">
        <v>58.97999999999999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</row>
    <row r="29" spans="1:28" x14ac:dyDescent="0.3">
      <c r="A29" s="15">
        <v>17</v>
      </c>
      <c r="B29" s="21">
        <v>42401</v>
      </c>
      <c r="C29" s="21">
        <v>42429</v>
      </c>
      <c r="D29" s="24">
        <v>45.54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18</v>
      </c>
      <c r="B30" s="21">
        <v>42430</v>
      </c>
      <c r="C30" s="21">
        <v>42460</v>
      </c>
      <c r="D30" s="24">
        <v>38.96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19</v>
      </c>
      <c r="B31" s="21">
        <v>42461</v>
      </c>
      <c r="C31" s="21">
        <v>42490</v>
      </c>
      <c r="D31" s="24">
        <v>32.019999999999996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20</v>
      </c>
      <c r="B32" s="21">
        <v>42491</v>
      </c>
      <c r="C32" s="21">
        <v>42521</v>
      </c>
      <c r="D32" s="24">
        <v>33.64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21</v>
      </c>
      <c r="B33" s="21">
        <v>42522</v>
      </c>
      <c r="C33" s="21">
        <v>42551</v>
      </c>
      <c r="D33" s="24">
        <v>35.300000000000004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22</v>
      </c>
      <c r="B34" s="21">
        <v>42552</v>
      </c>
      <c r="C34" s="21">
        <v>42582</v>
      </c>
      <c r="D34" s="24">
        <v>26.900000000000009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23</v>
      </c>
      <c r="B35" s="21">
        <v>42583</v>
      </c>
      <c r="C35" s="21">
        <v>42613</v>
      </c>
      <c r="D35" s="24">
        <v>22.299999999999994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24</v>
      </c>
      <c r="B36" s="21">
        <v>42614</v>
      </c>
      <c r="C36" s="21">
        <v>42643</v>
      </c>
      <c r="D36" s="24">
        <v>26.880000000000006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25</v>
      </c>
      <c r="B37" s="21">
        <v>42644</v>
      </c>
      <c r="C37" s="21">
        <v>42674</v>
      </c>
      <c r="D37" s="24">
        <v>28.700000000000003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9" spans="1:28" x14ac:dyDescent="0.3">
      <c r="E39" s="25" t="s">
        <v>40</v>
      </c>
      <c r="F39" s="26">
        <f>RSQ($D$13:$D$36,F13:F36)</f>
        <v>0.70128061405510955</v>
      </c>
      <c r="G39" s="26">
        <f t="shared" ref="G39:Y39" si="0">RSQ($D$13:$D$36,G13:G36)</f>
        <v>0.70873183783882476</v>
      </c>
      <c r="H39" s="26">
        <f t="shared" si="0"/>
        <v>0.7154226458729398</v>
      </c>
      <c r="I39" s="26">
        <f t="shared" si="0"/>
        <v>0.71874393060965813</v>
      </c>
      <c r="J39" s="26">
        <f t="shared" si="0"/>
        <v>0.71687300738958215</v>
      </c>
      <c r="K39" s="26">
        <f t="shared" si="0"/>
        <v>0.70896157614651678</v>
      </c>
      <c r="L39" s="26">
        <f t="shared" si="0"/>
        <v>0.691794089860854</v>
      </c>
      <c r="M39" s="26">
        <f t="shared" si="0"/>
        <v>0.69392290072632901</v>
      </c>
      <c r="N39" s="26">
        <f t="shared" si="0"/>
        <v>0.68663669001519423</v>
      </c>
      <c r="O39" s="26">
        <f t="shared" si="0"/>
        <v>0.67949410836042701</v>
      </c>
      <c r="P39" s="26">
        <f t="shared" si="0"/>
        <v>0.67090213138989196</v>
      </c>
      <c r="Q39" s="26">
        <f t="shared" si="0"/>
        <v>0.66320015671119603</v>
      </c>
      <c r="R39" s="26">
        <f t="shared" si="0"/>
        <v>0.65615488292707014</v>
      </c>
      <c r="S39" s="26">
        <f t="shared" si="0"/>
        <v>0.67463537812193108</v>
      </c>
      <c r="T39" s="26">
        <f t="shared" si="0"/>
        <v>0.65656272810258609</v>
      </c>
      <c r="U39" s="26">
        <f t="shared" si="0"/>
        <v>0.64721283877721836</v>
      </c>
      <c r="V39" s="26">
        <f t="shared" si="0"/>
        <v>0.6342810433273085</v>
      </c>
      <c r="W39" s="26">
        <f t="shared" si="0"/>
        <v>0.62208650523889131</v>
      </c>
      <c r="X39" s="26">
        <f t="shared" si="0"/>
        <v>0.60996775857154617</v>
      </c>
      <c r="Y39" s="26">
        <f t="shared" si="0"/>
        <v>0.58184139490031839</v>
      </c>
      <c r="AA39" s="11">
        <f>AVERAGE(AA13:AA26)</f>
        <v>631</v>
      </c>
      <c r="AB39" s="11">
        <f>AVERAGE(AB13:AB26)</f>
        <v>389.53</v>
      </c>
    </row>
    <row r="41" spans="1:28" x14ac:dyDescent="0.3">
      <c r="L41" t="s">
        <v>41</v>
      </c>
      <c r="O41" s="11">
        <f>AVERAGE(D22:D24,D34:D36)</f>
        <v>20.500000000000004</v>
      </c>
    </row>
    <row r="44" spans="1:28" x14ac:dyDescent="0.3">
      <c r="N44" s="27" t="s">
        <v>42</v>
      </c>
    </row>
    <row r="46" spans="1:28" x14ac:dyDescent="0.3">
      <c r="N46" s="9" t="s">
        <v>43</v>
      </c>
      <c r="O46" t="s">
        <v>44</v>
      </c>
      <c r="P46">
        <v>0.21210000000000001</v>
      </c>
      <c r="Q46" t="s">
        <v>45</v>
      </c>
      <c r="R46" s="28"/>
      <c r="S46" s="28"/>
      <c r="T46" s="28" t="s">
        <v>46</v>
      </c>
    </row>
    <row r="47" spans="1:28" x14ac:dyDescent="0.3">
      <c r="P47" s="19">
        <f>P46*(1/0.00001)*(1/24)*(62-(S50))</f>
        <v>15907.499999999996</v>
      </c>
      <c r="Q47" t="s">
        <v>47</v>
      </c>
      <c r="R47" s="29"/>
    </row>
    <row r="48" spans="1:28" x14ac:dyDescent="0.3">
      <c r="P48" s="19">
        <f>P47*Q49</f>
        <v>12725.999999999998</v>
      </c>
      <c r="Q48" t="s">
        <v>48</v>
      </c>
      <c r="R48" s="29"/>
    </row>
    <row r="49" spans="17:27" x14ac:dyDescent="0.3">
      <c r="Q49" s="30">
        <v>0.8</v>
      </c>
      <c r="Y49">
        <v>24</v>
      </c>
      <c r="Z49" t="s">
        <v>49</v>
      </c>
    </row>
    <row r="50" spans="17:27" x14ac:dyDescent="0.3">
      <c r="Q50" s="9"/>
      <c r="R50" s="9" t="s">
        <v>50</v>
      </c>
      <c r="S50">
        <v>44</v>
      </c>
      <c r="Y50" s="5">
        <f>AA39</f>
        <v>631</v>
      </c>
      <c r="Z50" t="s">
        <v>51</v>
      </c>
      <c r="AA50" t="s">
        <v>52</v>
      </c>
    </row>
    <row r="51" spans="17:27" x14ac:dyDescent="0.3">
      <c r="Y51">
        <v>70</v>
      </c>
      <c r="Z51" t="s">
        <v>53</v>
      </c>
    </row>
    <row r="52" spans="17:27" x14ac:dyDescent="0.3">
      <c r="Y52">
        <f>S50</f>
        <v>44</v>
      </c>
      <c r="Z52" t="s">
        <v>54</v>
      </c>
    </row>
    <row r="53" spans="17:27" x14ac:dyDescent="0.3">
      <c r="Y53" s="30">
        <f>Q49</f>
        <v>0.8</v>
      </c>
      <c r="Z53" t="s">
        <v>55</v>
      </c>
    </row>
    <row r="54" spans="17:27" x14ac:dyDescent="0.3">
      <c r="Y54">
        <v>1000</v>
      </c>
      <c r="Z54" t="s">
        <v>56</v>
      </c>
    </row>
    <row r="55" spans="17:27" x14ac:dyDescent="0.3">
      <c r="Y55" s="19">
        <f>P48</f>
        <v>12725.999999999998</v>
      </c>
      <c r="Z55" t="s">
        <v>57</v>
      </c>
    </row>
    <row r="57" spans="17:27" x14ac:dyDescent="0.3">
      <c r="Y57" s="5">
        <f>Y49*Y55*Y50/(Y51-Y52)/Y54/Y53</f>
        <v>9265.5069230769204</v>
      </c>
      <c r="Z57" t="s">
        <v>58</v>
      </c>
    </row>
    <row r="58" spans="17:27" x14ac:dyDescent="0.3">
      <c r="Y58" s="5">
        <f>Y57/100</f>
        <v>92.6550692307692</v>
      </c>
      <c r="Z58" t="s">
        <v>59</v>
      </c>
      <c r="AA58" t="s">
        <v>62</v>
      </c>
    </row>
    <row r="62" spans="17:27" x14ac:dyDescent="0.3">
      <c r="Y62" s="14"/>
    </row>
  </sheetData>
  <conditionalFormatting sqref="F39:Y39">
    <cfRule type="top10" dxfId="12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2"/>
  <sheetViews>
    <sheetView topLeftCell="C33" workbookViewId="0">
      <selection activeCell="P59" sqref="P59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64</v>
      </c>
      <c r="AB3" t="s">
        <v>35</v>
      </c>
    </row>
    <row r="4" spans="1:37" x14ac:dyDescent="0.3">
      <c r="A4" s="15"/>
      <c r="B4" s="22">
        <f>AK7</f>
        <v>41640</v>
      </c>
      <c r="C4" s="22">
        <f>EOMONTH(B4,0)</f>
        <v>41670</v>
      </c>
      <c r="D4" s="23">
        <v>0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/>
      <c r="AB4" s="12"/>
      <c r="AJ4" t="s">
        <v>36</v>
      </c>
      <c r="AK4" s="21">
        <v>41487</v>
      </c>
    </row>
    <row r="5" spans="1:37" x14ac:dyDescent="0.3">
      <c r="B5" s="22">
        <f>DATE(YEAR(B4),MONTH(B4)+1,1)</f>
        <v>41671</v>
      </c>
      <c r="C5" s="22">
        <f t="shared" ref="C5:C37" si="0">EOMONTH(B5,0)</f>
        <v>41698</v>
      </c>
      <c r="D5" s="23">
        <v>0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J5" t="s">
        <v>37</v>
      </c>
      <c r="AK5" s="21">
        <v>42735</v>
      </c>
    </row>
    <row r="6" spans="1:37" x14ac:dyDescent="0.3">
      <c r="B6" s="22">
        <f t="shared" ref="B6:B28" si="1">DATE(YEAR(B5),MONTH(B5)+1,1)</f>
        <v>41699</v>
      </c>
      <c r="C6" s="22">
        <f t="shared" si="0"/>
        <v>41729</v>
      </c>
      <c r="D6" s="23">
        <v>0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B7" s="22">
        <f t="shared" si="1"/>
        <v>41730</v>
      </c>
      <c r="C7" s="22">
        <f t="shared" si="0"/>
        <v>41759</v>
      </c>
      <c r="D7" s="23">
        <v>0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J7" t="s">
        <v>38</v>
      </c>
      <c r="AK7" s="21">
        <v>41640</v>
      </c>
    </row>
    <row r="8" spans="1:37" x14ac:dyDescent="0.3">
      <c r="B8" s="22">
        <f t="shared" si="1"/>
        <v>41760</v>
      </c>
      <c r="C8" s="22">
        <f t="shared" si="0"/>
        <v>41790</v>
      </c>
      <c r="D8" s="23">
        <v>0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J8" t="s">
        <v>39</v>
      </c>
      <c r="AK8" s="21">
        <v>42736</v>
      </c>
    </row>
    <row r="9" spans="1:37" x14ac:dyDescent="0.3">
      <c r="B9" s="22">
        <f t="shared" si="1"/>
        <v>41791</v>
      </c>
      <c r="C9" s="22">
        <f t="shared" si="0"/>
        <v>41820</v>
      </c>
      <c r="D9" s="23">
        <v>0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B10" s="22">
        <f t="shared" si="1"/>
        <v>41821</v>
      </c>
      <c r="C10" s="22">
        <f t="shared" si="0"/>
        <v>41851</v>
      </c>
      <c r="D10" s="23">
        <v>0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B11" s="22">
        <f t="shared" si="1"/>
        <v>41852</v>
      </c>
      <c r="C11" s="22">
        <f t="shared" si="0"/>
        <v>41882</v>
      </c>
      <c r="D11" s="23">
        <v>0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B12" s="22">
        <f t="shared" si="1"/>
        <v>41883</v>
      </c>
      <c r="C12" s="22">
        <f t="shared" si="0"/>
        <v>41912</v>
      </c>
      <c r="D12" s="23">
        <v>0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</v>
      </c>
      <c r="B13" s="21">
        <f t="shared" si="1"/>
        <v>41913</v>
      </c>
      <c r="C13" s="21">
        <f t="shared" si="0"/>
        <v>41943</v>
      </c>
      <c r="D13" s="24">
        <v>22.8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AA13" s="11">
        <f>SUM(S13:S24)</f>
        <v>199.39999999999998</v>
      </c>
      <c r="AB13" s="12">
        <f>SUM(D13:D24)</f>
        <v>357.58</v>
      </c>
    </row>
    <row r="14" spans="1:37" x14ac:dyDescent="0.3">
      <c r="A14" s="15">
        <v>2</v>
      </c>
      <c r="B14" s="21">
        <f t="shared" si="1"/>
        <v>41944</v>
      </c>
      <c r="C14" s="21">
        <f t="shared" si="0"/>
        <v>41973</v>
      </c>
      <c r="D14" s="24">
        <v>26.880000000000003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3</v>
      </c>
      <c r="B15" s="21">
        <f t="shared" si="1"/>
        <v>41974</v>
      </c>
      <c r="C15" s="21">
        <f t="shared" si="0"/>
        <v>42004</v>
      </c>
      <c r="D15" s="24">
        <v>50.879999999999995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4</v>
      </c>
      <c r="B16" s="21">
        <f t="shared" si="1"/>
        <v>42005</v>
      </c>
      <c r="C16" s="21">
        <f t="shared" si="0"/>
        <v>42035</v>
      </c>
      <c r="D16" s="24">
        <v>51.500000000000007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/>
      <c r="AB16" s="12"/>
    </row>
    <row r="17" spans="1:28" x14ac:dyDescent="0.3">
      <c r="A17" s="15">
        <v>5</v>
      </c>
      <c r="B17" s="21">
        <f t="shared" si="1"/>
        <v>42036</v>
      </c>
      <c r="C17" s="21">
        <f t="shared" si="0"/>
        <v>42063</v>
      </c>
      <c r="D17" s="24">
        <v>32.72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6</v>
      </c>
      <c r="B18" s="21">
        <f t="shared" si="1"/>
        <v>42064</v>
      </c>
      <c r="C18" s="21">
        <f t="shared" si="0"/>
        <v>42094</v>
      </c>
      <c r="D18" s="24">
        <v>33.340000000000011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7</v>
      </c>
      <c r="B19" s="21">
        <f t="shared" si="1"/>
        <v>42095</v>
      </c>
      <c r="C19" s="21">
        <f t="shared" si="0"/>
        <v>42124</v>
      </c>
      <c r="D19" s="24">
        <v>27.279999999999998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8</v>
      </c>
      <c r="B20" s="21">
        <f t="shared" si="1"/>
        <v>42125</v>
      </c>
      <c r="C20" s="21">
        <f t="shared" si="0"/>
        <v>42155</v>
      </c>
      <c r="D20" s="24">
        <v>28.780000000000005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9</v>
      </c>
      <c r="B21" s="21">
        <f t="shared" si="1"/>
        <v>42156</v>
      </c>
      <c r="C21" s="21">
        <f t="shared" si="0"/>
        <v>42185</v>
      </c>
      <c r="D21" s="24">
        <v>21.82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10</v>
      </c>
      <c r="B22" s="21">
        <f t="shared" si="1"/>
        <v>42186</v>
      </c>
      <c r="C22" s="21">
        <f t="shared" si="0"/>
        <v>42216</v>
      </c>
      <c r="D22" s="24">
        <v>22.879999999999995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11</v>
      </c>
      <c r="B23" s="21">
        <f t="shared" si="1"/>
        <v>42217</v>
      </c>
      <c r="C23" s="21">
        <f t="shared" si="0"/>
        <v>42247</v>
      </c>
      <c r="D23" s="24">
        <v>19.739999999999998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12</v>
      </c>
      <c r="B24" s="21">
        <f t="shared" si="1"/>
        <v>42248</v>
      </c>
      <c r="C24" s="21">
        <f t="shared" si="0"/>
        <v>42277</v>
      </c>
      <c r="D24" s="24">
        <v>18.96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13</v>
      </c>
      <c r="B25" s="21">
        <f t="shared" si="1"/>
        <v>42278</v>
      </c>
      <c r="C25" s="21">
        <f t="shared" si="0"/>
        <v>42308</v>
      </c>
      <c r="D25" s="24">
        <v>22.259999999999994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AA25" s="11">
        <f>SUM(S25:S36)</f>
        <v>258</v>
      </c>
      <c r="AB25" s="12">
        <f>SUM(D25:D36)</f>
        <v>395.90000000000003</v>
      </c>
    </row>
    <row r="26" spans="1:28" x14ac:dyDescent="0.3">
      <c r="A26" s="15">
        <v>14</v>
      </c>
      <c r="B26" s="21">
        <f t="shared" si="1"/>
        <v>42309</v>
      </c>
      <c r="C26" s="21">
        <f t="shared" si="0"/>
        <v>42338</v>
      </c>
      <c r="D26" s="24">
        <v>37.04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15</v>
      </c>
      <c r="B27" s="21">
        <f t="shared" si="1"/>
        <v>42339</v>
      </c>
      <c r="C27" s="21">
        <f t="shared" si="0"/>
        <v>42369</v>
      </c>
      <c r="D27" s="24">
        <v>75.880000000000024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16</v>
      </c>
      <c r="B28" s="21">
        <f t="shared" si="1"/>
        <v>42370</v>
      </c>
      <c r="C28" s="21">
        <f t="shared" si="0"/>
        <v>42400</v>
      </c>
      <c r="D28" s="24">
        <v>63.98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</row>
    <row r="29" spans="1:28" x14ac:dyDescent="0.3">
      <c r="A29" s="15">
        <v>17</v>
      </c>
      <c r="B29" s="21">
        <f>DATE(YEAR(B28),MONTH(B28)+1,1)</f>
        <v>42401</v>
      </c>
      <c r="C29" s="21">
        <f t="shared" si="0"/>
        <v>42429</v>
      </c>
      <c r="D29" s="24">
        <v>35.6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18</v>
      </c>
      <c r="B30" s="21">
        <f t="shared" ref="B30:B37" si="2">DATE(YEAR(B29),MONTH(B29)+1,1)</f>
        <v>42430</v>
      </c>
      <c r="C30" s="21">
        <f t="shared" si="0"/>
        <v>42460</v>
      </c>
      <c r="D30" s="24">
        <v>31.18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19</v>
      </c>
      <c r="B31" s="21">
        <f t="shared" si="2"/>
        <v>42461</v>
      </c>
      <c r="C31" s="21">
        <f t="shared" si="0"/>
        <v>42490</v>
      </c>
      <c r="D31" s="24">
        <v>17.899999999999995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20</v>
      </c>
      <c r="B32" s="21">
        <f t="shared" si="2"/>
        <v>42491</v>
      </c>
      <c r="C32" s="21">
        <f t="shared" si="0"/>
        <v>42521</v>
      </c>
      <c r="D32" s="24">
        <v>21.92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21</v>
      </c>
      <c r="B33" s="21">
        <f t="shared" si="2"/>
        <v>42522</v>
      </c>
      <c r="C33" s="21">
        <f t="shared" si="0"/>
        <v>42551</v>
      </c>
      <c r="D33" s="24">
        <v>22.32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22</v>
      </c>
      <c r="B34" s="21">
        <f t="shared" si="2"/>
        <v>42552</v>
      </c>
      <c r="C34" s="21">
        <f t="shared" si="0"/>
        <v>42582</v>
      </c>
      <c r="D34" s="24">
        <v>21.280000000000005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23</v>
      </c>
      <c r="B35" s="21">
        <f t="shared" si="2"/>
        <v>42583</v>
      </c>
      <c r="C35" s="21">
        <f t="shared" si="0"/>
        <v>42613</v>
      </c>
      <c r="D35" s="24">
        <v>24.419999999999998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24</v>
      </c>
      <c r="B36" s="21">
        <f t="shared" si="2"/>
        <v>42614</v>
      </c>
      <c r="C36" s="21">
        <f t="shared" si="0"/>
        <v>42643</v>
      </c>
      <c r="D36" s="24">
        <v>22.119999999999997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25</v>
      </c>
      <c r="B37" s="21">
        <f t="shared" si="2"/>
        <v>42644</v>
      </c>
      <c r="C37" s="21">
        <f t="shared" si="0"/>
        <v>42674</v>
      </c>
      <c r="D37" s="24"/>
      <c r="E37" s="24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</row>
    <row r="39" spans="1:28" x14ac:dyDescent="0.3">
      <c r="E39" s="25" t="s">
        <v>40</v>
      </c>
      <c r="F39" s="26">
        <f>RSQ($D$13:$D$36,F13:F36)</f>
        <v>0.72405712678619527</v>
      </c>
      <c r="G39" s="26">
        <f t="shared" ref="G39:Y39" si="3">RSQ($D$13:$D$36,G13:G36)</f>
        <v>0.75907181860371908</v>
      </c>
      <c r="H39" s="26">
        <f t="shared" si="3"/>
        <v>0.79790283905544046</v>
      </c>
      <c r="I39" s="26">
        <f t="shared" si="3"/>
        <v>0.83774566023414188</v>
      </c>
      <c r="J39" s="26">
        <f t="shared" si="3"/>
        <v>0.88009616667669077</v>
      </c>
      <c r="K39" s="26">
        <f t="shared" si="3"/>
        <v>0.91419868495043433</v>
      </c>
      <c r="L39" s="26">
        <f t="shared" si="3"/>
        <v>0.94140124424799032</v>
      </c>
      <c r="M39" s="26">
        <f t="shared" si="3"/>
        <v>0.69293170889336519</v>
      </c>
      <c r="N39" s="26">
        <f t="shared" si="3"/>
        <v>0.66594814778288713</v>
      </c>
      <c r="O39" s="26">
        <f t="shared" si="3"/>
        <v>0.64258801850546243</v>
      </c>
      <c r="P39" s="26">
        <f t="shared" si="3"/>
        <v>0.62290803845199427</v>
      </c>
      <c r="Q39" s="26">
        <f t="shared" si="3"/>
        <v>0.60666515291817102</v>
      </c>
      <c r="R39" s="26">
        <f t="shared" si="3"/>
        <v>0.59395565322065202</v>
      </c>
      <c r="S39" s="26">
        <f t="shared" si="3"/>
        <v>0.95298828235816901</v>
      </c>
      <c r="T39" s="26">
        <f t="shared" si="3"/>
        <v>0.95234343671784349</v>
      </c>
      <c r="U39" s="26">
        <f t="shared" si="3"/>
        <v>0.94612095166535304</v>
      </c>
      <c r="V39" s="26">
        <f t="shared" si="3"/>
        <v>0.93595289470711807</v>
      </c>
      <c r="W39" s="26">
        <f t="shared" si="3"/>
        <v>0.91597900970919055</v>
      </c>
      <c r="X39" s="26">
        <f t="shared" si="3"/>
        <v>0.89428764657309612</v>
      </c>
      <c r="Y39" s="26">
        <f t="shared" si="3"/>
        <v>0.86036181924204169</v>
      </c>
      <c r="AA39" s="11">
        <f>AVERAGE(AA13:AA26)</f>
        <v>228.7</v>
      </c>
      <c r="AB39" s="11">
        <f>AVERAGE(AB13:AB26)</f>
        <v>376.74</v>
      </c>
    </row>
    <row r="41" spans="1:28" x14ac:dyDescent="0.3">
      <c r="L41" t="s">
        <v>41</v>
      </c>
      <c r="O41" s="11">
        <f>AVERAGE(D22:D24,D34:D36)</f>
        <v>21.566666666666666</v>
      </c>
    </row>
    <row r="44" spans="1:28" x14ac:dyDescent="0.3">
      <c r="N44" s="27" t="s">
        <v>42</v>
      </c>
    </row>
    <row r="46" spans="1:28" x14ac:dyDescent="0.3">
      <c r="N46" s="9" t="s">
        <v>43</v>
      </c>
      <c r="O46" t="s">
        <v>44</v>
      </c>
      <c r="P46">
        <v>0.55520000000000003</v>
      </c>
      <c r="Q46" t="s">
        <v>45</v>
      </c>
      <c r="R46" s="28"/>
      <c r="S46" s="28"/>
      <c r="T46" s="28" t="s">
        <v>46</v>
      </c>
    </row>
    <row r="47" spans="1:28" x14ac:dyDescent="0.3">
      <c r="P47" s="19">
        <f>P46*(1/0.00001)*(1/24)*(58-(S50))</f>
        <v>32386.666666666664</v>
      </c>
      <c r="Q47" t="s">
        <v>47</v>
      </c>
      <c r="R47" s="29"/>
    </row>
    <row r="48" spans="1:28" x14ac:dyDescent="0.3">
      <c r="P48" s="19">
        <f>P47*Q49</f>
        <v>25909.333333333332</v>
      </c>
      <c r="Q48" t="s">
        <v>48</v>
      </c>
      <c r="R48" s="29"/>
    </row>
    <row r="49" spans="17:27" x14ac:dyDescent="0.3">
      <c r="Q49" s="30">
        <v>0.8</v>
      </c>
      <c r="Y49">
        <v>24</v>
      </c>
      <c r="Z49" t="s">
        <v>49</v>
      </c>
    </row>
    <row r="50" spans="17:27" x14ac:dyDescent="0.3">
      <c r="Q50" s="9"/>
      <c r="R50" s="9" t="s">
        <v>50</v>
      </c>
      <c r="S50">
        <v>44</v>
      </c>
      <c r="Y50" s="5">
        <f>AA39</f>
        <v>228.7</v>
      </c>
      <c r="Z50" t="s">
        <v>51</v>
      </c>
      <c r="AA50" t="s">
        <v>52</v>
      </c>
    </row>
    <row r="51" spans="17:27" x14ac:dyDescent="0.3">
      <c r="Y51">
        <v>70</v>
      </c>
      <c r="Z51" t="s">
        <v>53</v>
      </c>
    </row>
    <row r="52" spans="17:27" x14ac:dyDescent="0.3">
      <c r="Y52">
        <f>S50</f>
        <v>44</v>
      </c>
      <c r="Z52" t="s">
        <v>54</v>
      </c>
    </row>
    <row r="53" spans="17:27" x14ac:dyDescent="0.3">
      <c r="Y53" s="30">
        <f>Q49</f>
        <v>0.8</v>
      </c>
      <c r="Z53" t="s">
        <v>55</v>
      </c>
    </row>
    <row r="54" spans="17:27" x14ac:dyDescent="0.3">
      <c r="Y54">
        <v>1000</v>
      </c>
      <c r="Z54" t="s">
        <v>56</v>
      </c>
    </row>
    <row r="55" spans="17:27" x14ac:dyDescent="0.3">
      <c r="Y55" s="19">
        <f>P48</f>
        <v>25909.333333333332</v>
      </c>
      <c r="Z55" t="s">
        <v>57</v>
      </c>
    </row>
    <row r="57" spans="17:27" x14ac:dyDescent="0.3">
      <c r="Y57" s="5">
        <f>Y49*Y55*Y50/(Y51-Y52)/Y54/Y53</f>
        <v>6837.074461538461</v>
      </c>
      <c r="Z57" t="s">
        <v>58</v>
      </c>
    </row>
    <row r="58" spans="17:27" x14ac:dyDescent="0.3">
      <c r="Y58" s="5">
        <f>Y57/100</f>
        <v>68.370744615384609</v>
      </c>
      <c r="Z58" t="s">
        <v>59</v>
      </c>
      <c r="AA58" t="s">
        <v>62</v>
      </c>
    </row>
    <row r="62" spans="17:27" x14ac:dyDescent="0.3">
      <c r="Y62" s="14"/>
    </row>
  </sheetData>
  <conditionalFormatting sqref="F39:Y39">
    <cfRule type="top10" dxfId="11" priority="1" rank="1"/>
  </conditionalFormatting>
  <dataValidations disablePrompts="1"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40" workbookViewId="0">
      <selection activeCell="N57" sqref="N57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69</v>
      </c>
      <c r="AB3" t="s">
        <v>35</v>
      </c>
    </row>
    <row r="4" spans="1:37" x14ac:dyDescent="0.3">
      <c r="A4" s="15">
        <v>1</v>
      </c>
      <c r="B4" s="31">
        <v>41640</v>
      </c>
      <c r="C4" s="31">
        <v>41670</v>
      </c>
      <c r="D4" s="32">
        <v>96.020000000000024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>
        <f>SUM(L4:L15)</f>
        <v>241.99999999999997</v>
      </c>
      <c r="AB4" s="12">
        <f>SUM(D4:D15)</f>
        <v>362.88000000000005</v>
      </c>
      <c r="AK4" s="21"/>
    </row>
    <row r="5" spans="1:37" x14ac:dyDescent="0.3">
      <c r="A5" s="15">
        <v>2</v>
      </c>
      <c r="B5" s="31">
        <v>41671</v>
      </c>
      <c r="C5" s="31">
        <v>41698</v>
      </c>
      <c r="D5" s="32">
        <v>43.700000000000017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A6" s="15">
        <v>3</v>
      </c>
      <c r="B6" s="31">
        <v>41699</v>
      </c>
      <c r="C6" s="31">
        <v>41729</v>
      </c>
      <c r="D6" s="32">
        <v>12.92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A7" s="15">
        <v>4</v>
      </c>
      <c r="B7" s="31">
        <v>41730</v>
      </c>
      <c r="C7" s="31">
        <v>41759</v>
      </c>
      <c r="D7" s="32">
        <v>8.5400000000000009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A8" s="15">
        <v>5</v>
      </c>
      <c r="B8" s="31">
        <v>41760</v>
      </c>
      <c r="C8" s="31">
        <v>41790</v>
      </c>
      <c r="D8" s="32">
        <v>9.6599999999999984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A9" s="15">
        <v>6</v>
      </c>
      <c r="B9" s="31">
        <v>41791</v>
      </c>
      <c r="C9" s="31">
        <v>41820</v>
      </c>
      <c r="D9" s="32">
        <v>7.56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A10" s="15">
        <v>7</v>
      </c>
      <c r="B10" s="31">
        <v>41821</v>
      </c>
      <c r="C10" s="31">
        <v>41851</v>
      </c>
      <c r="D10" s="32">
        <v>6.8999999999999986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A11" s="15">
        <v>8</v>
      </c>
      <c r="B11" s="31">
        <v>41852</v>
      </c>
      <c r="C11" s="31">
        <v>41882</v>
      </c>
      <c r="D11" s="32">
        <v>8.44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A12" s="15">
        <v>9</v>
      </c>
      <c r="B12" s="31">
        <v>41883</v>
      </c>
      <c r="C12" s="31">
        <v>41912</v>
      </c>
      <c r="D12" s="32">
        <v>7.24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10</v>
      </c>
      <c r="B13" s="21">
        <v>41913</v>
      </c>
      <c r="C13" s="21">
        <v>41943</v>
      </c>
      <c r="D13" s="24">
        <v>8.7799999999999994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11</v>
      </c>
      <c r="B14" s="21">
        <v>41944</v>
      </c>
      <c r="C14" s="21">
        <v>41973</v>
      </c>
      <c r="D14" s="24">
        <v>32.64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12</v>
      </c>
      <c r="B15" s="21">
        <v>41974</v>
      </c>
      <c r="C15" s="21">
        <v>42004</v>
      </c>
      <c r="D15" s="24">
        <v>120.48000000000003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13</v>
      </c>
      <c r="B16" s="21">
        <v>42005</v>
      </c>
      <c r="C16" s="21">
        <v>42035</v>
      </c>
      <c r="D16" s="24">
        <v>103.83999999999996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>
        <f>SUM(L16:L27)</f>
        <v>326</v>
      </c>
      <c r="AB16" s="12">
        <f>SUM(D16:D27)</f>
        <v>773.56</v>
      </c>
    </row>
    <row r="17" spans="1:28" x14ac:dyDescent="0.3">
      <c r="A17" s="15">
        <v>14</v>
      </c>
      <c r="B17" s="21">
        <v>42036</v>
      </c>
      <c r="C17" s="21">
        <v>42063</v>
      </c>
      <c r="D17" s="24">
        <v>27.84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15</v>
      </c>
      <c r="B18" s="21">
        <v>42064</v>
      </c>
      <c r="C18" s="21">
        <v>42094</v>
      </c>
      <c r="D18" s="24">
        <v>22.44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16</v>
      </c>
      <c r="B19" s="21">
        <v>42095</v>
      </c>
      <c r="C19" s="21">
        <v>42124</v>
      </c>
      <c r="D19" s="24">
        <v>91.419999999999987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17</v>
      </c>
      <c r="B20" s="21">
        <v>42125</v>
      </c>
      <c r="C20" s="21">
        <v>42155</v>
      </c>
      <c r="D20" s="24">
        <v>57.919999999999952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18</v>
      </c>
      <c r="B21" s="21">
        <v>42156</v>
      </c>
      <c r="C21" s="21">
        <v>42185</v>
      </c>
      <c r="D21" s="24">
        <v>9.5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19</v>
      </c>
      <c r="B22" s="21">
        <v>42186</v>
      </c>
      <c r="C22" s="21">
        <v>42216</v>
      </c>
      <c r="D22" s="24">
        <v>8.66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20</v>
      </c>
      <c r="B23" s="21">
        <v>42217</v>
      </c>
      <c r="C23" s="21">
        <v>42247</v>
      </c>
      <c r="D23" s="24">
        <v>7.6599999999999993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21</v>
      </c>
      <c r="B24" s="21">
        <v>42248</v>
      </c>
      <c r="C24" s="21">
        <v>42277</v>
      </c>
      <c r="D24" s="24">
        <v>16.760000000000002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22</v>
      </c>
      <c r="B25" s="21">
        <v>42278</v>
      </c>
      <c r="C25" s="21">
        <v>42308</v>
      </c>
      <c r="D25" s="24">
        <v>100.08000000000006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23</v>
      </c>
      <c r="B26" s="21">
        <v>42309</v>
      </c>
      <c r="C26" s="21">
        <v>42338</v>
      </c>
      <c r="D26" s="24">
        <v>190.98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24</v>
      </c>
      <c r="B27" s="21">
        <v>42339</v>
      </c>
      <c r="C27" s="21">
        <v>42369</v>
      </c>
      <c r="D27" s="24">
        <v>136.45999999999998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25</v>
      </c>
      <c r="B28" s="21">
        <v>42370</v>
      </c>
      <c r="C28" s="21">
        <v>42400</v>
      </c>
      <c r="D28" s="24">
        <v>125.46000000000001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  <c r="AA28" s="11">
        <f>SUM(L28:L39)</f>
        <v>298.00000000000006</v>
      </c>
      <c r="AB28" s="12">
        <f>SUM(D28:D39)</f>
        <v>566.14</v>
      </c>
    </row>
    <row r="29" spans="1:28" x14ac:dyDescent="0.3">
      <c r="A29" s="15">
        <v>26</v>
      </c>
      <c r="B29" s="21">
        <v>42401</v>
      </c>
      <c r="C29" s="21">
        <v>42429</v>
      </c>
      <c r="D29" s="24">
        <v>51.780000000000008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27</v>
      </c>
      <c r="B30" s="21">
        <v>42430</v>
      </c>
      <c r="C30" s="21">
        <v>42460</v>
      </c>
      <c r="D30" s="24">
        <v>11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28</v>
      </c>
      <c r="B31" s="21">
        <v>42461</v>
      </c>
      <c r="C31" s="21">
        <v>42490</v>
      </c>
      <c r="D31" s="24">
        <v>56.239999999999995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29</v>
      </c>
      <c r="B32" s="21">
        <v>42491</v>
      </c>
      <c r="C32" s="21">
        <v>42521</v>
      </c>
      <c r="D32" s="24">
        <v>111.97999999999998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30</v>
      </c>
      <c r="B33" s="21">
        <v>42522</v>
      </c>
      <c r="C33" s="21">
        <v>42551</v>
      </c>
      <c r="D33" s="24">
        <v>8.5600000000000023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31</v>
      </c>
      <c r="B34" s="21">
        <v>42552</v>
      </c>
      <c r="C34" s="21">
        <v>42582</v>
      </c>
      <c r="D34" s="24">
        <v>7.6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32</v>
      </c>
      <c r="B35" s="21">
        <v>42583</v>
      </c>
      <c r="C35" s="21">
        <v>42613</v>
      </c>
      <c r="D35" s="24">
        <v>8.0200000000000014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33</v>
      </c>
      <c r="B36" s="21">
        <v>42614</v>
      </c>
      <c r="C36" s="21">
        <v>42643</v>
      </c>
      <c r="D36" s="24">
        <v>8.240000000000002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34</v>
      </c>
      <c r="B37" s="21">
        <v>42644</v>
      </c>
      <c r="C37" s="21">
        <v>42674</v>
      </c>
      <c r="D37" s="24">
        <v>8.9400000000000013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A38" s="15">
        <v>35</v>
      </c>
      <c r="B38" s="21">
        <v>42675</v>
      </c>
      <c r="C38" s="21">
        <v>42704</v>
      </c>
      <c r="D38">
        <v>35.880000000000003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A39" s="15">
        <v>36</v>
      </c>
      <c r="B39" s="21">
        <v>42705</v>
      </c>
      <c r="C39" s="21">
        <v>42735</v>
      </c>
      <c r="D39">
        <v>132.44000000000003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RSQ($D$4:$D$39,F4:F39)</f>
        <v>0.48703813215022995</v>
      </c>
      <c r="G41" s="26">
        <f t="shared" ref="G41:Y41" si="0">RSQ($D$4:$D$39,G4:G39)</f>
        <v>0.4978498218532571</v>
      </c>
      <c r="H41" s="26">
        <f t="shared" si="0"/>
        <v>0.50748675213776895</v>
      </c>
      <c r="I41" s="26">
        <f t="shared" si="0"/>
        <v>0.51756830226132233</v>
      </c>
      <c r="J41" s="26">
        <f t="shared" si="0"/>
        <v>0.52360657039095748</v>
      </c>
      <c r="K41" s="26">
        <f t="shared" si="0"/>
        <v>0.52648449452702384</v>
      </c>
      <c r="L41" s="26">
        <f t="shared" si="0"/>
        <v>0.52775943431010008</v>
      </c>
      <c r="M41" s="26">
        <f t="shared" si="0"/>
        <v>0.47642388307050904</v>
      </c>
      <c r="N41" s="26">
        <f t="shared" si="0"/>
        <v>0.46533357547463572</v>
      </c>
      <c r="O41" s="26">
        <f t="shared" si="0"/>
        <v>0.45373284960934063</v>
      </c>
      <c r="P41" s="26">
        <f t="shared" si="0"/>
        <v>0.44285138887491227</v>
      </c>
      <c r="Q41" s="26">
        <f t="shared" si="0"/>
        <v>0.4324062755980288</v>
      </c>
      <c r="R41" s="26">
        <f t="shared" si="0"/>
        <v>0.4238350876219476</v>
      </c>
      <c r="S41" s="26">
        <f t="shared" si="0"/>
        <v>0.52031511819705445</v>
      </c>
      <c r="T41" s="26">
        <f t="shared" si="0"/>
        <v>0.50968554380579911</v>
      </c>
      <c r="U41" s="26">
        <f t="shared" si="0"/>
        <v>0.49756739726970789</v>
      </c>
      <c r="V41" s="26">
        <f t="shared" si="0"/>
        <v>0.47990344617591163</v>
      </c>
      <c r="W41" s="26">
        <f t="shared" si="0"/>
        <v>0.4571391905126776</v>
      </c>
      <c r="X41" s="26">
        <f t="shared" si="0"/>
        <v>0.43228384621013533</v>
      </c>
      <c r="Y41" s="26">
        <f t="shared" si="0"/>
        <v>0.40437268423251466</v>
      </c>
      <c r="AA41" s="11">
        <f>AVERAGE(AA4:AA32)</f>
        <v>288.66666666666669</v>
      </c>
      <c r="AB41" s="11">
        <f>AVERAGE(AB4:AB32)</f>
        <v>567.52666666666664</v>
      </c>
    </row>
    <row r="43" spans="1:28" x14ac:dyDescent="0.3">
      <c r="L43" t="s">
        <v>41</v>
      </c>
      <c r="O43" s="11">
        <f>AVERAGE(D10:D12,D22:D24,D34:D36)</f>
        <v>8.8355555555555565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1.2139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P48*(1/0.00001)*(1/24)*(59-(S52))</f>
        <v>73339.791666666657</v>
      </c>
      <c r="Q49" t="s">
        <v>47</v>
      </c>
      <c r="R49" s="29"/>
    </row>
    <row r="50" spans="16:27" x14ac:dyDescent="0.3">
      <c r="P50" s="19">
        <f>P49*Q51</f>
        <v>58671.833333333328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288.66666666666669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58671.833333333328</v>
      </c>
      <c r="Z57" t="s">
        <v>57</v>
      </c>
    </row>
    <row r="59" spans="16:27" x14ac:dyDescent="0.3">
      <c r="Y59" s="5">
        <f>Y51*Y57*Y52/(Y53-Y54)/Y56/Y55</f>
        <v>19925.414771241831</v>
      </c>
      <c r="Z59" t="s">
        <v>58</v>
      </c>
    </row>
    <row r="60" spans="16:27" x14ac:dyDescent="0.3">
      <c r="Y60" s="5">
        <f>Y59/100</f>
        <v>199.2541477124183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10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28" workbookViewId="0">
      <selection activeCell="N53" sqref="N53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70</v>
      </c>
      <c r="AB3" t="s">
        <v>35</v>
      </c>
    </row>
    <row r="4" spans="1:37" x14ac:dyDescent="0.3">
      <c r="B4" s="31">
        <v>41640</v>
      </c>
      <c r="C4" s="31">
        <v>41670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K4" s="21"/>
    </row>
    <row r="5" spans="1:37" x14ac:dyDescent="0.3">
      <c r="B5" s="31">
        <v>41671</v>
      </c>
      <c r="C5" s="31">
        <v>41698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B6" s="31">
        <v>41699</v>
      </c>
      <c r="C6" s="31">
        <v>41729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B7" s="31">
        <v>41730</v>
      </c>
      <c r="C7" s="31">
        <v>41759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B8" s="31">
        <v>41760</v>
      </c>
      <c r="C8" s="31">
        <v>41790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B9" s="31">
        <v>41791</v>
      </c>
      <c r="C9" s="31">
        <v>41820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B10" s="31">
        <v>41821</v>
      </c>
      <c r="C10" s="31">
        <v>41851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B11" s="31">
        <v>41852</v>
      </c>
      <c r="C11" s="31">
        <v>41882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B12" s="31">
        <v>41883</v>
      </c>
      <c r="C12" s="31">
        <v>41912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B13" s="21">
        <v>41913</v>
      </c>
      <c r="C13" s="21">
        <v>41943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</v>
      </c>
      <c r="B14" s="21">
        <v>41944</v>
      </c>
      <c r="C14" s="21">
        <v>41973</v>
      </c>
      <c r="D14">
        <v>8.84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  <c r="AA14" s="11">
        <f>SUM(U14:U25)</f>
        <v>107.89999999999999</v>
      </c>
      <c r="AB14" s="12">
        <f>SUM(D14:D25)</f>
        <v>123.6</v>
      </c>
    </row>
    <row r="15" spans="1:37" x14ac:dyDescent="0.3">
      <c r="A15" s="15">
        <v>2</v>
      </c>
      <c r="B15" s="21">
        <v>41974</v>
      </c>
      <c r="C15" s="21">
        <v>42004</v>
      </c>
      <c r="D15">
        <v>14.36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3</v>
      </c>
      <c r="B16" s="21">
        <v>42005</v>
      </c>
      <c r="C16" s="21">
        <v>42035</v>
      </c>
      <c r="D16" s="24">
        <v>28.06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</row>
    <row r="17" spans="1:28" x14ac:dyDescent="0.3">
      <c r="A17" s="15">
        <v>4</v>
      </c>
      <c r="B17" s="21">
        <v>42036</v>
      </c>
      <c r="C17" s="21">
        <v>42063</v>
      </c>
      <c r="D17" s="24">
        <v>9.24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5</v>
      </c>
      <c r="B18" s="21">
        <v>42064</v>
      </c>
      <c r="C18" s="21">
        <v>42094</v>
      </c>
      <c r="D18" s="24">
        <v>10.44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6</v>
      </c>
      <c r="B19" s="21">
        <v>42095</v>
      </c>
      <c r="C19" s="21">
        <v>42124</v>
      </c>
      <c r="D19" s="24">
        <v>6.979999999999996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7</v>
      </c>
      <c r="B20" s="21">
        <v>42125</v>
      </c>
      <c r="C20" s="21">
        <v>42155</v>
      </c>
      <c r="D20" s="24">
        <v>4.5400000000000009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8</v>
      </c>
      <c r="B21" s="21">
        <v>42156</v>
      </c>
      <c r="C21" s="21">
        <v>42185</v>
      </c>
      <c r="D21" s="24">
        <v>8.5799999999999983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9</v>
      </c>
      <c r="B22" s="21">
        <v>42186</v>
      </c>
      <c r="C22" s="21">
        <v>42216</v>
      </c>
      <c r="D22" s="24">
        <v>8.9400000000000013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10</v>
      </c>
      <c r="B23" s="21">
        <v>42217</v>
      </c>
      <c r="C23" s="21">
        <v>42247</v>
      </c>
      <c r="D23" s="24">
        <v>7.4200000000000008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11</v>
      </c>
      <c r="B24" s="21">
        <v>42248</v>
      </c>
      <c r="C24" s="21">
        <v>42277</v>
      </c>
      <c r="D24" s="24">
        <v>7.4000000000000012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12</v>
      </c>
      <c r="B25" s="21">
        <v>42278</v>
      </c>
      <c r="C25" s="21">
        <v>42308</v>
      </c>
      <c r="D25" s="24">
        <v>8.7999999999999989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13</v>
      </c>
      <c r="B26" s="21">
        <v>42309</v>
      </c>
      <c r="C26" s="21">
        <v>42338</v>
      </c>
      <c r="D26" s="24">
        <v>12.380000000000004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  <c r="AA26" s="11">
        <f>SUM(U26:U37)</f>
        <v>152.10000000000002</v>
      </c>
      <c r="AB26" s="12">
        <f>SUM(D26:D37)</f>
        <v>184.12000000000003</v>
      </c>
    </row>
    <row r="27" spans="1:28" x14ac:dyDescent="0.3">
      <c r="A27" s="15">
        <v>14</v>
      </c>
      <c r="B27" s="21">
        <v>42339</v>
      </c>
      <c r="C27" s="21">
        <v>42369</v>
      </c>
      <c r="D27" s="24">
        <v>36.460000000000008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15</v>
      </c>
      <c r="B28" s="21">
        <v>42370</v>
      </c>
      <c r="C28" s="21">
        <v>42400</v>
      </c>
      <c r="D28" s="24">
        <v>37.04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</row>
    <row r="29" spans="1:28" x14ac:dyDescent="0.3">
      <c r="A29" s="15">
        <v>16</v>
      </c>
      <c r="B29" s="21">
        <v>42401</v>
      </c>
      <c r="C29" s="21">
        <v>42429</v>
      </c>
      <c r="D29" s="24">
        <v>17.580000000000002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17</v>
      </c>
      <c r="B30" s="21">
        <v>42430</v>
      </c>
      <c r="C30" s="21">
        <v>42460</v>
      </c>
      <c r="D30" s="24">
        <v>9.6599999999999984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18</v>
      </c>
      <c r="B31" s="21">
        <v>42461</v>
      </c>
      <c r="C31" s="21">
        <v>42490</v>
      </c>
      <c r="D31" s="24">
        <v>10.319999999999999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19</v>
      </c>
      <c r="B32" s="21">
        <v>42491</v>
      </c>
      <c r="C32" s="21">
        <v>42521</v>
      </c>
      <c r="D32" s="24">
        <v>11.679999999999998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20</v>
      </c>
      <c r="B33" s="21">
        <v>42522</v>
      </c>
      <c r="C33" s="21">
        <v>42551</v>
      </c>
      <c r="D33" s="24">
        <v>8.7399999999999984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21</v>
      </c>
      <c r="B34" s="21">
        <v>42552</v>
      </c>
      <c r="C34" s="21">
        <v>42582</v>
      </c>
      <c r="D34" s="24">
        <v>8.6199999999999992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22</v>
      </c>
      <c r="B35" s="21">
        <v>42583</v>
      </c>
      <c r="C35" s="21">
        <v>42613</v>
      </c>
      <c r="D35" s="24">
        <v>9.2399999999999984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23</v>
      </c>
      <c r="B36" s="21">
        <v>42614</v>
      </c>
      <c r="C36" s="21">
        <v>42643</v>
      </c>
      <c r="D36" s="24">
        <v>11.379999999999999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24</v>
      </c>
      <c r="B37" s="21">
        <v>42644</v>
      </c>
      <c r="C37" s="21">
        <v>42674</v>
      </c>
      <c r="D37" s="24">
        <v>11.020000000000001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B38" s="21">
        <v>42675</v>
      </c>
      <c r="C38" s="21">
        <v>42704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B39" s="21">
        <v>42705</v>
      </c>
      <c r="C39" s="21">
        <v>42735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RSQ($D$14:$D$37,F14:F37)</f>
        <v>0.4714943252449007</v>
      </c>
      <c r="G41" s="26">
        <f t="shared" ref="G41:Y41" si="0">RSQ($D$14:$D$37,G14:G37)</f>
        <v>0.50097625688564484</v>
      </c>
      <c r="H41" s="26">
        <f t="shared" si="0"/>
        <v>0.53459068851799685</v>
      </c>
      <c r="I41" s="26">
        <f t="shared" si="0"/>
        <v>0.57098695365367758</v>
      </c>
      <c r="J41" s="26">
        <f t="shared" si="0"/>
        <v>0.61230825066722394</v>
      </c>
      <c r="K41" s="26">
        <f t="shared" si="0"/>
        <v>0.64898830226593351</v>
      </c>
      <c r="L41" s="26">
        <f t="shared" si="0"/>
        <v>0.68188596115113131</v>
      </c>
      <c r="M41" s="26">
        <f t="shared" si="0"/>
        <v>0.44523671330141662</v>
      </c>
      <c r="N41" s="26">
        <f t="shared" si="0"/>
        <v>0.4237065147453572</v>
      </c>
      <c r="O41" s="26">
        <f t="shared" si="0"/>
        <v>0.40506837234022164</v>
      </c>
      <c r="P41" s="26">
        <f t="shared" si="0"/>
        <v>0.38944800674902236</v>
      </c>
      <c r="Q41" s="26">
        <f t="shared" si="0"/>
        <v>0.37693081699288178</v>
      </c>
      <c r="R41" s="26">
        <f t="shared" si="0"/>
        <v>0.36702779349797032</v>
      </c>
      <c r="S41" s="26">
        <f t="shared" si="0"/>
        <v>0.70437528527868742</v>
      </c>
      <c r="T41" s="26">
        <f t="shared" si="0"/>
        <v>0.71330106506667379</v>
      </c>
      <c r="U41" s="26">
        <f t="shared" si="0"/>
        <v>0.71630968147156882</v>
      </c>
      <c r="V41" s="26">
        <f t="shared" si="0"/>
        <v>0.71469564114062956</v>
      </c>
      <c r="W41" s="26">
        <f t="shared" si="0"/>
        <v>0.70443609546696362</v>
      </c>
      <c r="X41" s="26">
        <f t="shared" si="0"/>
        <v>0.69438467787080105</v>
      </c>
      <c r="Y41" s="26">
        <f t="shared" si="0"/>
        <v>0.66359427568223517</v>
      </c>
      <c r="AA41" s="11">
        <f>AVERAGE(AA4:AA32)</f>
        <v>130</v>
      </c>
      <c r="AB41" s="11">
        <f>AVERAGE(AB4:AB32)</f>
        <v>153.86000000000001</v>
      </c>
    </row>
    <row r="43" spans="1:28" x14ac:dyDescent="0.3">
      <c r="L43" t="s">
        <v>41</v>
      </c>
      <c r="O43" s="11">
        <f>AVERAGE(D22:D24,D34:D36)</f>
        <v>8.8333333333333339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0.42599999999999999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P48*(1/0.00001)*(1/24)*(56-(S52))</f>
        <v>20412.499999999996</v>
      </c>
      <c r="Q49" t="s">
        <v>47</v>
      </c>
      <c r="R49" s="29"/>
    </row>
    <row r="50" spans="16:27" x14ac:dyDescent="0.3">
      <c r="P50" s="19">
        <f>P49*Q51</f>
        <v>16329.999999999998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130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16329.999999999998</v>
      </c>
      <c r="Z57" t="s">
        <v>57</v>
      </c>
    </row>
    <row r="59" spans="16:27" x14ac:dyDescent="0.3">
      <c r="Y59" s="5">
        <f>Y51*Y57*Y52/(Y53-Y54)/Y56/Y55</f>
        <v>2497.5294117647054</v>
      </c>
      <c r="Z59" t="s">
        <v>58</v>
      </c>
    </row>
    <row r="60" spans="16:27" x14ac:dyDescent="0.3">
      <c r="Y60" s="5">
        <f>Y59/100</f>
        <v>24.975294117647053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9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38" workbookViewId="0">
      <selection activeCell="M56" sqref="M56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73</v>
      </c>
      <c r="AB3" t="s">
        <v>35</v>
      </c>
    </row>
    <row r="4" spans="1:37" x14ac:dyDescent="0.3">
      <c r="A4" s="15">
        <v>1</v>
      </c>
      <c r="B4" s="31">
        <v>41640</v>
      </c>
      <c r="C4" s="31">
        <v>41670</v>
      </c>
      <c r="D4" s="39">
        <v>330.42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>
        <f>SUM(O4:O15)</f>
        <v>1540.1</v>
      </c>
      <c r="AB4" s="12">
        <f>SUM(D4:D15)</f>
        <v>2020.0200000000004</v>
      </c>
      <c r="AK4" s="21"/>
    </row>
    <row r="5" spans="1:37" x14ac:dyDescent="0.3">
      <c r="A5" s="15">
        <v>2</v>
      </c>
      <c r="B5" s="31">
        <v>41671</v>
      </c>
      <c r="C5" s="31">
        <v>41698</v>
      </c>
      <c r="D5" s="39">
        <v>249.73999999999998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A6" s="15">
        <v>3</v>
      </c>
      <c r="B6" s="31">
        <v>41699</v>
      </c>
      <c r="C6" s="31">
        <v>41729</v>
      </c>
      <c r="D6" s="39">
        <v>108.33999999999999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A7" s="15">
        <v>4</v>
      </c>
      <c r="B7" s="31">
        <v>41730</v>
      </c>
      <c r="C7" s="31">
        <v>41759</v>
      </c>
      <c r="D7" s="39">
        <v>381.32000000000022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A8" s="15">
        <v>5</v>
      </c>
      <c r="B8" s="31">
        <v>41760</v>
      </c>
      <c r="C8" s="31">
        <v>41790</v>
      </c>
      <c r="D8" s="39">
        <v>187.16000000000003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A9" s="15">
        <v>6</v>
      </c>
      <c r="B9" s="31">
        <v>41791</v>
      </c>
      <c r="C9" s="31">
        <v>41820</v>
      </c>
      <c r="D9" s="39">
        <v>37.76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A10" s="15">
        <v>7</v>
      </c>
      <c r="B10" s="31">
        <v>41821</v>
      </c>
      <c r="C10" s="31">
        <v>41851</v>
      </c>
      <c r="D10" s="39">
        <v>40.139999999999993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A11" s="15">
        <v>8</v>
      </c>
      <c r="B11" s="31">
        <v>41852</v>
      </c>
      <c r="C11" s="31">
        <v>41882</v>
      </c>
      <c r="D11" s="39">
        <v>46.22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A12" s="15">
        <v>9</v>
      </c>
      <c r="B12" s="31">
        <v>41883</v>
      </c>
      <c r="C12" s="31">
        <v>41912</v>
      </c>
      <c r="D12" s="39">
        <v>29.899999999999995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10</v>
      </c>
      <c r="B13" s="21">
        <v>41913</v>
      </c>
      <c r="C13" s="21">
        <v>41943</v>
      </c>
      <c r="D13" s="40">
        <v>48.160000000000004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11</v>
      </c>
      <c r="B14" s="21">
        <v>41944</v>
      </c>
      <c r="C14" s="21">
        <v>41973</v>
      </c>
      <c r="D14" s="40">
        <v>414.78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12</v>
      </c>
      <c r="B15" s="21">
        <v>41974</v>
      </c>
      <c r="C15" s="21">
        <v>42004</v>
      </c>
      <c r="D15" s="40">
        <v>146.07999999999998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13</v>
      </c>
      <c r="B16" s="21">
        <v>42005</v>
      </c>
      <c r="C16" s="21">
        <v>42035</v>
      </c>
      <c r="D16" s="40">
        <v>187.74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>
        <f>SUM(O16:O27)</f>
        <v>1770.6999999999998</v>
      </c>
      <c r="AB16" s="12">
        <f>SUM(D16:D27)</f>
        <v>1963.5199999999995</v>
      </c>
    </row>
    <row r="17" spans="1:28" x14ac:dyDescent="0.3">
      <c r="A17" s="15">
        <v>14</v>
      </c>
      <c r="B17" s="21">
        <v>42036</v>
      </c>
      <c r="C17" s="21">
        <v>42063</v>
      </c>
      <c r="D17" s="40">
        <v>59.019999999999996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15</v>
      </c>
      <c r="B18" s="21">
        <v>42064</v>
      </c>
      <c r="C18" s="21">
        <v>42094</v>
      </c>
      <c r="D18" s="40">
        <v>324.85999999999996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16</v>
      </c>
      <c r="B19" s="21">
        <v>42095</v>
      </c>
      <c r="C19" s="21">
        <v>42124</v>
      </c>
      <c r="D19" s="40">
        <v>296.23999999999995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17</v>
      </c>
      <c r="B20" s="21">
        <v>42125</v>
      </c>
      <c r="C20" s="21">
        <v>42155</v>
      </c>
      <c r="D20" s="40">
        <v>52.039999999999985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18</v>
      </c>
      <c r="B21" s="21">
        <v>42156</v>
      </c>
      <c r="C21" s="21">
        <v>42185</v>
      </c>
      <c r="D21" s="40">
        <v>42.2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19</v>
      </c>
      <c r="B22" s="21">
        <v>42186</v>
      </c>
      <c r="C22" s="21">
        <v>42216</v>
      </c>
      <c r="D22" s="40">
        <v>37.26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20</v>
      </c>
      <c r="B23" s="21">
        <v>42217</v>
      </c>
      <c r="C23" s="21">
        <v>42247</v>
      </c>
      <c r="D23" s="40">
        <v>29.619999999999994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21</v>
      </c>
      <c r="B24" s="21">
        <v>42248</v>
      </c>
      <c r="C24" s="21">
        <v>42277</v>
      </c>
      <c r="D24" s="40">
        <v>41.319999999999993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22</v>
      </c>
      <c r="B25" s="21">
        <v>42278</v>
      </c>
      <c r="C25" s="21">
        <v>42308</v>
      </c>
      <c r="D25" s="40">
        <v>36.920000000000009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23</v>
      </c>
      <c r="B26" s="21">
        <v>42309</v>
      </c>
      <c r="C26" s="21">
        <v>42338</v>
      </c>
      <c r="D26" s="40">
        <v>557.67999999999995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24</v>
      </c>
      <c r="B27" s="21">
        <v>42339</v>
      </c>
      <c r="C27" s="21">
        <v>42369</v>
      </c>
      <c r="D27" s="40">
        <v>298.61999999999995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25</v>
      </c>
      <c r="B28" s="21">
        <v>42370</v>
      </c>
      <c r="C28" s="21">
        <v>42400</v>
      </c>
      <c r="D28" s="40">
        <v>146.43999999999997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  <c r="AA28" s="11">
        <f>SUM(O28:O39)</f>
        <v>1845.6</v>
      </c>
      <c r="AB28" s="12">
        <f>SUM(D28:D39)</f>
        <v>1642.5799999999997</v>
      </c>
    </row>
    <row r="29" spans="1:28" x14ac:dyDescent="0.3">
      <c r="A29" s="15">
        <v>26</v>
      </c>
      <c r="B29" s="21">
        <v>42401</v>
      </c>
      <c r="C29" s="21">
        <v>42429</v>
      </c>
      <c r="D29" s="40">
        <v>807.38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27</v>
      </c>
      <c r="B30" s="21">
        <v>42430</v>
      </c>
      <c r="C30" s="21">
        <v>42460</v>
      </c>
      <c r="D30" s="40">
        <v>56.400000000000013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28</v>
      </c>
      <c r="B31" s="21">
        <v>42461</v>
      </c>
      <c r="C31" s="21">
        <v>42490</v>
      </c>
      <c r="D31" s="40">
        <v>40.900000000000013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29</v>
      </c>
      <c r="B32" s="21">
        <v>42491</v>
      </c>
      <c r="C32" s="21">
        <v>42521</v>
      </c>
      <c r="D32" s="40">
        <v>218.54000000000002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30</v>
      </c>
      <c r="B33" s="21">
        <v>42522</v>
      </c>
      <c r="C33" s="21">
        <v>42551</v>
      </c>
      <c r="D33" s="40">
        <v>34.340000000000003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31</v>
      </c>
      <c r="B34" s="21">
        <v>42552</v>
      </c>
      <c r="C34" s="21">
        <v>42582</v>
      </c>
      <c r="D34" s="40">
        <v>33.46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32</v>
      </c>
      <c r="B35" s="21">
        <v>42583</v>
      </c>
      <c r="C35" s="21">
        <v>42613</v>
      </c>
      <c r="D35" s="40">
        <v>37.600000000000009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33</v>
      </c>
      <c r="B36" s="21">
        <v>42614</v>
      </c>
      <c r="C36" s="21">
        <v>42643</v>
      </c>
      <c r="D36" s="40">
        <v>34.06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34</v>
      </c>
      <c r="B37" s="21">
        <v>42644</v>
      </c>
      <c r="C37" s="21">
        <v>42674</v>
      </c>
      <c r="D37" s="40">
        <v>49.460000000000008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A38" s="15">
        <v>35</v>
      </c>
      <c r="B38" s="21">
        <v>42675</v>
      </c>
      <c r="C38" s="21">
        <v>42704</v>
      </c>
      <c r="D38">
        <v>70.78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A39" s="15">
        <v>36</v>
      </c>
      <c r="B39" s="21">
        <v>42705</v>
      </c>
      <c r="C39" s="21">
        <v>42735</v>
      </c>
      <c r="D39">
        <v>113.22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RSQ($D$4:$D$39,F4:F39)</f>
        <v>0.17483374420675951</v>
      </c>
      <c r="G41" s="26">
        <f t="shared" ref="G41:Y41" si="0">RSQ($D$4:$D$39,G4:G39)</f>
        <v>0.1713759138337542</v>
      </c>
      <c r="H41" s="26">
        <f t="shared" si="0"/>
        <v>0.16675159073736229</v>
      </c>
      <c r="I41" s="26">
        <f t="shared" si="0"/>
        <v>0.16260014463237968</v>
      </c>
      <c r="J41" s="26">
        <f t="shared" si="0"/>
        <v>0.15854131378221564</v>
      </c>
      <c r="K41" s="26">
        <f t="shared" si="0"/>
        <v>0.15335837898392168</v>
      </c>
      <c r="L41" s="26">
        <f t="shared" si="0"/>
        <v>0.14707102812546052</v>
      </c>
      <c r="M41" s="26">
        <f t="shared" si="0"/>
        <v>0.17799979856740933</v>
      </c>
      <c r="N41" s="26">
        <f t="shared" si="0"/>
        <v>0.18019483939362041</v>
      </c>
      <c r="O41" s="26">
        <f t="shared" si="0"/>
        <v>0.18036207496080264</v>
      </c>
      <c r="P41" s="26">
        <f t="shared" si="0"/>
        <v>0.1799691222678394</v>
      </c>
      <c r="Q41" s="26">
        <f t="shared" si="0"/>
        <v>0.17890083566396406</v>
      </c>
      <c r="R41" s="26">
        <f t="shared" si="0"/>
        <v>0.17722849850141623</v>
      </c>
      <c r="S41" s="26">
        <f t="shared" si="0"/>
        <v>0.13696743440789333</v>
      </c>
      <c r="T41" s="26">
        <f t="shared" si="0"/>
        <v>0.12446460040237023</v>
      </c>
      <c r="U41" s="26">
        <f t="shared" si="0"/>
        <v>0.11101379206446312</v>
      </c>
      <c r="V41" s="26">
        <f t="shared" si="0"/>
        <v>9.9607875688119143E-2</v>
      </c>
      <c r="W41" s="26">
        <f t="shared" si="0"/>
        <v>8.6333226158654575E-2</v>
      </c>
      <c r="X41" s="26">
        <f t="shared" si="0"/>
        <v>6.9701382024080868E-2</v>
      </c>
      <c r="Y41" s="26">
        <f t="shared" si="0"/>
        <v>5.570071698350669E-2</v>
      </c>
      <c r="AA41" s="11">
        <f>AVERAGE(AA4:AA32)</f>
        <v>1718.8</v>
      </c>
      <c r="AB41" s="11">
        <f>AVERAGE(AB4:AB32)</f>
        <v>1875.3733333333332</v>
      </c>
    </row>
    <row r="43" spans="1:28" x14ac:dyDescent="0.3">
      <c r="L43" t="s">
        <v>41</v>
      </c>
      <c r="O43" s="11">
        <f>AVERAGE(D10:D12,D22:D24,D34:D36)</f>
        <v>36.619999999999997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0.70920000000000005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P48*(1/0.00001)*(1/24)*(68-(S52))</f>
        <v>69442.5</v>
      </c>
      <c r="Q49" t="s">
        <v>47</v>
      </c>
      <c r="R49" s="29"/>
    </row>
    <row r="50" spans="16:27" x14ac:dyDescent="0.3">
      <c r="P50" s="19">
        <f>P49*Q51</f>
        <v>55554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1718.8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55554</v>
      </c>
      <c r="Z57" t="s">
        <v>57</v>
      </c>
    </row>
    <row r="59" spans="16:27" x14ac:dyDescent="0.3">
      <c r="Y59" s="5">
        <f>Y51*Y57*Y52/(Y53-Y54)/Y56/Y55</f>
        <v>112336.72376470585</v>
      </c>
      <c r="Z59" t="s">
        <v>58</v>
      </c>
    </row>
    <row r="60" spans="16:27" x14ac:dyDescent="0.3">
      <c r="Y60" s="5">
        <f>Y59/100</f>
        <v>1123.3672376470586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8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29" workbookViewId="0">
      <selection activeCell="M52" sqref="M52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64</v>
      </c>
      <c r="AB3" t="s">
        <v>35</v>
      </c>
    </row>
    <row r="4" spans="1:37" x14ac:dyDescent="0.3">
      <c r="A4" s="15">
        <v>1</v>
      </c>
      <c r="B4" s="31">
        <v>41640</v>
      </c>
      <c r="C4" s="31">
        <v>41670</v>
      </c>
      <c r="D4" s="32">
        <v>60.74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>
        <f>SUM(S4:S15)</f>
        <v>181.8</v>
      </c>
      <c r="AB4" s="12">
        <f>SUM(D4:D15)</f>
        <v>220.50000000000003</v>
      </c>
      <c r="AK4" s="21"/>
    </row>
    <row r="5" spans="1:37" x14ac:dyDescent="0.3">
      <c r="A5" s="15">
        <v>2</v>
      </c>
      <c r="B5" s="31">
        <v>41671</v>
      </c>
      <c r="C5" s="31">
        <v>41698</v>
      </c>
      <c r="D5" s="32">
        <v>27.640000000000004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A6" s="15">
        <v>3</v>
      </c>
      <c r="B6" s="31">
        <v>41699</v>
      </c>
      <c r="C6" s="31">
        <v>41729</v>
      </c>
      <c r="D6" s="32">
        <v>13.799999999999999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A7" s="15">
        <v>4</v>
      </c>
      <c r="B7" s="31">
        <v>41730</v>
      </c>
      <c r="C7" s="31">
        <v>41759</v>
      </c>
      <c r="D7" s="32">
        <v>10.18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A8" s="15">
        <v>5</v>
      </c>
      <c r="B8" s="31">
        <v>41760</v>
      </c>
      <c r="C8" s="31">
        <v>41790</v>
      </c>
      <c r="D8" s="32">
        <v>9.26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A9" s="15">
        <v>6</v>
      </c>
      <c r="B9" s="31">
        <v>41791</v>
      </c>
      <c r="C9" s="31">
        <v>41820</v>
      </c>
      <c r="D9" s="32">
        <v>7.1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A10" s="15">
        <v>7</v>
      </c>
      <c r="B10" s="31">
        <v>41821</v>
      </c>
      <c r="C10" s="31">
        <v>41851</v>
      </c>
      <c r="D10" s="32">
        <v>6.120000000000001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A11" s="15">
        <v>8</v>
      </c>
      <c r="B11" s="31">
        <v>41852</v>
      </c>
      <c r="C11" s="31">
        <v>41882</v>
      </c>
      <c r="D11" s="32">
        <v>4.82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A12" s="15">
        <v>9</v>
      </c>
      <c r="B12" s="31">
        <v>41883</v>
      </c>
      <c r="C12" s="31">
        <v>41912</v>
      </c>
      <c r="D12" s="32">
        <v>5.3800000000000008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10</v>
      </c>
      <c r="B13" s="21">
        <v>41913</v>
      </c>
      <c r="C13" s="21">
        <v>41943</v>
      </c>
      <c r="D13" s="24">
        <v>8.7800000000000011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11</v>
      </c>
      <c r="B14" s="21">
        <v>41944</v>
      </c>
      <c r="C14" s="21">
        <v>41973</v>
      </c>
      <c r="D14" s="24">
        <v>13.180000000000001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12</v>
      </c>
      <c r="B15" s="21">
        <v>41974</v>
      </c>
      <c r="C15" s="21">
        <v>42004</v>
      </c>
      <c r="D15" s="24">
        <v>53.499999999999993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13</v>
      </c>
      <c r="B16" s="21">
        <v>42005</v>
      </c>
      <c r="C16" s="21">
        <v>42035</v>
      </c>
      <c r="D16" s="24">
        <v>42.720000000000013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>
        <f>SUM(S16:S27)</f>
        <v>247.7</v>
      </c>
      <c r="AB16" s="12">
        <f>SUM(D16:D27)</f>
        <v>227.3</v>
      </c>
    </row>
    <row r="17" spans="1:28" x14ac:dyDescent="0.3">
      <c r="A17" s="15">
        <v>14</v>
      </c>
      <c r="B17" s="21">
        <v>42036</v>
      </c>
      <c r="C17" s="21">
        <v>42063</v>
      </c>
      <c r="D17" s="24">
        <v>10.9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15</v>
      </c>
      <c r="B18" s="21">
        <v>42064</v>
      </c>
      <c r="C18" s="21">
        <v>42094</v>
      </c>
      <c r="D18" s="24">
        <v>21.020000000000007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16</v>
      </c>
      <c r="B19" s="21">
        <v>42095</v>
      </c>
      <c r="C19" s="21">
        <v>42124</v>
      </c>
      <c r="D19" s="24">
        <v>9.0000000000000018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17</v>
      </c>
      <c r="B20" s="21">
        <v>42125</v>
      </c>
      <c r="C20" s="21">
        <v>42155</v>
      </c>
      <c r="D20" s="24">
        <v>15.880000000000003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18</v>
      </c>
      <c r="B21" s="21">
        <v>42156</v>
      </c>
      <c r="C21" s="21">
        <v>42185</v>
      </c>
      <c r="D21" s="24">
        <v>10.200000000000001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19</v>
      </c>
      <c r="B22" s="21">
        <v>42186</v>
      </c>
      <c r="C22" s="21">
        <v>42216</v>
      </c>
      <c r="D22" s="24">
        <v>9.4799999999999986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20</v>
      </c>
      <c r="B23" s="21">
        <v>42217</v>
      </c>
      <c r="C23" s="21">
        <v>42247</v>
      </c>
      <c r="D23" s="24">
        <v>9.3400000000000016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21</v>
      </c>
      <c r="B24" s="21">
        <v>42248</v>
      </c>
      <c r="C24" s="21">
        <v>42277</v>
      </c>
      <c r="D24" s="24">
        <v>10.320000000000002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22</v>
      </c>
      <c r="B25" s="21">
        <v>42278</v>
      </c>
      <c r="C25" s="21">
        <v>42308</v>
      </c>
      <c r="D25" s="24">
        <v>13.480000000000002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23</v>
      </c>
      <c r="B26" s="21">
        <v>42309</v>
      </c>
      <c r="C26" s="21">
        <v>42338</v>
      </c>
      <c r="D26" s="24">
        <v>17.940000000000001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24</v>
      </c>
      <c r="B27" s="21">
        <v>42339</v>
      </c>
      <c r="C27" s="21">
        <v>42369</v>
      </c>
      <c r="D27" s="24">
        <v>57.020000000000017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25</v>
      </c>
      <c r="B28" s="21">
        <v>42370</v>
      </c>
      <c r="C28" s="21">
        <v>42400</v>
      </c>
      <c r="D28" s="24">
        <v>57.28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  <c r="AA28" s="11">
        <f>SUM(S28:S39)</f>
        <v>224.5</v>
      </c>
      <c r="AB28" s="12">
        <f>SUM(D28:D39)</f>
        <v>243.98</v>
      </c>
    </row>
    <row r="29" spans="1:28" x14ac:dyDescent="0.3">
      <c r="A29" s="15">
        <v>26</v>
      </c>
      <c r="B29" s="21">
        <v>42401</v>
      </c>
      <c r="C29" s="21">
        <v>42429</v>
      </c>
      <c r="D29" s="24">
        <v>25.119999999999997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27</v>
      </c>
      <c r="B30" s="21">
        <v>42430</v>
      </c>
      <c r="C30" s="21">
        <v>42460</v>
      </c>
      <c r="D30" s="24">
        <v>16.059999999999995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28</v>
      </c>
      <c r="B31" s="21">
        <v>42461</v>
      </c>
      <c r="C31" s="21">
        <v>42490</v>
      </c>
      <c r="D31" s="24">
        <v>13.440000000000001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29</v>
      </c>
      <c r="B32" s="21">
        <v>42491</v>
      </c>
      <c r="C32" s="21">
        <v>42521</v>
      </c>
      <c r="D32" s="24">
        <v>12.959999999999999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30</v>
      </c>
      <c r="B33" s="21">
        <v>42522</v>
      </c>
      <c r="C33" s="21">
        <v>42551</v>
      </c>
      <c r="D33" s="24">
        <v>9.6600000000000019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31</v>
      </c>
      <c r="B34" s="21">
        <v>42552</v>
      </c>
      <c r="C34" s="21">
        <v>42582</v>
      </c>
      <c r="D34" s="24">
        <v>9.2600000000000016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32</v>
      </c>
      <c r="B35" s="21">
        <v>42583</v>
      </c>
      <c r="C35" s="21">
        <v>42613</v>
      </c>
      <c r="D35" s="24">
        <v>9.0400000000000009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33</v>
      </c>
      <c r="B36" s="21">
        <v>42614</v>
      </c>
      <c r="C36" s="21">
        <v>42643</v>
      </c>
      <c r="D36" s="24">
        <v>10.000000000000002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34</v>
      </c>
      <c r="B37" s="21">
        <v>42644</v>
      </c>
      <c r="C37" s="21">
        <v>42674</v>
      </c>
      <c r="D37" s="24">
        <v>12.560000000000002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A38" s="15">
        <v>35</v>
      </c>
      <c r="B38" s="21">
        <v>42675</v>
      </c>
      <c r="C38" s="21">
        <v>42704</v>
      </c>
      <c r="D38">
        <v>17.660000000000004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A39" s="15">
        <v>36</v>
      </c>
      <c r="B39" s="21">
        <v>42705</v>
      </c>
      <c r="C39" s="21">
        <v>42735</v>
      </c>
      <c r="D39">
        <v>50.940000000000005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RSQ($D$4:$D$39,F4:F39)</f>
        <v>0.66146441742752016</v>
      </c>
      <c r="G41" s="26">
        <f t="shared" ref="G41:Y41" si="0">RSQ($D$4:$D$39,G4:G39)</f>
        <v>0.68788558896587604</v>
      </c>
      <c r="H41" s="26">
        <f t="shared" si="0"/>
        <v>0.71631909942946737</v>
      </c>
      <c r="I41" s="26">
        <f t="shared" si="0"/>
        <v>0.74662083957392678</v>
      </c>
      <c r="J41" s="26">
        <f t="shared" si="0"/>
        <v>0.77877444136443541</v>
      </c>
      <c r="K41" s="26">
        <f t="shared" si="0"/>
        <v>0.80506223716818892</v>
      </c>
      <c r="L41" s="26">
        <f t="shared" si="0"/>
        <v>0.8275059755094708</v>
      </c>
      <c r="M41" s="26">
        <f t="shared" si="0"/>
        <v>0.63735041680599192</v>
      </c>
      <c r="N41" s="26">
        <f t="shared" si="0"/>
        <v>0.61521654634691503</v>
      </c>
      <c r="O41" s="26">
        <f t="shared" si="0"/>
        <v>0.59552112214104891</v>
      </c>
      <c r="P41" s="26">
        <f t="shared" si="0"/>
        <v>0.57871505707008686</v>
      </c>
      <c r="Q41" s="26">
        <f t="shared" si="0"/>
        <v>0.56461745165795041</v>
      </c>
      <c r="R41" s="26">
        <f t="shared" si="0"/>
        <v>0.55343953067865626</v>
      </c>
      <c r="S41" s="26">
        <f t="shared" si="0"/>
        <v>0.84051323949933565</v>
      </c>
      <c r="T41" s="26">
        <f t="shared" si="0"/>
        <v>0.83969743909252725</v>
      </c>
      <c r="U41" s="26">
        <f t="shared" si="0"/>
        <v>0.82922839100450429</v>
      </c>
      <c r="V41" s="26">
        <f t="shared" si="0"/>
        <v>0.80810411808061444</v>
      </c>
      <c r="W41" s="26">
        <f t="shared" si="0"/>
        <v>0.77888066913840948</v>
      </c>
      <c r="X41" s="26">
        <f t="shared" si="0"/>
        <v>0.73810693975490316</v>
      </c>
      <c r="Y41" s="26">
        <f t="shared" si="0"/>
        <v>0.68438622642868352</v>
      </c>
      <c r="AA41" s="11">
        <f>AVERAGE(AA4:AA32)</f>
        <v>218</v>
      </c>
      <c r="AB41" s="11">
        <f>AVERAGE(AB4:AB32)</f>
        <v>230.59333333333336</v>
      </c>
    </row>
    <row r="43" spans="1:28" x14ac:dyDescent="0.3">
      <c r="L43" t="s">
        <v>41</v>
      </c>
      <c r="O43" s="11">
        <f>AVERAGE(D10:D12,D22:D24,D34:D36)</f>
        <v>8.1955555555555559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0.61729999999999996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P48*(1/0.00001)*(1/24)*(58-(S52))</f>
        <v>34723.124999999993</v>
      </c>
      <c r="Q49" t="s">
        <v>47</v>
      </c>
      <c r="R49" s="29"/>
    </row>
    <row r="50" spans="16:27" x14ac:dyDescent="0.3">
      <c r="P50" s="19">
        <f>P49*Q51</f>
        <v>27778.499999999996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218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27778.499999999996</v>
      </c>
      <c r="Z57" t="s">
        <v>57</v>
      </c>
    </row>
    <row r="59" spans="16:27" x14ac:dyDescent="0.3">
      <c r="Y59" s="5">
        <f>Y51*Y57*Y52/(Y53-Y54)/Y56/Y55</f>
        <v>7124.368235294115</v>
      </c>
      <c r="Z59" t="s">
        <v>58</v>
      </c>
    </row>
    <row r="60" spans="16:27" x14ac:dyDescent="0.3">
      <c r="Y60" s="5">
        <f>Y59/100</f>
        <v>71.24368235294115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7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4"/>
  <sheetViews>
    <sheetView topLeftCell="A38" workbookViewId="0">
      <selection activeCell="N61" sqref="N61"/>
    </sheetView>
  </sheetViews>
  <sheetFormatPr defaultRowHeight="14.4" x14ac:dyDescent="0.3"/>
  <cols>
    <col min="2" max="2" width="9.5546875" bestFit="1" customWidth="1"/>
    <col min="3" max="3" width="10.44140625" bestFit="1" customWidth="1"/>
    <col min="5" max="5" width="5.6640625" customWidth="1"/>
    <col min="11" max="11" width="10.44140625" bestFit="1" customWidth="1"/>
    <col min="37" max="37" width="10.44140625" bestFit="1" customWidth="1"/>
  </cols>
  <sheetData>
    <row r="3" spans="1:37" x14ac:dyDescent="0.3">
      <c r="A3" t="s">
        <v>63</v>
      </c>
      <c r="B3" s="20" t="s">
        <v>12</v>
      </c>
      <c r="C3" s="20" t="s">
        <v>13</v>
      </c>
      <c r="D3" s="20" t="s">
        <v>11</v>
      </c>
      <c r="E3" s="20"/>
      <c r="F3" s="15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AA3" t="s">
        <v>34</v>
      </c>
      <c r="AB3" t="s">
        <v>35</v>
      </c>
    </row>
    <row r="4" spans="1:37" x14ac:dyDescent="0.3">
      <c r="A4" s="15">
        <v>1</v>
      </c>
      <c r="B4" s="31">
        <v>41640</v>
      </c>
      <c r="C4" s="31">
        <v>41670</v>
      </c>
      <c r="D4" s="32">
        <v>61.11999999999999</v>
      </c>
      <c r="E4" s="24"/>
      <c r="F4" s="11">
        <v>165.49999999999997</v>
      </c>
      <c r="G4" s="11">
        <v>142.69999999999996</v>
      </c>
      <c r="H4" s="11">
        <v>121.09999999999998</v>
      </c>
      <c r="I4" s="11">
        <v>101.60000000000002</v>
      </c>
      <c r="J4" s="11">
        <v>83.6</v>
      </c>
      <c r="K4" s="11">
        <v>67.099999999999994</v>
      </c>
      <c r="L4" s="11">
        <v>52.599999999999987</v>
      </c>
      <c r="M4" s="11">
        <v>189.4</v>
      </c>
      <c r="N4" s="11">
        <v>214.20000000000002</v>
      </c>
      <c r="O4" s="11">
        <v>239.39999999999998</v>
      </c>
      <c r="P4" s="11">
        <v>265</v>
      </c>
      <c r="Q4" s="11">
        <v>291.39999999999998</v>
      </c>
      <c r="R4" s="11">
        <v>318.10000000000008</v>
      </c>
      <c r="S4" s="11">
        <v>40.699999999999996</v>
      </c>
      <c r="T4" s="11">
        <v>30.3</v>
      </c>
      <c r="U4" s="11">
        <v>22</v>
      </c>
      <c r="V4" s="11">
        <v>15.200000000000001</v>
      </c>
      <c r="W4" s="11">
        <v>9.9</v>
      </c>
      <c r="X4" s="11">
        <v>6</v>
      </c>
      <c r="Y4" s="11">
        <v>3.1000000000000005</v>
      </c>
      <c r="AA4" s="11">
        <f>SUM(T4:T15)</f>
        <v>133</v>
      </c>
      <c r="AB4" s="12">
        <f>SUM(D4:D15)</f>
        <v>298.58</v>
      </c>
      <c r="AK4" s="21"/>
    </row>
    <row r="5" spans="1:37" x14ac:dyDescent="0.3">
      <c r="A5" s="15">
        <v>2</v>
      </c>
      <c r="B5" s="31">
        <v>41671</v>
      </c>
      <c r="C5" s="31">
        <v>41698</v>
      </c>
      <c r="D5" s="32">
        <v>31.759999999999994</v>
      </c>
      <c r="E5" s="24"/>
      <c r="F5" s="11">
        <v>173.60000000000002</v>
      </c>
      <c r="G5" s="11">
        <v>149.69999999999999</v>
      </c>
      <c r="H5" s="11">
        <v>126.9</v>
      </c>
      <c r="I5" s="11">
        <v>105.19999999999999</v>
      </c>
      <c r="J5" s="11">
        <v>84.3</v>
      </c>
      <c r="K5" s="11">
        <v>66.599999999999994</v>
      </c>
      <c r="L5" s="11">
        <v>50.499999999999993</v>
      </c>
      <c r="M5" s="11">
        <v>197.80000000000004</v>
      </c>
      <c r="N5" s="11">
        <v>223.20000000000005</v>
      </c>
      <c r="O5" s="11">
        <v>248.8</v>
      </c>
      <c r="P5" s="11">
        <v>274.60000000000002</v>
      </c>
      <c r="Q5" s="11">
        <v>300.69999999999993</v>
      </c>
      <c r="R5" s="11">
        <v>327.2</v>
      </c>
      <c r="S5" s="11">
        <v>37.300000000000004</v>
      </c>
      <c r="T5" s="11">
        <v>26.8</v>
      </c>
      <c r="U5" s="11">
        <v>18.799999999999997</v>
      </c>
      <c r="V5" s="11">
        <v>12.799999999999999</v>
      </c>
      <c r="W5" s="11">
        <v>7.8999999999999986</v>
      </c>
      <c r="X5" s="11">
        <v>4.8999999999999995</v>
      </c>
      <c r="Y5" s="11">
        <v>3.2</v>
      </c>
      <c r="AK5" s="21"/>
    </row>
    <row r="6" spans="1:37" x14ac:dyDescent="0.3">
      <c r="A6" s="15">
        <v>3</v>
      </c>
      <c r="B6" s="31">
        <v>41699</v>
      </c>
      <c r="C6" s="31">
        <v>41729</v>
      </c>
      <c r="D6" s="32">
        <v>14.9</v>
      </c>
      <c r="E6" s="24"/>
      <c r="F6" s="11">
        <v>122.09999999999997</v>
      </c>
      <c r="G6" s="11">
        <v>98.899999999999991</v>
      </c>
      <c r="H6" s="11">
        <v>77.600000000000023</v>
      </c>
      <c r="I6" s="11">
        <v>58.6</v>
      </c>
      <c r="J6" s="11">
        <v>41.999999999999993</v>
      </c>
      <c r="K6" s="11">
        <v>27.800000000000004</v>
      </c>
      <c r="L6" s="11">
        <v>16.799999999999994</v>
      </c>
      <c r="M6" s="11">
        <v>146.39999999999998</v>
      </c>
      <c r="N6" s="11">
        <v>172.09999999999994</v>
      </c>
      <c r="O6" s="11">
        <v>198.79999999999995</v>
      </c>
      <c r="P6" s="11">
        <v>225.79999999999995</v>
      </c>
      <c r="Q6" s="11">
        <v>253.79999999999995</v>
      </c>
      <c r="R6" s="11">
        <v>281.69999999999993</v>
      </c>
      <c r="S6" s="11">
        <v>10.199999999999999</v>
      </c>
      <c r="T6" s="11">
        <v>5.0999999999999996</v>
      </c>
      <c r="U6" s="11">
        <v>2.5</v>
      </c>
      <c r="V6" s="11">
        <v>1.1000000000000001</v>
      </c>
      <c r="W6" s="11">
        <v>0.4</v>
      </c>
      <c r="X6" s="11">
        <v>0.1</v>
      </c>
      <c r="Y6" s="11">
        <v>0</v>
      </c>
    </row>
    <row r="7" spans="1:37" x14ac:dyDescent="0.3">
      <c r="A7" s="15">
        <v>4</v>
      </c>
      <c r="B7" s="31">
        <v>41730</v>
      </c>
      <c r="C7" s="31">
        <v>41759</v>
      </c>
      <c r="D7" s="32">
        <v>15.8</v>
      </c>
      <c r="E7" s="24"/>
      <c r="F7" s="11">
        <v>121.3</v>
      </c>
      <c r="G7" s="11">
        <v>100.60000000000001</v>
      </c>
      <c r="H7" s="11">
        <v>81.600000000000009</v>
      </c>
      <c r="I7" s="11">
        <v>63.6</v>
      </c>
      <c r="J7" s="11">
        <v>48.500000000000007</v>
      </c>
      <c r="K7" s="11">
        <v>35.6</v>
      </c>
      <c r="L7" s="11">
        <v>24.5</v>
      </c>
      <c r="M7" s="11">
        <v>143.70000000000002</v>
      </c>
      <c r="N7" s="11">
        <v>167.39999999999998</v>
      </c>
      <c r="O7" s="11">
        <v>192.20000000000005</v>
      </c>
      <c r="P7" s="11">
        <v>217.4</v>
      </c>
      <c r="Q7" s="11">
        <v>243.50000000000003</v>
      </c>
      <c r="R7" s="11">
        <v>269.8</v>
      </c>
      <c r="S7" s="11">
        <v>16.099999999999998</v>
      </c>
      <c r="T7" s="11">
        <v>10.199999999999998</v>
      </c>
      <c r="U7" s="11">
        <v>6.6</v>
      </c>
      <c r="V7" s="11">
        <v>4</v>
      </c>
      <c r="W7" s="11">
        <v>2.3000000000000003</v>
      </c>
      <c r="X7" s="11">
        <v>1.2000000000000002</v>
      </c>
      <c r="Y7" s="11">
        <v>0.6</v>
      </c>
      <c r="AK7" s="21"/>
    </row>
    <row r="8" spans="1:37" x14ac:dyDescent="0.3">
      <c r="A8" s="15">
        <v>5</v>
      </c>
      <c r="B8" s="31">
        <v>41760</v>
      </c>
      <c r="C8" s="31">
        <v>41790</v>
      </c>
      <c r="D8" s="32">
        <v>13.34</v>
      </c>
      <c r="E8" s="24"/>
      <c r="F8" s="11">
        <v>38.700000000000003</v>
      </c>
      <c r="G8" s="11">
        <v>27.099999999999998</v>
      </c>
      <c r="H8" s="11">
        <v>18.500000000000004</v>
      </c>
      <c r="I8" s="11">
        <v>12.499999999999998</v>
      </c>
      <c r="J8" s="11">
        <v>7.8999999999999986</v>
      </c>
      <c r="K8" s="11">
        <v>4.3000000000000007</v>
      </c>
      <c r="L8" s="11">
        <v>2.1999999999999997</v>
      </c>
      <c r="M8" s="11">
        <v>52.9</v>
      </c>
      <c r="N8" s="11">
        <v>70.099999999999994</v>
      </c>
      <c r="O8" s="11">
        <v>88.600000000000009</v>
      </c>
      <c r="P8" s="11">
        <v>108.80000000000001</v>
      </c>
      <c r="Q8" s="11">
        <v>130.10000000000002</v>
      </c>
      <c r="R8" s="11">
        <v>152.4</v>
      </c>
      <c r="S8" s="11">
        <v>1</v>
      </c>
      <c r="T8" s="11">
        <v>0.30000000000000004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AK8" s="21"/>
    </row>
    <row r="9" spans="1:37" x14ac:dyDescent="0.3">
      <c r="A9" s="15">
        <v>6</v>
      </c>
      <c r="B9" s="31">
        <v>41791</v>
      </c>
      <c r="C9" s="31">
        <v>41820</v>
      </c>
      <c r="D9" s="32">
        <v>8.7799999999999994</v>
      </c>
      <c r="E9" s="24"/>
      <c r="F9" s="11">
        <v>22.4</v>
      </c>
      <c r="G9" s="11">
        <v>13.199999999999998</v>
      </c>
      <c r="H9" s="11">
        <v>6.8</v>
      </c>
      <c r="I9" s="11">
        <v>2.6</v>
      </c>
      <c r="J9" s="11">
        <v>0.5</v>
      </c>
      <c r="K9" s="11">
        <v>0.1</v>
      </c>
      <c r="L9" s="11">
        <v>0</v>
      </c>
      <c r="M9" s="11">
        <v>34.100000000000016</v>
      </c>
      <c r="N9" s="11">
        <v>48</v>
      </c>
      <c r="O9" s="11">
        <v>64.499999999999972</v>
      </c>
      <c r="P9" s="11">
        <v>83.9</v>
      </c>
      <c r="Q9" s="11">
        <v>105.39999999999998</v>
      </c>
      <c r="R9" s="11">
        <v>129.89999999999998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37" x14ac:dyDescent="0.3">
      <c r="A10" s="15">
        <v>7</v>
      </c>
      <c r="B10" s="31">
        <v>41821</v>
      </c>
      <c r="C10" s="31">
        <v>41851</v>
      </c>
      <c r="D10" s="32">
        <v>6.0399999999999991</v>
      </c>
      <c r="E10" s="2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0.30000000000000004</v>
      </c>
      <c r="N10" s="11">
        <v>2.1000000000000005</v>
      </c>
      <c r="O10" s="11">
        <v>7.1</v>
      </c>
      <c r="P10" s="11">
        <v>16.3</v>
      </c>
      <c r="Q10" s="11">
        <v>28.8</v>
      </c>
      <c r="R10" s="11">
        <v>45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</row>
    <row r="11" spans="1:37" x14ac:dyDescent="0.3">
      <c r="A11" s="15">
        <v>8</v>
      </c>
      <c r="B11" s="31">
        <v>41852</v>
      </c>
      <c r="C11" s="31">
        <v>41882</v>
      </c>
      <c r="D11" s="32">
        <v>9</v>
      </c>
      <c r="E11" s="24"/>
      <c r="F11" s="11">
        <v>1.2</v>
      </c>
      <c r="G11" s="11">
        <v>0.30000000000000004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2.9000000000000004</v>
      </c>
      <c r="N11" s="11">
        <v>6.8</v>
      </c>
      <c r="O11" s="11">
        <v>13.799999999999999</v>
      </c>
      <c r="P11" s="11">
        <v>24.700000000000003</v>
      </c>
      <c r="Q11" s="11">
        <v>38.79999999999999</v>
      </c>
      <c r="R11" s="11">
        <v>55.1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</row>
    <row r="12" spans="1:37" x14ac:dyDescent="0.3">
      <c r="A12" s="15">
        <v>9</v>
      </c>
      <c r="B12" s="31">
        <v>41883</v>
      </c>
      <c r="C12" s="31">
        <v>41912</v>
      </c>
      <c r="D12" s="32">
        <v>8.4600000000000009</v>
      </c>
      <c r="E12" s="24"/>
      <c r="F12" s="11">
        <v>1.4</v>
      </c>
      <c r="G12" s="11">
        <v>0.60000000000000009</v>
      </c>
      <c r="H12" s="11">
        <v>0.1</v>
      </c>
      <c r="I12" s="11">
        <v>0</v>
      </c>
      <c r="J12" s="11">
        <v>0</v>
      </c>
      <c r="K12" s="11">
        <v>0</v>
      </c>
      <c r="L12" s="11">
        <v>0</v>
      </c>
      <c r="M12" s="11">
        <v>3.4000000000000004</v>
      </c>
      <c r="N12" s="11">
        <v>6.5</v>
      </c>
      <c r="O12" s="11">
        <v>12.2</v>
      </c>
      <c r="P12" s="11">
        <v>19.499999999999996</v>
      </c>
      <c r="Q12" s="11">
        <v>29.400000000000002</v>
      </c>
      <c r="R12" s="11">
        <v>42.400000000000006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</row>
    <row r="13" spans="1:37" x14ac:dyDescent="0.3">
      <c r="A13" s="15">
        <v>10</v>
      </c>
      <c r="B13" s="21">
        <v>41913</v>
      </c>
      <c r="C13" s="21">
        <v>41943</v>
      </c>
      <c r="D13" s="24">
        <v>10.440000000000001</v>
      </c>
      <c r="E13" s="24"/>
      <c r="F13" s="11">
        <v>10</v>
      </c>
      <c r="G13" s="11">
        <v>5.8999999999999995</v>
      </c>
      <c r="H13" s="11">
        <v>3.0000000000000004</v>
      </c>
      <c r="I13" s="11">
        <v>1</v>
      </c>
      <c r="J13" s="11">
        <v>0</v>
      </c>
      <c r="K13" s="11">
        <v>0</v>
      </c>
      <c r="L13" s="11">
        <v>0</v>
      </c>
      <c r="M13" s="11">
        <v>15.8</v>
      </c>
      <c r="N13" s="11">
        <v>24.8</v>
      </c>
      <c r="O13" s="11">
        <v>38</v>
      </c>
      <c r="P13" s="11">
        <v>54.100000000000009</v>
      </c>
      <c r="Q13" s="11">
        <v>72.599999999999994</v>
      </c>
      <c r="R13" s="11">
        <v>93.500000000000014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</row>
    <row r="14" spans="1:37" x14ac:dyDescent="0.3">
      <c r="A14" s="15">
        <v>11</v>
      </c>
      <c r="B14" s="21">
        <v>41944</v>
      </c>
      <c r="C14" s="21">
        <v>41973</v>
      </c>
      <c r="D14" s="24">
        <v>23.439999999999994</v>
      </c>
      <c r="E14" s="24"/>
      <c r="F14" s="11">
        <v>72.099999999999994</v>
      </c>
      <c r="G14" s="11">
        <v>55.9</v>
      </c>
      <c r="H14" s="11">
        <v>41.500000000000014</v>
      </c>
      <c r="I14" s="11">
        <v>30.599999999999994</v>
      </c>
      <c r="J14" s="11">
        <v>22.899999999999995</v>
      </c>
      <c r="K14" s="11">
        <v>16.800000000000004</v>
      </c>
      <c r="L14" s="11">
        <v>12.099999999999998</v>
      </c>
      <c r="M14" s="11">
        <v>90.899999999999977</v>
      </c>
      <c r="N14" s="11">
        <v>111.89999999999999</v>
      </c>
      <c r="O14" s="11">
        <v>133.70000000000002</v>
      </c>
      <c r="P14" s="11">
        <v>156.80000000000001</v>
      </c>
      <c r="Q14" s="11">
        <v>180.79999999999995</v>
      </c>
      <c r="R14" s="11">
        <v>205.1</v>
      </c>
      <c r="S14" s="11">
        <v>7.9000000000000012</v>
      </c>
      <c r="T14" s="11">
        <v>4.5000000000000009</v>
      </c>
      <c r="U14" s="11">
        <v>2.2999999999999998</v>
      </c>
      <c r="V14" s="11">
        <v>1.2</v>
      </c>
      <c r="W14" s="11">
        <v>0.5</v>
      </c>
      <c r="X14" s="11">
        <v>0</v>
      </c>
      <c r="Y14" s="11">
        <v>0</v>
      </c>
    </row>
    <row r="15" spans="1:37" x14ac:dyDescent="0.3">
      <c r="A15" s="15">
        <v>12</v>
      </c>
      <c r="B15" s="21">
        <v>41974</v>
      </c>
      <c r="C15" s="21">
        <v>42004</v>
      </c>
      <c r="D15" s="24">
        <v>95.5</v>
      </c>
      <c r="E15" s="24"/>
      <c r="F15" s="11">
        <v>218.1</v>
      </c>
      <c r="G15" s="11">
        <v>191.40000000000003</v>
      </c>
      <c r="H15" s="11">
        <v>166.00000000000003</v>
      </c>
      <c r="I15" s="11">
        <v>142.10000000000002</v>
      </c>
      <c r="J15" s="11">
        <v>120.00000000000003</v>
      </c>
      <c r="K15" s="11">
        <v>100.60000000000002</v>
      </c>
      <c r="L15" s="11">
        <v>83.300000000000011</v>
      </c>
      <c r="M15" s="11">
        <v>246.09999999999997</v>
      </c>
      <c r="N15" s="11">
        <v>274.29999999999995</v>
      </c>
      <c r="O15" s="11">
        <v>302.99999999999994</v>
      </c>
      <c r="P15" s="11">
        <v>331.89999999999992</v>
      </c>
      <c r="Q15" s="11">
        <v>361.09999999999991</v>
      </c>
      <c r="R15" s="11">
        <v>390.69999999999987</v>
      </c>
      <c r="S15" s="11">
        <v>68.599999999999994</v>
      </c>
      <c r="T15" s="11">
        <v>55.800000000000004</v>
      </c>
      <c r="U15" s="11">
        <v>44.9</v>
      </c>
      <c r="V15" s="11">
        <v>35.400000000000006</v>
      </c>
      <c r="W15" s="11">
        <v>27.6</v>
      </c>
      <c r="X15" s="11">
        <v>20.7</v>
      </c>
      <c r="Y15" s="11">
        <v>15.8</v>
      </c>
    </row>
    <row r="16" spans="1:37" x14ac:dyDescent="0.3">
      <c r="A16" s="15">
        <v>13</v>
      </c>
      <c r="B16" s="21">
        <v>42005</v>
      </c>
      <c r="C16" s="21">
        <v>42035</v>
      </c>
      <c r="D16" s="24">
        <v>97.340000000000018</v>
      </c>
      <c r="E16" s="24"/>
      <c r="F16" s="11">
        <v>184.30000000000004</v>
      </c>
      <c r="G16" s="11">
        <v>160.69999999999999</v>
      </c>
      <c r="H16" s="11">
        <v>138.49999999999997</v>
      </c>
      <c r="I16" s="11">
        <v>117.69999999999997</v>
      </c>
      <c r="J16" s="11">
        <v>98.40000000000002</v>
      </c>
      <c r="K16" s="11">
        <v>80.900000000000006</v>
      </c>
      <c r="L16" s="11">
        <v>64.8</v>
      </c>
      <c r="M16" s="11">
        <v>208.89999999999998</v>
      </c>
      <c r="N16" s="11">
        <v>234.80000000000004</v>
      </c>
      <c r="O16" s="11">
        <v>261.2</v>
      </c>
      <c r="P16" s="11">
        <v>287.89999999999998</v>
      </c>
      <c r="Q16" s="11">
        <v>315.60000000000002</v>
      </c>
      <c r="R16" s="11">
        <v>343.49999999999994</v>
      </c>
      <c r="S16" s="11">
        <v>50.999999999999986</v>
      </c>
      <c r="T16" s="11">
        <v>39.300000000000004</v>
      </c>
      <c r="U16" s="11">
        <v>29.7</v>
      </c>
      <c r="V16" s="11">
        <v>22.5</v>
      </c>
      <c r="W16" s="11">
        <v>16.999999999999996</v>
      </c>
      <c r="X16" s="11">
        <v>13.3</v>
      </c>
      <c r="Y16" s="11">
        <v>10.5</v>
      </c>
      <c r="AA16" s="11">
        <f>SUM(T16:T27)</f>
        <v>186.8</v>
      </c>
      <c r="AB16" s="12">
        <f>SUM(D16:D27)</f>
        <v>456.04</v>
      </c>
    </row>
    <row r="17" spans="1:28" x14ac:dyDescent="0.3">
      <c r="A17" s="15">
        <v>14</v>
      </c>
      <c r="B17" s="21">
        <v>42036</v>
      </c>
      <c r="C17" s="21">
        <v>42063</v>
      </c>
      <c r="D17" s="24">
        <v>35.18</v>
      </c>
      <c r="E17" s="24"/>
      <c r="F17" s="11">
        <v>149.39999999999998</v>
      </c>
      <c r="G17" s="11">
        <v>127</v>
      </c>
      <c r="H17" s="11">
        <v>105.4</v>
      </c>
      <c r="I17" s="11">
        <v>85.399999999999991</v>
      </c>
      <c r="J17" s="11">
        <v>67.099999999999994</v>
      </c>
      <c r="K17" s="11">
        <v>51.100000000000009</v>
      </c>
      <c r="L17" s="11">
        <v>36.700000000000003</v>
      </c>
      <c r="M17" s="11">
        <v>172.49999999999994</v>
      </c>
      <c r="N17" s="11">
        <v>196.5</v>
      </c>
      <c r="O17" s="11">
        <v>220.89999999999998</v>
      </c>
      <c r="P17" s="11">
        <v>245.70000000000002</v>
      </c>
      <c r="Q17" s="11">
        <v>270.70000000000005</v>
      </c>
      <c r="R17" s="11">
        <v>296.2</v>
      </c>
      <c r="S17" s="11">
        <v>25.799999999999997</v>
      </c>
      <c r="T17" s="11">
        <v>17.8</v>
      </c>
      <c r="U17" s="11">
        <v>12.499999999999998</v>
      </c>
      <c r="V17" s="11">
        <v>8.4999999999999982</v>
      </c>
      <c r="W17" s="11">
        <v>5</v>
      </c>
      <c r="X17" s="11">
        <v>2.9</v>
      </c>
      <c r="Y17" s="11">
        <v>1.6</v>
      </c>
    </row>
    <row r="18" spans="1:28" x14ac:dyDescent="0.3">
      <c r="A18" s="15">
        <v>15</v>
      </c>
      <c r="B18" s="21">
        <v>42064</v>
      </c>
      <c r="C18" s="21">
        <v>42094</v>
      </c>
      <c r="D18" s="24">
        <v>31.86</v>
      </c>
      <c r="E18" s="24"/>
      <c r="F18" s="11">
        <v>105.4</v>
      </c>
      <c r="G18" s="11">
        <v>87.699999999999989</v>
      </c>
      <c r="H18" s="11">
        <v>71.599999999999994</v>
      </c>
      <c r="I18" s="11">
        <v>57.29999999999999</v>
      </c>
      <c r="J18" s="11">
        <v>44.199999999999989</v>
      </c>
      <c r="K18" s="11">
        <v>33.799999999999997</v>
      </c>
      <c r="L18" s="11">
        <v>25.7</v>
      </c>
      <c r="M18" s="11">
        <v>124.4</v>
      </c>
      <c r="N18" s="11">
        <v>144.9</v>
      </c>
      <c r="O18" s="11">
        <v>166.5</v>
      </c>
      <c r="P18" s="11">
        <v>190</v>
      </c>
      <c r="Q18" s="11">
        <v>213.7</v>
      </c>
      <c r="R18" s="11">
        <v>238.30000000000004</v>
      </c>
      <c r="S18" s="11">
        <v>18.799999999999997</v>
      </c>
      <c r="T18" s="11">
        <v>13.899999999999997</v>
      </c>
      <c r="U18" s="11">
        <v>9.9000000000000021</v>
      </c>
      <c r="V18" s="11">
        <v>7.5</v>
      </c>
      <c r="W18" s="11">
        <v>5.6</v>
      </c>
      <c r="X18" s="11">
        <v>3.6999999999999993</v>
      </c>
      <c r="Y18" s="11">
        <v>2.5000000000000004</v>
      </c>
    </row>
    <row r="19" spans="1:28" x14ac:dyDescent="0.3">
      <c r="A19" s="15">
        <v>16</v>
      </c>
      <c r="B19" s="21">
        <v>42095</v>
      </c>
      <c r="C19" s="21">
        <v>42124</v>
      </c>
      <c r="D19" s="24">
        <v>14.22</v>
      </c>
      <c r="E19" s="24"/>
      <c r="F19" s="11">
        <v>126.90000000000002</v>
      </c>
      <c r="G19" s="11">
        <v>105.69999999999999</v>
      </c>
      <c r="H19" s="11">
        <v>85.500000000000014</v>
      </c>
      <c r="I19" s="11">
        <v>67.5</v>
      </c>
      <c r="J19" s="11">
        <v>50.500000000000007</v>
      </c>
      <c r="K19" s="11">
        <v>36.5</v>
      </c>
      <c r="L19" s="11">
        <v>25.29999999999999</v>
      </c>
      <c r="M19" s="11">
        <v>149.80000000000001</v>
      </c>
      <c r="N19" s="11">
        <v>173.30000000000004</v>
      </c>
      <c r="O19" s="11">
        <v>198.10000000000005</v>
      </c>
      <c r="P19" s="11">
        <v>223.6</v>
      </c>
      <c r="Q19" s="11">
        <v>249.09999999999997</v>
      </c>
      <c r="R19" s="11">
        <v>275.29999999999995</v>
      </c>
      <c r="S19" s="11">
        <v>15.799999999999997</v>
      </c>
      <c r="T19" s="11">
        <v>9.1999999999999993</v>
      </c>
      <c r="U19" s="11">
        <v>5.6000000000000005</v>
      </c>
      <c r="V19" s="11">
        <v>3.4</v>
      </c>
      <c r="W19" s="11">
        <v>1.7000000000000002</v>
      </c>
      <c r="X19" s="11">
        <v>0.9</v>
      </c>
      <c r="Y19" s="11">
        <v>0.5</v>
      </c>
    </row>
    <row r="20" spans="1:28" x14ac:dyDescent="0.3">
      <c r="A20" s="15">
        <v>17</v>
      </c>
      <c r="B20" s="21">
        <v>42125</v>
      </c>
      <c r="C20" s="21">
        <v>42155</v>
      </c>
      <c r="D20" s="24">
        <v>15.96</v>
      </c>
      <c r="E20" s="24"/>
      <c r="F20" s="11">
        <v>147</v>
      </c>
      <c r="G20" s="11">
        <v>120.69999999999999</v>
      </c>
      <c r="H20" s="11">
        <v>96.59999999999998</v>
      </c>
      <c r="I20" s="11">
        <v>74.300000000000011</v>
      </c>
      <c r="J20" s="11">
        <v>53.899999999999991</v>
      </c>
      <c r="K20" s="11">
        <v>36.699999999999989</v>
      </c>
      <c r="L20" s="11">
        <v>21.6</v>
      </c>
      <c r="M20" s="11">
        <v>175.29999999999993</v>
      </c>
      <c r="N20" s="11">
        <v>204.4</v>
      </c>
      <c r="O20" s="11">
        <v>234.29999999999998</v>
      </c>
      <c r="P20" s="11">
        <v>264.29999999999995</v>
      </c>
      <c r="Q20" s="11">
        <v>294.3</v>
      </c>
      <c r="R20" s="11">
        <v>324.3</v>
      </c>
      <c r="S20" s="11">
        <v>11.499999999999996</v>
      </c>
      <c r="T20" s="11">
        <v>5.4999999999999982</v>
      </c>
      <c r="U20" s="11">
        <v>3.0000000000000004</v>
      </c>
      <c r="V20" s="11">
        <v>1.4</v>
      </c>
      <c r="W20" s="11">
        <v>0.7</v>
      </c>
      <c r="X20" s="11">
        <v>0.5</v>
      </c>
      <c r="Y20" s="11">
        <v>0.3</v>
      </c>
    </row>
    <row r="21" spans="1:28" x14ac:dyDescent="0.3">
      <c r="A21" s="15">
        <v>18</v>
      </c>
      <c r="B21" s="21">
        <v>42156</v>
      </c>
      <c r="C21" s="21">
        <v>42185</v>
      </c>
      <c r="D21" s="24">
        <v>9.52</v>
      </c>
      <c r="E21" s="24"/>
      <c r="F21" s="11">
        <v>44.1</v>
      </c>
      <c r="G21" s="11">
        <v>29.6</v>
      </c>
      <c r="H21" s="11">
        <v>17.7</v>
      </c>
      <c r="I21" s="11">
        <v>9.2999999999999972</v>
      </c>
      <c r="J21" s="11">
        <v>3.8000000000000003</v>
      </c>
      <c r="K21" s="11">
        <v>1</v>
      </c>
      <c r="L21" s="11">
        <v>0</v>
      </c>
      <c r="M21" s="11">
        <v>60.699999999999996</v>
      </c>
      <c r="N21" s="11">
        <v>79.700000000000017</v>
      </c>
      <c r="O21" s="11">
        <v>101.8</v>
      </c>
      <c r="P21" s="11">
        <v>125.49999999999999</v>
      </c>
      <c r="Q21" s="11">
        <v>149.6</v>
      </c>
      <c r="R21" s="11">
        <v>174.8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</row>
    <row r="22" spans="1:28" x14ac:dyDescent="0.3">
      <c r="A22" s="15">
        <v>19</v>
      </c>
      <c r="B22" s="21">
        <v>42186</v>
      </c>
      <c r="C22" s="21">
        <v>42216</v>
      </c>
      <c r="D22" s="24">
        <v>12.98</v>
      </c>
      <c r="E22" s="24"/>
      <c r="F22" s="11">
        <v>5.9999999999999991</v>
      </c>
      <c r="G22" s="11">
        <v>1.8000000000000003</v>
      </c>
      <c r="H22" s="11">
        <v>0.4</v>
      </c>
      <c r="I22" s="11">
        <v>0</v>
      </c>
      <c r="J22" s="11">
        <v>0</v>
      </c>
      <c r="K22" s="11">
        <v>0</v>
      </c>
      <c r="L22" s="11">
        <v>0</v>
      </c>
      <c r="M22" s="11">
        <v>11.9</v>
      </c>
      <c r="N22" s="11">
        <v>20.900000000000002</v>
      </c>
      <c r="O22" s="11">
        <v>32.1</v>
      </c>
      <c r="P22" s="11">
        <v>46.8</v>
      </c>
      <c r="Q22" s="11">
        <v>64.2</v>
      </c>
      <c r="R22" s="11">
        <v>84.300000000000011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</row>
    <row r="23" spans="1:28" x14ac:dyDescent="0.3">
      <c r="A23" s="15">
        <v>20</v>
      </c>
      <c r="B23" s="21">
        <v>42217</v>
      </c>
      <c r="C23" s="21">
        <v>42247</v>
      </c>
      <c r="D23" s="24">
        <v>5.9399999999999995</v>
      </c>
      <c r="E23" s="24"/>
      <c r="F23" s="11">
        <v>0.30000000000000004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1.3</v>
      </c>
      <c r="N23" s="11">
        <v>3.6999999999999997</v>
      </c>
      <c r="O23" s="11">
        <v>8.3000000000000007</v>
      </c>
      <c r="P23" s="11">
        <v>16.700000000000003</v>
      </c>
      <c r="Q23" s="11">
        <v>26.399999999999995</v>
      </c>
      <c r="R23" s="11">
        <v>39.9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</row>
    <row r="24" spans="1:28" x14ac:dyDescent="0.3">
      <c r="A24" s="15">
        <v>21</v>
      </c>
      <c r="B24" s="21">
        <v>42248</v>
      </c>
      <c r="C24" s="21">
        <v>42277</v>
      </c>
      <c r="D24" s="24">
        <v>21.500000000000004</v>
      </c>
      <c r="E24" s="24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0.30000000000000004</v>
      </c>
      <c r="N24" s="11">
        <v>1.3</v>
      </c>
      <c r="O24" s="11">
        <v>2.6</v>
      </c>
      <c r="P24" s="11">
        <v>5.6999999999999993</v>
      </c>
      <c r="Q24" s="11">
        <v>9.7000000000000011</v>
      </c>
      <c r="R24" s="11">
        <v>15.999999999999996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</row>
    <row r="25" spans="1:28" x14ac:dyDescent="0.3">
      <c r="A25" s="15">
        <v>22</v>
      </c>
      <c r="B25" s="21">
        <v>42278</v>
      </c>
      <c r="C25" s="21">
        <v>42308</v>
      </c>
      <c r="D25" s="24">
        <v>23.84</v>
      </c>
      <c r="E25" s="24"/>
      <c r="F25" s="11">
        <v>2.0999999999999996</v>
      </c>
      <c r="G25" s="11">
        <v>0.5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4.3000000000000007</v>
      </c>
      <c r="N25" s="11">
        <v>7.6</v>
      </c>
      <c r="O25" s="11">
        <v>12.4</v>
      </c>
      <c r="P25" s="11">
        <v>18.200000000000003</v>
      </c>
      <c r="Q25" s="11">
        <v>25.400000000000002</v>
      </c>
      <c r="R25" s="11">
        <v>35.400000000000006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</row>
    <row r="26" spans="1:28" x14ac:dyDescent="0.3">
      <c r="A26" s="15">
        <v>23</v>
      </c>
      <c r="B26" s="21">
        <v>42309</v>
      </c>
      <c r="C26" s="21">
        <v>42338</v>
      </c>
      <c r="D26" s="24">
        <v>75.94</v>
      </c>
      <c r="E26" s="24"/>
      <c r="F26" s="11">
        <v>134</v>
      </c>
      <c r="G26" s="11">
        <v>114.40000000000003</v>
      </c>
      <c r="H26" s="11">
        <v>96.200000000000017</v>
      </c>
      <c r="I26" s="11">
        <v>80.399999999999991</v>
      </c>
      <c r="J26" s="11">
        <v>65.700000000000017</v>
      </c>
      <c r="K26" s="11">
        <v>52.800000000000004</v>
      </c>
      <c r="L26" s="11">
        <v>41.70000000000001</v>
      </c>
      <c r="M26" s="11">
        <v>155.60000000000005</v>
      </c>
      <c r="N26" s="11">
        <v>178.80000000000004</v>
      </c>
      <c r="O26" s="11">
        <v>202.10000000000005</v>
      </c>
      <c r="P26" s="11">
        <v>226.50000000000003</v>
      </c>
      <c r="Q26" s="11">
        <v>251.4</v>
      </c>
      <c r="R26" s="11">
        <v>277</v>
      </c>
      <c r="S26" s="11">
        <v>31.899999999999995</v>
      </c>
      <c r="T26" s="11">
        <v>23.7</v>
      </c>
      <c r="U26" s="11">
        <v>17</v>
      </c>
      <c r="V26" s="11">
        <v>11.8</v>
      </c>
      <c r="W26" s="11">
        <v>7.6999999999999993</v>
      </c>
      <c r="X26" s="11">
        <v>4.8000000000000007</v>
      </c>
      <c r="Y26" s="11">
        <v>3</v>
      </c>
    </row>
    <row r="27" spans="1:28" x14ac:dyDescent="0.3">
      <c r="A27" s="15">
        <v>24</v>
      </c>
      <c r="B27" s="21">
        <v>42339</v>
      </c>
      <c r="C27" s="21">
        <v>42369</v>
      </c>
      <c r="D27" s="24">
        <v>111.76000000000003</v>
      </c>
      <c r="E27" s="24"/>
      <c r="F27" s="11">
        <v>248.3</v>
      </c>
      <c r="G27" s="11">
        <v>222.20000000000002</v>
      </c>
      <c r="H27" s="11">
        <v>197.3</v>
      </c>
      <c r="I27" s="11">
        <v>173.50000000000003</v>
      </c>
      <c r="J27" s="11">
        <v>151.1</v>
      </c>
      <c r="K27" s="11">
        <v>130.1</v>
      </c>
      <c r="L27" s="11">
        <v>110.2</v>
      </c>
      <c r="M27" s="11">
        <v>275.2</v>
      </c>
      <c r="N27" s="11">
        <v>302.5</v>
      </c>
      <c r="O27" s="11">
        <v>330.4</v>
      </c>
      <c r="P27" s="11">
        <v>358.7</v>
      </c>
      <c r="Q27" s="11">
        <v>387.2</v>
      </c>
      <c r="R27" s="11">
        <v>416.1</v>
      </c>
      <c r="S27" s="11">
        <v>92.899999999999991</v>
      </c>
      <c r="T27" s="11">
        <v>77.40000000000002</v>
      </c>
      <c r="U27" s="11">
        <v>64.100000000000009</v>
      </c>
      <c r="V27" s="11">
        <v>52.599999999999994</v>
      </c>
      <c r="W27" s="11">
        <v>42.499999999999993</v>
      </c>
      <c r="X27" s="11">
        <v>34.100000000000009</v>
      </c>
      <c r="Y27" s="11">
        <v>26.9</v>
      </c>
    </row>
    <row r="28" spans="1:28" x14ac:dyDescent="0.3">
      <c r="A28" s="15">
        <v>25</v>
      </c>
      <c r="B28" s="21">
        <v>42370</v>
      </c>
      <c r="C28" s="21">
        <v>42400</v>
      </c>
      <c r="D28" s="24">
        <v>108.58</v>
      </c>
      <c r="E28" s="24"/>
      <c r="F28" s="11">
        <v>242.09999999999997</v>
      </c>
      <c r="G28" s="11">
        <v>213.50000000000003</v>
      </c>
      <c r="H28" s="11">
        <v>185.60000000000002</v>
      </c>
      <c r="I28" s="11">
        <v>158.60000000000002</v>
      </c>
      <c r="J28" s="11">
        <v>132.4</v>
      </c>
      <c r="K28" s="11">
        <v>108.4</v>
      </c>
      <c r="L28" s="11">
        <v>86.200000000000031</v>
      </c>
      <c r="M28" s="11">
        <v>271</v>
      </c>
      <c r="N28" s="11">
        <v>300.5</v>
      </c>
      <c r="O28" s="11">
        <v>330</v>
      </c>
      <c r="P28" s="11">
        <v>359.49999999999994</v>
      </c>
      <c r="Q28" s="11">
        <v>389.19999999999993</v>
      </c>
      <c r="R28" s="11">
        <v>418.90000000000003</v>
      </c>
      <c r="S28" s="11">
        <v>67.000000000000014</v>
      </c>
      <c r="T28" s="11">
        <v>50.79999999999999</v>
      </c>
      <c r="U28" s="11">
        <v>39.100000000000009</v>
      </c>
      <c r="V28" s="11">
        <v>29.400000000000006</v>
      </c>
      <c r="W28" s="11">
        <v>21.2</v>
      </c>
      <c r="X28" s="11">
        <v>14.799999999999999</v>
      </c>
      <c r="Y28" s="11">
        <v>9.6999999999999975</v>
      </c>
      <c r="AA28" s="11">
        <f>SUM(T28:T39)</f>
        <v>167.2</v>
      </c>
      <c r="AB28" s="12">
        <f>SUM(D28:D39)</f>
        <v>457.46000000000004</v>
      </c>
    </row>
    <row r="29" spans="1:28" x14ac:dyDescent="0.3">
      <c r="A29" s="15">
        <v>26</v>
      </c>
      <c r="B29" s="21">
        <v>42401</v>
      </c>
      <c r="C29" s="21">
        <v>42429</v>
      </c>
      <c r="D29" s="24">
        <v>46.36</v>
      </c>
      <c r="E29" s="24"/>
      <c r="F29" s="11">
        <v>126.10000000000002</v>
      </c>
      <c r="G29" s="11">
        <v>107.89999999999998</v>
      </c>
      <c r="H29" s="11">
        <v>91.1</v>
      </c>
      <c r="I29" s="11">
        <v>75.899999999999991</v>
      </c>
      <c r="J29" s="11">
        <v>62.500000000000007</v>
      </c>
      <c r="K29" s="11">
        <v>50.699999999999989</v>
      </c>
      <c r="L29" s="11">
        <v>39.900000000000013</v>
      </c>
      <c r="M29" s="11">
        <v>145.50000000000003</v>
      </c>
      <c r="N29" s="11">
        <v>165.90000000000003</v>
      </c>
      <c r="O29" s="11">
        <v>187</v>
      </c>
      <c r="P29" s="11">
        <v>208.80000000000004</v>
      </c>
      <c r="Q29" s="11">
        <v>231.30000000000004</v>
      </c>
      <c r="R29" s="11">
        <v>254.60000000000002</v>
      </c>
      <c r="S29" s="11">
        <v>31.399999999999995</v>
      </c>
      <c r="T29" s="11">
        <v>24.100000000000005</v>
      </c>
      <c r="U29" s="11">
        <v>18.399999999999999</v>
      </c>
      <c r="V29" s="11">
        <v>13.899999999999997</v>
      </c>
      <c r="W29" s="11">
        <v>10.3</v>
      </c>
      <c r="X29" s="11">
        <v>6.9999999999999991</v>
      </c>
      <c r="Y29" s="11">
        <v>4.4000000000000004</v>
      </c>
    </row>
    <row r="30" spans="1:28" x14ac:dyDescent="0.3">
      <c r="A30" s="15">
        <v>27</v>
      </c>
      <c r="B30" s="21">
        <v>42430</v>
      </c>
      <c r="C30" s="21">
        <v>42460</v>
      </c>
      <c r="D30" s="24">
        <v>33.54</v>
      </c>
      <c r="E30" s="24"/>
      <c r="F30" s="11">
        <v>155.59999999999997</v>
      </c>
      <c r="G30" s="11">
        <v>130.6</v>
      </c>
      <c r="H30" s="11">
        <v>107.60000000000004</v>
      </c>
      <c r="I30" s="11">
        <v>85.899999999999991</v>
      </c>
      <c r="J30" s="11">
        <v>65.8</v>
      </c>
      <c r="K30" s="11">
        <v>49.499999999999986</v>
      </c>
      <c r="L30" s="11">
        <v>35.299999999999997</v>
      </c>
      <c r="M30" s="11">
        <v>181.89999999999998</v>
      </c>
      <c r="N30" s="11">
        <v>209.19999999999996</v>
      </c>
      <c r="O30" s="11">
        <v>237.3</v>
      </c>
      <c r="P30" s="11">
        <v>265.79999999999995</v>
      </c>
      <c r="Q30" s="11">
        <v>294.7</v>
      </c>
      <c r="R30" s="11">
        <v>323.89999999999992</v>
      </c>
      <c r="S30" s="11">
        <v>24.799999999999994</v>
      </c>
      <c r="T30" s="11">
        <v>16.899999999999999</v>
      </c>
      <c r="U30" s="11">
        <v>11.299999999999999</v>
      </c>
      <c r="V30" s="11">
        <v>7.4</v>
      </c>
      <c r="W30" s="11">
        <v>4.6999999999999993</v>
      </c>
      <c r="X30" s="11">
        <v>2.9</v>
      </c>
      <c r="Y30" s="11">
        <v>1.6999999999999997</v>
      </c>
    </row>
    <row r="31" spans="1:28" x14ac:dyDescent="0.3">
      <c r="A31" s="15">
        <v>28</v>
      </c>
      <c r="B31" s="21">
        <v>42461</v>
      </c>
      <c r="C31" s="21">
        <v>42490</v>
      </c>
      <c r="D31" s="24">
        <v>26.780000000000005</v>
      </c>
      <c r="E31" s="24"/>
      <c r="F31" s="11">
        <v>100.8</v>
      </c>
      <c r="G31" s="11">
        <v>81.200000000000017</v>
      </c>
      <c r="H31" s="11">
        <v>63.2</v>
      </c>
      <c r="I31" s="11">
        <v>47.9</v>
      </c>
      <c r="J31" s="11">
        <v>33.5</v>
      </c>
      <c r="K31" s="11">
        <v>22.3</v>
      </c>
      <c r="L31" s="11">
        <v>12.9</v>
      </c>
      <c r="M31" s="11">
        <v>121.7</v>
      </c>
      <c r="N31" s="11">
        <v>144.5</v>
      </c>
      <c r="O31" s="11">
        <v>168.39999999999998</v>
      </c>
      <c r="P31" s="11">
        <v>193.19999999999996</v>
      </c>
      <c r="Q31" s="11">
        <v>218.89999999999998</v>
      </c>
      <c r="R31" s="11">
        <v>244.9</v>
      </c>
      <c r="S31" s="11">
        <v>7.4</v>
      </c>
      <c r="T31" s="11">
        <v>3.8</v>
      </c>
      <c r="U31" s="11">
        <v>2</v>
      </c>
      <c r="V31" s="11">
        <v>0.79999999999999993</v>
      </c>
      <c r="W31" s="11">
        <v>0.5</v>
      </c>
      <c r="X31" s="11">
        <v>0.2</v>
      </c>
      <c r="Y31" s="11">
        <v>0.1</v>
      </c>
    </row>
    <row r="32" spans="1:28" x14ac:dyDescent="0.3">
      <c r="A32" s="15">
        <v>29</v>
      </c>
      <c r="B32" s="21">
        <v>42491</v>
      </c>
      <c r="C32" s="21">
        <v>42521</v>
      </c>
      <c r="D32" s="24">
        <v>31.080000000000002</v>
      </c>
      <c r="E32" s="24"/>
      <c r="F32" s="11">
        <v>105.20000000000002</v>
      </c>
      <c r="G32" s="11">
        <v>81.299999999999983</v>
      </c>
      <c r="H32" s="11">
        <v>59.800000000000004</v>
      </c>
      <c r="I32" s="11">
        <v>40.79999999999999</v>
      </c>
      <c r="J32" s="11">
        <v>24.7</v>
      </c>
      <c r="K32" s="11">
        <v>13.799999999999999</v>
      </c>
      <c r="L32" s="11">
        <v>6.2999999999999989</v>
      </c>
      <c r="M32" s="11">
        <v>130.69999999999999</v>
      </c>
      <c r="N32" s="11">
        <v>158.39999999999998</v>
      </c>
      <c r="O32" s="11">
        <v>187.30000000000007</v>
      </c>
      <c r="P32" s="11">
        <v>217.10000000000002</v>
      </c>
      <c r="Q32" s="11">
        <v>246.80000000000004</v>
      </c>
      <c r="R32" s="11">
        <v>276.80000000000007</v>
      </c>
      <c r="S32" s="11">
        <v>2.1</v>
      </c>
      <c r="T32" s="11">
        <v>0.5</v>
      </c>
      <c r="U32" s="11">
        <v>0.2</v>
      </c>
      <c r="V32" s="11">
        <v>0.1</v>
      </c>
      <c r="W32" s="11">
        <v>0</v>
      </c>
      <c r="X32" s="11">
        <v>0</v>
      </c>
      <c r="Y32" s="11">
        <v>0</v>
      </c>
    </row>
    <row r="33" spans="1:28" x14ac:dyDescent="0.3">
      <c r="A33" s="15">
        <v>30</v>
      </c>
      <c r="B33" s="21">
        <v>42522</v>
      </c>
      <c r="C33" s="21">
        <v>42551</v>
      </c>
      <c r="D33" s="24">
        <v>20.46</v>
      </c>
      <c r="E33" s="24"/>
      <c r="F33" s="11">
        <v>42.300000000000004</v>
      </c>
      <c r="G33" s="11">
        <v>30.599999999999998</v>
      </c>
      <c r="H33" s="11">
        <v>20.400000000000002</v>
      </c>
      <c r="I33" s="11">
        <v>12.999999999999998</v>
      </c>
      <c r="J33" s="11">
        <v>7.3999999999999977</v>
      </c>
      <c r="K33" s="11">
        <v>3.7</v>
      </c>
      <c r="L33" s="11">
        <v>1.7000000000000002</v>
      </c>
      <c r="M33" s="11">
        <v>56.2</v>
      </c>
      <c r="N33" s="11">
        <v>72.8</v>
      </c>
      <c r="O33" s="11">
        <v>91.500000000000014</v>
      </c>
      <c r="P33" s="11">
        <v>111.99999999999999</v>
      </c>
      <c r="Q33" s="11">
        <v>134</v>
      </c>
      <c r="R33" s="11">
        <v>156.80000000000001</v>
      </c>
      <c r="S33" s="11">
        <v>0.5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</row>
    <row r="34" spans="1:28" x14ac:dyDescent="0.3">
      <c r="A34" s="15">
        <v>31</v>
      </c>
      <c r="B34" s="21">
        <v>42552</v>
      </c>
      <c r="C34" s="21">
        <v>42582</v>
      </c>
      <c r="D34" s="24">
        <v>16.62</v>
      </c>
      <c r="E34" s="24"/>
      <c r="F34" s="11">
        <v>1.1000000000000001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5.0999999999999996</v>
      </c>
      <c r="N34" s="11">
        <v>12.100000000000001</v>
      </c>
      <c r="O34" s="11">
        <v>21.300000000000004</v>
      </c>
      <c r="P34" s="11">
        <v>31.700000000000006</v>
      </c>
      <c r="Q34" s="11">
        <v>44.900000000000006</v>
      </c>
      <c r="R34" s="11">
        <v>61.1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</row>
    <row r="35" spans="1:28" x14ac:dyDescent="0.3">
      <c r="A35" s="15">
        <v>32</v>
      </c>
      <c r="B35" s="21">
        <v>42583</v>
      </c>
      <c r="C35" s="21">
        <v>42613</v>
      </c>
      <c r="D35" s="24">
        <v>16.760000000000002</v>
      </c>
      <c r="E35" s="24"/>
      <c r="F35" s="11">
        <v>4.1000000000000005</v>
      </c>
      <c r="G35" s="11">
        <v>1.7</v>
      </c>
      <c r="H35" s="11">
        <v>0.4</v>
      </c>
      <c r="I35" s="11">
        <v>0</v>
      </c>
      <c r="J35" s="11">
        <v>0</v>
      </c>
      <c r="K35" s="11">
        <v>0</v>
      </c>
      <c r="L35" s="11">
        <v>0</v>
      </c>
      <c r="M35" s="11">
        <v>8.6</v>
      </c>
      <c r="N35" s="11">
        <v>16</v>
      </c>
      <c r="O35" s="11">
        <v>26.799999999999997</v>
      </c>
      <c r="P35" s="11">
        <v>40.800000000000004</v>
      </c>
      <c r="Q35" s="11">
        <v>57.3</v>
      </c>
      <c r="R35" s="11">
        <v>76.300000000000011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</row>
    <row r="36" spans="1:28" x14ac:dyDescent="0.3">
      <c r="A36" s="15">
        <v>33</v>
      </c>
      <c r="B36" s="21">
        <v>42614</v>
      </c>
      <c r="C36" s="21">
        <v>42643</v>
      </c>
      <c r="D36" s="24">
        <v>18.019999999999996</v>
      </c>
      <c r="E36" s="24"/>
      <c r="F36" s="11">
        <v>8.1</v>
      </c>
      <c r="G36" s="11">
        <v>4.1999999999999993</v>
      </c>
      <c r="H36" s="11">
        <v>1.8</v>
      </c>
      <c r="I36" s="11">
        <v>0.8</v>
      </c>
      <c r="J36" s="11">
        <v>0.3</v>
      </c>
      <c r="K36" s="11">
        <v>0.1</v>
      </c>
      <c r="L36" s="11">
        <v>0</v>
      </c>
      <c r="M36" s="11">
        <v>14.800000000000002</v>
      </c>
      <c r="N36" s="11">
        <v>24.499999999999996</v>
      </c>
      <c r="O36" s="11">
        <v>36.200000000000003</v>
      </c>
      <c r="P36" s="11">
        <v>50.400000000000006</v>
      </c>
      <c r="Q36" s="11">
        <v>65.5</v>
      </c>
      <c r="R36" s="11">
        <v>82.700000000000017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</row>
    <row r="37" spans="1:28" x14ac:dyDescent="0.3">
      <c r="A37" s="15">
        <v>34</v>
      </c>
      <c r="B37" s="21">
        <v>42644</v>
      </c>
      <c r="C37" s="21">
        <v>42674</v>
      </c>
      <c r="D37" s="24">
        <v>23.499999999999996</v>
      </c>
      <c r="E37" s="24"/>
      <c r="F37" s="11">
        <v>30.400000000000002</v>
      </c>
      <c r="G37" s="11">
        <v>19.2</v>
      </c>
      <c r="H37" s="11">
        <v>10.3</v>
      </c>
      <c r="I37" s="11">
        <v>4.5000000000000009</v>
      </c>
      <c r="J37" s="11">
        <v>2.1</v>
      </c>
      <c r="K37" s="11">
        <v>0.8</v>
      </c>
      <c r="L37" s="11">
        <v>0.1</v>
      </c>
      <c r="M37" s="11">
        <v>45.1</v>
      </c>
      <c r="N37" s="11">
        <v>61.599999999999987</v>
      </c>
      <c r="O37" s="11">
        <v>80.300000000000011</v>
      </c>
      <c r="P37" s="11">
        <v>101.10000000000002</v>
      </c>
      <c r="Q37" s="11">
        <v>122.90000000000002</v>
      </c>
      <c r="R37" s="11">
        <v>145.9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</row>
    <row r="38" spans="1:28" x14ac:dyDescent="0.3">
      <c r="A38" s="15">
        <v>35</v>
      </c>
      <c r="B38" s="21">
        <v>42675</v>
      </c>
      <c r="C38" s="21">
        <v>42704</v>
      </c>
      <c r="D38">
        <v>34.479999999999997</v>
      </c>
      <c r="F38">
        <v>110.69999999999999</v>
      </c>
      <c r="G38">
        <v>93.59999999999998</v>
      </c>
      <c r="H38">
        <v>77.900000000000006</v>
      </c>
      <c r="I38">
        <v>64</v>
      </c>
      <c r="J38">
        <v>52.000000000000007</v>
      </c>
      <c r="K38">
        <v>41.400000000000006</v>
      </c>
      <c r="L38">
        <v>32.4</v>
      </c>
      <c r="M38">
        <v>128.5</v>
      </c>
      <c r="N38">
        <v>148.5</v>
      </c>
      <c r="O38">
        <v>169.20000000000002</v>
      </c>
      <c r="P38">
        <v>190.79999999999998</v>
      </c>
      <c r="Q38">
        <v>213.2</v>
      </c>
      <c r="R38">
        <v>236.4</v>
      </c>
      <c r="S38">
        <v>24.4</v>
      </c>
      <c r="T38">
        <v>18.100000000000001</v>
      </c>
      <c r="U38">
        <v>13.200000000000001</v>
      </c>
      <c r="V38">
        <v>9.5</v>
      </c>
      <c r="W38">
        <v>6.5</v>
      </c>
      <c r="X38">
        <v>4.4000000000000004</v>
      </c>
      <c r="Y38">
        <v>2.6</v>
      </c>
    </row>
    <row r="39" spans="1:28" x14ac:dyDescent="0.3">
      <c r="A39" s="15">
        <v>36</v>
      </c>
      <c r="B39" s="21">
        <v>42705</v>
      </c>
      <c r="C39" s="21">
        <v>42735</v>
      </c>
      <c r="D39">
        <v>81.280000000000015</v>
      </c>
      <c r="F39">
        <v>224.99999999999997</v>
      </c>
      <c r="G39">
        <v>197.6</v>
      </c>
      <c r="H39">
        <v>170.99999999999997</v>
      </c>
      <c r="I39">
        <v>145.69999999999999</v>
      </c>
      <c r="J39">
        <v>122.9</v>
      </c>
      <c r="K39">
        <v>101.5</v>
      </c>
      <c r="L39">
        <v>83.200000000000017</v>
      </c>
      <c r="M39">
        <v>253.3</v>
      </c>
      <c r="N39">
        <v>281.7</v>
      </c>
      <c r="O39">
        <v>310.29999999999995</v>
      </c>
      <c r="P39">
        <v>339.19999999999993</v>
      </c>
      <c r="Q39">
        <v>368.3</v>
      </c>
      <c r="R39">
        <v>397.6</v>
      </c>
      <c r="S39">
        <v>66.900000000000006</v>
      </c>
      <c r="T39">
        <v>53</v>
      </c>
      <c r="U39">
        <v>41.3</v>
      </c>
      <c r="V39">
        <v>31.7</v>
      </c>
      <c r="W39">
        <v>24.2</v>
      </c>
      <c r="X39">
        <v>18.100000000000001</v>
      </c>
      <c r="Y39">
        <v>13.100000000000001</v>
      </c>
    </row>
    <row r="41" spans="1:28" x14ac:dyDescent="0.3">
      <c r="E41" s="25" t="s">
        <v>40</v>
      </c>
      <c r="F41" s="26">
        <f>RSQ($D$4:$D$39,F4:F39)</f>
        <v>0.67131123921271907</v>
      </c>
      <c r="G41" s="26">
        <f t="shared" ref="G41:Y41" si="0">RSQ($D$4:$D$39,G4:G39)</f>
        <v>0.69914128354184679</v>
      </c>
      <c r="H41" s="26">
        <f t="shared" si="0"/>
        <v>0.72927278927250438</v>
      </c>
      <c r="I41" s="26">
        <f t="shared" si="0"/>
        <v>0.76230968303237057</v>
      </c>
      <c r="J41" s="26">
        <f t="shared" si="0"/>
        <v>0.79756844389324</v>
      </c>
      <c r="K41" s="26">
        <f t="shared" si="0"/>
        <v>0.82881140219810701</v>
      </c>
      <c r="L41" s="26">
        <f t="shared" si="0"/>
        <v>0.85626502592170639</v>
      </c>
      <c r="M41" s="26">
        <f t="shared" si="0"/>
        <v>0.6467155536106507</v>
      </c>
      <c r="N41" s="26">
        <f t="shared" si="0"/>
        <v>0.62475296661458768</v>
      </c>
      <c r="O41" s="26">
        <f t="shared" si="0"/>
        <v>0.60452359330806404</v>
      </c>
      <c r="P41" s="26">
        <f t="shared" si="0"/>
        <v>0.58720859045542628</v>
      </c>
      <c r="Q41" s="26">
        <f t="shared" si="0"/>
        <v>0.57248251736048383</v>
      </c>
      <c r="R41" s="26">
        <f t="shared" si="0"/>
        <v>0.56059693186119341</v>
      </c>
      <c r="S41" s="26">
        <f t="shared" si="0"/>
        <v>0.87233209659985167</v>
      </c>
      <c r="T41" s="26">
        <f t="shared" si="0"/>
        <v>0.87647842743800586</v>
      </c>
      <c r="U41" s="26">
        <f t="shared" si="0"/>
        <v>0.87040103761885579</v>
      </c>
      <c r="V41" s="26">
        <f t="shared" si="0"/>
        <v>0.85612162274990378</v>
      </c>
      <c r="W41" s="26">
        <f t="shared" si="0"/>
        <v>0.8324860131710563</v>
      </c>
      <c r="X41" s="26">
        <f t="shared" si="0"/>
        <v>0.80067178643298798</v>
      </c>
      <c r="Y41" s="26">
        <f t="shared" si="0"/>
        <v>0.7596977278596464</v>
      </c>
      <c r="AA41" s="11">
        <f>AVERAGE(AA4:AA32)</f>
        <v>162.33333333333334</v>
      </c>
      <c r="AB41" s="11">
        <f>AVERAGE(AB4:AB32)</f>
        <v>404.02666666666664</v>
      </c>
    </row>
    <row r="43" spans="1:28" x14ac:dyDescent="0.3">
      <c r="L43" t="s">
        <v>41</v>
      </c>
      <c r="O43" s="11">
        <f>AVERAGE(D10:D12,D22:D24,D34:D36)</f>
        <v>12.813333333333334</v>
      </c>
    </row>
    <row r="46" spans="1:28" x14ac:dyDescent="0.3">
      <c r="N46" s="27" t="s">
        <v>42</v>
      </c>
    </row>
    <row r="48" spans="1:28" x14ac:dyDescent="0.3">
      <c r="N48" s="9" t="s">
        <v>43</v>
      </c>
      <c r="O48" t="s">
        <v>44</v>
      </c>
      <c r="P48">
        <v>1.452</v>
      </c>
      <c r="Q48" t="s">
        <v>45</v>
      </c>
      <c r="R48" s="28"/>
      <c r="S48" s="28"/>
      <c r="T48" s="28" t="s">
        <v>46</v>
      </c>
    </row>
    <row r="49" spans="16:27" x14ac:dyDescent="0.3">
      <c r="P49" s="19">
        <f>P48*(1/0.00001)*(1/24)*(57-(S52))</f>
        <v>75624.999999999971</v>
      </c>
      <c r="Q49" t="s">
        <v>47</v>
      </c>
      <c r="R49" s="29"/>
    </row>
    <row r="50" spans="16:27" x14ac:dyDescent="0.3">
      <c r="P50" s="19">
        <f>P49*Q51</f>
        <v>60499.999999999978</v>
      </c>
      <c r="Q50" t="s">
        <v>48</v>
      </c>
      <c r="R50" s="29"/>
    </row>
    <row r="51" spans="16:27" x14ac:dyDescent="0.3">
      <c r="Q51" s="30">
        <v>0.8</v>
      </c>
      <c r="Y51">
        <v>24</v>
      </c>
      <c r="Z51" t="s">
        <v>49</v>
      </c>
    </row>
    <row r="52" spans="16:27" x14ac:dyDescent="0.3">
      <c r="Q52" s="9"/>
      <c r="R52" s="9" t="s">
        <v>50</v>
      </c>
      <c r="S52">
        <v>44.5</v>
      </c>
      <c r="Y52" s="5">
        <f>AA41</f>
        <v>162.33333333333334</v>
      </c>
      <c r="Z52" t="s">
        <v>51</v>
      </c>
      <c r="AA52" t="s">
        <v>52</v>
      </c>
    </row>
    <row r="53" spans="16:27" x14ac:dyDescent="0.3">
      <c r="Y53">
        <v>70</v>
      </c>
      <c r="Z53" t="s">
        <v>53</v>
      </c>
    </row>
    <row r="54" spans="16:27" x14ac:dyDescent="0.3">
      <c r="Y54">
        <f>S52</f>
        <v>44.5</v>
      </c>
      <c r="Z54" t="s">
        <v>54</v>
      </c>
    </row>
    <row r="55" spans="16:27" x14ac:dyDescent="0.3">
      <c r="Y55" s="30">
        <f>Q51</f>
        <v>0.8</v>
      </c>
      <c r="Z55" t="s">
        <v>55</v>
      </c>
    </row>
    <row r="56" spans="16:27" x14ac:dyDescent="0.3">
      <c r="Y56">
        <v>1000</v>
      </c>
      <c r="Z56" t="s">
        <v>56</v>
      </c>
    </row>
    <row r="57" spans="16:27" x14ac:dyDescent="0.3">
      <c r="Y57" s="19">
        <f>P50</f>
        <v>60499.999999999978</v>
      </c>
      <c r="Z57" t="s">
        <v>57</v>
      </c>
    </row>
    <row r="59" spans="16:27" x14ac:dyDescent="0.3">
      <c r="Y59" s="5">
        <f>Y51*Y57*Y52/(Y53-Y54)/Y56/Y55</f>
        <v>11554.313725490192</v>
      </c>
      <c r="Z59" t="s">
        <v>58</v>
      </c>
    </row>
    <row r="60" spans="16:27" x14ac:dyDescent="0.3">
      <c r="Y60" s="5">
        <f>Y59/100</f>
        <v>115.54313725490192</v>
      </c>
      <c r="Z60" t="s">
        <v>59</v>
      </c>
      <c r="AA60" t="s">
        <v>62</v>
      </c>
    </row>
    <row r="64" spans="16:27" x14ac:dyDescent="0.3">
      <c r="Y64" s="14"/>
    </row>
  </sheetData>
  <conditionalFormatting sqref="F41:Y41">
    <cfRule type="top10" dxfId="6" priority="1" rank="1"/>
  </conditionalFormatting>
  <dataValidations count="1">
    <dataValidation type="whole" allowBlank="1" showInputMessage="1" showErrorMessage="1" errorTitle="Enter correct date" error="Enter date between min and max_x000a_" sqref="AK7">
      <formula1>AK4</formula1>
      <formula2>AK5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SCG customer database</vt:lpstr>
      <vt:lpstr>Site-1</vt:lpstr>
      <vt:lpstr>Site-2</vt:lpstr>
      <vt:lpstr>Site-3</vt:lpstr>
      <vt:lpstr>Site-4</vt:lpstr>
      <vt:lpstr>Site-5</vt:lpstr>
      <vt:lpstr>Site-6</vt:lpstr>
      <vt:lpstr>Site-7</vt:lpstr>
      <vt:lpstr>Site-8</vt:lpstr>
      <vt:lpstr>Site-9</vt:lpstr>
      <vt:lpstr>Site-10</vt:lpstr>
      <vt:lpstr>Site-11</vt:lpstr>
      <vt:lpstr>Site-12</vt:lpstr>
      <vt:lpstr>Site-13</vt:lpstr>
      <vt:lpstr>Site-14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Loo, Nicole Y</dc:creator>
  <cp:lastModifiedBy>Bashar, Raad</cp:lastModifiedBy>
  <dcterms:created xsi:type="dcterms:W3CDTF">2016-11-23T22:29:24Z</dcterms:created>
  <dcterms:modified xsi:type="dcterms:W3CDTF">2017-06-06T19:20:26Z</dcterms:modified>
</cp:coreProperties>
</file>