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jyoung\Desktop\PoF Res Ozone Laundry Workpaper\Work Paper Drafts\"/>
    </mc:Choice>
  </mc:AlternateContent>
  <xr:revisionPtr revIDLastSave="0" documentId="10_ncr:100000_{0A0BA35A-8770-4FF7-8F16-41B9E9945012}" xr6:coauthVersionLast="31" xr6:coauthVersionMax="31" xr10:uidLastSave="{00000000-0000-0000-0000-000000000000}"/>
  <bookViews>
    <workbookView xWindow="0" yWindow="0" windowWidth="21600" windowHeight="9525" tabRatio="880" xr2:uid="{00000000-000D-0000-FFFF-FFFF00000000}"/>
  </bookViews>
  <sheets>
    <sheet name="Intro" sheetId="21" r:id="rId1"/>
    <sheet name="Adapted Calcs" sheetId="16" r:id="rId2"/>
    <sheet name="Payback Summary" sheetId="20" r:id="rId3"/>
    <sheet name="Payback Periods" sheetId="19" r:id="rId4"/>
    <sheet name="2015 EIA RECS" sheetId="17" r:id="rId5"/>
    <sheet name="Detergent Costs" sheetId="2" r:id="rId6"/>
    <sheet name="All Sites Average" sheetId="8" r:id="rId7"/>
    <sheet name="Short All Sites Average" sheetId="15" r:id="rId8"/>
    <sheet name="Nicor-RO-1_Weekly_Averages" sheetId="1" r:id="rId9"/>
    <sheet name="Nicor-RO-2_Weekly_Averages" sheetId="3" r:id="rId10"/>
    <sheet name="Nicor-RO-3_Weekly_Averages" sheetId="4" r:id="rId11"/>
    <sheet name="Nicor-RO-4_Weekly_Averages" sheetId="5" r:id="rId12"/>
    <sheet name="Nicor-RO-5_Weekly_Averages" sheetId="6" r:id="rId13"/>
    <sheet name="Nicor-RO-6_Weekly_Averages" sheetId="7" r:id="rId14"/>
    <sheet name="Nicor-RO-7_Weekly_Averages" sheetId="9" r:id="rId15"/>
    <sheet name="Nicor-RO-8_Weekly_Averages" sheetId="10" r:id="rId16"/>
    <sheet name="Nicor-RO-9_Weekly_Averages" sheetId="11" r:id="rId17"/>
    <sheet name="Nicor-RO-10_Weekly_Averages" sheetId="12" r:id="rId18"/>
    <sheet name="Nicor-RO-11_Weekly_Averages" sheetId="13" r:id="rId19"/>
    <sheet name="Nicor-RO-12_Weekly_Averages" sheetId="14" r:id="rId20"/>
  </sheets>
  <externalReferences>
    <externalReference r:id="rId21"/>
  </externalReferences>
  <calcPr calcId="179017"/>
</workbook>
</file>

<file path=xl/calcChain.xml><?xml version="1.0" encoding="utf-8"?>
<calcChain xmlns="http://schemas.openxmlformats.org/spreadsheetml/2006/main">
  <c r="B7" i="16" l="1"/>
  <c r="C9" i="16" l="1"/>
  <c r="K32" i="8"/>
  <c r="L32" i="8" s="1"/>
  <c r="K31" i="8"/>
  <c r="K30" i="8"/>
  <c r="K29" i="8"/>
  <c r="L29" i="8" s="1"/>
  <c r="K28" i="8"/>
  <c r="K27" i="8"/>
  <c r="L27" i="8" s="1"/>
  <c r="K26" i="8"/>
  <c r="L26" i="8" s="1"/>
  <c r="K25" i="8"/>
  <c r="L25" i="8" s="1"/>
  <c r="K24" i="8"/>
  <c r="L24" i="8" s="1"/>
  <c r="K23" i="8"/>
  <c r="L23" i="8" s="1"/>
  <c r="K22" i="8"/>
  <c r="L22" i="8" s="1"/>
  <c r="L28" i="8"/>
  <c r="L30" i="8"/>
  <c r="L31" i="8"/>
  <c r="L21" i="8"/>
  <c r="K21" i="8"/>
  <c r="E21" i="8"/>
  <c r="J22" i="8" l="1"/>
  <c r="J23" i="8"/>
  <c r="J24" i="8"/>
  <c r="J25" i="8"/>
  <c r="J26" i="8"/>
  <c r="J27" i="8"/>
  <c r="J28" i="8"/>
  <c r="J29" i="8"/>
  <c r="J30" i="8"/>
  <c r="J31" i="8"/>
  <c r="J32" i="8"/>
  <c r="G22" i="8"/>
  <c r="G23" i="8"/>
  <c r="G24" i="8"/>
  <c r="G25" i="8"/>
  <c r="G26" i="8"/>
  <c r="G27" i="8"/>
  <c r="G28" i="8"/>
  <c r="G29" i="8"/>
  <c r="G30" i="8"/>
  <c r="G31" i="8"/>
  <c r="G32" i="8"/>
  <c r="G21" i="8"/>
  <c r="J21" i="8" s="1"/>
  <c r="F32" i="8"/>
  <c r="F31" i="8"/>
  <c r="F30" i="8"/>
  <c r="F29" i="8"/>
  <c r="F28" i="8"/>
  <c r="F27" i="8"/>
  <c r="F26" i="8"/>
  <c r="F25" i="8"/>
  <c r="F24" i="8"/>
  <c r="F23" i="8"/>
  <c r="F22" i="8"/>
  <c r="E32" i="8"/>
  <c r="E31" i="8"/>
  <c r="E30" i="8"/>
  <c r="E29" i="8"/>
  <c r="E28" i="8"/>
  <c r="E27" i="8"/>
  <c r="E26" i="8"/>
  <c r="E25" i="8"/>
  <c r="E24" i="8"/>
  <c r="E23" i="8"/>
  <c r="E22" i="8"/>
  <c r="F21" i="8"/>
  <c r="C7" i="16"/>
  <c r="O6" i="5"/>
  <c r="N10" i="4"/>
  <c r="N6" i="4"/>
  <c r="O6" i="4"/>
  <c r="O6" i="3"/>
  <c r="O7" i="1"/>
  <c r="O6" i="1"/>
  <c r="N21" i="1"/>
  <c r="M239" i="17" l="1"/>
  <c r="M240" i="17"/>
  <c r="M238" i="17"/>
  <c r="B237" i="17"/>
  <c r="L239" i="17"/>
  <c r="L240" i="17"/>
  <c r="L238" i="17"/>
  <c r="K237" i="17"/>
  <c r="N6" i="3"/>
  <c r="N6" i="1"/>
  <c r="N9" i="1"/>
  <c r="N10" i="1"/>
  <c r="L13" i="16"/>
  <c r="L15" i="16" s="1"/>
  <c r="L224" i="17" l="1"/>
  <c r="L225" i="17"/>
  <c r="L226" i="17"/>
  <c r="L227" i="17"/>
  <c r="L228" i="17"/>
  <c r="L223" i="17"/>
  <c r="B222" i="17"/>
  <c r="L255" i="17"/>
  <c r="L256" i="17"/>
  <c r="L257" i="17"/>
  <c r="L258" i="17"/>
  <c r="L259" i="17"/>
  <c r="L254" i="17"/>
  <c r="B253" i="17"/>
  <c r="N219" i="17" l="1"/>
  <c r="N220" i="17"/>
  <c r="M220" i="17"/>
  <c r="M219" i="17"/>
  <c r="L14" i="16" l="1"/>
  <c r="L12" i="16" l="1"/>
  <c r="L11" i="16"/>
  <c r="M11" i="16" s="1"/>
  <c r="M14" i="16"/>
  <c r="B28" i="16"/>
  <c r="B31" i="16"/>
  <c r="B20" i="16"/>
  <c r="B9" i="16"/>
  <c r="N18" i="1"/>
  <c r="M13" i="16" l="1"/>
  <c r="M15" i="16" s="1"/>
  <c r="M12" i="16"/>
  <c r="C14" i="15"/>
  <c r="B14" i="15"/>
  <c r="A14" i="15"/>
  <c r="C13" i="15"/>
  <c r="B13" i="15"/>
  <c r="A13" i="15"/>
  <c r="C12" i="15"/>
  <c r="B12" i="15"/>
  <c r="A12" i="15"/>
  <c r="C11" i="15"/>
  <c r="B11" i="15"/>
  <c r="A11" i="15"/>
  <c r="C10" i="15"/>
  <c r="B10" i="15"/>
  <c r="A10" i="15"/>
  <c r="C9" i="15"/>
  <c r="B9" i="15"/>
  <c r="A9" i="15"/>
  <c r="C8" i="15"/>
  <c r="B8" i="15"/>
  <c r="A8" i="15"/>
  <c r="C7" i="15"/>
  <c r="B7" i="15"/>
  <c r="A7" i="15"/>
  <c r="C6" i="15"/>
  <c r="B6" i="15"/>
  <c r="A6" i="15"/>
  <c r="C5" i="15"/>
  <c r="B5" i="15"/>
  <c r="A5" i="15"/>
  <c r="C4" i="15"/>
  <c r="B4" i="15"/>
  <c r="A4" i="15"/>
  <c r="C3" i="15"/>
  <c r="B3" i="15"/>
  <c r="A3" i="15"/>
  <c r="G3" i="8" l="1"/>
  <c r="F3" i="8"/>
  <c r="C3" i="8" l="1"/>
  <c r="D3" i="8"/>
  <c r="E3" i="8"/>
  <c r="C4" i="8"/>
  <c r="D4" i="8"/>
  <c r="E4" i="8"/>
  <c r="F4" i="8"/>
  <c r="G4" i="8"/>
  <c r="C5" i="8"/>
  <c r="D5" i="8"/>
  <c r="E5" i="8"/>
  <c r="F5" i="8"/>
  <c r="G5" i="8"/>
  <c r="C6" i="8"/>
  <c r="D6" i="8"/>
  <c r="E6" i="8"/>
  <c r="F6" i="8"/>
  <c r="G6" i="8"/>
  <c r="C7" i="8"/>
  <c r="D7" i="8"/>
  <c r="E7" i="8"/>
  <c r="F7" i="8"/>
  <c r="G7" i="8"/>
  <c r="C8" i="8"/>
  <c r="D8" i="8"/>
  <c r="E8" i="8"/>
  <c r="F8" i="8"/>
  <c r="G8" i="8"/>
  <c r="C9" i="8"/>
  <c r="D9" i="8"/>
  <c r="E9" i="8"/>
  <c r="F9" i="8"/>
  <c r="G9" i="8"/>
  <c r="C10" i="8"/>
  <c r="D10" i="8"/>
  <c r="E10" i="8"/>
  <c r="F10" i="8"/>
  <c r="G10" i="8"/>
  <c r="C11" i="8"/>
  <c r="D11" i="8"/>
  <c r="E11" i="8"/>
  <c r="F11" i="8"/>
  <c r="G11" i="8"/>
  <c r="C12" i="8"/>
  <c r="D12" i="8"/>
  <c r="E12" i="8"/>
  <c r="F12" i="8"/>
  <c r="G12" i="8"/>
  <c r="C13" i="8"/>
  <c r="D13" i="8"/>
  <c r="E13" i="8"/>
  <c r="F13" i="8"/>
  <c r="G13" i="8"/>
  <c r="B3" i="8"/>
  <c r="B4" i="8"/>
  <c r="B5" i="8"/>
  <c r="B6" i="8"/>
  <c r="B7" i="8"/>
  <c r="B8" i="8"/>
  <c r="B9" i="8"/>
  <c r="B10" i="8"/>
  <c r="B11" i="8"/>
  <c r="B12" i="8"/>
  <c r="B13" i="8"/>
  <c r="B14" i="8"/>
  <c r="C14" i="8"/>
  <c r="D14" i="8"/>
  <c r="E14" i="8"/>
  <c r="F14" i="8"/>
  <c r="G14" i="8"/>
  <c r="A14" i="8"/>
  <c r="A13" i="8"/>
  <c r="A12" i="8"/>
  <c r="A11" i="8"/>
  <c r="A10" i="8"/>
  <c r="A9" i="8"/>
  <c r="A8" i="8"/>
  <c r="A7" i="8"/>
  <c r="A6" i="8"/>
  <c r="A5" i="8"/>
  <c r="A4" i="8"/>
  <c r="A3" i="8"/>
  <c r="N6" i="14" l="1"/>
  <c r="O10" i="14"/>
  <c r="O8" i="14"/>
  <c r="O9" i="14"/>
  <c r="O11" i="14" s="1"/>
  <c r="O7" i="14"/>
  <c r="N10" i="14"/>
  <c r="N9" i="14"/>
  <c r="N11" i="14" s="1"/>
  <c r="N7" i="14"/>
  <c r="N18" i="13" l="1"/>
  <c r="O10" i="13"/>
  <c r="O11" i="13" s="1"/>
  <c r="O9" i="13"/>
  <c r="O8" i="13"/>
  <c r="O7" i="13"/>
  <c r="O6" i="13"/>
  <c r="N10" i="13"/>
  <c r="N9" i="13"/>
  <c r="N7" i="13"/>
  <c r="N6" i="13"/>
  <c r="N18" i="12"/>
  <c r="O11" i="12"/>
  <c r="O10" i="12"/>
  <c r="O12" i="12" s="1"/>
  <c r="O9" i="12"/>
  <c r="O8" i="12"/>
  <c r="O7" i="12"/>
  <c r="O6" i="12"/>
  <c r="N10" i="12"/>
  <c r="N9" i="12"/>
  <c r="N11" i="12" s="1"/>
  <c r="N7" i="12"/>
  <c r="N6" i="12"/>
  <c r="N18" i="10"/>
  <c r="N18" i="11"/>
  <c r="O10" i="11"/>
  <c r="O9" i="11"/>
  <c r="O8" i="11"/>
  <c r="O7" i="11"/>
  <c r="O6" i="11"/>
  <c r="N10" i="11"/>
  <c r="N9" i="11"/>
  <c r="N11" i="11" s="1"/>
  <c r="N12" i="11" s="1"/>
  <c r="N7" i="11"/>
  <c r="N6" i="11"/>
  <c r="O10" i="10"/>
  <c r="O8" i="10"/>
  <c r="O7" i="10"/>
  <c r="O6" i="10"/>
  <c r="N10" i="10"/>
  <c r="N9" i="10"/>
  <c r="N7" i="10"/>
  <c r="N6" i="10"/>
  <c r="K31" i="10"/>
  <c r="K13" i="10"/>
  <c r="K14" i="10"/>
  <c r="K15" i="10"/>
  <c r="K19" i="10"/>
  <c r="N6" i="7" l="1"/>
  <c r="N7" i="7"/>
  <c r="K8" i="7"/>
  <c r="O8" i="7"/>
  <c r="K9" i="7"/>
  <c r="N9" i="7"/>
  <c r="O9" i="7"/>
  <c r="K10" i="7"/>
  <c r="N10" i="7"/>
  <c r="O10" i="7"/>
  <c r="K11" i="7"/>
  <c r="K12" i="7"/>
  <c r="K13" i="7"/>
  <c r="K14" i="7"/>
  <c r="K15" i="7"/>
  <c r="K16" i="7"/>
  <c r="K17" i="7"/>
  <c r="O10" i="6"/>
  <c r="O9" i="6"/>
  <c r="O11" i="6" s="1"/>
  <c r="O8" i="6"/>
  <c r="N18" i="6"/>
  <c r="N7" i="6"/>
  <c r="N18" i="4"/>
  <c r="N7" i="4"/>
  <c r="N18" i="3"/>
  <c r="O8" i="3"/>
  <c r="N7" i="3"/>
  <c r="O10" i="5"/>
  <c r="O9" i="5"/>
  <c r="O7" i="5"/>
  <c r="O8" i="5"/>
  <c r="N6" i="5"/>
  <c r="O10" i="4"/>
  <c r="O9" i="4"/>
  <c r="N11" i="7" l="1"/>
  <c r="N12" i="7" s="1"/>
  <c r="O11" i="7"/>
  <c r="O12" i="7" s="1"/>
  <c r="O11" i="4"/>
  <c r="O12" i="4" s="1"/>
  <c r="K25" i="14" l="1"/>
  <c r="K24" i="14"/>
  <c r="K23" i="14"/>
  <c r="K22" i="14"/>
  <c r="K21" i="14"/>
  <c r="K20" i="14"/>
  <c r="K19" i="14"/>
  <c r="N18" i="14"/>
  <c r="K18" i="14"/>
  <c r="K17" i="14"/>
  <c r="K16" i="14"/>
  <c r="K15" i="14"/>
  <c r="K14" i="14"/>
  <c r="K13" i="14"/>
  <c r="K12" i="14"/>
  <c r="K11" i="14"/>
  <c r="K10" i="14"/>
  <c r="K9" i="14"/>
  <c r="K8" i="14"/>
  <c r="O6" i="14"/>
  <c r="N13" i="14" l="1"/>
  <c r="N12" i="14"/>
  <c r="O12" i="14"/>
  <c r="O13" i="14"/>
  <c r="K17" i="13"/>
  <c r="K16" i="13"/>
  <c r="K15" i="13"/>
  <c r="K14" i="13"/>
  <c r="K13" i="13"/>
  <c r="K12" i="13"/>
  <c r="K11" i="13"/>
  <c r="K10" i="13"/>
  <c r="N11" i="13"/>
  <c r="K9" i="13"/>
  <c r="K8" i="13"/>
  <c r="K31" i="12"/>
  <c r="K32" i="12"/>
  <c r="K33" i="12"/>
  <c r="K34" i="12"/>
  <c r="K35" i="12"/>
  <c r="K36" i="12"/>
  <c r="K37" i="12"/>
  <c r="K38" i="12"/>
  <c r="K39" i="12"/>
  <c r="K40" i="12"/>
  <c r="K41" i="12"/>
  <c r="K42" i="12"/>
  <c r="K43" i="12"/>
  <c r="K44" i="12"/>
  <c r="K45" i="12"/>
  <c r="K46" i="12"/>
  <c r="K47" i="12"/>
  <c r="K48" i="12"/>
  <c r="K49" i="12"/>
  <c r="K50" i="12"/>
  <c r="K51" i="12"/>
  <c r="K52" i="12"/>
  <c r="K53" i="12"/>
  <c r="K30" i="12"/>
  <c r="K29" i="12"/>
  <c r="K28" i="12"/>
  <c r="K27" i="12"/>
  <c r="K26" i="12"/>
  <c r="K25" i="12"/>
  <c r="K24" i="12"/>
  <c r="K23" i="12"/>
  <c r="K22" i="12"/>
  <c r="K21" i="12"/>
  <c r="K20" i="12"/>
  <c r="K19" i="12"/>
  <c r="K18" i="12"/>
  <c r="K17" i="12"/>
  <c r="K16" i="12"/>
  <c r="K15" i="12"/>
  <c r="K14" i="12"/>
  <c r="K13" i="12"/>
  <c r="K12" i="12"/>
  <c r="K11" i="12"/>
  <c r="K10" i="12"/>
  <c r="N13" i="12" s="1"/>
  <c r="K9" i="12"/>
  <c r="K8" i="12"/>
  <c r="K30" i="11"/>
  <c r="K29" i="11"/>
  <c r="K28" i="11"/>
  <c r="K27" i="11"/>
  <c r="K26" i="11"/>
  <c r="K25" i="11"/>
  <c r="K24" i="11"/>
  <c r="K23" i="11"/>
  <c r="K22" i="11"/>
  <c r="K21" i="11"/>
  <c r="K20" i="11"/>
  <c r="K19" i="11"/>
  <c r="K18" i="11"/>
  <c r="K17" i="11"/>
  <c r="K16" i="11"/>
  <c r="K15" i="11"/>
  <c r="K14" i="11"/>
  <c r="K13" i="11"/>
  <c r="K12" i="11"/>
  <c r="K11" i="11"/>
  <c r="K10" i="11"/>
  <c r="K9" i="11"/>
  <c r="K8" i="11"/>
  <c r="D12" i="15" l="1"/>
  <c r="H12" i="8"/>
  <c r="N13" i="13"/>
  <c r="O13" i="13"/>
  <c r="O13" i="11"/>
  <c r="N13" i="11"/>
  <c r="O13" i="12"/>
  <c r="D14" i="15"/>
  <c r="H14" i="8"/>
  <c r="N28" i="14"/>
  <c r="N21" i="14"/>
  <c r="N20" i="14"/>
  <c r="N24" i="14"/>
  <c r="N25" i="14" s="1"/>
  <c r="N24" i="13"/>
  <c r="N25" i="13" s="1"/>
  <c r="O12" i="13"/>
  <c r="N28" i="13"/>
  <c r="N12" i="13"/>
  <c r="N28" i="12"/>
  <c r="N24" i="12"/>
  <c r="N25" i="12" s="1"/>
  <c r="N12" i="12"/>
  <c r="O11" i="11"/>
  <c r="O12" i="11" s="1"/>
  <c r="N28" i="11"/>
  <c r="K30" i="10"/>
  <c r="K29" i="10"/>
  <c r="K28" i="10"/>
  <c r="K27" i="10"/>
  <c r="K26" i="10"/>
  <c r="K25" i="10"/>
  <c r="K24" i="10"/>
  <c r="K23" i="10"/>
  <c r="K22" i="10"/>
  <c r="K21" i="10"/>
  <c r="K20" i="10"/>
  <c r="K18" i="10"/>
  <c r="K17" i="10"/>
  <c r="K16" i="10"/>
  <c r="K12" i="10"/>
  <c r="K11" i="10"/>
  <c r="K10" i="10"/>
  <c r="O9" i="10"/>
  <c r="O11" i="10" s="1"/>
  <c r="K9" i="10"/>
  <c r="K8" i="10"/>
  <c r="N9" i="9"/>
  <c r="O10" i="9"/>
  <c r="O9" i="9"/>
  <c r="O8" i="9"/>
  <c r="O7" i="9"/>
  <c r="O7" i="3"/>
  <c r="O7" i="4"/>
  <c r="O7" i="6"/>
  <c r="N18" i="7"/>
  <c r="O7" i="7"/>
  <c r="N7" i="9"/>
  <c r="O6" i="9"/>
  <c r="N6" i="9"/>
  <c r="N10" i="9"/>
  <c r="N11" i="9" s="1"/>
  <c r="K32" i="9"/>
  <c r="K33" i="9"/>
  <c r="K34" i="9"/>
  <c r="K35" i="9"/>
  <c r="K36" i="9"/>
  <c r="K37" i="9"/>
  <c r="K38" i="9"/>
  <c r="K39" i="9"/>
  <c r="K40" i="9"/>
  <c r="K41" i="9"/>
  <c r="K42" i="9"/>
  <c r="K43" i="9"/>
  <c r="K44" i="9"/>
  <c r="K45" i="9"/>
  <c r="K46" i="9"/>
  <c r="K47" i="9"/>
  <c r="K48" i="9"/>
  <c r="K49" i="9"/>
  <c r="K50" i="9"/>
  <c r="K51" i="9"/>
  <c r="K52" i="9"/>
  <c r="K53" i="9"/>
  <c r="K54" i="9"/>
  <c r="K31" i="9"/>
  <c r="K30" i="9"/>
  <c r="K29" i="9"/>
  <c r="K28" i="9"/>
  <c r="K27" i="9"/>
  <c r="K26" i="9"/>
  <c r="K25" i="9"/>
  <c r="K24" i="9"/>
  <c r="K23" i="9"/>
  <c r="K22" i="9"/>
  <c r="K21" i="9"/>
  <c r="K20" i="9"/>
  <c r="K19" i="9"/>
  <c r="N18" i="9"/>
  <c r="K18" i="9"/>
  <c r="K17" i="9"/>
  <c r="K16" i="9"/>
  <c r="K15" i="9"/>
  <c r="K14" i="9"/>
  <c r="K13" i="9"/>
  <c r="K12" i="9"/>
  <c r="O13" i="9" s="1"/>
  <c r="K11" i="9"/>
  <c r="K10" i="9"/>
  <c r="O11" i="9"/>
  <c r="O12" i="9" s="1"/>
  <c r="K9" i="9"/>
  <c r="N13" i="9" s="1"/>
  <c r="K8" i="9"/>
  <c r="N18" i="5"/>
  <c r="B19" i="16" s="1"/>
  <c r="O6" i="7"/>
  <c r="K22" i="7"/>
  <c r="K21" i="7"/>
  <c r="K20" i="7"/>
  <c r="K19" i="7"/>
  <c r="K18" i="7"/>
  <c r="O6" i="6"/>
  <c r="K16" i="6"/>
  <c r="K17" i="6"/>
  <c r="K18" i="6"/>
  <c r="K19" i="6"/>
  <c r="K20" i="6"/>
  <c r="K21" i="6"/>
  <c r="K22" i="6"/>
  <c r="K23" i="6"/>
  <c r="K24" i="6"/>
  <c r="K25" i="6"/>
  <c r="K26" i="6"/>
  <c r="K27" i="6"/>
  <c r="K28" i="6"/>
  <c r="K29" i="6"/>
  <c r="K30" i="6"/>
  <c r="K31" i="6"/>
  <c r="K15" i="6"/>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41" i="5"/>
  <c r="K9" i="6"/>
  <c r="K10" i="6"/>
  <c r="K11" i="6"/>
  <c r="K12" i="6"/>
  <c r="K13" i="6"/>
  <c r="K14" i="6"/>
  <c r="N10" i="6"/>
  <c r="N9" i="6"/>
  <c r="N11" i="6" s="1"/>
  <c r="N6" i="6"/>
  <c r="K8" i="6"/>
  <c r="O13" i="6" s="1"/>
  <c r="N10" i="5"/>
  <c r="N9" i="5"/>
  <c r="N7" i="5"/>
  <c r="K11" i="5"/>
  <c r="K10" i="5"/>
  <c r="K9" i="5"/>
  <c r="K8" i="5"/>
  <c r="D9" i="15" l="1"/>
  <c r="H9" i="8"/>
  <c r="H13" i="15"/>
  <c r="L13" i="8"/>
  <c r="C8" i="16"/>
  <c r="I12" i="15"/>
  <c r="M12" i="8"/>
  <c r="D13" i="15"/>
  <c r="H13" i="8"/>
  <c r="H11" i="15"/>
  <c r="L11" i="8"/>
  <c r="H12" i="15"/>
  <c r="L12" i="8"/>
  <c r="I13" i="15"/>
  <c r="M13" i="8"/>
  <c r="H14" i="15"/>
  <c r="L14" i="8"/>
  <c r="D11" i="15"/>
  <c r="H11" i="8"/>
  <c r="O13" i="5"/>
  <c r="N13" i="5"/>
  <c r="N20" i="13"/>
  <c r="I14" i="15"/>
  <c r="M14" i="8"/>
  <c r="N22" i="14"/>
  <c r="F14" i="15"/>
  <c r="J14" i="8"/>
  <c r="N23" i="14"/>
  <c r="E14" i="15"/>
  <c r="I14" i="8"/>
  <c r="N31" i="14"/>
  <c r="N21" i="12"/>
  <c r="N20" i="12"/>
  <c r="N13" i="7"/>
  <c r="O13" i="7"/>
  <c r="N21" i="13"/>
  <c r="N20" i="11"/>
  <c r="N24" i="11"/>
  <c r="N25" i="11" s="1"/>
  <c r="N21" i="11"/>
  <c r="O12" i="10"/>
  <c r="N11" i="10"/>
  <c r="N12" i="10" s="1"/>
  <c r="N13" i="10"/>
  <c r="O13" i="10"/>
  <c r="N12" i="9"/>
  <c r="N20" i="9" s="1"/>
  <c r="N28" i="9"/>
  <c r="N24" i="9"/>
  <c r="N25" i="9" s="1"/>
  <c r="N21" i="9"/>
  <c r="N13" i="6"/>
  <c r="N12" i="6"/>
  <c r="O12" i="6"/>
  <c r="N23" i="9" l="1"/>
  <c r="E9" i="15"/>
  <c r="I9" i="8"/>
  <c r="I9" i="15"/>
  <c r="M9" i="8"/>
  <c r="H9" i="15"/>
  <c r="L9" i="8"/>
  <c r="N22" i="11"/>
  <c r="F11" i="15"/>
  <c r="J11" i="8"/>
  <c r="N24" i="7"/>
  <c r="N25" i="7" s="1"/>
  <c r="D8" i="15"/>
  <c r="D7" i="15"/>
  <c r="H7" i="8"/>
  <c r="N28" i="6"/>
  <c r="N22" i="9"/>
  <c r="F9" i="15"/>
  <c r="J9" i="8"/>
  <c r="N23" i="13"/>
  <c r="E13" i="15"/>
  <c r="I13" i="8"/>
  <c r="N22" i="12"/>
  <c r="F12" i="15"/>
  <c r="J12" i="8"/>
  <c r="N22" i="13"/>
  <c r="F13" i="15"/>
  <c r="J13" i="8"/>
  <c r="N23" i="11"/>
  <c r="E11" i="15"/>
  <c r="I11" i="8"/>
  <c r="N23" i="12"/>
  <c r="E12" i="15"/>
  <c r="I12" i="8"/>
  <c r="D6" i="15"/>
  <c r="H6" i="8"/>
  <c r="N24" i="6"/>
  <c r="N25" i="6" s="1"/>
  <c r="N28" i="10"/>
  <c r="D10" i="15"/>
  <c r="H10" i="8"/>
  <c r="I11" i="15"/>
  <c r="M11" i="8"/>
  <c r="J14" i="15"/>
  <c r="N14" i="8"/>
  <c r="G14" i="15"/>
  <c r="K14" i="8"/>
  <c r="N21" i="7"/>
  <c r="E8" i="15" s="1"/>
  <c r="N28" i="7"/>
  <c r="H8" i="8"/>
  <c r="N31" i="11"/>
  <c r="N21" i="10"/>
  <c r="N20" i="10"/>
  <c r="N24" i="10"/>
  <c r="N25" i="10" s="1"/>
  <c r="N20" i="7"/>
  <c r="F8" i="15" s="1"/>
  <c r="N31" i="9"/>
  <c r="N20" i="6"/>
  <c r="N21" i="6"/>
  <c r="N11" i="5"/>
  <c r="M8" i="16"/>
  <c r="O8" i="4"/>
  <c r="N9" i="4"/>
  <c r="N11" i="4" s="1"/>
  <c r="N12" i="4" s="1"/>
  <c r="N9" i="3"/>
  <c r="O10" i="3"/>
  <c r="O9" i="3"/>
  <c r="N10" i="3"/>
  <c r="N11" i="3" s="1"/>
  <c r="B10" i="16"/>
  <c r="O10" i="1"/>
  <c r="C11" i="16" s="1"/>
  <c r="O9" i="1"/>
  <c r="C10" i="16" s="1"/>
  <c r="O8" i="1"/>
  <c r="M10" i="16" s="1"/>
  <c r="L29" i="16" s="1"/>
  <c r="N7" i="1"/>
  <c r="B8" i="16" s="1"/>
  <c r="L7" i="16" s="1"/>
  <c r="K11" i="4"/>
  <c r="K12" i="4"/>
  <c r="K13" i="4"/>
  <c r="K14" i="4"/>
  <c r="K15" i="4"/>
  <c r="K16" i="4"/>
  <c r="K17" i="4"/>
  <c r="K18" i="4"/>
  <c r="K19" i="4"/>
  <c r="K20" i="4"/>
  <c r="K21" i="4"/>
  <c r="K22" i="4"/>
  <c r="K23" i="4"/>
  <c r="K24" i="4"/>
  <c r="K25" i="4"/>
  <c r="K26" i="4"/>
  <c r="K27" i="4"/>
  <c r="K18" i="3"/>
  <c r="L24" i="16" l="1"/>
  <c r="N23" i="6"/>
  <c r="E7" i="15"/>
  <c r="I7" i="8"/>
  <c r="I10" i="15"/>
  <c r="M10" i="8"/>
  <c r="I7" i="15"/>
  <c r="M7" i="8"/>
  <c r="G13" i="15"/>
  <c r="K13" i="8"/>
  <c r="N31" i="13"/>
  <c r="N31" i="12"/>
  <c r="G12" i="15"/>
  <c r="K12" i="8"/>
  <c r="G11" i="15"/>
  <c r="K11" i="8"/>
  <c r="B11" i="16"/>
  <c r="L147" i="16"/>
  <c r="M7" i="16"/>
  <c r="O7" i="16" s="1"/>
  <c r="N22" i="6"/>
  <c r="F7" i="15"/>
  <c r="J7" i="8"/>
  <c r="N22" i="10"/>
  <c r="F10" i="15"/>
  <c r="J10" i="8"/>
  <c r="L8" i="8"/>
  <c r="H8" i="15"/>
  <c r="M8" i="8"/>
  <c r="I8" i="15"/>
  <c r="L59" i="16"/>
  <c r="L60" i="16" s="1"/>
  <c r="L134" i="16"/>
  <c r="L135" i="16" s="1"/>
  <c r="L89" i="16"/>
  <c r="L90" i="16" s="1"/>
  <c r="L74" i="16"/>
  <c r="L75" i="16" s="1"/>
  <c r="L119" i="16"/>
  <c r="L120" i="16" s="1"/>
  <c r="L154" i="16"/>
  <c r="L155" i="16" s="1"/>
  <c r="L44" i="16"/>
  <c r="L104" i="16"/>
  <c r="L105" i="16" s="1"/>
  <c r="J9" i="15"/>
  <c r="N9" i="8"/>
  <c r="N23" i="10"/>
  <c r="E10" i="15"/>
  <c r="I10" i="8"/>
  <c r="G9" i="15"/>
  <c r="K9" i="8"/>
  <c r="J11" i="15"/>
  <c r="N11" i="8"/>
  <c r="L148" i="16"/>
  <c r="H10" i="15"/>
  <c r="L10" i="8"/>
  <c r="H7" i="15"/>
  <c r="L7" i="8"/>
  <c r="N22" i="7"/>
  <c r="G8" i="15" s="1"/>
  <c r="J8" i="8"/>
  <c r="N23" i="7"/>
  <c r="I8" i="8"/>
  <c r="O11" i="5"/>
  <c r="O12" i="5" s="1"/>
  <c r="N12" i="5"/>
  <c r="N11" i="1"/>
  <c r="O11" i="3"/>
  <c r="O12" i="3" s="1"/>
  <c r="N12" i="3"/>
  <c r="O11" i="1"/>
  <c r="K10" i="4"/>
  <c r="K9" i="4"/>
  <c r="K8" i="4"/>
  <c r="K7" i="4"/>
  <c r="L8" i="16" l="1"/>
  <c r="G10" i="15"/>
  <c r="K10" i="8"/>
  <c r="L144" i="16"/>
  <c r="L25" i="16"/>
  <c r="O13" i="4"/>
  <c r="C12" i="16"/>
  <c r="O12" i="1"/>
  <c r="C13" i="16" s="1"/>
  <c r="L30" i="16"/>
  <c r="L45" i="16"/>
  <c r="J12" i="15"/>
  <c r="N12" i="8"/>
  <c r="J13" i="15"/>
  <c r="N13" i="8"/>
  <c r="N31" i="10"/>
  <c r="L145" i="16"/>
  <c r="N12" i="1"/>
  <c r="B12" i="16"/>
  <c r="N31" i="6"/>
  <c r="G7" i="15"/>
  <c r="K7" i="8"/>
  <c r="N31" i="7"/>
  <c r="K8" i="8"/>
  <c r="N13" i="4"/>
  <c r="K31" i="3"/>
  <c r="K30" i="3"/>
  <c r="K29" i="3"/>
  <c r="K28" i="3"/>
  <c r="K27" i="3"/>
  <c r="K26" i="3"/>
  <c r="K25" i="3"/>
  <c r="K24" i="3"/>
  <c r="K23" i="3"/>
  <c r="K22" i="3"/>
  <c r="K21" i="3"/>
  <c r="K20" i="3"/>
  <c r="K19" i="3"/>
  <c r="K17" i="3"/>
  <c r="K16" i="3"/>
  <c r="K15" i="3"/>
  <c r="K14" i="3"/>
  <c r="K13" i="3"/>
  <c r="K12" i="3"/>
  <c r="K11" i="3"/>
  <c r="K10" i="3"/>
  <c r="K9" i="3"/>
  <c r="K8" i="3"/>
  <c r="K7" i="3"/>
  <c r="B13" i="16" l="1"/>
  <c r="N20" i="1"/>
  <c r="N20" i="4"/>
  <c r="N22" i="4" s="1"/>
  <c r="D5" i="15"/>
  <c r="H5" i="8"/>
  <c r="L54" i="16"/>
  <c r="L129" i="16"/>
  <c r="L130" i="16" s="1"/>
  <c r="L84" i="16"/>
  <c r="L114" i="16"/>
  <c r="L69" i="16"/>
  <c r="L39" i="16"/>
  <c r="L40" i="16" s="1"/>
  <c r="L99" i="16"/>
  <c r="L149" i="16"/>
  <c r="L151" i="16" s="1"/>
  <c r="L150" i="16"/>
  <c r="N8" i="8"/>
  <c r="J8" i="15"/>
  <c r="J7" i="15"/>
  <c r="N7" i="8"/>
  <c r="J10" i="15"/>
  <c r="N10" i="8"/>
  <c r="N21" i="4"/>
  <c r="N23" i="4" s="1"/>
  <c r="N13" i="3"/>
  <c r="O13" i="3"/>
  <c r="N28" i="4"/>
  <c r="N24" i="4"/>
  <c r="N25" i="4" s="1"/>
  <c r="N28" i="5"/>
  <c r="N24" i="5"/>
  <c r="N25" i="5" s="1"/>
  <c r="N20" i="5"/>
  <c r="N21" i="5"/>
  <c r="D3" i="2"/>
  <c r="D4" i="2"/>
  <c r="D5" i="2"/>
  <c r="D6" i="2"/>
  <c r="D7" i="2"/>
  <c r="D2" i="2"/>
  <c r="D9" i="2" s="1"/>
  <c r="L157" i="16" l="1"/>
  <c r="L137" i="16"/>
  <c r="L77" i="16"/>
  <c r="L122" i="16"/>
  <c r="L107" i="16"/>
  <c r="L47" i="16"/>
  <c r="L92" i="16"/>
  <c r="L32" i="16"/>
  <c r="L62" i="16"/>
  <c r="H6" i="15"/>
  <c r="L6" i="8"/>
  <c r="H5" i="15"/>
  <c r="L5" i="8"/>
  <c r="L101" i="16"/>
  <c r="L103" i="16" s="1"/>
  <c r="L100" i="16"/>
  <c r="L116" i="16"/>
  <c r="L118" i="16" s="1"/>
  <c r="L115" i="16"/>
  <c r="L131" i="16"/>
  <c r="L133" i="16" s="1"/>
  <c r="N23" i="5"/>
  <c r="E6" i="15"/>
  <c r="I6" i="8"/>
  <c r="L85" i="16"/>
  <c r="L86" i="16"/>
  <c r="L88" i="16" s="1"/>
  <c r="I5" i="15"/>
  <c r="M5" i="8"/>
  <c r="D4" i="15"/>
  <c r="H4" i="8"/>
  <c r="L41" i="16"/>
  <c r="L26" i="16"/>
  <c r="M26" i="16" s="1"/>
  <c r="N22" i="5"/>
  <c r="F6" i="15"/>
  <c r="J6" i="8"/>
  <c r="I6" i="15"/>
  <c r="M6" i="8"/>
  <c r="G5" i="15"/>
  <c r="K5" i="8"/>
  <c r="E5" i="15"/>
  <c r="I5" i="8"/>
  <c r="L152" i="16"/>
  <c r="L153" i="16"/>
  <c r="L71" i="16"/>
  <c r="L73" i="16" s="1"/>
  <c r="L70" i="16"/>
  <c r="L55" i="16"/>
  <c r="L56" i="16"/>
  <c r="L58" i="16" s="1"/>
  <c r="F5" i="15"/>
  <c r="J5" i="8"/>
  <c r="N28" i="3"/>
  <c r="N20" i="3"/>
  <c r="B21" i="16" s="1"/>
  <c r="N24" i="3"/>
  <c r="N25" i="3" s="1"/>
  <c r="N21" i="3"/>
  <c r="N31" i="4"/>
  <c r="N31" i="5"/>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7" i="1"/>
  <c r="J5" i="15" l="1"/>
  <c r="N5" i="8"/>
  <c r="H4" i="15"/>
  <c r="L4" i="8"/>
  <c r="L132" i="16"/>
  <c r="L27" i="16"/>
  <c r="L102" i="16"/>
  <c r="L87" i="16"/>
  <c r="L57" i="16"/>
  <c r="L42" i="16"/>
  <c r="L117" i="16"/>
  <c r="L72" i="16"/>
  <c r="L63" i="16"/>
  <c r="L138" i="16"/>
  <c r="L141" i="16" s="1"/>
  <c r="L93" i="16"/>
  <c r="L96" i="16" s="1"/>
  <c r="L78" i="16"/>
  <c r="L81" i="16" s="1"/>
  <c r="L123" i="16"/>
  <c r="L126" i="16" s="1"/>
  <c r="L108" i="16"/>
  <c r="L111" i="16" s="1"/>
  <c r="L48" i="16"/>
  <c r="L158" i="16"/>
  <c r="L33" i="16"/>
  <c r="O13" i="1"/>
  <c r="C14" i="16" s="1"/>
  <c r="N13" i="1"/>
  <c r="N23" i="3"/>
  <c r="E4" i="15"/>
  <c r="I4" i="8"/>
  <c r="G6" i="15"/>
  <c r="K6" i="8"/>
  <c r="I4" i="15"/>
  <c r="M4" i="8"/>
  <c r="L28" i="16"/>
  <c r="L43" i="16"/>
  <c r="J6" i="15"/>
  <c r="N6" i="8"/>
  <c r="N22" i="3"/>
  <c r="F4" i="15"/>
  <c r="J4" i="8"/>
  <c r="L66" i="16"/>
  <c r="B14" i="16" l="1"/>
  <c r="D3" i="15"/>
  <c r="D16" i="15" s="1"/>
  <c r="H3" i="8"/>
  <c r="H16" i="8" s="1"/>
  <c r="N24" i="1"/>
  <c r="N28" i="1"/>
  <c r="N31" i="3"/>
  <c r="G4" i="15"/>
  <c r="K4" i="8"/>
  <c r="L161" i="16"/>
  <c r="L51" i="16"/>
  <c r="L36" i="16"/>
  <c r="F3" i="15" l="1"/>
  <c r="F16" i="15" s="1"/>
  <c r="J3" i="8"/>
  <c r="J16" i="8" s="1"/>
  <c r="N22" i="1"/>
  <c r="B29" i="16"/>
  <c r="H3" i="15"/>
  <c r="H16" i="15" s="1"/>
  <c r="L3" i="8"/>
  <c r="L16" i="8" s="1"/>
  <c r="N23" i="1"/>
  <c r="B24" i="16" s="1"/>
  <c r="B22" i="16"/>
  <c r="E3" i="15"/>
  <c r="E16" i="15" s="1"/>
  <c r="I3" i="8"/>
  <c r="I16" i="8" s="1"/>
  <c r="J4" i="15"/>
  <c r="N4" i="8"/>
  <c r="N25" i="1"/>
  <c r="B25" i="16"/>
  <c r="B23" i="16" l="1"/>
  <c r="G3" i="15"/>
  <c r="G16" i="15" s="1"/>
  <c r="K3" i="8"/>
  <c r="K16" i="8" s="1"/>
  <c r="B26" i="16"/>
  <c r="I3" i="15"/>
  <c r="I16" i="15" s="1"/>
  <c r="M3" i="8"/>
  <c r="M16" i="8" s="1"/>
  <c r="N31" i="1"/>
  <c r="B32" i="16" l="1"/>
  <c r="J3" i="15"/>
  <c r="J16" i="15" s="1"/>
  <c r="N3" i="8"/>
  <c r="N16" i="8" s="1"/>
</calcChain>
</file>

<file path=xl/sharedStrings.xml><?xml version="1.0" encoding="utf-8"?>
<sst xmlns="http://schemas.openxmlformats.org/spreadsheetml/2006/main" count="1838" uniqueCount="347">
  <si>
    <t xml:space="preserve">Nicor-RO-1 </t>
  </si>
  <si>
    <t>Weekly Average breakdown</t>
  </si>
  <si>
    <t>Date/Week</t>
  </si>
  <si>
    <t>Cycle Duration</t>
  </si>
  <si>
    <t>Washer Energy</t>
  </si>
  <si>
    <t>Ozone Energy</t>
  </si>
  <si>
    <t>Cold Water Used</t>
  </si>
  <si>
    <t>Cold Water Temp</t>
  </si>
  <si>
    <t>Hot Water Used</t>
  </si>
  <si>
    <t>Hot Water Temp</t>
  </si>
  <si>
    <t>Cold Wash</t>
  </si>
  <si>
    <t>Warm Wash</t>
  </si>
  <si>
    <t>Baseline</t>
  </si>
  <si>
    <t>Ozone</t>
  </si>
  <si>
    <t>Savings</t>
  </si>
  <si>
    <t>Totals Cycles</t>
  </si>
  <si>
    <t>Average hot water temp</t>
  </si>
  <si>
    <t>Average annual Cold Water Temp for area</t>
  </si>
  <si>
    <t>Possible Energy Savings  with no HW (Therm)</t>
  </si>
  <si>
    <t>Annual  Gas Energy Savings (Therms)</t>
  </si>
  <si>
    <t>Gas Rate ($/therm)</t>
  </si>
  <si>
    <t>Electric Rate ($/kWh)</t>
  </si>
  <si>
    <t>Annual Gas Cost Savings</t>
  </si>
  <si>
    <t>Potential Annual Gas Cost Savings</t>
  </si>
  <si>
    <t>Annual Ozone Electric Use (kWh)</t>
  </si>
  <si>
    <t>Annual Electric Increased Cost</t>
  </si>
  <si>
    <t>Gain</t>
  </si>
  <si>
    <t>Loads</t>
  </si>
  <si>
    <t>Cost</t>
  </si>
  <si>
    <t>Cost/Load</t>
  </si>
  <si>
    <t>A+H</t>
  </si>
  <si>
    <t>Tide</t>
  </si>
  <si>
    <t xml:space="preserve">All </t>
  </si>
  <si>
    <t>7th Gen</t>
  </si>
  <si>
    <t>Average</t>
  </si>
  <si>
    <t>Detergent Cost ($/load)</t>
  </si>
  <si>
    <t>Annual Detergent Savings</t>
  </si>
  <si>
    <t>Ozone System Cost</t>
  </si>
  <si>
    <t>Payback Period</t>
  </si>
  <si>
    <t xml:space="preserve">Nicor-RO-2 </t>
  </si>
  <si>
    <t xml:space="preserve">Nicor-RO-3 </t>
  </si>
  <si>
    <t xml:space="preserve">Nicor-RO-4 </t>
  </si>
  <si>
    <t>% hot/warm</t>
  </si>
  <si>
    <t>Average overall Loads /week</t>
  </si>
  <si>
    <t>Loads/week</t>
  </si>
  <si>
    <t>Warm and Hot Loads / week</t>
  </si>
  <si>
    <t>Cold Loads / week</t>
  </si>
  <si>
    <t>Ozone Electric /Load (Wh)</t>
  </si>
  <si>
    <t>Cold water/Load</t>
  </si>
  <si>
    <t>Hot Water/Load (gal)</t>
  </si>
  <si>
    <t xml:space="preserve">Nicor-RO-5 </t>
  </si>
  <si>
    <t>Nicor-RO-6</t>
  </si>
  <si>
    <t>Nicor-RO-7</t>
  </si>
  <si>
    <t xml:space="preserve">* Intermittent ozone operating and not operating leads to low ozone use </t>
  </si>
  <si>
    <t>Nicor-RO-8</t>
  </si>
  <si>
    <t>Nicor-RO-9</t>
  </si>
  <si>
    <t>Nicor-RO-10</t>
  </si>
  <si>
    <t>Nicor-RO-11</t>
  </si>
  <si>
    <t>Nicor-RO-12</t>
  </si>
  <si>
    <t>*Site Moved homes - causing less data that planned.</t>
  </si>
  <si>
    <t>*Deactivated on 12/5 by homeowner due to low pressure issues</t>
  </si>
  <si>
    <t xml:space="preserve">* Site appears to have had hot water and cold water lines reversed which led to high hot water use. </t>
  </si>
  <si>
    <t>Front Load</t>
  </si>
  <si>
    <t>2007</t>
  </si>
  <si>
    <t>Kenmore</t>
  </si>
  <si>
    <t>110.47532602</t>
  </si>
  <si>
    <t>Home Occupancy</t>
  </si>
  <si>
    <t>WASHERTYPE</t>
  </si>
  <si>
    <t>WASHERYEAR</t>
  </si>
  <si>
    <t>WASHERMANUFACTURER</t>
  </si>
  <si>
    <t>WASHERMODEL</t>
  </si>
  <si>
    <t>kWH/year</t>
  </si>
  <si>
    <t>From Energy Use Label for Model Number</t>
  </si>
  <si>
    <t>2012</t>
  </si>
  <si>
    <t>796.41372210</t>
  </si>
  <si>
    <t>Top Load</t>
  </si>
  <si>
    <t>Whirlpool</t>
  </si>
  <si>
    <t>LTG6234DQ4</t>
  </si>
  <si>
    <t>DuetSport WFW8300SW01</t>
  </si>
  <si>
    <t>2005</t>
  </si>
  <si>
    <t>Kenmore Elite</t>
  </si>
  <si>
    <t>110.42932200</t>
  </si>
  <si>
    <t>160</t>
  </si>
  <si>
    <t>2013</t>
  </si>
  <si>
    <t>2</t>
  </si>
  <si>
    <t>2004</t>
  </si>
  <si>
    <t>Maytag</t>
  </si>
  <si>
    <t>SAV3655AWW</t>
  </si>
  <si>
    <t>MVWB300WQ1</t>
  </si>
  <si>
    <t>1993</t>
  </si>
  <si>
    <t>LAT9334AAE</t>
  </si>
  <si>
    <t>unknown</t>
  </si>
  <si>
    <t>LG Electronics</t>
  </si>
  <si>
    <t>WM8000HWA</t>
  </si>
  <si>
    <t>2010</t>
  </si>
  <si>
    <t>Samsung</t>
  </si>
  <si>
    <t>WF210ANW/XAA 01</t>
  </si>
  <si>
    <t>WA422</t>
  </si>
  <si>
    <t>Site</t>
  </si>
  <si>
    <t>Type</t>
  </si>
  <si>
    <t>Year</t>
  </si>
  <si>
    <t>Man.</t>
  </si>
  <si>
    <t>Model</t>
  </si>
  <si>
    <t>Rated kWH / year</t>
  </si>
  <si>
    <t>Loads / week</t>
  </si>
  <si>
    <t>Annual Gas Energy Savings (Therms)</t>
  </si>
  <si>
    <t>Annual Ozone Electric Cost</t>
  </si>
  <si>
    <t>Potential Gas Savings with no Hot Water (Therms)</t>
  </si>
  <si>
    <t>Costs from Jet.com and Amazon 3/2017</t>
  </si>
  <si>
    <t>From Energy Guide Rating</t>
  </si>
  <si>
    <t>Site had hot and cold water lines reversed, not included in average</t>
  </si>
  <si>
    <t>Avg. from Nicor Gas Sites</t>
  </si>
  <si>
    <t>Data inputs adapted for SoCal Gas territory</t>
  </si>
  <si>
    <t>Release date: February 2017</t>
  </si>
  <si>
    <r>
      <t>Table HC3.8  Appliances in homes in the South and West regions, 2015</t>
    </r>
    <r>
      <rPr>
        <b/>
        <vertAlign val="superscript"/>
        <sz val="12"/>
        <color theme="4"/>
        <rFont val="Calibri"/>
        <family val="2"/>
        <scheme val="minor"/>
      </rPr>
      <t>1</t>
    </r>
  </si>
  <si>
    <t>Number of housing units (million)</t>
  </si>
  <si>
    <t>South Census Region</t>
  </si>
  <si>
    <t>West Census Region</t>
  </si>
  <si>
    <t>East South Central</t>
  </si>
  <si>
    <t>West South Central</t>
  </si>
  <si>
    <t>Mountain</t>
  </si>
  <si>
    <r>
      <t>Total U.S.</t>
    </r>
    <r>
      <rPr>
        <b/>
        <vertAlign val="superscript"/>
        <sz val="10"/>
        <color theme="1"/>
        <rFont val="Calibri"/>
        <family val="2"/>
        <scheme val="minor"/>
      </rPr>
      <t>2</t>
    </r>
  </si>
  <si>
    <t>Total South</t>
  </si>
  <si>
    <t>South Atlantic</t>
  </si>
  <si>
    <t>Total West</t>
  </si>
  <si>
    <t>Total Mountain</t>
  </si>
  <si>
    <t>Mountain North</t>
  </si>
  <si>
    <t>Mountain South</t>
  </si>
  <si>
    <t>Pacific</t>
  </si>
  <si>
    <t>All homes</t>
  </si>
  <si>
    <t>Stoves (units with both an oven and a cooktop)</t>
  </si>
  <si>
    <t/>
  </si>
  <si>
    <t>Have a stove</t>
  </si>
  <si>
    <t>2 or more</t>
  </si>
  <si>
    <t>Q</t>
  </si>
  <si>
    <t>Do not have a stove</t>
  </si>
  <si>
    <t>Most-used stove fuel</t>
  </si>
  <si>
    <t>Electricity</t>
  </si>
  <si>
    <t>Natural gas</t>
  </si>
  <si>
    <t>Propane</t>
  </si>
  <si>
    <t>Dual fuel</t>
  </si>
  <si>
    <t>N</t>
  </si>
  <si>
    <t>Most-used stove usage: cooktop part</t>
  </si>
  <si>
    <t>0 times per week</t>
  </si>
  <si>
    <t>1 to 3  times per week</t>
  </si>
  <si>
    <t>4 to 7 times per week</t>
  </si>
  <si>
    <t>8 to 14 times per week</t>
  </si>
  <si>
    <t>15 or more times per week</t>
  </si>
  <si>
    <t>Most-used stove usage: oven part</t>
  </si>
  <si>
    <t>Separate cooktops</t>
  </si>
  <si>
    <t>Have a separate cooktop</t>
  </si>
  <si>
    <t>Do not have a separate cooktop</t>
  </si>
  <si>
    <t>Most-used separate cooktop fuel</t>
  </si>
  <si>
    <t>Most-used separate cooktop usage</t>
  </si>
  <si>
    <t>Separate wall ovens</t>
  </si>
  <si>
    <t>Have a separate wall oven</t>
  </si>
  <si>
    <t>Do not have a separate wall oven</t>
  </si>
  <si>
    <t>Most-used separate wall oven fuel</t>
  </si>
  <si>
    <t>Most-used separate wall oven usage</t>
  </si>
  <si>
    <t>Frequency of hot meals cooked</t>
  </si>
  <si>
    <t>No hot meals cooked</t>
  </si>
  <si>
    <t>Less than once a week</t>
  </si>
  <si>
    <t>About once a week</t>
  </si>
  <si>
    <t>A few times each week</t>
  </si>
  <si>
    <t>Once a day</t>
  </si>
  <si>
    <t>2 times a day</t>
  </si>
  <si>
    <t>3 or more times a day</t>
  </si>
  <si>
    <t>Microwave ovens</t>
  </si>
  <si>
    <t>Have a microwave oven</t>
  </si>
  <si>
    <t>Do not have a microwave oven</t>
  </si>
  <si>
    <t>Microwave oven usage</t>
  </si>
  <si>
    <t>Outdoor grills and fuel</t>
  </si>
  <si>
    <t>Use an outdoor grill</t>
  </si>
  <si>
    <t>Charcoal</t>
  </si>
  <si>
    <t>Some other fuel</t>
  </si>
  <si>
    <t>Do not use an outdoor grill</t>
  </si>
  <si>
    <t>Small kitchen appliances used at least once each week (more than one may apply)</t>
  </si>
  <si>
    <t>Toaster</t>
  </si>
  <si>
    <t>Toaster oven</t>
  </si>
  <si>
    <t>Coffee maker</t>
  </si>
  <si>
    <t>Slow cooker</t>
  </si>
  <si>
    <t>Food processor</t>
  </si>
  <si>
    <t>Rice cooker</t>
  </si>
  <si>
    <t>Blender or juicer</t>
  </si>
  <si>
    <r>
      <t>Some other small kitchen appliance</t>
    </r>
    <r>
      <rPr>
        <vertAlign val="superscript"/>
        <sz val="10"/>
        <color theme="1"/>
        <rFont val="Calibri"/>
        <family val="2"/>
        <scheme val="minor"/>
      </rPr>
      <t>3</t>
    </r>
  </si>
  <si>
    <t>Refrigerators</t>
  </si>
  <si>
    <t>Use a refrigerator</t>
  </si>
  <si>
    <t>Do not use a refrigerator</t>
  </si>
  <si>
    <t>Most-used refrigerator size</t>
  </si>
  <si>
    <t>Half-size or compact</t>
  </si>
  <si>
    <t>Small (less than 17.6 cubic feet)</t>
  </si>
  <si>
    <t>Medium (17.6 to 22.5 cubic feet)</t>
  </si>
  <si>
    <t>Large (22.6 to 29.5 cubic feet)</t>
  </si>
  <si>
    <t>Very large (more than 29.5 cubic feet)</t>
  </si>
  <si>
    <t>Most-used refrigerator type</t>
  </si>
  <si>
    <t>Half-size/compact</t>
  </si>
  <si>
    <t>One door</t>
  </si>
  <si>
    <t>Two doors, top freezer</t>
  </si>
  <si>
    <t>Two doors, bottom freezer</t>
  </si>
  <si>
    <t>Two doors, side by side</t>
  </si>
  <si>
    <t>Three or more doors</t>
  </si>
  <si>
    <t>Most-used refrigerator age</t>
  </si>
  <si>
    <t>Less than 2 years old</t>
  </si>
  <si>
    <t>2 to 4 years old</t>
  </si>
  <si>
    <t>5 to 9 years old</t>
  </si>
  <si>
    <t>10 to 14 years old</t>
  </si>
  <si>
    <t>15 to 19 years old</t>
  </si>
  <si>
    <t>20 or more years old</t>
  </si>
  <si>
    <t>Most-used refrigerator through-the-door ice service</t>
  </si>
  <si>
    <t>Yes</t>
  </si>
  <si>
    <t>No</t>
  </si>
  <si>
    <t>Second refrigerator</t>
  </si>
  <si>
    <t>Use a second refrigerator</t>
  </si>
  <si>
    <t>Do not use a second refrigerator</t>
  </si>
  <si>
    <t>Second refrigerator size</t>
  </si>
  <si>
    <t>Second refrigerator type</t>
  </si>
  <si>
    <t>Second refrigerator age</t>
  </si>
  <si>
    <t>Second refrigerator location</t>
  </si>
  <si>
    <t>Basement</t>
  </si>
  <si>
    <t>Garage</t>
  </si>
  <si>
    <t>Outside</t>
  </si>
  <si>
    <t>Main floor of house</t>
  </si>
  <si>
    <t>Some other location</t>
  </si>
  <si>
    <t>Separate freezers</t>
  </si>
  <si>
    <t>Use a separate freezer</t>
  </si>
  <si>
    <t>Do not use a separate freezer</t>
  </si>
  <si>
    <t>Most-used separate freezer size</t>
  </si>
  <si>
    <t>Most-used separate freezer type</t>
  </si>
  <si>
    <t>Upright</t>
  </si>
  <si>
    <t>Chest</t>
  </si>
  <si>
    <t>Most-used separate freezer age</t>
  </si>
  <si>
    <t>Dishwashers and usage</t>
  </si>
  <si>
    <t>Have a dishwasher</t>
  </si>
  <si>
    <t>Used 0 times per week</t>
  </si>
  <si>
    <t>Used 1 time per week</t>
  </si>
  <si>
    <t>Used 2 to 3 times per week</t>
  </si>
  <si>
    <t>Used 4 to 6 times per week</t>
  </si>
  <si>
    <t>Used 7 or more times per week</t>
  </si>
  <si>
    <t>Do not have a dishwasher</t>
  </si>
  <si>
    <t>Dishwasher age</t>
  </si>
  <si>
    <t>Most-used dishwasher cycle type</t>
  </si>
  <si>
    <r>
      <t xml:space="preserve">Normal or default cycle </t>
    </r>
    <r>
      <rPr>
        <i/>
        <sz val="10"/>
        <color theme="1"/>
        <rFont val="Calibri"/>
        <family val="2"/>
        <scheme val="minor"/>
      </rPr>
      <t xml:space="preserve">without </t>
    </r>
    <r>
      <rPr>
        <sz val="10"/>
        <color theme="1"/>
        <rFont val="Calibri"/>
        <family val="2"/>
        <scheme val="minor"/>
      </rPr>
      <t>heated dry</t>
    </r>
  </si>
  <si>
    <r>
      <t xml:space="preserve">Normal or default cycle </t>
    </r>
    <r>
      <rPr>
        <i/>
        <sz val="10"/>
        <color theme="1"/>
        <rFont val="Calibri"/>
        <family val="2"/>
        <scheme val="minor"/>
      </rPr>
      <t xml:space="preserve">with </t>
    </r>
    <r>
      <rPr>
        <sz val="10"/>
        <color theme="1"/>
        <rFont val="Calibri"/>
        <family val="2"/>
        <scheme val="minor"/>
      </rPr>
      <t>heated dry</t>
    </r>
  </si>
  <si>
    <t>Heavy or "pots and pans" cycle</t>
  </si>
  <si>
    <t>Light or delicate cycle</t>
  </si>
  <si>
    <t>Energy saver</t>
  </si>
  <si>
    <t>Do not have or use a dishwasher</t>
  </si>
  <si>
    <t>Clothes washers</t>
  </si>
  <si>
    <t>Have a clothes washer at home</t>
  </si>
  <si>
    <t>Top-loading</t>
  </si>
  <si>
    <t>Front-loading</t>
  </si>
  <si>
    <t>Do not have a clothes washer at home</t>
  </si>
  <si>
    <t>Clothes washer age</t>
  </si>
  <si>
    <t>Clothes washer usage</t>
  </si>
  <si>
    <t>0 loads per week</t>
  </si>
  <si>
    <t>1 to 4 loads per week</t>
  </si>
  <si>
    <t>5 to 9 loads per week</t>
  </si>
  <si>
    <t>10 to 15 loads per week</t>
  </si>
  <si>
    <t>More than 15 loads per week</t>
  </si>
  <si>
    <t>Usual water temperature setting for the wash cycle</t>
  </si>
  <si>
    <t>Hot</t>
  </si>
  <si>
    <t>Warm</t>
  </si>
  <si>
    <t>Cold</t>
  </si>
  <si>
    <t>Do not have or use a clothes washer at home</t>
  </si>
  <si>
    <t>Usual water temperature setting for the rinse cycle</t>
  </si>
  <si>
    <t>Clothes dryer and fuel</t>
  </si>
  <si>
    <t>Have a clothes dryer at home</t>
  </si>
  <si>
    <t>Do not have a clothes dryer at home</t>
  </si>
  <si>
    <t>Clothes dryer age</t>
  </si>
  <si>
    <t>Clothes dryer usage (loads/wk)</t>
  </si>
  <si>
    <t>-</t>
  </si>
  <si>
    <t xml:space="preserve">1 to 4 </t>
  </si>
  <si>
    <t xml:space="preserve">5 to 9 </t>
  </si>
  <si>
    <t>10 to 15</t>
  </si>
  <si>
    <t>15+</t>
  </si>
  <si>
    <r>
      <t xml:space="preserve">     </t>
    </r>
    <r>
      <rPr>
        <vertAlign val="superscript"/>
        <sz val="9"/>
        <color theme="1"/>
        <rFont val="Calibri"/>
        <family val="2"/>
        <scheme val="minor"/>
      </rPr>
      <t>1</t>
    </r>
    <r>
      <rPr>
        <sz val="9"/>
        <color theme="1"/>
        <rFont val="Calibri"/>
        <family val="2"/>
        <scheme val="minor"/>
      </rPr>
      <t xml:space="preserve">Housing characteristics data were collected between August 2015 and April 2016.
     </t>
    </r>
    <r>
      <rPr>
        <vertAlign val="superscript"/>
        <sz val="9"/>
        <color theme="1"/>
        <rFont val="Calibri"/>
        <family val="2"/>
        <scheme val="minor"/>
      </rPr>
      <t>2</t>
    </r>
    <r>
      <rPr>
        <sz val="9"/>
        <color theme="1"/>
        <rFont val="Calibri"/>
        <family val="2"/>
        <scheme val="minor"/>
      </rPr>
      <t xml:space="preserve">Total U.S. includes all primary occupied housing units in the 50 states and the District of Columbia. Vacant housing units, seasonal units, second homes, military houses, and group quarters are excluded.
     </t>
    </r>
    <r>
      <rPr>
        <vertAlign val="superscript"/>
        <sz val="9"/>
        <color theme="1"/>
        <rFont val="Calibri"/>
        <family val="2"/>
        <scheme val="minor"/>
      </rPr>
      <t>3</t>
    </r>
    <r>
      <rPr>
        <sz val="9"/>
        <color theme="1"/>
        <rFont val="Calibri"/>
        <family val="2"/>
        <scheme val="minor"/>
      </rPr>
      <t>Some other small kitchen appliance includes stand mixers, bread makers, waffle makers, electric can openers, sandwich makers, coffee grinders, and many other reported appliances.
     Q = Data withheld because either the Relative Standard Error (RSE) was greater than 50% or fewer than 10 cases responded.
     N = No cases responded.
     Notes:  Because of rounding, data may not sum to totals. See RECS Terminology for definition of terms used in these tables.
     Source: U.S. Energy Information Administration, Office of Energy Consumption and Efficiency Statistics, Forms EIA-457A and EIA-457C of the 2015 Residential Energy Consumption Survey.</t>
    </r>
  </si>
  <si>
    <t>Avg. Adapted for SCG</t>
  </si>
  <si>
    <t>Source: Avg Gas and Electric Prices Prepared by SCG for 2016 CGR, provided by Cherif Youssef</t>
  </si>
  <si>
    <t>Source: 2015 EIA RECS</t>
  </si>
  <si>
    <t>Source: CEC 2012 Water Heating Design Guide, Davis Energy Group and GTI, CEC-500-2013-126</t>
  </si>
  <si>
    <r>
      <t xml:space="preserve">Source: DOE Request for Information 10 CFR Part 430, RIN 1904-AC53 (Energy Efficiency Program: Test Procedures for Residential Water Heaters, Direct Heating Equipment, and Pool Heaters, Office of Energy Efficiency and Renewable Energy) cited this value (actually 124.2 degrees Fahrenheit) as the average set point temperature for a residential water heater, referring to an analysis for the April 2010 final rule amending energy conservation standards for water heaters. </t>
    </r>
    <r>
      <rPr>
        <u/>
        <sz val="11"/>
        <color theme="1"/>
        <rFont val="Calibri"/>
        <family val="2"/>
        <scheme val="minor"/>
      </rPr>
      <t>Alternate Source for 130F</t>
    </r>
    <r>
      <rPr>
        <sz val="11"/>
        <color theme="1"/>
        <rFont val="Calibri"/>
        <family val="2"/>
        <scheme val="minor"/>
      </rPr>
      <t>: CEC 2012 Water Heating Design Guide, Davis Energy Group and GTI, CEC-500-2013-126</t>
    </r>
  </si>
  <si>
    <t>Average water/load (gal)</t>
  </si>
  <si>
    <t>Source: Nicor Gas ETP Residential Ozone Pilot data</t>
  </si>
  <si>
    <t>Calculated</t>
  </si>
  <si>
    <t>Source: Calculated from CEC Appliance Database, see notes for how data were selected</t>
  </si>
  <si>
    <t>Average Gas Energy Use for Washing (Therms)</t>
  </si>
  <si>
    <t>Scenario #1 - Using "Avg" CA consumer profile and select continued use of hot water loads as seen in the Nicor Gas Study</t>
  </si>
  <si>
    <t>Scenario #2 - Using "Avg" CA consumer profile with NO hot water use for washing (cold wash and rinse only)</t>
  </si>
  <si>
    <t>Scenario #4 - Using CA consumer profile with 13 loads/week and no hot water for washing (cold wash and rinse only)</t>
  </si>
  <si>
    <t>Scenario #6 - Using "Avg" CA consumer profile, but with 70F inlet water temp and no hot water for washing (cold wash and rinse only)</t>
  </si>
  <si>
    <t>Scenario #7 - Using CA consumer profile with 13 loads/week, 70F inlet water temp and no hot water for washing (cold wash and rinse only)</t>
  </si>
  <si>
    <t>Scenario #9 - Using CA consumer profile but with front-loading washer and no hot water for washing (cold wash and rinse only)</t>
  </si>
  <si>
    <t>Baseline Hot Water/Load (gal)</t>
  </si>
  <si>
    <t>Baseline Cold water/Load</t>
  </si>
  <si>
    <t>Ozone Hot Water/Load (gal)</t>
  </si>
  <si>
    <t>Ozone Cold water/Load (gal)</t>
  </si>
  <si>
    <t>1 - "Avg" CA</t>
  </si>
  <si>
    <t>2 - CA no HW</t>
  </si>
  <si>
    <t>4 - CA no HW 13</t>
  </si>
  <si>
    <t>6 - "Avg" CA no HW 70F</t>
  </si>
  <si>
    <t>7 - CA no HW 13 70F</t>
  </si>
  <si>
    <t>9 - "Avg" CA no HW Front Load</t>
  </si>
  <si>
    <t>Scenario</t>
  </si>
  <si>
    <t>Payback (yrs)</t>
  </si>
  <si>
    <t>Scenario #5 - Using CA consumer profile with 21 loads/week and no hot water for washing (cold wash and rinse only) (21 loads/week based on federal std for MF "common area" washing with 1095 loads/yr)</t>
  </si>
  <si>
    <t>Scenario #8 - Using CA consumer profile with 21 loads/week, 70F inlet water temp and no hot water for washing (cold wash and rinse only) (21 loads/week based on federal std for MF "common area" washing with 1095 loads/yr)</t>
  </si>
  <si>
    <t>Scenario #3 - Using CA consumer profile with 6 loads/week and no hot water for washing (cold wash and rinse only)</t>
  </si>
  <si>
    <t>8 - CA no HW 21 70F</t>
  </si>
  <si>
    <t>5 - CA no HW 21</t>
  </si>
  <si>
    <t>3 - CA no HW 6</t>
  </si>
  <si>
    <t>Annual Gas Savings (therms)</t>
  </si>
  <si>
    <t>US</t>
  </si>
  <si>
    <t>Hot Water Difference</t>
  </si>
  <si>
    <t>Gal Diff</t>
  </si>
  <si>
    <t>% HW Reduction</t>
  </si>
  <si>
    <t>Ozone Consumption</t>
  </si>
  <si>
    <t>Wh/Load</t>
  </si>
  <si>
    <t>kWh/yr  (295 cycles)</t>
  </si>
  <si>
    <t>Site 8 had hot and cold water lines reversed, not included in average</t>
  </si>
  <si>
    <t>Hot Water Savings per Cycle %</t>
  </si>
  <si>
    <t>Residential Ozone Laundry Retrofit Measure</t>
  </si>
  <si>
    <t>GTI - Nicor Gas Study Introduction</t>
  </si>
  <si>
    <t>Summary of 2015-2016 Field Study</t>
  </si>
  <si>
    <t xml:space="preserve">GTI monitored 12 Illinois homes in Nicor Gas territory over several months to measure clothes washer hot and cold water consumption, both before and after installing the ozone system. The host sites included a mix of front load washers and top load washers to achieve a range of approximately 10 to 40 gallons of water consumption per load. One month of baseline monitoring was completed and three or more months of monitoring with the ozone system in operation, with a few exceptions. The demonstration captured detailed information including laundry usage patterns, load size, clothes washer type and efficiency, inlet water temperatures, hot water and cold water flow rates, temperature selections, ozone generator consumption, etc. GTI installed the ozone laundry system and instructed the occupants on how they could modify their wash/rinse cycle selections and effectively clean their clothes. Energy savings are based on the observed difference in hot water consumption before and after installing the ozone system.  The GTI-Nicor study estimates an average per-cycle hot water reduction of 50% when using the ozone system. Half of the sites achieved &gt;90% hot water savings when using the ozone laundry system, with savings directly related to user cycle selections and habits. </t>
  </si>
  <si>
    <t>Introduction</t>
  </si>
  <si>
    <t>Adapted Calcs</t>
  </si>
  <si>
    <t>Payback Summary</t>
  </si>
  <si>
    <t>Payback Periods</t>
  </si>
  <si>
    <t>2015 EIA RECS</t>
  </si>
  <si>
    <t>Detergent Costs</t>
  </si>
  <si>
    <t>All Sites Average</t>
  </si>
  <si>
    <t>Short All Sites Average</t>
  </si>
  <si>
    <t>Nicor-RO_#_Weekly Averages</t>
  </si>
  <si>
    <t>Overview of GTI analysis and spreadsheet</t>
  </si>
  <si>
    <t>Summary of payback periods from sensitivity analysis</t>
  </si>
  <si>
    <t>Figure of payback periods from sensitivity analysis</t>
  </si>
  <si>
    <t>Data table for estimated cycles/week for sensitivity analysis</t>
  </si>
  <si>
    <t>Summary of detergent costs for GTI analysis</t>
  </si>
  <si>
    <t xml:space="preserve">Field study data from each host site. Numbered 1 to 12. </t>
  </si>
  <si>
    <t>Summary data table from each host site</t>
  </si>
  <si>
    <t>Brief data table from each host site</t>
  </si>
  <si>
    <t xml:space="preserve">Averaged values from field study sites, and projections for Hot Water Reduction Percentage and Annual Ozone Generator Electricity Consumption, and sensitivity analysis for different water temperatures, cycles/week, etc. Note - 11 of 12 sites used for average, Site 8 had instrumentation issues (switched hot and cold water readings). </t>
  </si>
  <si>
    <t>Spreadsheet Table of Contents (Blue tabs contain most relevant data, and Green tabs contain data from each host site).</t>
  </si>
  <si>
    <t>Adapted Calculations Tab</t>
  </si>
  <si>
    <t xml:space="preserve">This spreadsheet contains the underlying data from the GTI-Nicor Gas field study that serves as the basis for the Hot Water Reduction Percentage and Annual Ozone Generator Electricity Consumption in the residential ozone laundry retrofit work paper. 
In 2015-2016, the Gas Technology Institute (GTI) conducted a demonstration of a residential ozone laundry systems in 12 Nicor Gas customers’ homes in Illinois, followed by a second round of successful field testing. In 2017, GTI conducted a sensitivity analysis for SoCalGas to adapt field data from the GTI-Nicor study to the Southern California market and demographics, and evaluate the impact of different modeling scenarios that vary number of laundry cycles, inlet water temperature, savings percentage, etc. Much of the methodology and assumptions of this analysis are included in the methodology for the work paper, with certain differences to align with similar measures in DEER (e.g., water mains temperature, number of cycles, market saturation of front-load vs. top-load, etc.). The estimates for Hot Water Reduction Percentage (50%) and Annual Ozone Generator Electricity Consumption (5.3 Wh/cycle) are directly used in the Work Paper Calculations spreadsheet. 
This data is included in the work paper package as reference for the performance and user behavior of the ozone laundry system. </t>
  </si>
  <si>
    <t>Orange cells highlight values for Hot Water Reduction Percentage (50%) and Annual Ozone Generator Electricity Consumption (5.3 Wh/cycle)</t>
  </si>
  <si>
    <t>Updated 8/23/2018 - Prepared by Navigant Consulting, Inc. for SoCalGas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</si>
</sst>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font>
    <font>
      <sz val="11"/>
      <color theme="0" tint="-0.499984740745262"/>
      <name val="Calibri"/>
      <family val="2"/>
      <scheme val="minor"/>
    </font>
    <font>
      <b/>
      <sz val="12"/>
      <color theme="4"/>
      <name val="Calibri"/>
      <family val="2"/>
      <scheme val="minor"/>
    </font>
    <font>
      <b/>
      <vertAlign val="superscript"/>
      <sz val="12"/>
      <color theme="4"/>
      <name val="Calibri"/>
      <family val="2"/>
      <scheme val="minor"/>
    </font>
    <font>
      <b/>
      <sz val="10"/>
      <color theme="1"/>
      <name val="Calibri"/>
      <family val="2"/>
      <scheme val="minor"/>
    </font>
    <font>
      <b/>
      <sz val="9"/>
      <color theme="1"/>
      <name val="Calibri"/>
      <family val="2"/>
      <scheme val="minor"/>
    </font>
    <font>
      <b/>
      <vertAlign val="superscript"/>
      <sz val="10"/>
      <color theme="1"/>
      <name val="Calibri"/>
      <family val="2"/>
      <scheme val="minor"/>
    </font>
    <font>
      <sz val="9"/>
      <color theme="1"/>
      <name val="Calibri"/>
      <family val="2"/>
      <scheme val="minor"/>
    </font>
    <font>
      <sz val="10"/>
      <color theme="1"/>
      <name val="Calibri"/>
      <family val="2"/>
      <scheme val="minor"/>
    </font>
    <font>
      <vertAlign val="superscript"/>
      <sz val="10"/>
      <color theme="1"/>
      <name val="Calibri"/>
      <family val="2"/>
      <scheme val="minor"/>
    </font>
    <font>
      <i/>
      <sz val="10"/>
      <color theme="1"/>
      <name val="Calibri"/>
      <family val="2"/>
      <scheme val="minor"/>
    </font>
    <font>
      <vertAlign val="superscript"/>
      <sz val="9"/>
      <color theme="1"/>
      <name val="Calibri"/>
      <family val="2"/>
      <scheme val="minor"/>
    </font>
    <font>
      <u/>
      <sz val="11"/>
      <color theme="1"/>
      <name val="Calibri"/>
      <family val="2"/>
      <scheme val="minor"/>
    </font>
    <font>
      <b/>
      <sz val="12"/>
      <color theme="1"/>
      <name val="Calibri"/>
      <family val="2"/>
      <scheme val="minor"/>
    </font>
    <font>
      <sz val="11"/>
      <color theme="1" tint="0.499984740745262"/>
      <name val="Calibri"/>
      <family val="2"/>
      <scheme val="minor"/>
    </font>
    <font>
      <sz val="11"/>
      <name val="Calibri"/>
      <family val="2"/>
      <scheme val="minor"/>
    </font>
    <font>
      <i/>
      <sz val="11"/>
      <color theme="1"/>
      <name val="Calibri"/>
      <family val="2"/>
      <scheme val="minor"/>
    </font>
    <font>
      <b/>
      <sz val="16"/>
      <color theme="1"/>
      <name val="Calibri"/>
      <family val="2"/>
      <scheme val="minor"/>
    </font>
    <font>
      <b/>
      <i/>
      <sz val="11"/>
      <color theme="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7"/>
        <bgColor indexed="64"/>
      </patternFill>
    </fill>
    <fill>
      <patternFill patternType="solid">
        <fgColor rgb="FFCCCCFF"/>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5" tint="0.59999389629810485"/>
        <bgColor indexed="64"/>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theme="4" tint="0.39997558519241921"/>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0" tint="-0.14996795556505021"/>
      </bottom>
      <diagonal/>
    </border>
    <border>
      <left style="thick">
        <color theme="0"/>
      </left>
      <right style="thick">
        <color theme="0"/>
      </right>
      <top/>
      <bottom style="thin">
        <color theme="0" tint="-0.24994659260841701"/>
      </bottom>
      <diagonal/>
    </border>
    <border>
      <left style="thick">
        <color theme="0"/>
      </left>
      <right/>
      <top/>
      <bottom style="thin">
        <color theme="0" tint="-0.24994659260841701"/>
      </bottom>
      <diagonal/>
    </border>
    <border>
      <left/>
      <right/>
      <top/>
      <bottom style="thin">
        <color theme="0" tint="-0.24994659260841701"/>
      </bottom>
      <diagonal/>
    </border>
    <border>
      <left/>
      <right style="thick">
        <color theme="0"/>
      </right>
      <top/>
      <bottom style="thin">
        <color theme="0" tint="-0.24994659260841701"/>
      </bottom>
      <diagonal/>
    </border>
    <border>
      <left/>
      <right/>
      <top/>
      <bottom style="dashed">
        <color theme="0" tint="-0.24994659260841701"/>
      </bottom>
      <diagonal/>
    </border>
    <border>
      <left/>
      <right/>
      <top style="thick">
        <color theme="4"/>
      </top>
      <bottom style="dashed">
        <color theme="0" tint="-0.24994659260841701"/>
      </bottom>
      <diagonal/>
    </border>
    <border>
      <left/>
      <right/>
      <top/>
      <bottom style="thin">
        <color theme="0" tint="-0.249977111117893"/>
      </bottom>
      <diagonal/>
    </border>
    <border>
      <left/>
      <right/>
      <top style="dashed">
        <color theme="0" tint="-0.24994659260841701"/>
      </top>
      <bottom style="medium">
        <color theme="4"/>
      </bottom>
      <diagonal/>
    </border>
    <border>
      <left/>
      <right/>
      <top style="medium">
        <color theme="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20" fillId="0" borderId="0" applyNumberFormat="0" applyProtection="0">
      <alignment horizontal="left"/>
    </xf>
    <xf numFmtId="0" fontId="23" fillId="0" borderId="16" applyNumberFormat="0" applyProtection="0">
      <alignment horizontal="left" wrapText="1"/>
    </xf>
    <xf numFmtId="0" fontId="23" fillId="0" borderId="1" applyNumberFormat="0" applyProtection="0">
      <alignment wrapText="1"/>
    </xf>
    <xf numFmtId="0" fontId="25" fillId="0" borderId="20" applyNumberFormat="0" applyFont="0" applyProtection="0">
      <alignment wrapText="1"/>
    </xf>
    <xf numFmtId="0" fontId="23" fillId="0" borderId="22" applyNumberFormat="0" applyProtection="0">
      <alignment wrapText="1"/>
    </xf>
    <xf numFmtId="0" fontId="25" fillId="0" borderId="24" applyNumberFormat="0" applyProtection="0">
      <alignment vertical="top" wrapText="1"/>
    </xf>
  </cellStyleXfs>
  <cellXfs count="136">
    <xf numFmtId="0" fontId="0" fillId="0" borderId="0" xfId="0"/>
    <xf numFmtId="14" fontId="0" fillId="0" borderId="0" xfId="0" applyNumberFormat="1"/>
    <xf numFmtId="0" fontId="0" fillId="35" borderId="0" xfId="0" applyFill="1"/>
    <xf numFmtId="0" fontId="0" fillId="36" borderId="0" xfId="0" applyFill="1"/>
    <xf numFmtId="14" fontId="0" fillId="35" borderId="0" xfId="0" applyNumberFormat="1" applyFill="1"/>
    <xf numFmtId="14" fontId="0" fillId="0" borderId="0" xfId="0" applyNumberFormat="1" applyFill="1"/>
    <xf numFmtId="0" fontId="0" fillId="0" borderId="0" xfId="0" applyFill="1"/>
    <xf numFmtId="14" fontId="0" fillId="36" borderId="0" xfId="0" applyNumberFormat="1" applyFill="1"/>
    <xf numFmtId="164" fontId="0" fillId="0" borderId="0" xfId="0" applyNumberFormat="1"/>
    <xf numFmtId="165" fontId="0" fillId="0" borderId="0" xfId="0" applyNumberFormat="1"/>
    <xf numFmtId="165" fontId="0" fillId="33" borderId="0" xfId="0" applyNumberFormat="1" applyFill="1"/>
    <xf numFmtId="164" fontId="0" fillId="34" borderId="0" xfId="0" applyNumberFormat="1" applyFill="1"/>
    <xf numFmtId="165" fontId="0" fillId="34" borderId="0" xfId="0" applyNumberFormat="1" applyFill="1"/>
    <xf numFmtId="2" fontId="0" fillId="0" borderId="0" xfId="0" applyNumberFormat="1"/>
    <xf numFmtId="9" fontId="0" fillId="0" borderId="0" xfId="0" applyNumberFormat="1"/>
    <xf numFmtId="0" fontId="18" fillId="36" borderId="0" xfId="0" applyFont="1" applyFill="1" applyBorder="1"/>
    <xf numFmtId="0" fontId="18" fillId="35" borderId="0" xfId="0" applyFont="1" applyFill="1" applyBorder="1"/>
    <xf numFmtId="0" fontId="0" fillId="37" borderId="0" xfId="0" applyFill="1"/>
    <xf numFmtId="49" fontId="0" fillId="0" borderId="0" xfId="0" applyNumberFormat="1" applyFill="1"/>
    <xf numFmtId="0" fontId="0" fillId="38" borderId="0" xfId="0" applyFill="1"/>
    <xf numFmtId="0" fontId="16" fillId="0" borderId="0" xfId="0" applyFont="1"/>
    <xf numFmtId="49" fontId="0" fillId="0" borderId="10" xfId="0" applyNumberFormat="1" applyFont="1" applyFill="1" applyBorder="1"/>
    <xf numFmtId="49" fontId="0" fillId="0" borderId="0" xfId="0" applyNumberFormat="1" applyFont="1" applyFill="1" applyBorder="1" applyAlignment="1">
      <alignment horizontal="right"/>
    </xf>
    <xf numFmtId="49" fontId="0" fillId="0" borderId="11" xfId="0" applyNumberFormat="1" applyFont="1" applyFill="1" applyBorder="1"/>
    <xf numFmtId="49" fontId="0" fillId="0" borderId="12" xfId="0" applyNumberFormat="1" applyFont="1" applyFill="1" applyBorder="1"/>
    <xf numFmtId="2" fontId="16" fillId="0" borderId="0" xfId="0" applyNumberFormat="1" applyFont="1" applyAlignment="1">
      <alignment wrapText="1"/>
    </xf>
    <xf numFmtId="49" fontId="0" fillId="0" borderId="0" xfId="0" applyNumberFormat="1"/>
    <xf numFmtId="0" fontId="0" fillId="0" borderId="0" xfId="0" applyAlignment="1">
      <alignment horizontal="center"/>
    </xf>
    <xf numFmtId="49" fontId="0" fillId="0" borderId="0" xfId="0" applyNumberFormat="1"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2" fontId="0" fillId="0" borderId="0" xfId="0" applyNumberFormat="1" applyAlignment="1">
      <alignment horizontal="center"/>
    </xf>
    <xf numFmtId="49" fontId="0" fillId="37" borderId="0" xfId="0" applyNumberFormat="1" applyFill="1"/>
    <xf numFmtId="49" fontId="0" fillId="37" borderId="0" xfId="0" applyNumberFormat="1" applyFill="1" applyAlignment="1">
      <alignment horizontal="center"/>
    </xf>
    <xf numFmtId="164" fontId="0" fillId="37" borderId="0" xfId="0" applyNumberFormat="1" applyFill="1" applyAlignment="1">
      <alignment horizontal="center"/>
    </xf>
    <xf numFmtId="165" fontId="0" fillId="37" borderId="0" xfId="0" applyNumberFormat="1" applyFill="1" applyAlignment="1">
      <alignment horizontal="center"/>
    </xf>
    <xf numFmtId="2" fontId="0" fillId="37" borderId="0" xfId="0" applyNumberFormat="1" applyFill="1" applyAlignment="1">
      <alignment horizontal="center"/>
    </xf>
    <xf numFmtId="0" fontId="0" fillId="39" borderId="0" xfId="0" applyFill="1"/>
    <xf numFmtId="2" fontId="16" fillId="38" borderId="0" xfId="0" applyNumberFormat="1" applyFont="1" applyFill="1" applyAlignment="1">
      <alignment wrapText="1"/>
    </xf>
    <xf numFmtId="164" fontId="16" fillId="0" borderId="0" xfId="0" applyNumberFormat="1" applyFont="1" applyAlignment="1">
      <alignment horizontal="center"/>
    </xf>
    <xf numFmtId="165" fontId="16" fillId="0" borderId="0" xfId="0" applyNumberFormat="1" applyFont="1" applyAlignment="1">
      <alignment horizontal="center"/>
    </xf>
    <xf numFmtId="0" fontId="16" fillId="0" borderId="0" xfId="0" applyFont="1" applyAlignment="1">
      <alignment horizontal="center"/>
    </xf>
    <xf numFmtId="164" fontId="0" fillId="0" borderId="13" xfId="0" applyNumberFormat="1" applyBorder="1" applyAlignment="1">
      <alignment horizontal="center"/>
    </xf>
    <xf numFmtId="0" fontId="0" fillId="0" borderId="13" xfId="0" applyBorder="1" applyAlignment="1">
      <alignment horizontal="center"/>
    </xf>
    <xf numFmtId="0" fontId="0" fillId="0" borderId="0" xfId="0" applyBorder="1" applyAlignment="1">
      <alignment horizontal="center"/>
    </xf>
    <xf numFmtId="2" fontId="0" fillId="0" borderId="13" xfId="0" applyNumberFormat="1" applyBorder="1" applyAlignment="1">
      <alignment horizontal="center"/>
    </xf>
    <xf numFmtId="165" fontId="0" fillId="0" borderId="13" xfId="0" applyNumberFormat="1" applyBorder="1" applyAlignment="1">
      <alignment horizontal="center"/>
    </xf>
    <xf numFmtId="165" fontId="0" fillId="0" borderId="0" xfId="0" applyNumberFormat="1" applyBorder="1" applyAlignment="1">
      <alignment horizontal="center"/>
    </xf>
    <xf numFmtId="2" fontId="0" fillId="0" borderId="14" xfId="0" applyNumberFormat="1" applyBorder="1" applyAlignment="1">
      <alignment horizontal="center"/>
    </xf>
    <xf numFmtId="0" fontId="0" fillId="40" borderId="0" xfId="0" applyFill="1"/>
    <xf numFmtId="165" fontId="0" fillId="40" borderId="13" xfId="0" applyNumberFormat="1" applyFill="1" applyBorder="1" applyAlignment="1">
      <alignment horizontal="center"/>
    </xf>
    <xf numFmtId="2" fontId="0" fillId="40" borderId="13" xfId="0" applyNumberFormat="1" applyFill="1" applyBorder="1" applyAlignment="1">
      <alignment horizontal="center"/>
    </xf>
    <xf numFmtId="0" fontId="19" fillId="0" borderId="0" xfId="0" applyFont="1" applyAlignment="1">
      <alignment wrapText="1"/>
    </xf>
    <xf numFmtId="0" fontId="20" fillId="0" borderId="0" xfId="43" applyFill="1" applyAlignment="1">
      <alignment horizontal="left" wrapText="1"/>
    </xf>
    <xf numFmtId="3" fontId="22" fillId="0" borderId="0" xfId="0" applyNumberFormat="1" applyFont="1" applyBorder="1" applyAlignment="1">
      <alignment horizontal="left" wrapText="1"/>
    </xf>
    <xf numFmtId="3" fontId="22" fillId="0" borderId="0" xfId="44" applyNumberFormat="1" applyFont="1" applyBorder="1">
      <alignment horizontal="left" wrapText="1"/>
    </xf>
    <xf numFmtId="0" fontId="22" fillId="0" borderId="1" xfId="45" applyFont="1" applyFill="1">
      <alignment wrapText="1"/>
    </xf>
    <xf numFmtId="3" fontId="22" fillId="0" borderId="1" xfId="45" applyNumberFormat="1" applyFont="1" applyBorder="1" applyAlignment="1">
      <alignment horizontal="right" wrapText="1"/>
    </xf>
    <xf numFmtId="3" fontId="22" fillId="37" borderId="1" xfId="45" applyNumberFormat="1" applyFont="1" applyFill="1" applyBorder="1" applyAlignment="1">
      <alignment horizontal="right" wrapText="1"/>
    </xf>
    <xf numFmtId="0" fontId="22" fillId="0" borderId="21" xfId="46" applyFont="1" applyFill="1" applyBorder="1">
      <alignment wrapText="1"/>
    </xf>
    <xf numFmtId="164" fontId="26" fillId="0" borderId="21" xfId="46" applyNumberFormat="1" applyFont="1" applyBorder="1" applyAlignment="1">
      <alignment horizontal="right" wrapText="1"/>
    </xf>
    <xf numFmtId="0" fontId="22" fillId="0" borderId="22" xfId="47" applyFont="1" applyFill="1" applyAlignment="1">
      <alignment wrapText="1"/>
    </xf>
    <xf numFmtId="164" fontId="22" fillId="0" borderId="22" xfId="47" applyNumberFormat="1" applyFont="1" applyAlignment="1">
      <alignment horizontal="right" wrapText="1"/>
    </xf>
    <xf numFmtId="0" fontId="26" fillId="0" borderId="20" xfId="46" applyFont="1" applyFill="1">
      <alignment wrapText="1"/>
    </xf>
    <xf numFmtId="164" fontId="26" fillId="0" borderId="20" xfId="46" applyNumberFormat="1" applyFont="1" applyAlignment="1">
      <alignment horizontal="right" wrapText="1"/>
    </xf>
    <xf numFmtId="0" fontId="26" fillId="0" borderId="20" xfId="46" applyFont="1" applyFill="1" applyAlignment="1">
      <alignment horizontal="left" wrapText="1" indent="1"/>
    </xf>
    <xf numFmtId="0" fontId="22" fillId="0" borderId="22" xfId="47" applyFont="1" applyFill="1" applyAlignment="1">
      <alignment horizontal="left" wrapText="1" indent="1"/>
    </xf>
    <xf numFmtId="0" fontId="0" fillId="0" borderId="0" xfId="0" applyAlignment="1">
      <alignment horizontal="left" indent="1"/>
    </xf>
    <xf numFmtId="0" fontId="22" fillId="0" borderId="22" xfId="47" applyFont="1" applyFill="1">
      <alignment wrapText="1"/>
    </xf>
    <xf numFmtId="164" fontId="22" fillId="0" borderId="22" xfId="47" applyNumberFormat="1" applyFont="1" applyFill="1" applyAlignment="1">
      <alignment horizontal="right" wrapText="1"/>
    </xf>
    <xf numFmtId="164" fontId="26" fillId="0" borderId="20" xfId="46" applyNumberFormat="1" applyFont="1" applyFill="1" applyAlignment="1">
      <alignment horizontal="right" wrapText="1"/>
    </xf>
    <xf numFmtId="0" fontId="26" fillId="0" borderId="20" xfId="46" applyFont="1" applyFill="1" applyAlignment="1">
      <alignment horizontal="left" wrapText="1"/>
    </xf>
    <xf numFmtId="0" fontId="26" fillId="0" borderId="20" xfId="46" applyFont="1" applyFill="1" applyAlignment="1">
      <alignment wrapText="1"/>
    </xf>
    <xf numFmtId="0" fontId="22" fillId="0" borderId="22" xfId="47" applyFont="1" applyFill="1" applyAlignment="1">
      <alignment horizontal="left" wrapText="1"/>
    </xf>
    <xf numFmtId="0" fontId="26" fillId="0" borderId="20" xfId="46" quotePrefix="1" applyFont="1" applyFill="1">
      <alignment wrapText="1"/>
    </xf>
    <xf numFmtId="0" fontId="26" fillId="0" borderId="20" xfId="46" quotePrefix="1" applyFont="1" applyFill="1" applyAlignment="1">
      <alignment horizontal="left" wrapText="1" indent="1"/>
    </xf>
    <xf numFmtId="16" fontId="26" fillId="0" borderId="20" xfId="46" applyNumberFormat="1" applyFont="1" applyFill="1" applyAlignment="1">
      <alignment horizontal="left" wrapText="1" indent="1"/>
    </xf>
    <xf numFmtId="0" fontId="26" fillId="0" borderId="23" xfId="46" applyFont="1" applyFill="1" applyBorder="1" applyAlignment="1">
      <alignment horizontal="left" wrapText="1" indent="1"/>
    </xf>
    <xf numFmtId="3" fontId="26" fillId="0" borderId="23" xfId="0" applyNumberFormat="1" applyFont="1" applyBorder="1"/>
    <xf numFmtId="164" fontId="26" fillId="37" borderId="20" xfId="46" applyNumberFormat="1" applyFont="1" applyFill="1" applyAlignment="1">
      <alignment horizontal="right" wrapText="1"/>
    </xf>
    <xf numFmtId="9" fontId="0" fillId="0" borderId="13" xfId="42" applyFont="1" applyBorder="1" applyAlignment="1">
      <alignment horizontal="center"/>
    </xf>
    <xf numFmtId="9" fontId="0" fillId="0" borderId="13" xfId="42" applyNumberFormat="1" applyFont="1" applyBorder="1" applyAlignment="1">
      <alignment horizontal="center"/>
    </xf>
    <xf numFmtId="9" fontId="0" fillId="0" borderId="13" xfId="0" applyNumberFormat="1" applyBorder="1" applyAlignment="1">
      <alignment horizontal="center"/>
    </xf>
    <xf numFmtId="0" fontId="0" fillId="0" borderId="13" xfId="0" applyBorder="1"/>
    <xf numFmtId="0" fontId="31" fillId="0" borderId="0" xfId="0" applyFont="1"/>
    <xf numFmtId="0" fontId="32" fillId="0" borderId="0" xfId="0" applyFont="1"/>
    <xf numFmtId="0" fontId="33" fillId="0" borderId="13" xfId="0" applyFont="1" applyBorder="1"/>
    <xf numFmtId="0" fontId="0" fillId="0" borderId="0" xfId="0" applyAlignment="1">
      <alignment horizontal="center" vertical="center"/>
    </xf>
    <xf numFmtId="2" fontId="16" fillId="0" borderId="13" xfId="0" applyNumberFormat="1" applyFont="1" applyBorder="1" applyAlignment="1">
      <alignment horizontal="center" vertical="center" wrapText="1"/>
    </xf>
    <xf numFmtId="0" fontId="16" fillId="0" borderId="13" xfId="0" applyFont="1" applyBorder="1" applyAlignment="1">
      <alignment horizontal="center" vertical="center"/>
    </xf>
    <xf numFmtId="0" fontId="16" fillId="0" borderId="13" xfId="0" applyFont="1" applyBorder="1" applyAlignment="1">
      <alignment horizontal="center" vertical="center" wrapText="1"/>
    </xf>
    <xf numFmtId="0" fontId="0" fillId="37" borderId="13" xfId="0" applyFill="1" applyBorder="1"/>
    <xf numFmtId="0" fontId="0" fillId="0" borderId="13" xfId="0" applyBorder="1" applyAlignment="1">
      <alignment horizontal="center" vertical="center" wrapText="1"/>
    </xf>
    <xf numFmtId="0" fontId="34" fillId="0" borderId="0" xfId="0" applyFont="1"/>
    <xf numFmtId="0" fontId="16" fillId="0" borderId="25" xfId="0" applyFont="1" applyBorder="1" applyAlignment="1">
      <alignment horizontal="center"/>
    </xf>
    <xf numFmtId="164" fontId="0" fillId="0" borderId="13" xfId="0" applyNumberFormat="1" applyFill="1" applyBorder="1" applyAlignment="1">
      <alignment horizontal="center"/>
    </xf>
    <xf numFmtId="0" fontId="35" fillId="0" borderId="0" xfId="0" applyFont="1"/>
    <xf numFmtId="0" fontId="36" fillId="0" borderId="0" xfId="0" applyFont="1"/>
    <xf numFmtId="9" fontId="16" fillId="42" borderId="26" xfId="0" applyNumberFormat="1" applyFont="1" applyFill="1" applyBorder="1" applyAlignment="1">
      <alignment horizontal="center"/>
    </xf>
    <xf numFmtId="164" fontId="0" fillId="42" borderId="13" xfId="0" applyNumberFormat="1" applyFill="1" applyBorder="1" applyAlignment="1">
      <alignment horizontal="center"/>
    </xf>
    <xf numFmtId="0" fontId="0" fillId="0" borderId="0" xfId="0" quotePrefix="1" applyBorder="1" applyAlignment="1">
      <alignment vertical="top" wrapText="1"/>
    </xf>
    <xf numFmtId="0" fontId="16" fillId="43" borderId="35" xfId="0" quotePrefix="1" applyFont="1" applyFill="1" applyBorder="1" applyAlignment="1">
      <alignment horizontal="left" vertical="center" wrapText="1"/>
    </xf>
    <xf numFmtId="0" fontId="16" fillId="43" borderId="38" xfId="0" applyFont="1" applyFill="1" applyBorder="1" applyAlignment="1">
      <alignment horizontal="left" vertical="center"/>
    </xf>
    <xf numFmtId="0" fontId="16" fillId="44" borderId="38" xfId="0" applyFont="1" applyFill="1" applyBorder="1" applyAlignment="1">
      <alignment horizontal="left" vertical="center"/>
    </xf>
    <xf numFmtId="0" fontId="16" fillId="41" borderId="40" xfId="0" applyFont="1" applyFill="1" applyBorder="1" applyAlignment="1">
      <alignment horizontal="left" vertical="center"/>
    </xf>
    <xf numFmtId="0" fontId="0" fillId="0" borderId="0" xfId="0" applyFont="1"/>
    <xf numFmtId="0" fontId="0" fillId="0" borderId="27" xfId="0" quotePrefix="1" applyBorder="1" applyAlignment="1">
      <alignment horizontal="left" vertical="center" wrapText="1"/>
    </xf>
    <xf numFmtId="0" fontId="0" fillId="0" borderId="28" xfId="0" quotePrefix="1" applyBorder="1" applyAlignment="1">
      <alignment horizontal="left" vertical="center" wrapText="1"/>
    </xf>
    <xf numFmtId="0" fontId="0" fillId="0" borderId="29" xfId="0" quotePrefix="1" applyBorder="1" applyAlignment="1">
      <alignment horizontal="left" vertical="center" wrapText="1"/>
    </xf>
    <xf numFmtId="0" fontId="0" fillId="0" borderId="30" xfId="0" quotePrefix="1" applyBorder="1" applyAlignment="1">
      <alignment horizontal="left" vertical="center" wrapText="1"/>
    </xf>
    <xf numFmtId="0" fontId="0" fillId="0" borderId="0" xfId="0" quotePrefix="1" applyBorder="1" applyAlignment="1">
      <alignment horizontal="left" vertical="center" wrapText="1"/>
    </xf>
    <xf numFmtId="0" fontId="0" fillId="0" borderId="31" xfId="0" quotePrefix="1" applyBorder="1" applyAlignment="1">
      <alignment horizontal="left" vertical="center" wrapText="1"/>
    </xf>
    <xf numFmtId="0" fontId="0" fillId="0" borderId="32" xfId="0" quotePrefix="1" applyBorder="1" applyAlignment="1">
      <alignment horizontal="left" vertical="center" wrapText="1"/>
    </xf>
    <xf numFmtId="0" fontId="0" fillId="0" borderId="33" xfId="0" quotePrefix="1" applyBorder="1" applyAlignment="1">
      <alignment horizontal="left" vertical="center" wrapText="1"/>
    </xf>
    <xf numFmtId="0" fontId="0" fillId="0" borderId="34" xfId="0" quotePrefix="1" applyBorder="1" applyAlignment="1">
      <alignment horizontal="left" vertical="center" wrapText="1"/>
    </xf>
    <xf numFmtId="0" fontId="0" fillId="0" borderId="36" xfId="0" quotePrefix="1" applyBorder="1" applyAlignment="1">
      <alignment horizontal="left" vertical="center"/>
    </xf>
    <xf numFmtId="0" fontId="0" fillId="0" borderId="37" xfId="0" quotePrefix="1" applyBorder="1" applyAlignment="1">
      <alignment horizontal="left" vertical="center"/>
    </xf>
    <xf numFmtId="0" fontId="0" fillId="0" borderId="13" xfId="0" applyBorder="1" applyAlignment="1">
      <alignment horizontal="left" vertical="center"/>
    </xf>
    <xf numFmtId="0" fontId="0" fillId="0" borderId="39" xfId="0" applyBorder="1" applyAlignment="1">
      <alignment horizontal="left" vertical="center"/>
    </xf>
    <xf numFmtId="0" fontId="0" fillId="0" borderId="41" xfId="0" applyBorder="1" applyAlignment="1">
      <alignment horizontal="left" vertical="center"/>
    </xf>
    <xf numFmtId="0" fontId="0" fillId="0" borderId="42" xfId="0" applyBorder="1" applyAlignment="1">
      <alignment horizontal="left" vertical="center"/>
    </xf>
    <xf numFmtId="0" fontId="0" fillId="0" borderId="13" xfId="0" applyBorder="1" applyAlignment="1">
      <alignment horizontal="left" vertical="center" wrapText="1"/>
    </xf>
    <xf numFmtId="0" fontId="0" fillId="0" borderId="39" xfId="0" applyBorder="1" applyAlignment="1">
      <alignment horizontal="left" vertical="center" wrapText="1"/>
    </xf>
    <xf numFmtId="0" fontId="16" fillId="0" borderId="0" xfId="0" applyFont="1" applyAlignment="1">
      <alignment horizontal="center"/>
    </xf>
    <xf numFmtId="0" fontId="25" fillId="0" borderId="0" xfId="48" applyBorder="1" applyAlignment="1">
      <alignment horizontal="left" wrapText="1"/>
    </xf>
    <xf numFmtId="0" fontId="20" fillId="0" borderId="0" xfId="43" applyAlignment="1">
      <alignment horizontal="left" wrapText="1"/>
    </xf>
    <xf numFmtId="3" fontId="22" fillId="0" borderId="15" xfId="0" applyNumberFormat="1" applyFont="1" applyBorder="1" applyAlignment="1">
      <alignment horizontal="left" wrapText="1"/>
    </xf>
    <xf numFmtId="3" fontId="22" fillId="0" borderId="17" xfId="44" applyNumberFormat="1" applyFont="1" applyBorder="1" applyAlignment="1">
      <alignment horizontal="left" wrapText="1"/>
    </xf>
    <xf numFmtId="3" fontId="22" fillId="0" borderId="18" xfId="44" applyNumberFormat="1" applyFont="1" applyBorder="1" applyAlignment="1">
      <alignment horizontal="left" wrapText="1"/>
    </xf>
    <xf numFmtId="3" fontId="22" fillId="0" borderId="19" xfId="44" applyNumberFormat="1" applyFont="1" applyBorder="1" applyAlignment="1">
      <alignment horizontal="left" wrapText="1"/>
    </xf>
    <xf numFmtId="3" fontId="22" fillId="0" borderId="19" xfId="44" applyNumberFormat="1" applyFont="1" applyBorder="1">
      <alignment horizontal="left" wrapText="1"/>
    </xf>
    <xf numFmtId="3" fontId="22" fillId="0" borderId="16" xfId="44" applyNumberFormat="1" applyFont="1">
      <alignment horizontal="left" wrapText="1"/>
    </xf>
    <xf numFmtId="3" fontId="22" fillId="0" borderId="0" xfId="45" applyNumberFormat="1" applyFont="1" applyBorder="1" applyAlignment="1">
      <alignment horizontal="right" wrapText="1"/>
    </xf>
    <xf numFmtId="3" fontId="22" fillId="0" borderId="1" xfId="45" applyNumberFormat="1" applyFont="1" applyBorder="1" applyAlignment="1">
      <alignment horizontal="right" wrapText="1"/>
    </xf>
    <xf numFmtId="0" fontId="16" fillId="0" borderId="13" xfId="0" applyFont="1" applyBorder="1" applyAlignment="1">
      <alignment horizontal="center"/>
    </xf>
    <xf numFmtId="0" fontId="0" fillId="0" borderId="13" xfId="0" applyBorder="1" applyAlignment="1">
      <alignment horizontal="center"/>
    </xf>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Body: normal cell" xfId="46" xr:uid="{00000000-0005-0000-0000-000019000000}"/>
    <cellStyle name="Calculation" xfId="11" builtinId="22" customBuiltin="1"/>
    <cellStyle name="Check Cell" xfId="13" builtinId="23" customBuiltin="1"/>
    <cellStyle name="Explanatory Text" xfId="16" builtinId="53" customBuiltin="1"/>
    <cellStyle name="Footnotes: top row" xfId="48" xr:uid="{00000000-0005-0000-0000-00001D000000}"/>
    <cellStyle name="Good" xfId="6" builtinId="26" customBuiltin="1"/>
    <cellStyle name="Header: bottom row" xfId="45" xr:uid="{00000000-0005-0000-0000-00001F000000}"/>
    <cellStyle name="Header: top rows" xfId="44" xr:uid="{00000000-0005-0000-0000-000020000000}"/>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arent row" xfId="47" xr:uid="{00000000-0005-0000-0000-00002B000000}"/>
    <cellStyle name="Percent" xfId="42" builtinId="5"/>
    <cellStyle name="Table title" xfId="43" xr:uid="{00000000-0005-0000-0000-00002D00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worksheet" Target="worksheets/sheet16.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9.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24" Type="http://schemas.openxmlformats.org/officeDocument/2006/relationships/sharedStrings" Target="sharedStrings.xml"/><Relationship Id="rId5" Type="http://schemas.openxmlformats.org/officeDocument/2006/relationships/worksheet" Target="worksheets/sheet4.xml"/><Relationship Id="rId15" Type="http://schemas.openxmlformats.org/officeDocument/2006/relationships/worksheet" Target="worksheets/sheet14.xml"/><Relationship Id="rId23" Type="http://schemas.openxmlformats.org/officeDocument/2006/relationships/styles" Target="styles.xml"/><Relationship Id="rId10" Type="http://schemas.openxmlformats.org/officeDocument/2006/relationships/worksheet" Target="worksheets/sheet9.xml"/><Relationship Id="rId19" Type="http://schemas.openxmlformats.org/officeDocument/2006/relationships/worksheet" Target="worksheets/sheet18.xml"/><Relationship Id="rId4" Type="http://schemas.openxmlformats.org/officeDocument/2006/relationships/chartsheet" Target="chartsheets/sheet1.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Residential Ozone Analysis for Southern California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0"/>
          <c:tx>
            <c:strRef>
              <c:f>'Payback Summary'!$C$1</c:f>
              <c:strCache>
                <c:ptCount val="1"/>
                <c:pt idx="0">
                  <c:v>Annual Gas Savings (therms)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'Payback Summary'!$A$2:$A$10</c:f>
              <c:strCache>
                <c:ptCount val="9"/>
                <c:pt idx="0">
                  <c:v>8 - CA no HW 21 70F</c:v>
                </c:pt>
                <c:pt idx="1">
                  <c:v>5 - CA no HW 21</c:v>
                </c:pt>
                <c:pt idx="2">
                  <c:v>7 - CA no HW 13 70F</c:v>
                </c:pt>
                <c:pt idx="3">
                  <c:v>4 - CA no HW 13</c:v>
                </c:pt>
                <c:pt idx="4">
                  <c:v>3 - CA no HW 6</c:v>
                </c:pt>
                <c:pt idx="5">
                  <c:v>6 - "Avg" CA no HW 70F</c:v>
                </c:pt>
                <c:pt idx="6">
                  <c:v>2 - CA no HW</c:v>
                </c:pt>
                <c:pt idx="7">
                  <c:v>1 - "Avg" CA</c:v>
                </c:pt>
                <c:pt idx="8">
                  <c:v>9 - "Avg" CA no HW Front Load</c:v>
                </c:pt>
              </c:strCache>
            </c:strRef>
          </c:cat>
          <c:val>
            <c:numRef>
              <c:f>'Payback Summary'!$C$2:$C$10</c:f>
              <c:numCache>
                <c:formatCode>0.00</c:formatCode>
                <c:ptCount val="9"/>
                <c:pt idx="0">
                  <c:v>16.436391436478889</c:v>
                </c:pt>
                <c:pt idx="1">
                  <c:v>14.920119163740985</c:v>
                </c:pt>
                <c:pt idx="2">
                  <c:v>10.17490898448693</c:v>
                </c:pt>
                <c:pt idx="3">
                  <c:v>9.2362642442206084</c:v>
                </c:pt>
                <c:pt idx="4">
                  <c:v>4.262891189640281</c:v>
                </c:pt>
                <c:pt idx="5">
                  <c:v>3.527881548182505</c:v>
                </c:pt>
                <c:pt idx="6">
                  <c:v>3.2024312208593959</c:v>
                </c:pt>
                <c:pt idx="7">
                  <c:v>1.5990684546129754</c:v>
                </c:pt>
                <c:pt idx="8">
                  <c:v>1.3679259188439141</c:v>
                </c:pt>
              </c:numCache>
            </c:numRef>
          </c:val>
          <c:extLst>
            <c:ext xmlns:c16="http://schemas.microsoft.com/office/drawing/2014/chart" uri="{C3380CC4-5D6E-409C-BE32-E72D297353CC}">
              <c16:uniqueId val="{00000000-8400-4F20-B0B8-DA06AE754DE8}"/>
            </c:ext>
          </c:extLst>
        </c:ser>
        <c:ser>
          <c:idx val="0"/>
          <c:order val="1"/>
          <c:tx>
            <c:strRef>
              <c:f>'Payback Summary'!$B$1</c:f>
              <c:strCache>
                <c:ptCount val="1"/>
                <c:pt idx="0">
                  <c:v>Payback (yrs)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'Payback Summary'!$A$2:$A$10</c:f>
              <c:strCache>
                <c:ptCount val="9"/>
                <c:pt idx="0">
                  <c:v>8 - CA no HW 21 70F</c:v>
                </c:pt>
                <c:pt idx="1">
                  <c:v>5 - CA no HW 21</c:v>
                </c:pt>
                <c:pt idx="2">
                  <c:v>7 - CA no HW 13 70F</c:v>
                </c:pt>
                <c:pt idx="3">
                  <c:v>4 - CA no HW 13</c:v>
                </c:pt>
                <c:pt idx="4">
                  <c:v>3 - CA no HW 6</c:v>
                </c:pt>
                <c:pt idx="5">
                  <c:v>6 - "Avg" CA no HW 70F</c:v>
                </c:pt>
                <c:pt idx="6">
                  <c:v>2 - CA no HW</c:v>
                </c:pt>
                <c:pt idx="7">
                  <c:v>1 - "Avg" CA</c:v>
                </c:pt>
                <c:pt idx="8">
                  <c:v>9 - "Avg" CA no HW Front Load</c:v>
                </c:pt>
              </c:strCache>
            </c:strRef>
          </c:cat>
          <c:val>
            <c:numRef>
              <c:f>'Payback Summary'!$B$2:$B$10</c:f>
              <c:numCache>
                <c:formatCode>0.00</c:formatCode>
                <c:ptCount val="9"/>
                <c:pt idx="0">
                  <c:v>1.568834840537574</c:v>
                </c:pt>
                <c:pt idx="1">
                  <c:v>1.5794803467142264</c:v>
                </c:pt>
                <c:pt idx="2">
                  <c:v>2.5342716654837734</c:v>
                </c:pt>
                <c:pt idx="3">
                  <c:v>2.5514682523845194</c:v>
                </c:pt>
                <c:pt idx="4">
                  <c:v>5.5281812134997912</c:v>
                </c:pt>
                <c:pt idx="5">
                  <c:v>7.309197654764211</c:v>
                </c:pt>
                <c:pt idx="6">
                  <c:v>7.3587950417992314</c:v>
                </c:pt>
                <c:pt idx="7">
                  <c:v>7.6133078017868794</c:v>
                </c:pt>
                <c:pt idx="8">
                  <c:v>7.6514578528152235</c:v>
                </c:pt>
              </c:numCache>
            </c:numRef>
          </c:val>
          <c:extLst>
            <c:ext xmlns:c16="http://schemas.microsoft.com/office/drawing/2014/chart" uri="{C3380CC4-5D6E-409C-BE32-E72D297353CC}">
              <c16:uniqueId val="{00000001-8400-4F20-B0B8-DA06AE754DE8}"/>
            </c:ext>
          </c:extLst>
        </c:ser>
        <c:dLbls>
          <c:showLegendKey val="0"/>
          <c:showVal val="0"/>
          <c:showCatName val="0"/>
          <c:showSerName val="0"/>
          <c:showPercent val="0"/>
          <c:showBubbleSize val="0"/>
        </c:dLbls>
        <c:gapWidth val="219"/>
        <c:axId val="239625544"/>
        <c:axId val="239626720"/>
      </c:barChart>
      <c:catAx>
        <c:axId val="239625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6720"/>
        <c:crosses val="autoZero"/>
        <c:auto val="1"/>
        <c:lblAlgn val="ctr"/>
        <c:lblOffset val="100"/>
        <c:noMultiLvlLbl val="0"/>
      </c:catAx>
      <c:valAx>
        <c:axId val="2396267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5544"/>
        <c:crosses val="autoZero"/>
        <c:crossBetween val="between"/>
        <c:majorUnit val="2"/>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Usual H2O</a:t>
            </a:r>
            <a:r>
              <a:rPr lang="en-US" baseline="0"/>
              <a:t> Temp for Wash</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[1]data!$A$238:$A$241</c:f>
              <c:strCache>
                <c:ptCount val="4"/>
                <c:pt idx="0">
                  <c:v>Hot</c:v>
                </c:pt>
                <c:pt idx="1">
                  <c:v>Warm</c:v>
                </c:pt>
                <c:pt idx="2">
                  <c:v>Cold</c:v>
                </c:pt>
                <c:pt idx="3">
                  <c:v>Do not have or use a clothes washer at home</c:v>
                </c:pt>
              </c:strCache>
            </c:strRef>
          </c:cat>
          <c:val>
            <c:numRef>
              <c:f>'2015 EIA RECS'!$K$238:$K$241</c:f>
              <c:numCache>
                <c:formatCode>0.0</c:formatCode>
                <c:ptCount val="4"/>
                <c:pt idx="0">
                  <c:v>0.8</c:v>
                </c:pt>
                <c:pt idx="1">
                  <c:v>7.3</c:v>
                </c:pt>
                <c:pt idx="2">
                  <c:v>5.5</c:v>
                </c:pt>
                <c:pt idx="3">
                  <c:v>4.3</c:v>
                </c:pt>
              </c:numCache>
            </c:numRef>
          </c:val>
          <c:extLst>
            <c:ext xmlns:c16="http://schemas.microsoft.com/office/drawing/2014/chart" uri="{C3380CC4-5D6E-409C-BE32-E72D297353CC}">
              <c16:uniqueId val="{00000000-CC22-4C53-9E30-08E6EC989E1B}"/>
            </c:ext>
          </c:extLst>
        </c:ser>
        <c:dLbls>
          <c:showLegendKey val="0"/>
          <c:showVal val="0"/>
          <c:showCatName val="0"/>
          <c:showSerName val="0"/>
          <c:showPercent val="0"/>
          <c:showBubbleSize val="0"/>
        </c:dLbls>
        <c:gapWidth val="219"/>
        <c:overlap val="-27"/>
        <c:axId val="239621232"/>
        <c:axId val="239627112"/>
      </c:barChart>
      <c:catAx>
        <c:axId val="239621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7112"/>
        <c:crosses val="autoZero"/>
        <c:auto val="1"/>
        <c:lblAlgn val="ctr"/>
        <c:lblOffset val="100"/>
        <c:noMultiLvlLbl val="0"/>
      </c:catAx>
      <c:valAx>
        <c:axId val="23962711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1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[1]data!$A$223:$A$228</c:f>
              <c:strCache>
                <c:ptCount val="6"/>
                <c:pt idx="0">
                  <c:v>Less than 2 years old</c:v>
                </c:pt>
                <c:pt idx="1">
                  <c:v>2 to 4 years old</c:v>
                </c:pt>
                <c:pt idx="2">
                  <c:v>5 to 9 years old</c:v>
                </c:pt>
                <c:pt idx="3">
                  <c:v>10 to 14 years old</c:v>
                </c:pt>
                <c:pt idx="4">
                  <c:v>15 to 19 years old</c:v>
                </c:pt>
                <c:pt idx="5">
                  <c:v>20 or more years old</c:v>
                </c:pt>
              </c:strCache>
            </c:strRef>
          </c:cat>
          <c:val>
            <c:numRef>
              <c:f>[1]data!$K$223:$K$228</c:f>
              <c:numCache>
                <c:formatCode>General</c:formatCode>
                <c:ptCount val="6"/>
                <c:pt idx="0">
                  <c:v>1.8</c:v>
                </c:pt>
                <c:pt idx="1">
                  <c:v>3</c:v>
                </c:pt>
                <c:pt idx="2">
                  <c:v>5.0999999999999996</c:v>
                </c:pt>
                <c:pt idx="3">
                  <c:v>2.6</c:v>
                </c:pt>
                <c:pt idx="4">
                  <c:v>0.7</c:v>
                </c:pt>
                <c:pt idx="5">
                  <c:v>0.5</c:v>
                </c:pt>
              </c:numCache>
            </c:numRef>
          </c:val>
          <c:extLst>
            <c:ext xmlns:c16="http://schemas.microsoft.com/office/drawing/2014/chart" uri="{C3380CC4-5D6E-409C-BE32-E72D297353CC}">
              <c16:uniqueId val="{00000000-97C5-42A6-AAF3-1BC42123D145}"/>
            </c:ext>
          </c:extLst>
        </c:ser>
        <c:dLbls>
          <c:showLegendKey val="0"/>
          <c:showVal val="0"/>
          <c:showCatName val="0"/>
          <c:showSerName val="0"/>
          <c:showPercent val="0"/>
          <c:showBubbleSize val="0"/>
        </c:dLbls>
        <c:gapWidth val="219"/>
        <c:overlap val="-27"/>
        <c:axId val="239621624"/>
        <c:axId val="239622408"/>
      </c:barChart>
      <c:catAx>
        <c:axId val="23962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2408"/>
        <c:crosses val="autoZero"/>
        <c:auto val="1"/>
        <c:lblAlgn val="ctr"/>
        <c:lblOffset val="100"/>
        <c:noMultiLvlLbl val="0"/>
      </c:catAx>
      <c:valAx>
        <c:axId val="239622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1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Usage</a:t>
            </a:r>
            <a:r>
              <a:rPr lang="en-US" baseline="0"/>
              <a:t> (loads/wk)</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[1]data!$A$231:$A$235</c:f>
              <c:strCache>
                <c:ptCount val="5"/>
                <c:pt idx="0">
                  <c:v>0 loads per week</c:v>
                </c:pt>
                <c:pt idx="1">
                  <c:v>1 to 4 loads per week</c:v>
                </c:pt>
                <c:pt idx="2">
                  <c:v>5 to 9 loads per week</c:v>
                </c:pt>
                <c:pt idx="3">
                  <c:v>10 to 15 loads per week</c:v>
                </c:pt>
                <c:pt idx="4">
                  <c:v>More than 15 loads per week</c:v>
                </c:pt>
              </c:strCache>
            </c:strRef>
          </c:cat>
          <c:val>
            <c:numRef>
              <c:f>[1]data!$K$231:$K$235</c:f>
              <c:numCache>
                <c:formatCode>General</c:formatCode>
                <c:ptCount val="5"/>
                <c:pt idx="0">
                  <c:v>0</c:v>
                </c:pt>
                <c:pt idx="1">
                  <c:v>8.6999999999999993</c:v>
                </c:pt>
                <c:pt idx="2">
                  <c:v>3.8</c:v>
                </c:pt>
                <c:pt idx="3">
                  <c:v>1</c:v>
                </c:pt>
                <c:pt idx="4">
                  <c:v>0</c:v>
                </c:pt>
              </c:numCache>
            </c:numRef>
          </c:val>
          <c:extLst>
            <c:ext xmlns:c16="http://schemas.microsoft.com/office/drawing/2014/chart" uri="{C3380CC4-5D6E-409C-BE32-E72D297353CC}">
              <c16:uniqueId val="{00000000-F714-44CB-9D6C-678951E95743}"/>
            </c:ext>
          </c:extLst>
        </c:ser>
        <c:dLbls>
          <c:showLegendKey val="0"/>
          <c:showVal val="0"/>
          <c:showCatName val="0"/>
          <c:showSerName val="0"/>
          <c:showPercent val="0"/>
          <c:showBubbleSize val="0"/>
        </c:dLbls>
        <c:gapWidth val="219"/>
        <c:overlap val="-27"/>
        <c:axId val="239623584"/>
        <c:axId val="239620056"/>
      </c:barChart>
      <c:catAx>
        <c:axId val="239623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0056"/>
        <c:crosses val="autoZero"/>
        <c:auto val="1"/>
        <c:lblAlgn val="ctr"/>
        <c:lblOffset val="100"/>
        <c:noMultiLvlLbl val="0"/>
      </c:catAx>
      <c:valAx>
        <c:axId val="239620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623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Usual H2O</a:t>
            </a:r>
            <a:r>
              <a:rPr lang="en-US" baseline="0"/>
              <a:t> Temp for Rinse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[1]data!$A$238:$A$241</c:f>
              <c:strCache>
                <c:ptCount val="4"/>
                <c:pt idx="0">
                  <c:v>Hot</c:v>
                </c:pt>
                <c:pt idx="1">
                  <c:v>Warm</c:v>
                </c:pt>
                <c:pt idx="2">
                  <c:v>Cold</c:v>
                </c:pt>
                <c:pt idx="3">
                  <c:v>Do not have or use a clothes washer at home</c:v>
                </c:pt>
              </c:strCache>
            </c:strRef>
          </c:cat>
          <c:val>
            <c:numRef>
              <c:f>'2015 EIA RECS'!$K$243:$K$246</c:f>
              <c:numCache>
                <c:formatCode>0.0</c:formatCode>
                <c:ptCount val="4"/>
                <c:pt idx="0">
                  <c:v>0.3</c:v>
                </c:pt>
                <c:pt idx="1">
                  <c:v>3.5</c:v>
                </c:pt>
                <c:pt idx="2">
                  <c:v>9.8000000000000007</c:v>
                </c:pt>
                <c:pt idx="3">
                  <c:v>4.3</c:v>
                </c:pt>
              </c:numCache>
            </c:numRef>
          </c:val>
          <c:extLst>
            <c:ext xmlns:c16="http://schemas.microsoft.com/office/drawing/2014/chart" uri="{C3380CC4-5D6E-409C-BE32-E72D297353CC}">
              <c16:uniqueId val="{00000000-D043-48EB-A8AE-FABADE7B7E70}"/>
            </c:ext>
          </c:extLst>
        </c:ser>
        <c:dLbls>
          <c:showLegendKey val="0"/>
          <c:showVal val="0"/>
          <c:showCatName val="0"/>
          <c:showSerName val="0"/>
          <c:showPercent val="0"/>
          <c:showBubbleSize val="0"/>
        </c:dLbls>
        <c:gapWidth val="219"/>
        <c:overlap val="-27"/>
        <c:axId val="239317048"/>
        <c:axId val="448817952"/>
      </c:barChart>
      <c:catAx>
        <c:axId val="239317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8817952"/>
        <c:crosses val="autoZero"/>
        <c:auto val="1"/>
        <c:lblAlgn val="ctr"/>
        <c:lblOffset val="100"/>
        <c:noMultiLvlLbl val="0"/>
      </c:catAx>
      <c:valAx>
        <c:axId val="4488179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317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5" tint="0.39997558519241921"/>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667750" cy="629602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15</xdr:col>
      <xdr:colOff>210911</xdr:colOff>
      <xdr:row>236</xdr:row>
      <xdr:rowOff>242206</xdr:rowOff>
    </xdr:from>
    <xdr:to>
      <xdr:col>21</xdr:col>
      <xdr:colOff>537482</xdr:colOff>
      <xdr:row>244</xdr:row>
      <xdr:rowOff>51706</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393246</xdr:colOff>
      <xdr:row>217</xdr:row>
      <xdr:rowOff>107497</xdr:rowOff>
    </xdr:from>
    <xdr:to>
      <xdr:col>22</xdr:col>
      <xdr:colOff>250372</xdr:colOff>
      <xdr:row>227</xdr:row>
      <xdr:rowOff>78922</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115660</xdr:colOff>
      <xdr:row>228</xdr:row>
      <xdr:rowOff>21771</xdr:rowOff>
    </xdr:from>
    <xdr:to>
      <xdr:col>21</xdr:col>
      <xdr:colOff>566057</xdr:colOff>
      <xdr:row>236</xdr:row>
      <xdr:rowOff>183696</xdr:rowOff>
    </xdr:to>
    <xdr:graphicFrame macro="">
      <xdr:nvGraphicFramePr>
        <xdr:cNvPr id="4" name="Chart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329294</xdr:colOff>
      <xdr:row>244</xdr:row>
      <xdr:rowOff>104775</xdr:rowOff>
    </xdr:from>
    <xdr:to>
      <xdr:col>22</xdr:col>
      <xdr:colOff>43544</xdr:colOff>
      <xdr:row>252</xdr:row>
      <xdr:rowOff>238125</xdr:rowOff>
    </xdr:to>
    <xdr:graphicFrame macro="">
      <xdr:nvGraphicFramePr>
        <xdr:cNvPr id="5" name="Chart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22130%20Navigant%20Residential%20Ozone\Data%20and%20References\2015%20EIA%20RECS%20Clothes%20Washer%20Us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rse"/>
    </sheetNames>
    <sheetDataSet>
      <sheetData sheetId="0">
        <row r="223">
          <cell r="A223" t="str">
            <v>Less than 2 years old</v>
          </cell>
          <cell r="K223">
            <v>1.8</v>
          </cell>
        </row>
        <row r="224">
          <cell r="A224" t="str">
            <v>2 to 4 years old</v>
          </cell>
          <cell r="K224">
            <v>3</v>
          </cell>
        </row>
        <row r="225">
          <cell r="A225" t="str">
            <v>5 to 9 years old</v>
          </cell>
          <cell r="K225">
            <v>5.0999999999999996</v>
          </cell>
        </row>
        <row r="226">
          <cell r="A226" t="str">
            <v>10 to 14 years old</v>
          </cell>
          <cell r="K226">
            <v>2.6</v>
          </cell>
        </row>
        <row r="227">
          <cell r="A227" t="str">
            <v>15 to 19 years old</v>
          </cell>
          <cell r="K227">
            <v>0.7</v>
          </cell>
        </row>
        <row r="228">
          <cell r="A228" t="str">
            <v>20 or more years old</v>
          </cell>
          <cell r="K228">
            <v>0.5</v>
          </cell>
        </row>
        <row r="231">
          <cell r="A231" t="str">
            <v>0 loads per week</v>
          </cell>
          <cell r="K231" t="str">
            <v>Q</v>
          </cell>
        </row>
        <row r="232">
          <cell r="A232" t="str">
            <v>1 to 4 loads per week</v>
          </cell>
          <cell r="K232">
            <v>8.6999999999999993</v>
          </cell>
        </row>
        <row r="233">
          <cell r="A233" t="str">
            <v>5 to 9 loads per week</v>
          </cell>
          <cell r="K233">
            <v>3.8</v>
          </cell>
        </row>
        <row r="234">
          <cell r="A234" t="str">
            <v>10 to 15 loads per week</v>
          </cell>
          <cell r="K234">
            <v>1</v>
          </cell>
        </row>
        <row r="235">
          <cell r="A235" t="str">
            <v>More than 15 loads per week</v>
          </cell>
          <cell r="K235" t="str">
            <v>Q</v>
          </cell>
        </row>
        <row r="238">
          <cell r="A238" t="str">
            <v>Hot</v>
          </cell>
        </row>
        <row r="239">
          <cell r="A239" t="str">
            <v>Warm</v>
          </cell>
        </row>
        <row r="240">
          <cell r="A240" t="str">
            <v>Cold</v>
          </cell>
        </row>
        <row r="241">
          <cell r="A241" t="str">
            <v>Do not have or use a clothes washer at home</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34A30-3E5C-41A6-8BA2-C57FB721EA8F}">
  <sheetPr>
    <tabColor theme="4"/>
  </sheetPr>
  <dimension ref="B2:H39"/>
  <sheetViews>
    <sheetView showGridLines="0" tabSelected="1" workbookViewId="0">
      <selection activeCell="B4" sqref="B4"/>
    </sheetView>
  </sheetViews>
  <sheetFormatPr defaultRowHeight="15" x14ac:dyDescent="0.25"/>
  <cols>
    <col min="2" max="2" width="28.42578125" customWidth="1"/>
    <col min="3" max="8" width="20.28515625" customWidth="1"/>
  </cols>
  <sheetData>
    <row r="2" spans="2:8" ht="21" x14ac:dyDescent="0.35">
      <c r="B2" s="96" t="s">
        <v>320</v>
      </c>
    </row>
    <row r="3" spans="2:8" x14ac:dyDescent="0.25">
      <c r="B3" t="s">
        <v>346</v>
      </c>
    </row>
    <row r="5" spans="2:8" ht="15.75" thickBot="1" x14ac:dyDescent="0.3">
      <c r="B5" s="97" t="s">
        <v>321</v>
      </c>
    </row>
    <row r="6" spans="2:8" ht="15" customHeight="1" x14ac:dyDescent="0.25">
      <c r="B6" s="106" t="s">
        <v>344</v>
      </c>
      <c r="C6" s="107"/>
      <c r="D6" s="107"/>
      <c r="E6" s="107"/>
      <c r="F6" s="107"/>
      <c r="G6" s="107"/>
      <c r="H6" s="108"/>
    </row>
    <row r="7" spans="2:8" x14ac:dyDescent="0.25">
      <c r="B7" s="109"/>
      <c r="C7" s="110"/>
      <c r="D7" s="110"/>
      <c r="E7" s="110"/>
      <c r="F7" s="110"/>
      <c r="G7" s="110"/>
      <c r="H7" s="111"/>
    </row>
    <row r="8" spans="2:8" x14ac:dyDescent="0.25">
      <c r="B8" s="109"/>
      <c r="C8" s="110"/>
      <c r="D8" s="110"/>
      <c r="E8" s="110"/>
      <c r="F8" s="110"/>
      <c r="G8" s="110"/>
      <c r="H8" s="111"/>
    </row>
    <row r="9" spans="2:8" x14ac:dyDescent="0.25">
      <c r="B9" s="109"/>
      <c r="C9" s="110"/>
      <c r="D9" s="110"/>
      <c r="E9" s="110"/>
      <c r="F9" s="110"/>
      <c r="G9" s="110"/>
      <c r="H9" s="111"/>
    </row>
    <row r="10" spans="2:8" x14ac:dyDescent="0.25">
      <c r="B10" s="109"/>
      <c r="C10" s="110"/>
      <c r="D10" s="110"/>
      <c r="E10" s="110"/>
      <c r="F10" s="110"/>
      <c r="G10" s="110"/>
      <c r="H10" s="111"/>
    </row>
    <row r="11" spans="2:8" x14ac:dyDescent="0.25">
      <c r="B11" s="109"/>
      <c r="C11" s="110"/>
      <c r="D11" s="110"/>
      <c r="E11" s="110"/>
      <c r="F11" s="110"/>
      <c r="G11" s="110"/>
      <c r="H11" s="111"/>
    </row>
    <row r="12" spans="2:8" x14ac:dyDescent="0.25">
      <c r="B12" s="109"/>
      <c r="C12" s="110"/>
      <c r="D12" s="110"/>
      <c r="E12" s="110"/>
      <c r="F12" s="110"/>
      <c r="G12" s="110"/>
      <c r="H12" s="111"/>
    </row>
    <row r="13" spans="2:8" x14ac:dyDescent="0.25">
      <c r="B13" s="109"/>
      <c r="C13" s="110"/>
      <c r="D13" s="110"/>
      <c r="E13" s="110"/>
      <c r="F13" s="110"/>
      <c r="G13" s="110"/>
      <c r="H13" s="111"/>
    </row>
    <row r="14" spans="2:8" x14ac:dyDescent="0.25">
      <c r="B14" s="109"/>
      <c r="C14" s="110"/>
      <c r="D14" s="110"/>
      <c r="E14" s="110"/>
      <c r="F14" s="110"/>
      <c r="G14" s="110"/>
      <c r="H14" s="111"/>
    </row>
    <row r="15" spans="2:8" x14ac:dyDescent="0.25">
      <c r="B15" s="109"/>
      <c r="C15" s="110"/>
      <c r="D15" s="110"/>
      <c r="E15" s="110"/>
      <c r="F15" s="110"/>
      <c r="G15" s="110"/>
      <c r="H15" s="111"/>
    </row>
    <row r="16" spans="2:8" x14ac:dyDescent="0.25">
      <c r="B16" s="109"/>
      <c r="C16" s="110"/>
      <c r="D16" s="110"/>
      <c r="E16" s="110"/>
      <c r="F16" s="110"/>
      <c r="G16" s="110"/>
      <c r="H16" s="111"/>
    </row>
    <row r="17" spans="2:8" ht="15.75" thickBot="1" x14ac:dyDescent="0.3">
      <c r="B17" s="112"/>
      <c r="C17" s="113"/>
      <c r="D17" s="113"/>
      <c r="E17" s="113"/>
      <c r="F17" s="113"/>
      <c r="G17" s="113"/>
      <c r="H17" s="114"/>
    </row>
    <row r="19" spans="2:8" ht="15.75" thickBot="1" x14ac:dyDescent="0.3">
      <c r="B19" s="97" t="s">
        <v>322</v>
      </c>
    </row>
    <row r="20" spans="2:8" ht="15" customHeight="1" x14ac:dyDescent="0.25">
      <c r="B20" s="106" t="s">
        <v>323</v>
      </c>
      <c r="C20" s="107"/>
      <c r="D20" s="107"/>
      <c r="E20" s="107"/>
      <c r="F20" s="107"/>
      <c r="G20" s="107"/>
      <c r="H20" s="108"/>
    </row>
    <row r="21" spans="2:8" x14ac:dyDescent="0.25">
      <c r="B21" s="109"/>
      <c r="C21" s="110"/>
      <c r="D21" s="110"/>
      <c r="E21" s="110"/>
      <c r="F21" s="110"/>
      <c r="G21" s="110"/>
      <c r="H21" s="111"/>
    </row>
    <row r="22" spans="2:8" x14ac:dyDescent="0.25">
      <c r="B22" s="109"/>
      <c r="C22" s="110"/>
      <c r="D22" s="110"/>
      <c r="E22" s="110"/>
      <c r="F22" s="110"/>
      <c r="G22" s="110"/>
      <c r="H22" s="111"/>
    </row>
    <row r="23" spans="2:8" x14ac:dyDescent="0.25">
      <c r="B23" s="109"/>
      <c r="C23" s="110"/>
      <c r="D23" s="110"/>
      <c r="E23" s="110"/>
      <c r="F23" s="110"/>
      <c r="G23" s="110"/>
      <c r="H23" s="111"/>
    </row>
    <row r="24" spans="2:8" x14ac:dyDescent="0.25">
      <c r="B24" s="109"/>
      <c r="C24" s="110"/>
      <c r="D24" s="110"/>
      <c r="E24" s="110"/>
      <c r="F24" s="110"/>
      <c r="G24" s="110"/>
      <c r="H24" s="111"/>
    </row>
    <row r="25" spans="2:8" x14ac:dyDescent="0.25">
      <c r="B25" s="109"/>
      <c r="C25" s="110"/>
      <c r="D25" s="110"/>
      <c r="E25" s="110"/>
      <c r="F25" s="110"/>
      <c r="G25" s="110"/>
      <c r="H25" s="111"/>
    </row>
    <row r="26" spans="2:8" x14ac:dyDescent="0.25">
      <c r="B26" s="109"/>
      <c r="C26" s="110"/>
      <c r="D26" s="110"/>
      <c r="E26" s="110"/>
      <c r="F26" s="110"/>
      <c r="G26" s="110"/>
      <c r="H26" s="111"/>
    </row>
    <row r="27" spans="2:8" x14ac:dyDescent="0.25">
      <c r="B27" s="109"/>
      <c r="C27" s="110"/>
      <c r="D27" s="110"/>
      <c r="E27" s="110"/>
      <c r="F27" s="110"/>
      <c r="G27" s="110"/>
      <c r="H27" s="111"/>
    </row>
    <row r="28" spans="2:8" ht="15.75" thickBot="1" x14ac:dyDescent="0.3">
      <c r="B28" s="112"/>
      <c r="C28" s="113"/>
      <c r="D28" s="113"/>
      <c r="E28" s="113"/>
      <c r="F28" s="113"/>
      <c r="G28" s="113"/>
      <c r="H28" s="114"/>
    </row>
    <row r="29" spans="2:8" x14ac:dyDescent="0.25">
      <c r="B29" s="100"/>
      <c r="C29" s="100"/>
      <c r="D29" s="100"/>
      <c r="E29" s="100"/>
      <c r="F29" s="100"/>
      <c r="G29" s="100"/>
      <c r="H29" s="100"/>
    </row>
    <row r="30" spans="2:8" ht="15.75" thickBot="1" x14ac:dyDescent="0.3">
      <c r="B30" s="97" t="s">
        <v>342</v>
      </c>
      <c r="C30" s="100"/>
      <c r="D30" s="100"/>
      <c r="E30" s="100"/>
      <c r="F30" s="100"/>
      <c r="G30" s="100"/>
      <c r="H30" s="100"/>
    </row>
    <row r="31" spans="2:8" x14ac:dyDescent="0.25">
      <c r="B31" s="101" t="s">
        <v>324</v>
      </c>
      <c r="C31" s="115" t="s">
        <v>333</v>
      </c>
      <c r="D31" s="115"/>
      <c r="E31" s="115"/>
      <c r="F31" s="115"/>
      <c r="G31" s="115"/>
      <c r="H31" s="116"/>
    </row>
    <row r="32" spans="2:8" ht="49.5" customHeight="1" x14ac:dyDescent="0.25">
      <c r="B32" s="102" t="s">
        <v>325</v>
      </c>
      <c r="C32" s="121" t="s">
        <v>341</v>
      </c>
      <c r="D32" s="121"/>
      <c r="E32" s="121"/>
      <c r="F32" s="121"/>
      <c r="G32" s="121"/>
      <c r="H32" s="122"/>
    </row>
    <row r="33" spans="2:8" x14ac:dyDescent="0.25">
      <c r="B33" s="103" t="s">
        <v>326</v>
      </c>
      <c r="C33" s="117" t="s">
        <v>334</v>
      </c>
      <c r="D33" s="117"/>
      <c r="E33" s="117"/>
      <c r="F33" s="117"/>
      <c r="G33" s="117"/>
      <c r="H33" s="118"/>
    </row>
    <row r="34" spans="2:8" x14ac:dyDescent="0.25">
      <c r="B34" s="103" t="s">
        <v>327</v>
      </c>
      <c r="C34" s="117" t="s">
        <v>335</v>
      </c>
      <c r="D34" s="117"/>
      <c r="E34" s="117"/>
      <c r="F34" s="117"/>
      <c r="G34" s="117"/>
      <c r="H34" s="118"/>
    </row>
    <row r="35" spans="2:8" x14ac:dyDescent="0.25">
      <c r="B35" s="103" t="s">
        <v>328</v>
      </c>
      <c r="C35" s="117" t="s">
        <v>336</v>
      </c>
      <c r="D35" s="117"/>
      <c r="E35" s="117"/>
      <c r="F35" s="117"/>
      <c r="G35" s="117"/>
      <c r="H35" s="118"/>
    </row>
    <row r="36" spans="2:8" x14ac:dyDescent="0.25">
      <c r="B36" s="103" t="s">
        <v>329</v>
      </c>
      <c r="C36" s="117" t="s">
        <v>337</v>
      </c>
      <c r="D36" s="117"/>
      <c r="E36" s="117"/>
      <c r="F36" s="117"/>
      <c r="G36" s="117"/>
      <c r="H36" s="118"/>
    </row>
    <row r="37" spans="2:8" x14ac:dyDescent="0.25">
      <c r="B37" s="103" t="s">
        <v>330</v>
      </c>
      <c r="C37" s="117" t="s">
        <v>339</v>
      </c>
      <c r="D37" s="117"/>
      <c r="E37" s="117"/>
      <c r="F37" s="117"/>
      <c r="G37" s="117"/>
      <c r="H37" s="118"/>
    </row>
    <row r="38" spans="2:8" x14ac:dyDescent="0.25">
      <c r="B38" s="103" t="s">
        <v>331</v>
      </c>
      <c r="C38" s="117" t="s">
        <v>340</v>
      </c>
      <c r="D38" s="117"/>
      <c r="E38" s="117"/>
      <c r="F38" s="117"/>
      <c r="G38" s="117"/>
      <c r="H38" s="118"/>
    </row>
    <row r="39" spans="2:8" ht="15.75" thickBot="1" x14ac:dyDescent="0.3">
      <c r="B39" s="104" t="s">
        <v>332</v>
      </c>
      <c r="C39" s="119" t="s">
        <v>338</v>
      </c>
      <c r="D39" s="119"/>
      <c r="E39" s="119"/>
      <c r="F39" s="119"/>
      <c r="G39" s="119"/>
      <c r="H39" s="120"/>
    </row>
  </sheetData>
  <mergeCells count="11">
    <mergeCell ref="B6:H17"/>
    <mergeCell ref="B20:H28"/>
    <mergeCell ref="C31:H31"/>
    <mergeCell ref="C38:H38"/>
    <mergeCell ref="C39:H39"/>
    <mergeCell ref="C32:H32"/>
    <mergeCell ref="C33:H33"/>
    <mergeCell ref="C34:H34"/>
    <mergeCell ref="C35:H35"/>
    <mergeCell ref="C36:H36"/>
    <mergeCell ref="C37:H3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sheetPr>
  <dimension ref="A1:P31"/>
  <sheetViews>
    <sheetView workbookViewId="0">
      <selection activeCell="N11" sqref="N11"/>
    </sheetView>
  </sheetViews>
  <sheetFormatPr defaultRowHeight="15" x14ac:dyDescent="0.25"/>
  <cols>
    <col min="1" max="1" width="12.5703125" customWidth="1"/>
    <col min="2" max="2" width="11.140625" customWidth="1"/>
    <col min="4" max="4" width="15" bestFit="1" customWidth="1"/>
    <col min="6" max="6" width="16.42578125" bestFit="1" customWidth="1"/>
    <col min="7" max="7" width="15" bestFit="1" customWidth="1"/>
    <col min="8" max="8" width="15.5703125" bestFit="1" customWidth="1"/>
    <col min="9" max="9" width="13.5703125" customWidth="1"/>
    <col min="10" max="10" width="11.5703125" bestFit="1" customWidth="1"/>
    <col min="11" max="11" width="12.28515625" bestFit="1" customWidth="1"/>
    <col min="13" max="13" width="42.140625" customWidth="1"/>
    <col min="14" max="14" width="11" customWidth="1"/>
  </cols>
  <sheetData>
    <row r="1" spans="1:16" x14ac:dyDescent="0.25">
      <c r="A1" t="s">
        <v>40</v>
      </c>
    </row>
    <row r="2" spans="1:16" x14ac:dyDescent="0.25">
      <c r="A2" t="s">
        <v>67</v>
      </c>
      <c r="B2" t="s">
        <v>68</v>
      </c>
      <c r="C2" t="s">
        <v>69</v>
      </c>
      <c r="D2" t="s">
        <v>70</v>
      </c>
      <c r="E2" t="s">
        <v>66</v>
      </c>
      <c r="F2" s="19" t="s">
        <v>71</v>
      </c>
      <c r="H2" s="19"/>
      <c r="I2" s="6" t="s">
        <v>72</v>
      </c>
    </row>
    <row r="3" spans="1:16" x14ac:dyDescent="0.25">
      <c r="A3" s="18" t="s">
        <v>75</v>
      </c>
      <c r="B3" s="18" t="s">
        <v>63</v>
      </c>
      <c r="C3" s="18" t="s">
        <v>76</v>
      </c>
      <c r="D3" s="18" t="s">
        <v>77</v>
      </c>
      <c r="E3" s="6">
        <v>4</v>
      </c>
      <c r="F3" s="6">
        <v>447</v>
      </c>
    </row>
    <row r="4" spans="1:16" x14ac:dyDescent="0.25">
      <c r="H4" s="2"/>
      <c r="I4" t="s">
        <v>12</v>
      </c>
    </row>
    <row r="5" spans="1:16" x14ac:dyDescent="0.25">
      <c r="A5" t="s">
        <v>1</v>
      </c>
      <c r="H5" s="3"/>
      <c r="I5" t="s">
        <v>13</v>
      </c>
      <c r="N5" t="s">
        <v>12</v>
      </c>
      <c r="O5" t="s">
        <v>13</v>
      </c>
    </row>
    <row r="6" spans="1:16" x14ac:dyDescent="0.25">
      <c r="A6" t="s">
        <v>2</v>
      </c>
      <c r="B6" t="s">
        <v>3</v>
      </c>
      <c r="C6" t="s">
        <v>4</v>
      </c>
      <c r="D6" t="s">
        <v>5</v>
      </c>
      <c r="E6" t="s">
        <v>6</v>
      </c>
      <c r="F6" t="s">
        <v>7</v>
      </c>
      <c r="G6" t="s">
        <v>8</v>
      </c>
      <c r="H6" t="s">
        <v>9</v>
      </c>
      <c r="I6" t="s">
        <v>10</v>
      </c>
      <c r="J6" t="s">
        <v>11</v>
      </c>
      <c r="K6" t="s">
        <v>15</v>
      </c>
      <c r="M6" t="s">
        <v>49</v>
      </c>
      <c r="N6" s="8">
        <f>AVERAGE(G7:G11)</f>
        <v>14.704000000000002</v>
      </c>
      <c r="O6" s="8">
        <f xml:space="preserve"> AVERAGE(G15,G17,G27)</f>
        <v>10.433333333333332</v>
      </c>
      <c r="P6" s="8"/>
    </row>
    <row r="7" spans="1:16" x14ac:dyDescent="0.25">
      <c r="A7" s="4">
        <v>42281</v>
      </c>
      <c r="B7" s="2">
        <v>53.2</v>
      </c>
      <c r="C7" s="2">
        <v>419.34</v>
      </c>
      <c r="D7" s="2">
        <v>0</v>
      </c>
      <c r="E7" s="2">
        <v>29.08</v>
      </c>
      <c r="F7" s="2">
        <v>67.2</v>
      </c>
      <c r="G7" s="2">
        <v>15.16</v>
      </c>
      <c r="H7" s="2">
        <v>132.19999999999999</v>
      </c>
      <c r="I7" s="2">
        <v>0</v>
      </c>
      <c r="J7" s="2">
        <v>4</v>
      </c>
      <c r="K7" s="2">
        <f>SUM(I7:J7)</f>
        <v>4</v>
      </c>
      <c r="M7" t="s">
        <v>48</v>
      </c>
      <c r="N7" s="8">
        <f>AVERAGE(E7:E11)</f>
        <v>32.012</v>
      </c>
      <c r="O7" s="8">
        <f>AVERAGE(E13:E27)</f>
        <v>54.774333333333331</v>
      </c>
      <c r="P7" s="8"/>
    </row>
    <row r="8" spans="1:16" x14ac:dyDescent="0.25">
      <c r="A8" s="4">
        <v>42288</v>
      </c>
      <c r="B8" s="2">
        <v>56.86</v>
      </c>
      <c r="C8" s="2">
        <v>437.93</v>
      </c>
      <c r="D8" s="2">
        <v>0</v>
      </c>
      <c r="E8" s="2">
        <v>35.94</v>
      </c>
      <c r="F8" s="2">
        <v>67</v>
      </c>
      <c r="G8" s="2">
        <v>14.62</v>
      </c>
      <c r="H8" s="2">
        <v>130</v>
      </c>
      <c r="I8" s="2">
        <v>1</v>
      </c>
      <c r="J8" s="2">
        <v>10</v>
      </c>
      <c r="K8" s="2">
        <f t="shared" ref="K8:K19" si="0">SUM(I8:J8)</f>
        <v>11</v>
      </c>
      <c r="M8" t="s">
        <v>47</v>
      </c>
      <c r="N8" s="8">
        <v>0</v>
      </c>
      <c r="O8" s="8">
        <f>AVERAGE(D13:D27)</f>
        <v>0.2096666666666667</v>
      </c>
      <c r="P8" s="8"/>
    </row>
    <row r="9" spans="1:16" x14ac:dyDescent="0.25">
      <c r="A9" s="4">
        <v>42295</v>
      </c>
      <c r="B9" s="2">
        <v>47.97</v>
      </c>
      <c r="C9" s="2">
        <v>332.97</v>
      </c>
      <c r="D9" s="2">
        <v>0</v>
      </c>
      <c r="E9" s="2">
        <v>24.54</v>
      </c>
      <c r="F9" s="2">
        <v>65.599999999999994</v>
      </c>
      <c r="G9" s="2">
        <v>14.56</v>
      </c>
      <c r="H9" s="2">
        <v>131.9</v>
      </c>
      <c r="I9" s="2">
        <v>1</v>
      </c>
      <c r="J9" s="2">
        <v>12</v>
      </c>
      <c r="K9" s="2">
        <f t="shared" si="0"/>
        <v>13</v>
      </c>
      <c r="M9" t="s">
        <v>46</v>
      </c>
      <c r="N9" s="8">
        <f>AVERAGE(I7:I11)</f>
        <v>1.2</v>
      </c>
      <c r="O9" s="8">
        <f>AVERAGE(I13:I27)</f>
        <v>8.4</v>
      </c>
      <c r="P9" s="8"/>
    </row>
    <row r="10" spans="1:16" x14ac:dyDescent="0.25">
      <c r="A10" s="4">
        <v>42302</v>
      </c>
      <c r="B10" s="2">
        <v>58.4</v>
      </c>
      <c r="C10" s="2">
        <v>393.94</v>
      </c>
      <c r="D10" s="2">
        <v>0</v>
      </c>
      <c r="E10" s="2">
        <v>43.55</v>
      </c>
      <c r="F10" s="2">
        <v>64.3</v>
      </c>
      <c r="G10" s="2">
        <v>12.29</v>
      </c>
      <c r="H10" s="2">
        <v>125.8</v>
      </c>
      <c r="I10" s="2">
        <v>3</v>
      </c>
      <c r="J10" s="2">
        <v>5</v>
      </c>
      <c r="K10" s="2">
        <f t="shared" si="0"/>
        <v>8</v>
      </c>
      <c r="M10" t="s">
        <v>45</v>
      </c>
      <c r="N10" s="8">
        <f>AVERAGE(J7:J11)</f>
        <v>7.6</v>
      </c>
      <c r="O10" s="8">
        <f>AVERAGE(J13:J27)</f>
        <v>0.4</v>
      </c>
      <c r="P10" s="8"/>
    </row>
    <row r="11" spans="1:16" x14ac:dyDescent="0.25">
      <c r="A11" s="4">
        <v>42309</v>
      </c>
      <c r="B11" s="2">
        <v>66.88</v>
      </c>
      <c r="C11" s="2">
        <v>468</v>
      </c>
      <c r="D11" s="2">
        <v>0</v>
      </c>
      <c r="E11" s="2">
        <v>26.95</v>
      </c>
      <c r="F11" s="2">
        <v>63.4</v>
      </c>
      <c r="G11" s="2">
        <v>16.89</v>
      </c>
      <c r="H11" s="2">
        <v>129.69999999999999</v>
      </c>
      <c r="I11" s="2">
        <v>1</v>
      </c>
      <c r="J11" s="2">
        <v>7</v>
      </c>
      <c r="K11" s="2">
        <f t="shared" si="0"/>
        <v>8</v>
      </c>
      <c r="M11" t="s">
        <v>44</v>
      </c>
      <c r="N11" s="8">
        <f>SUM(N9:N10)</f>
        <v>8.7999999999999989</v>
      </c>
      <c r="O11" s="8">
        <f>SUM(O9:O10)</f>
        <v>8.8000000000000007</v>
      </c>
      <c r="P11" s="8"/>
    </row>
    <row r="12" spans="1:16" x14ac:dyDescent="0.25">
      <c r="A12" s="1">
        <v>42316</v>
      </c>
      <c r="B12">
        <v>56.49</v>
      </c>
      <c r="C12">
        <v>395.4</v>
      </c>
      <c r="D12">
        <v>0.09</v>
      </c>
      <c r="E12">
        <v>41.71</v>
      </c>
      <c r="F12">
        <v>62</v>
      </c>
      <c r="G12">
        <v>15.75</v>
      </c>
      <c r="H12">
        <v>130.30000000000001</v>
      </c>
      <c r="I12">
        <v>9</v>
      </c>
      <c r="J12">
        <v>6</v>
      </c>
      <c r="K12" s="6">
        <f t="shared" si="0"/>
        <v>15</v>
      </c>
      <c r="M12" t="s">
        <v>42</v>
      </c>
      <c r="N12" s="14">
        <f>N10/N11</f>
        <v>0.86363636363636365</v>
      </c>
      <c r="O12" s="14">
        <f>O10/O11</f>
        <v>4.5454545454545456E-2</v>
      </c>
      <c r="P12" s="8"/>
    </row>
    <row r="13" spans="1:16" x14ac:dyDescent="0.25">
      <c r="A13" s="7">
        <v>42323</v>
      </c>
      <c r="B13" s="3">
        <v>68.47</v>
      </c>
      <c r="C13" s="3">
        <v>514.07000000000005</v>
      </c>
      <c r="D13" s="3">
        <v>0.18</v>
      </c>
      <c r="E13" s="3">
        <v>53.14</v>
      </c>
      <c r="F13" s="3">
        <v>60.8</v>
      </c>
      <c r="G13" s="3">
        <v>0</v>
      </c>
      <c r="H13" s="3">
        <v>0</v>
      </c>
      <c r="I13" s="3">
        <v>9</v>
      </c>
      <c r="J13" s="3">
        <v>0</v>
      </c>
      <c r="K13" s="3">
        <f t="shared" si="0"/>
        <v>9</v>
      </c>
      <c r="M13" t="s">
        <v>43</v>
      </c>
      <c r="N13" s="8">
        <f>AVERAGE(K7:K27)</f>
        <v>9.0952380952380949</v>
      </c>
      <c r="O13" s="8">
        <f>AVERAGE(K7:K27)</f>
        <v>9.0952380952380949</v>
      </c>
      <c r="P13" s="8"/>
    </row>
    <row r="14" spans="1:16" x14ac:dyDescent="0.25">
      <c r="A14" s="7">
        <v>42330</v>
      </c>
      <c r="B14" s="3">
        <v>62.41</v>
      </c>
      <c r="C14" s="3">
        <v>455.01</v>
      </c>
      <c r="D14" s="3">
        <v>0.16</v>
      </c>
      <c r="E14" s="3">
        <v>57.98</v>
      </c>
      <c r="F14" s="3">
        <v>59.3</v>
      </c>
      <c r="G14" s="3">
        <v>0</v>
      </c>
      <c r="H14" s="3">
        <v>0</v>
      </c>
      <c r="I14" s="3">
        <v>7</v>
      </c>
      <c r="J14" s="3">
        <v>0</v>
      </c>
      <c r="K14" s="3">
        <f t="shared" si="0"/>
        <v>7</v>
      </c>
      <c r="N14" s="8"/>
      <c r="O14" s="8"/>
      <c r="P14" s="8"/>
    </row>
    <row r="15" spans="1:16" x14ac:dyDescent="0.25">
      <c r="A15" s="7">
        <v>42337</v>
      </c>
      <c r="B15" s="3">
        <v>57.13</v>
      </c>
      <c r="C15" s="3">
        <v>440.68</v>
      </c>
      <c r="D15" s="3">
        <v>0.13</v>
      </c>
      <c r="E15" s="3">
        <v>50.61</v>
      </c>
      <c r="F15" s="3">
        <v>57</v>
      </c>
      <c r="G15" s="3">
        <v>12.1</v>
      </c>
      <c r="H15" s="3">
        <v>128.6</v>
      </c>
      <c r="I15" s="3">
        <v>11</v>
      </c>
      <c r="J15" s="3">
        <v>2</v>
      </c>
      <c r="K15" s="3">
        <f t="shared" si="0"/>
        <v>13</v>
      </c>
      <c r="O15" s="8"/>
      <c r="P15" s="8"/>
    </row>
    <row r="16" spans="1:16" x14ac:dyDescent="0.25">
      <c r="A16" s="7">
        <v>42344</v>
      </c>
      <c r="B16" s="3">
        <v>53.68</v>
      </c>
      <c r="C16" s="3">
        <v>409.74</v>
      </c>
      <c r="D16" s="3">
        <v>0.15</v>
      </c>
      <c r="E16" s="3">
        <v>61.17</v>
      </c>
      <c r="F16" s="3">
        <v>55.8</v>
      </c>
      <c r="G16" s="3">
        <v>0</v>
      </c>
      <c r="H16" s="3">
        <v>0</v>
      </c>
      <c r="I16" s="3">
        <v>5</v>
      </c>
      <c r="J16" s="3">
        <v>0</v>
      </c>
      <c r="K16" s="3">
        <f t="shared" si="0"/>
        <v>5</v>
      </c>
      <c r="M16" t="s">
        <v>20</v>
      </c>
      <c r="N16" s="9">
        <v>0.77</v>
      </c>
      <c r="O16" s="8"/>
      <c r="P16" s="8"/>
    </row>
    <row r="17" spans="1:16" x14ac:dyDescent="0.25">
      <c r="A17" s="7">
        <v>42351</v>
      </c>
      <c r="B17" s="3">
        <v>60.46</v>
      </c>
      <c r="C17" s="3">
        <v>408.3</v>
      </c>
      <c r="D17" s="3">
        <v>0.19</v>
      </c>
      <c r="E17" s="3">
        <v>56.7</v>
      </c>
      <c r="F17" s="3">
        <v>56.2</v>
      </c>
      <c r="G17" s="3">
        <v>13.35</v>
      </c>
      <c r="H17" s="3">
        <v>133.1</v>
      </c>
      <c r="I17" s="3">
        <v>6</v>
      </c>
      <c r="J17" s="3">
        <v>2</v>
      </c>
      <c r="K17" s="3">
        <f t="shared" si="0"/>
        <v>8</v>
      </c>
      <c r="M17" t="s">
        <v>21</v>
      </c>
      <c r="N17" s="9">
        <v>0.125</v>
      </c>
      <c r="O17" s="8"/>
      <c r="P17" s="8"/>
    </row>
    <row r="18" spans="1:16" x14ac:dyDescent="0.25">
      <c r="A18" s="7">
        <v>42358</v>
      </c>
      <c r="B18" s="3">
        <v>80.44</v>
      </c>
      <c r="C18" s="3">
        <v>615.05999999999995</v>
      </c>
      <c r="D18" s="3">
        <v>0.15</v>
      </c>
      <c r="E18" s="3">
        <v>67.14</v>
      </c>
      <c r="F18" s="3">
        <v>54.3</v>
      </c>
      <c r="G18" s="3">
        <v>0</v>
      </c>
      <c r="H18" s="3">
        <v>0</v>
      </c>
      <c r="I18" s="3">
        <v>5</v>
      </c>
      <c r="J18" s="3">
        <v>0</v>
      </c>
      <c r="K18" s="3">
        <f t="shared" si="0"/>
        <v>5</v>
      </c>
      <c r="M18" t="s">
        <v>16</v>
      </c>
      <c r="N18" s="8">
        <f>AVERAGE(H7:H11)</f>
        <v>129.91999999999999</v>
      </c>
      <c r="O18" s="8"/>
      <c r="P18" s="8"/>
    </row>
    <row r="19" spans="1:16" x14ac:dyDescent="0.25">
      <c r="A19" s="7">
        <v>42365</v>
      </c>
      <c r="B19" s="15">
        <v>70.844999999999999</v>
      </c>
      <c r="C19" s="15">
        <v>516.82500000000005</v>
      </c>
      <c r="D19" s="15">
        <v>0.10500000000000001</v>
      </c>
      <c r="E19" s="15">
        <v>48.275000000000006</v>
      </c>
      <c r="F19" s="15">
        <v>53.150000000000006</v>
      </c>
      <c r="G19" s="15">
        <v>0</v>
      </c>
      <c r="H19" s="15">
        <v>0</v>
      </c>
      <c r="I19" s="15">
        <v>5</v>
      </c>
      <c r="J19" s="15">
        <v>0</v>
      </c>
      <c r="K19" s="3">
        <f t="shared" si="0"/>
        <v>5</v>
      </c>
      <c r="M19" t="s">
        <v>17</v>
      </c>
      <c r="N19" s="8">
        <v>54</v>
      </c>
      <c r="O19" s="8"/>
      <c r="P19" s="8"/>
    </row>
    <row r="20" spans="1:16" x14ac:dyDescent="0.25">
      <c r="A20" s="7">
        <v>42372</v>
      </c>
      <c r="B20" s="3">
        <v>54.07</v>
      </c>
      <c r="C20" s="3">
        <v>411.04</v>
      </c>
      <c r="D20" s="3">
        <v>0.16</v>
      </c>
      <c r="E20" s="3">
        <v>60.5</v>
      </c>
      <c r="F20" s="3">
        <v>52.7</v>
      </c>
      <c r="G20" s="3">
        <v>0</v>
      </c>
      <c r="H20" s="3">
        <v>0</v>
      </c>
      <c r="I20" s="3">
        <v>8</v>
      </c>
      <c r="J20" s="3">
        <v>0</v>
      </c>
      <c r="K20" s="3">
        <f t="shared" ref="K20:K27" si="1">SUM(I20:J20)</f>
        <v>8</v>
      </c>
      <c r="M20" t="s">
        <v>19</v>
      </c>
      <c r="N20" s="8">
        <f>($N6*8.33*(N13*N12)*(N18-N19)/0.58*52/100000)-$O6*8.33*(O13*O12)*(N18-N19)/0.58*52/100000</f>
        <v>63.041661300242147</v>
      </c>
      <c r="O20" s="8"/>
      <c r="P20" s="8"/>
    </row>
    <row r="21" spans="1:16" x14ac:dyDescent="0.25">
      <c r="A21" s="7">
        <v>42379</v>
      </c>
      <c r="B21" s="3">
        <v>56.67</v>
      </c>
      <c r="C21" s="3">
        <v>424.38</v>
      </c>
      <c r="D21" s="3">
        <v>0.12</v>
      </c>
      <c r="E21" s="3">
        <v>49.39</v>
      </c>
      <c r="F21" s="3">
        <v>51.5</v>
      </c>
      <c r="G21" s="3">
        <v>0</v>
      </c>
      <c r="H21" s="3">
        <v>0</v>
      </c>
      <c r="I21" s="3">
        <v>17</v>
      </c>
      <c r="J21" s="3">
        <v>0</v>
      </c>
      <c r="K21" s="3">
        <f t="shared" si="1"/>
        <v>17</v>
      </c>
      <c r="M21" t="s">
        <v>18</v>
      </c>
      <c r="N21" s="8">
        <f>$N6*8.33*(N13*N12)*(N18-N19)/0.58*52/100000</f>
        <v>65.487292833477952</v>
      </c>
      <c r="O21" s="8"/>
    </row>
    <row r="22" spans="1:16" x14ac:dyDescent="0.25">
      <c r="A22" s="7">
        <v>42386</v>
      </c>
      <c r="B22" s="3">
        <v>55.16</v>
      </c>
      <c r="C22" s="3">
        <v>385.23</v>
      </c>
      <c r="D22" s="3">
        <v>0.17</v>
      </c>
      <c r="E22" s="3">
        <v>57.21</v>
      </c>
      <c r="F22" s="3">
        <v>50.3</v>
      </c>
      <c r="G22" s="3">
        <v>0</v>
      </c>
      <c r="H22" s="3">
        <v>0</v>
      </c>
      <c r="I22" s="3">
        <v>9</v>
      </c>
      <c r="J22" s="3">
        <v>0</v>
      </c>
      <c r="K22" s="3">
        <f t="shared" si="1"/>
        <v>9</v>
      </c>
      <c r="M22" t="s">
        <v>22</v>
      </c>
      <c r="N22" s="10">
        <f>N20*N16</f>
        <v>48.542079201186453</v>
      </c>
    </row>
    <row r="23" spans="1:16" x14ac:dyDescent="0.25">
      <c r="A23" s="7">
        <v>42393</v>
      </c>
      <c r="B23" s="3">
        <v>66.42</v>
      </c>
      <c r="C23" s="3">
        <v>484.65</v>
      </c>
      <c r="D23" s="3">
        <v>0.31</v>
      </c>
      <c r="E23" s="3">
        <v>63.27</v>
      </c>
      <c r="F23" s="3">
        <v>49.3</v>
      </c>
      <c r="G23" s="3">
        <v>0</v>
      </c>
      <c r="H23" s="3">
        <v>0</v>
      </c>
      <c r="I23" s="3">
        <v>12</v>
      </c>
      <c r="J23" s="3">
        <v>0</v>
      </c>
      <c r="K23" s="3">
        <f t="shared" si="1"/>
        <v>12</v>
      </c>
      <c r="M23" t="s">
        <v>23</v>
      </c>
      <c r="N23" s="10">
        <f>N21*N16</f>
        <v>50.425215481778025</v>
      </c>
    </row>
    <row r="24" spans="1:16" x14ac:dyDescent="0.25">
      <c r="A24" s="7">
        <v>42400</v>
      </c>
      <c r="B24" s="3">
        <v>53.46</v>
      </c>
      <c r="C24" s="3">
        <v>385.67</v>
      </c>
      <c r="D24" s="3">
        <v>0.25</v>
      </c>
      <c r="E24" s="3">
        <v>48.45</v>
      </c>
      <c r="F24" s="3">
        <v>47.4</v>
      </c>
      <c r="G24" s="3">
        <v>0</v>
      </c>
      <c r="H24" s="3">
        <v>0</v>
      </c>
      <c r="I24" s="3">
        <v>7</v>
      </c>
      <c r="J24" s="3">
        <v>0</v>
      </c>
      <c r="K24" s="3">
        <f t="shared" si="1"/>
        <v>7</v>
      </c>
      <c r="M24" t="s">
        <v>24</v>
      </c>
      <c r="N24" s="11">
        <f>O8*N13*52/1000</f>
        <v>9.9162349206349226E-2</v>
      </c>
    </row>
    <row r="25" spans="1:16" x14ac:dyDescent="0.25">
      <c r="A25" s="7">
        <v>42407</v>
      </c>
      <c r="B25" s="3">
        <v>54.85</v>
      </c>
      <c r="C25" s="3">
        <v>455.21</v>
      </c>
      <c r="D25" s="3">
        <v>0.5</v>
      </c>
      <c r="E25" s="3">
        <v>50.09</v>
      </c>
      <c r="F25" s="3">
        <v>48.4</v>
      </c>
      <c r="G25" s="3">
        <v>0</v>
      </c>
      <c r="H25" s="3">
        <v>0</v>
      </c>
      <c r="I25" s="3">
        <v>11</v>
      </c>
      <c r="J25" s="3">
        <v>0</v>
      </c>
      <c r="K25" s="3">
        <f t="shared" si="1"/>
        <v>11</v>
      </c>
      <c r="M25" t="s">
        <v>25</v>
      </c>
      <c r="N25" s="12">
        <f>N17*N24</f>
        <v>1.2395293650793653E-2</v>
      </c>
    </row>
    <row r="26" spans="1:16" x14ac:dyDescent="0.25">
      <c r="A26" s="7">
        <v>42414</v>
      </c>
      <c r="B26" s="3">
        <v>50.4</v>
      </c>
      <c r="C26" s="3">
        <v>354.9</v>
      </c>
      <c r="D26" s="3">
        <v>0.39</v>
      </c>
      <c r="E26" s="3">
        <v>51.54</v>
      </c>
      <c r="F26" s="3">
        <v>49</v>
      </c>
      <c r="G26" s="3">
        <v>0</v>
      </c>
      <c r="H26" s="3">
        <v>0</v>
      </c>
      <c r="I26" s="3">
        <v>9</v>
      </c>
      <c r="J26" s="3">
        <v>0</v>
      </c>
      <c r="K26" s="3">
        <f t="shared" si="1"/>
        <v>9</v>
      </c>
    </row>
    <row r="27" spans="1:16" x14ac:dyDescent="0.25">
      <c r="A27" s="7">
        <v>42421</v>
      </c>
      <c r="B27" s="3">
        <v>51.42</v>
      </c>
      <c r="C27" s="3">
        <v>368.16</v>
      </c>
      <c r="D27" s="3">
        <v>0.18</v>
      </c>
      <c r="E27" s="3">
        <v>46.15</v>
      </c>
      <c r="F27" s="3">
        <v>47.2</v>
      </c>
      <c r="G27" s="3">
        <v>5.85</v>
      </c>
      <c r="H27" s="3">
        <v>138.9</v>
      </c>
      <c r="I27" s="3">
        <v>5</v>
      </c>
      <c r="J27" s="3">
        <v>2</v>
      </c>
      <c r="K27" s="3">
        <f t="shared" si="1"/>
        <v>7</v>
      </c>
      <c r="M27" t="s">
        <v>35</v>
      </c>
      <c r="N27" s="9">
        <v>0.16</v>
      </c>
    </row>
    <row r="28" spans="1:16" x14ac:dyDescent="0.25">
      <c r="M28" t="s">
        <v>36</v>
      </c>
      <c r="N28" s="10">
        <f>N13*N27*52</f>
        <v>75.672380952380948</v>
      </c>
    </row>
    <row r="30" spans="1:16" x14ac:dyDescent="0.25">
      <c r="M30" t="s">
        <v>37</v>
      </c>
      <c r="N30" s="12">
        <v>300</v>
      </c>
    </row>
    <row r="31" spans="1:16" x14ac:dyDescent="0.25">
      <c r="M31" t="s">
        <v>38</v>
      </c>
      <c r="N31" s="13">
        <f>N30/(SUM(N28,N22)-N25)</f>
        <v>2.4154187801817955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sheetPr>
  <dimension ref="A1:P58"/>
  <sheetViews>
    <sheetView workbookViewId="0">
      <selection activeCell="O7" sqref="O7"/>
    </sheetView>
  </sheetViews>
  <sheetFormatPr defaultRowHeight="15" x14ac:dyDescent="0.25"/>
  <cols>
    <col min="1" max="1" width="18" customWidth="1"/>
    <col min="2" max="2" width="14" bestFit="1" customWidth="1"/>
    <col min="3" max="3" width="23.7109375" bestFit="1" customWidth="1"/>
    <col min="4" max="4" width="24.42578125" bestFit="1" customWidth="1"/>
    <col min="13" max="13" width="40.85546875" customWidth="1"/>
  </cols>
  <sheetData>
    <row r="1" spans="1:16" x14ac:dyDescent="0.25">
      <c r="A1" t="s">
        <v>41</v>
      </c>
    </row>
    <row r="2" spans="1:16" x14ac:dyDescent="0.25">
      <c r="A2" t="s">
        <v>67</v>
      </c>
      <c r="B2" t="s">
        <v>68</v>
      </c>
      <c r="C2" t="s">
        <v>69</v>
      </c>
      <c r="D2" t="s">
        <v>70</v>
      </c>
      <c r="E2" t="s">
        <v>66</v>
      </c>
      <c r="F2" s="19" t="s">
        <v>71</v>
      </c>
      <c r="H2" s="19"/>
      <c r="I2" s="6" t="s">
        <v>72</v>
      </c>
    </row>
    <row r="3" spans="1:16" x14ac:dyDescent="0.25">
      <c r="A3" s="21" t="s">
        <v>62</v>
      </c>
      <c r="B3" s="21" t="s">
        <v>63</v>
      </c>
      <c r="C3" s="21" t="s">
        <v>76</v>
      </c>
      <c r="D3" s="21" t="s">
        <v>78</v>
      </c>
      <c r="E3" s="6">
        <v>6</v>
      </c>
      <c r="F3" s="6">
        <v>168</v>
      </c>
    </row>
    <row r="4" spans="1:16" x14ac:dyDescent="0.25">
      <c r="G4" s="6"/>
      <c r="H4" s="2"/>
      <c r="I4" t="s">
        <v>12</v>
      </c>
    </row>
    <row r="5" spans="1:16" x14ac:dyDescent="0.25">
      <c r="A5" t="s">
        <v>1</v>
      </c>
      <c r="G5" s="6"/>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AVERAGE(G8:G11)</f>
        <v>2.7925000000000004</v>
      </c>
      <c r="O6" s="8">
        <f xml:space="preserve"> AVERAGE(G14:G26)</f>
        <v>4.2453846153846149</v>
      </c>
      <c r="P6" s="8"/>
    </row>
    <row r="7" spans="1:16" x14ac:dyDescent="0.25">
      <c r="A7" s="1"/>
      <c r="M7" t="s">
        <v>48</v>
      </c>
      <c r="N7" s="8">
        <f>AVERAGE(E8:E11)</f>
        <v>29.25375</v>
      </c>
      <c r="O7" s="8">
        <f>AVERAGE(E14:E26)</f>
        <v>24.074615384615381</v>
      </c>
      <c r="P7" s="8"/>
    </row>
    <row r="8" spans="1:16" x14ac:dyDescent="0.25">
      <c r="A8" s="4">
        <v>42344</v>
      </c>
      <c r="B8" s="2">
        <v>38.96</v>
      </c>
      <c r="C8" s="2">
        <v>65.83</v>
      </c>
      <c r="D8" s="2">
        <v>0.08</v>
      </c>
      <c r="E8" s="2">
        <v>29.93</v>
      </c>
      <c r="F8" s="2">
        <v>54.9</v>
      </c>
      <c r="G8" s="2">
        <v>2.2999999999999998</v>
      </c>
      <c r="H8" s="2">
        <v>133.19999999999999</v>
      </c>
      <c r="I8" s="2">
        <v>0</v>
      </c>
      <c r="J8" s="2">
        <v>9</v>
      </c>
      <c r="K8" s="2">
        <f>SUM(I8:J8)</f>
        <v>9</v>
      </c>
      <c r="M8" t="s">
        <v>47</v>
      </c>
      <c r="N8" s="8">
        <v>0</v>
      </c>
      <c r="O8" s="8">
        <f>AVERAGE(D14:D26)</f>
        <v>0.34153846153846157</v>
      </c>
      <c r="P8" s="8"/>
    </row>
    <row r="9" spans="1:16" x14ac:dyDescent="0.25">
      <c r="A9" s="4">
        <v>42351</v>
      </c>
      <c r="B9" s="2">
        <v>31.47</v>
      </c>
      <c r="C9" s="2">
        <v>59.56</v>
      </c>
      <c r="D9" s="2">
        <v>0</v>
      </c>
      <c r="E9" s="2">
        <v>26.09</v>
      </c>
      <c r="F9" s="2">
        <v>54.3</v>
      </c>
      <c r="G9" s="2">
        <v>2.4900000000000002</v>
      </c>
      <c r="H9" s="2">
        <v>129</v>
      </c>
      <c r="I9" s="2">
        <v>1</v>
      </c>
      <c r="J9" s="2">
        <v>5</v>
      </c>
      <c r="K9" s="2">
        <f>SUM(I9:J9)</f>
        <v>6</v>
      </c>
      <c r="M9" t="s">
        <v>46</v>
      </c>
      <c r="N9" s="8">
        <f>AVERAGE(I8:I11)</f>
        <v>0.25</v>
      </c>
      <c r="O9" s="8">
        <f>AVERAGE(I14:I26)</f>
        <v>0.38461538461538464</v>
      </c>
      <c r="P9" s="8"/>
    </row>
    <row r="10" spans="1:16" x14ac:dyDescent="0.25">
      <c r="A10" s="4">
        <v>42358</v>
      </c>
      <c r="B10" s="2">
        <v>45.47</v>
      </c>
      <c r="C10" s="2">
        <v>82.35</v>
      </c>
      <c r="D10" s="2">
        <v>0</v>
      </c>
      <c r="E10" s="2">
        <v>32.700000000000003</v>
      </c>
      <c r="F10" s="2">
        <v>52.6</v>
      </c>
      <c r="G10" s="2">
        <v>3.58</v>
      </c>
      <c r="H10" s="2">
        <v>141.5</v>
      </c>
      <c r="I10" s="2">
        <v>0</v>
      </c>
      <c r="J10" s="2">
        <v>5</v>
      </c>
      <c r="K10" s="2">
        <f>SUM(I10:J10)</f>
        <v>5</v>
      </c>
      <c r="M10" t="s">
        <v>45</v>
      </c>
      <c r="N10" s="8">
        <f>AVERAGE(J8:J11)</f>
        <v>6.75</v>
      </c>
      <c r="O10" s="8">
        <f>AVERAGE(J14:J26)</f>
        <v>5.5384615384615383</v>
      </c>
      <c r="P10" s="8"/>
    </row>
    <row r="11" spans="1:16" x14ac:dyDescent="0.25">
      <c r="A11" s="4">
        <v>42365</v>
      </c>
      <c r="B11" s="16">
        <v>38.234999999999999</v>
      </c>
      <c r="C11" s="16">
        <v>69.260000000000005</v>
      </c>
      <c r="D11" s="16">
        <v>0</v>
      </c>
      <c r="E11" s="16">
        <v>28.295000000000002</v>
      </c>
      <c r="F11" s="16">
        <v>51.6</v>
      </c>
      <c r="G11" s="16">
        <v>2.8</v>
      </c>
      <c r="H11" s="16">
        <v>140.5</v>
      </c>
      <c r="I11" s="16">
        <v>0</v>
      </c>
      <c r="J11" s="16">
        <v>8</v>
      </c>
      <c r="K11" s="2">
        <f>SUM(I11:J11)</f>
        <v>8</v>
      </c>
      <c r="M11" t="s">
        <v>44</v>
      </c>
      <c r="N11" s="8">
        <f>SUM(N9:N10)</f>
        <v>7</v>
      </c>
      <c r="O11" s="8">
        <f>SUM(O9:O10)</f>
        <v>5.9230769230769234</v>
      </c>
      <c r="P11" s="8"/>
    </row>
    <row r="12" spans="1:16" x14ac:dyDescent="0.25">
      <c r="A12" s="5">
        <v>42372</v>
      </c>
      <c r="B12" s="6">
        <v>28.27</v>
      </c>
      <c r="C12" s="6">
        <v>55.42</v>
      </c>
      <c r="D12" s="6">
        <v>0</v>
      </c>
      <c r="E12" s="6">
        <v>24.56</v>
      </c>
      <c r="F12" s="6">
        <v>50.9</v>
      </c>
      <c r="G12" s="6">
        <v>3.26</v>
      </c>
      <c r="H12" s="6">
        <v>134.1</v>
      </c>
      <c r="I12" s="6">
        <v>2</v>
      </c>
      <c r="J12" s="6">
        <v>3</v>
      </c>
      <c r="K12" s="6">
        <f t="shared" ref="K12:K41" si="0">SUM(I12:J12)</f>
        <v>5</v>
      </c>
      <c r="M12" t="s">
        <v>42</v>
      </c>
      <c r="N12" s="14">
        <f>N10/N11</f>
        <v>0.9642857142857143</v>
      </c>
      <c r="O12" s="14">
        <f>O10/O11</f>
        <v>0.93506493506493504</v>
      </c>
      <c r="P12" s="8"/>
    </row>
    <row r="13" spans="1:16" x14ac:dyDescent="0.25">
      <c r="A13" s="5">
        <v>42379</v>
      </c>
      <c r="B13" s="6">
        <v>26.56</v>
      </c>
      <c r="C13" s="6">
        <v>54.38</v>
      </c>
      <c r="D13" s="6">
        <v>0.06</v>
      </c>
      <c r="E13" s="6">
        <v>18.920000000000002</v>
      </c>
      <c r="F13" s="6">
        <v>50.4</v>
      </c>
      <c r="G13" s="6">
        <v>5.64</v>
      </c>
      <c r="H13" s="6">
        <v>133.5</v>
      </c>
      <c r="I13" s="6">
        <v>1</v>
      </c>
      <c r="J13" s="6">
        <v>3</v>
      </c>
      <c r="K13" s="6">
        <f t="shared" si="0"/>
        <v>4</v>
      </c>
      <c r="M13" t="s">
        <v>43</v>
      </c>
      <c r="N13" s="8">
        <f>AVERAGE(K8:K26)</f>
        <v>6</v>
      </c>
      <c r="O13" s="8">
        <f>AVERAGE(K8:K26)</f>
        <v>6</v>
      </c>
      <c r="P13" s="8"/>
    </row>
    <row r="14" spans="1:16" x14ac:dyDescent="0.25">
      <c r="A14" s="7">
        <v>42386</v>
      </c>
      <c r="B14" s="3">
        <v>39.89</v>
      </c>
      <c r="C14" s="3">
        <v>72.19</v>
      </c>
      <c r="D14" s="3">
        <v>0.36</v>
      </c>
      <c r="E14" s="3">
        <v>31.15</v>
      </c>
      <c r="F14" s="3">
        <v>48</v>
      </c>
      <c r="G14" s="3">
        <v>3.88</v>
      </c>
      <c r="H14" s="3">
        <v>133.19999999999999</v>
      </c>
      <c r="I14" s="3">
        <v>0</v>
      </c>
      <c r="J14" s="3">
        <v>8</v>
      </c>
      <c r="K14" s="3">
        <f t="shared" si="0"/>
        <v>8</v>
      </c>
      <c r="N14" s="8"/>
      <c r="O14" s="8"/>
      <c r="P14" s="8"/>
    </row>
    <row r="15" spans="1:16" x14ac:dyDescent="0.25">
      <c r="A15" s="7">
        <v>42393</v>
      </c>
      <c r="B15" s="3">
        <v>41.22</v>
      </c>
      <c r="C15" s="3">
        <v>64.88</v>
      </c>
      <c r="D15" s="3">
        <v>0.42</v>
      </c>
      <c r="E15" s="3">
        <v>27.05</v>
      </c>
      <c r="F15" s="3">
        <v>48.1</v>
      </c>
      <c r="G15" s="3">
        <v>3.57</v>
      </c>
      <c r="H15" s="3">
        <v>137.4</v>
      </c>
      <c r="I15" s="3">
        <v>0</v>
      </c>
      <c r="J15" s="3">
        <v>3</v>
      </c>
      <c r="K15" s="3">
        <f t="shared" si="0"/>
        <v>3</v>
      </c>
      <c r="O15" s="8"/>
      <c r="P15" s="8"/>
    </row>
    <row r="16" spans="1:16" x14ac:dyDescent="0.25">
      <c r="A16" s="7">
        <v>42400</v>
      </c>
      <c r="B16" s="3">
        <v>44.71</v>
      </c>
      <c r="C16" s="3">
        <v>81.08</v>
      </c>
      <c r="D16" s="3">
        <v>0.4</v>
      </c>
      <c r="E16" s="3">
        <v>26.53</v>
      </c>
      <c r="F16" s="3">
        <v>45.8</v>
      </c>
      <c r="G16" s="3">
        <v>3.13</v>
      </c>
      <c r="H16" s="3">
        <v>137.6</v>
      </c>
      <c r="I16" s="3">
        <v>1</v>
      </c>
      <c r="J16" s="3">
        <v>4</v>
      </c>
      <c r="K16" s="3">
        <f t="shared" si="0"/>
        <v>5</v>
      </c>
      <c r="M16" t="s">
        <v>20</v>
      </c>
      <c r="N16" s="9">
        <v>0.77</v>
      </c>
      <c r="O16" s="8"/>
      <c r="P16" s="8"/>
    </row>
    <row r="17" spans="1:16" x14ac:dyDescent="0.25">
      <c r="A17" s="7">
        <v>42407</v>
      </c>
      <c r="B17" s="3">
        <v>42.93</v>
      </c>
      <c r="C17" s="3">
        <v>78.64</v>
      </c>
      <c r="D17" s="3">
        <v>0.37</v>
      </c>
      <c r="E17" s="3">
        <v>27.33</v>
      </c>
      <c r="F17" s="3">
        <v>45.2</v>
      </c>
      <c r="G17" s="3">
        <v>5.01</v>
      </c>
      <c r="H17" s="3">
        <v>133.30000000000001</v>
      </c>
      <c r="I17" s="3">
        <v>1</v>
      </c>
      <c r="J17" s="3">
        <v>6</v>
      </c>
      <c r="K17" s="3">
        <f t="shared" si="0"/>
        <v>7</v>
      </c>
      <c r="M17" t="s">
        <v>21</v>
      </c>
      <c r="N17" s="9">
        <v>0.125</v>
      </c>
      <c r="O17" s="8"/>
      <c r="P17" s="8"/>
    </row>
    <row r="18" spans="1:16" x14ac:dyDescent="0.25">
      <c r="A18" s="7">
        <v>42414</v>
      </c>
      <c r="B18" s="3">
        <v>32.799999999999997</v>
      </c>
      <c r="C18" s="3">
        <v>59.33</v>
      </c>
      <c r="D18" s="3">
        <v>0.47</v>
      </c>
      <c r="E18" s="3">
        <v>18.100000000000001</v>
      </c>
      <c r="F18" s="3">
        <v>45.2</v>
      </c>
      <c r="G18" s="3">
        <v>5.7</v>
      </c>
      <c r="H18" s="3">
        <v>146.69999999999999</v>
      </c>
      <c r="I18" s="3">
        <v>2</v>
      </c>
      <c r="J18" s="3">
        <v>3</v>
      </c>
      <c r="K18" s="3">
        <f t="shared" si="0"/>
        <v>5</v>
      </c>
      <c r="M18" t="s">
        <v>16</v>
      </c>
      <c r="N18" s="8">
        <f>AVERAGE(H8:H11)</f>
        <v>136.05000000000001</v>
      </c>
      <c r="O18" s="8"/>
      <c r="P18" s="8"/>
    </row>
    <row r="19" spans="1:16" x14ac:dyDescent="0.25">
      <c r="A19" s="7">
        <v>42421</v>
      </c>
      <c r="B19" s="3">
        <v>48</v>
      </c>
      <c r="C19" s="3">
        <v>83.62</v>
      </c>
      <c r="D19" s="3">
        <v>0.47</v>
      </c>
      <c r="E19" s="3">
        <v>31.37</v>
      </c>
      <c r="F19" s="3">
        <v>44.4</v>
      </c>
      <c r="G19" s="3">
        <v>4.96</v>
      </c>
      <c r="H19" s="3">
        <v>132</v>
      </c>
      <c r="I19" s="3">
        <v>0</v>
      </c>
      <c r="J19" s="3">
        <v>4</v>
      </c>
      <c r="K19" s="3">
        <f t="shared" si="0"/>
        <v>4</v>
      </c>
      <c r="M19" t="s">
        <v>17</v>
      </c>
      <c r="N19" s="8">
        <v>54</v>
      </c>
      <c r="O19" s="8"/>
      <c r="P19" s="8"/>
    </row>
    <row r="20" spans="1:16" x14ac:dyDescent="0.25">
      <c r="A20" s="7">
        <v>42428</v>
      </c>
      <c r="B20" s="3">
        <v>38.81</v>
      </c>
      <c r="C20" s="3">
        <v>70.349999999999994</v>
      </c>
      <c r="D20" s="3">
        <v>0.35</v>
      </c>
      <c r="E20" s="3">
        <v>29.68</v>
      </c>
      <c r="F20" s="3">
        <v>44.8</v>
      </c>
      <c r="G20" s="3">
        <v>4.6399999999999997</v>
      </c>
      <c r="H20" s="3">
        <v>132.5</v>
      </c>
      <c r="I20" s="3">
        <v>0</v>
      </c>
      <c r="J20" s="3">
        <v>5</v>
      </c>
      <c r="K20" s="3">
        <f t="shared" si="0"/>
        <v>5</v>
      </c>
      <c r="M20" t="s">
        <v>19</v>
      </c>
      <c r="N20" s="8">
        <f>($N6*8.33*(N13*N12)*(N18-N19)/0.58*52/100000)-$O6*8.33*(O13*O12)*(N18-N19)/0.58*52/100000</f>
        <v>-4.6948476739302514</v>
      </c>
      <c r="O20" s="8"/>
      <c r="P20" s="8"/>
    </row>
    <row r="21" spans="1:16" x14ac:dyDescent="0.25">
      <c r="A21" s="7">
        <v>42435</v>
      </c>
      <c r="B21" s="3">
        <v>35.85</v>
      </c>
      <c r="C21" s="3">
        <v>60.75</v>
      </c>
      <c r="D21" s="3">
        <v>0.37</v>
      </c>
      <c r="E21" s="3">
        <v>26.59</v>
      </c>
      <c r="F21" s="3">
        <v>44.6</v>
      </c>
      <c r="G21" s="3">
        <v>5.33</v>
      </c>
      <c r="H21" s="3">
        <v>134.30000000000001</v>
      </c>
      <c r="I21" s="3">
        <v>0</v>
      </c>
      <c r="J21" s="3">
        <v>5</v>
      </c>
      <c r="K21" s="3">
        <f t="shared" si="0"/>
        <v>5</v>
      </c>
      <c r="M21" t="s">
        <v>18</v>
      </c>
      <c r="N21" s="8">
        <f>$N6*8.33*(N13*N12)*(N18-N19)/0.58*52/100000</f>
        <v>9.900317029267244</v>
      </c>
      <c r="O21" s="8"/>
    </row>
    <row r="22" spans="1:16" x14ac:dyDescent="0.25">
      <c r="A22" s="7">
        <v>42463</v>
      </c>
      <c r="B22" s="3">
        <v>44.19</v>
      </c>
      <c r="C22" s="3">
        <v>78.33</v>
      </c>
      <c r="D22" s="3">
        <v>0</v>
      </c>
      <c r="E22" s="3">
        <v>24.33</v>
      </c>
      <c r="F22" s="3">
        <v>49.6</v>
      </c>
      <c r="G22" s="3">
        <v>5.91</v>
      </c>
      <c r="H22" s="3">
        <v>130.30000000000001</v>
      </c>
      <c r="I22" s="3">
        <v>0</v>
      </c>
      <c r="J22" s="3">
        <v>9</v>
      </c>
      <c r="K22" s="3">
        <f t="shared" si="0"/>
        <v>9</v>
      </c>
      <c r="M22" t="s">
        <v>22</v>
      </c>
      <c r="N22" s="10">
        <f>N20*N16</f>
        <v>-3.6150327089262935</v>
      </c>
    </row>
    <row r="23" spans="1:16" x14ac:dyDescent="0.25">
      <c r="A23" s="7">
        <v>42470</v>
      </c>
      <c r="B23" s="3">
        <v>47.11</v>
      </c>
      <c r="C23" s="3">
        <v>87.42</v>
      </c>
      <c r="D23" s="3">
        <v>0.22</v>
      </c>
      <c r="E23" s="3">
        <v>25.27</v>
      </c>
      <c r="F23" s="3">
        <v>49.3</v>
      </c>
      <c r="G23" s="3">
        <v>3.72</v>
      </c>
      <c r="H23" s="3">
        <v>141.1</v>
      </c>
      <c r="I23" s="3">
        <v>1</v>
      </c>
      <c r="J23" s="3">
        <v>8</v>
      </c>
      <c r="K23" s="3">
        <f t="shared" si="0"/>
        <v>9</v>
      </c>
      <c r="M23" t="s">
        <v>23</v>
      </c>
      <c r="N23" s="10">
        <f>N21*N16</f>
        <v>7.6232441125357777</v>
      </c>
    </row>
    <row r="24" spans="1:16" x14ac:dyDescent="0.25">
      <c r="A24" s="7">
        <v>42477</v>
      </c>
      <c r="B24" s="3">
        <v>37.479999999999997</v>
      </c>
      <c r="C24" s="3">
        <v>74.95</v>
      </c>
      <c r="D24" s="3">
        <v>0.3</v>
      </c>
      <c r="E24" s="3">
        <v>16.260000000000002</v>
      </c>
      <c r="F24" s="3">
        <v>49</v>
      </c>
      <c r="G24" s="3">
        <v>3.53</v>
      </c>
      <c r="H24" s="3">
        <v>136.6</v>
      </c>
      <c r="I24" s="3">
        <v>0</v>
      </c>
      <c r="J24" s="3">
        <v>7</v>
      </c>
      <c r="K24" s="3">
        <f t="shared" si="0"/>
        <v>7</v>
      </c>
      <c r="M24" t="s">
        <v>24</v>
      </c>
      <c r="N24" s="11">
        <f>O8*N13*52/1000</f>
        <v>0.10656</v>
      </c>
    </row>
    <row r="25" spans="1:16" x14ac:dyDescent="0.25">
      <c r="A25" s="7">
        <v>42484</v>
      </c>
      <c r="B25" s="3">
        <v>44.62</v>
      </c>
      <c r="C25" s="3">
        <v>95.38</v>
      </c>
      <c r="D25" s="3">
        <v>0.42</v>
      </c>
      <c r="E25" s="3">
        <v>15.87</v>
      </c>
      <c r="F25" s="3">
        <v>51.1</v>
      </c>
      <c r="G25" s="3">
        <v>3.41</v>
      </c>
      <c r="H25" s="3">
        <v>138.19999999999999</v>
      </c>
      <c r="I25" s="3">
        <v>0</v>
      </c>
      <c r="J25" s="3">
        <v>3</v>
      </c>
      <c r="K25" s="3">
        <f t="shared" si="0"/>
        <v>3</v>
      </c>
      <c r="M25" t="s">
        <v>25</v>
      </c>
      <c r="N25" s="12">
        <f>N17*N24</f>
        <v>1.332E-2</v>
      </c>
    </row>
    <row r="26" spans="1:16" x14ac:dyDescent="0.25">
      <c r="A26" s="7">
        <v>42491</v>
      </c>
      <c r="B26" s="3">
        <v>50.24</v>
      </c>
      <c r="C26" s="3">
        <v>102.38</v>
      </c>
      <c r="D26" s="3">
        <v>0.28999999999999998</v>
      </c>
      <c r="E26" s="3">
        <v>13.44</v>
      </c>
      <c r="F26" s="3">
        <v>52</v>
      </c>
      <c r="G26" s="3">
        <v>2.4</v>
      </c>
      <c r="H26" s="3">
        <v>130.5</v>
      </c>
      <c r="I26" s="3">
        <v>0</v>
      </c>
      <c r="J26" s="3">
        <v>7</v>
      </c>
      <c r="K26" s="3">
        <f t="shared" si="0"/>
        <v>7</v>
      </c>
    </row>
    <row r="27" spans="1:16" x14ac:dyDescent="0.25">
      <c r="A27" s="5">
        <v>42498</v>
      </c>
      <c r="B27" s="6">
        <v>44.99</v>
      </c>
      <c r="C27" s="6">
        <v>89.68</v>
      </c>
      <c r="D27" s="6">
        <v>0</v>
      </c>
      <c r="E27" s="6">
        <v>15.1</v>
      </c>
      <c r="F27" s="6">
        <v>52.6</v>
      </c>
      <c r="G27" s="6">
        <v>2.66</v>
      </c>
      <c r="H27" s="6">
        <v>139.4</v>
      </c>
      <c r="I27" s="6">
        <v>0</v>
      </c>
      <c r="J27" s="6">
        <v>7</v>
      </c>
      <c r="K27" s="6">
        <f t="shared" si="0"/>
        <v>7</v>
      </c>
      <c r="M27" t="s">
        <v>35</v>
      </c>
      <c r="N27" s="9">
        <v>0.16</v>
      </c>
    </row>
    <row r="28" spans="1:16" x14ac:dyDescent="0.25">
      <c r="A28" s="5">
        <v>42505</v>
      </c>
      <c r="B28" s="6">
        <v>54.53</v>
      </c>
      <c r="C28" s="6">
        <v>119.62</v>
      </c>
      <c r="D28" s="6">
        <v>0</v>
      </c>
      <c r="E28" s="6">
        <v>16.850000000000001</v>
      </c>
      <c r="F28" s="6">
        <v>53.3</v>
      </c>
      <c r="G28" s="6">
        <v>3.2</v>
      </c>
      <c r="H28" s="6">
        <v>140.80000000000001</v>
      </c>
      <c r="I28" s="6">
        <v>1</v>
      </c>
      <c r="J28" s="6">
        <v>6</v>
      </c>
      <c r="K28" s="6">
        <f t="shared" si="0"/>
        <v>7</v>
      </c>
      <c r="M28" t="s">
        <v>36</v>
      </c>
      <c r="N28" s="10">
        <f>N13*N27*52</f>
        <v>49.92</v>
      </c>
    </row>
    <row r="29" spans="1:16" x14ac:dyDescent="0.25">
      <c r="A29" s="5">
        <v>42512</v>
      </c>
      <c r="B29" s="6">
        <v>53.15</v>
      </c>
      <c r="C29" s="6">
        <v>117.6</v>
      </c>
      <c r="D29" s="6">
        <v>0</v>
      </c>
      <c r="E29" s="6">
        <v>16.97</v>
      </c>
      <c r="F29" s="6">
        <v>53.9</v>
      </c>
      <c r="G29" s="6">
        <v>3.64</v>
      </c>
      <c r="H29" s="6">
        <v>140.1</v>
      </c>
      <c r="I29" s="6">
        <v>0</v>
      </c>
      <c r="J29" s="6">
        <v>5</v>
      </c>
      <c r="K29" s="6">
        <f t="shared" si="0"/>
        <v>5</v>
      </c>
    </row>
    <row r="30" spans="1:16" x14ac:dyDescent="0.25">
      <c r="A30" s="5">
        <v>42519</v>
      </c>
      <c r="B30" s="6">
        <v>35.49</v>
      </c>
      <c r="C30" s="6">
        <v>70.17</v>
      </c>
      <c r="D30" s="6">
        <v>0</v>
      </c>
      <c r="E30" s="6">
        <v>14.63</v>
      </c>
      <c r="F30" s="6">
        <v>55.9</v>
      </c>
      <c r="G30" s="6">
        <v>2.57</v>
      </c>
      <c r="H30" s="6">
        <v>133.80000000000001</v>
      </c>
      <c r="I30" s="6">
        <v>0</v>
      </c>
      <c r="J30" s="6">
        <v>8</v>
      </c>
      <c r="K30" s="6">
        <f t="shared" si="0"/>
        <v>8</v>
      </c>
      <c r="M30" t="s">
        <v>37</v>
      </c>
      <c r="N30" s="12">
        <v>300</v>
      </c>
    </row>
    <row r="31" spans="1:16" x14ac:dyDescent="0.25">
      <c r="A31" s="5">
        <v>42526</v>
      </c>
      <c r="B31" s="6">
        <v>44.56</v>
      </c>
      <c r="C31" s="6">
        <v>92.39</v>
      </c>
      <c r="D31" s="6">
        <v>0</v>
      </c>
      <c r="E31" s="6">
        <v>16.77</v>
      </c>
      <c r="F31" s="6">
        <v>58.1</v>
      </c>
      <c r="G31" s="6">
        <v>2.27</v>
      </c>
      <c r="H31" s="6">
        <v>143.30000000000001</v>
      </c>
      <c r="I31" s="6">
        <v>1</v>
      </c>
      <c r="J31" s="6">
        <v>7</v>
      </c>
      <c r="K31" s="6">
        <f t="shared" si="0"/>
        <v>8</v>
      </c>
      <c r="M31" t="s">
        <v>38</v>
      </c>
      <c r="N31" s="13">
        <f>N30/(SUM(N28,N22)-N25)</f>
        <v>6.4806507773130848</v>
      </c>
    </row>
    <row r="32" spans="1:16" x14ac:dyDescent="0.25">
      <c r="A32" s="5">
        <v>42533</v>
      </c>
      <c r="B32" s="6">
        <v>39.53</v>
      </c>
      <c r="C32" s="6">
        <v>77.790000000000006</v>
      </c>
      <c r="D32" s="6">
        <v>0</v>
      </c>
      <c r="E32" s="6">
        <v>14.76</v>
      </c>
      <c r="F32" s="6">
        <v>59.1</v>
      </c>
      <c r="G32" s="6">
        <v>1.39</v>
      </c>
      <c r="H32" s="6">
        <v>126.9</v>
      </c>
      <c r="I32" s="6">
        <v>1</v>
      </c>
      <c r="J32" s="6">
        <v>8</v>
      </c>
      <c r="K32" s="6">
        <f t="shared" si="0"/>
        <v>9</v>
      </c>
    </row>
    <row r="33" spans="1:11" x14ac:dyDescent="0.25">
      <c r="A33" s="5">
        <v>42540</v>
      </c>
      <c r="B33" s="6">
        <v>36.97</v>
      </c>
      <c r="C33" s="6">
        <v>86.89</v>
      </c>
      <c r="D33" s="6">
        <v>0</v>
      </c>
      <c r="E33" s="6">
        <v>14.62</v>
      </c>
      <c r="F33" s="6">
        <v>61</v>
      </c>
      <c r="G33" s="6">
        <v>2.87</v>
      </c>
      <c r="H33" s="6">
        <v>134.19999999999999</v>
      </c>
      <c r="I33" s="6">
        <v>1</v>
      </c>
      <c r="J33" s="6">
        <v>9</v>
      </c>
      <c r="K33" s="6">
        <f t="shared" si="0"/>
        <v>10</v>
      </c>
    </row>
    <row r="34" spans="1:11" x14ac:dyDescent="0.25">
      <c r="A34" s="5">
        <v>42547</v>
      </c>
      <c r="B34" s="6">
        <v>43.98</v>
      </c>
      <c r="C34" s="6">
        <v>90.33</v>
      </c>
      <c r="D34" s="6">
        <v>0</v>
      </c>
      <c r="E34" s="6">
        <v>16</v>
      </c>
      <c r="F34" s="6">
        <v>63</v>
      </c>
      <c r="G34" s="6">
        <v>2.21</v>
      </c>
      <c r="H34" s="6">
        <v>133.1</v>
      </c>
      <c r="I34" s="6">
        <v>2</v>
      </c>
      <c r="J34" s="6">
        <v>7</v>
      </c>
      <c r="K34" s="6">
        <f t="shared" si="0"/>
        <v>9</v>
      </c>
    </row>
    <row r="35" spans="1:11" x14ac:dyDescent="0.25">
      <c r="A35" s="5">
        <v>42554</v>
      </c>
      <c r="B35" s="6">
        <v>43.52</v>
      </c>
      <c r="C35" s="6">
        <v>96.38</v>
      </c>
      <c r="D35" s="6">
        <v>0</v>
      </c>
      <c r="E35" s="6">
        <v>18.53</v>
      </c>
      <c r="F35" s="6">
        <v>64.7</v>
      </c>
      <c r="G35" s="6">
        <v>3.43</v>
      </c>
      <c r="H35" s="6">
        <v>137.80000000000001</v>
      </c>
      <c r="I35" s="6">
        <v>1</v>
      </c>
      <c r="J35" s="6">
        <v>5</v>
      </c>
      <c r="K35" s="6">
        <f t="shared" si="0"/>
        <v>6</v>
      </c>
    </row>
    <row r="36" spans="1:11" x14ac:dyDescent="0.25">
      <c r="A36" s="5">
        <v>42561</v>
      </c>
      <c r="B36" s="6">
        <v>45.54</v>
      </c>
      <c r="C36" s="6">
        <v>97.58</v>
      </c>
      <c r="D36" s="6">
        <v>0</v>
      </c>
      <c r="E36" s="6">
        <v>17.43</v>
      </c>
      <c r="F36" s="6">
        <v>65</v>
      </c>
      <c r="G36" s="6">
        <v>3.15</v>
      </c>
      <c r="H36" s="6">
        <v>134.30000000000001</v>
      </c>
      <c r="I36" s="6">
        <v>0</v>
      </c>
      <c r="J36" s="6">
        <v>5</v>
      </c>
      <c r="K36" s="6">
        <f t="shared" si="0"/>
        <v>5</v>
      </c>
    </row>
    <row r="37" spans="1:11" x14ac:dyDescent="0.25">
      <c r="A37" s="5">
        <v>42568</v>
      </c>
      <c r="B37" s="6">
        <v>44.86</v>
      </c>
      <c r="C37" s="6">
        <v>96.25</v>
      </c>
      <c r="D37" s="6">
        <v>0</v>
      </c>
      <c r="E37" s="6">
        <v>16.32</v>
      </c>
      <c r="F37" s="6">
        <v>64.900000000000006</v>
      </c>
      <c r="G37" s="6">
        <v>3.01</v>
      </c>
      <c r="H37" s="6">
        <v>134.19999999999999</v>
      </c>
      <c r="I37" s="6">
        <v>1</v>
      </c>
      <c r="J37" s="6">
        <v>8</v>
      </c>
      <c r="K37" s="6">
        <f t="shared" si="0"/>
        <v>9</v>
      </c>
    </row>
    <row r="38" spans="1:11" x14ac:dyDescent="0.25">
      <c r="A38" s="5">
        <v>42575</v>
      </c>
      <c r="B38" s="6">
        <v>47.88</v>
      </c>
      <c r="C38" s="6">
        <v>108.19</v>
      </c>
      <c r="D38" s="6">
        <v>0</v>
      </c>
      <c r="E38" s="6">
        <v>18.5</v>
      </c>
      <c r="F38" s="6">
        <v>64.599999999999994</v>
      </c>
      <c r="G38" s="6">
        <v>3.95</v>
      </c>
      <c r="H38" s="6">
        <v>135.80000000000001</v>
      </c>
      <c r="I38" s="6">
        <v>1</v>
      </c>
      <c r="J38" s="6">
        <v>5</v>
      </c>
      <c r="K38" s="6">
        <f t="shared" si="0"/>
        <v>6</v>
      </c>
    </row>
    <row r="39" spans="1:11" x14ac:dyDescent="0.25">
      <c r="A39" s="5">
        <v>42582</v>
      </c>
      <c r="B39" s="6">
        <v>44.99</v>
      </c>
      <c r="C39" s="6">
        <v>95.36</v>
      </c>
      <c r="D39" s="6">
        <v>0</v>
      </c>
      <c r="E39" s="6">
        <v>17.260000000000002</v>
      </c>
      <c r="F39" s="6">
        <v>65.900000000000006</v>
      </c>
      <c r="G39" s="6">
        <v>3.1</v>
      </c>
      <c r="H39" s="6">
        <v>137.30000000000001</v>
      </c>
      <c r="I39" s="6">
        <v>1</v>
      </c>
      <c r="J39" s="6">
        <v>6</v>
      </c>
      <c r="K39" s="6">
        <f t="shared" si="0"/>
        <v>7</v>
      </c>
    </row>
    <row r="40" spans="1:11" x14ac:dyDescent="0.25">
      <c r="A40" s="5">
        <v>42589</v>
      </c>
      <c r="B40" s="6">
        <v>28.8</v>
      </c>
      <c r="C40" s="6">
        <v>67.12</v>
      </c>
      <c r="D40" s="6">
        <v>0</v>
      </c>
      <c r="E40" s="6">
        <v>13.2</v>
      </c>
      <c r="F40" s="6">
        <v>68.2</v>
      </c>
      <c r="G40" s="6">
        <v>3.68</v>
      </c>
      <c r="H40" s="6">
        <v>134.69999999999999</v>
      </c>
      <c r="I40" s="6">
        <v>1</v>
      </c>
      <c r="J40" s="6">
        <v>2</v>
      </c>
      <c r="K40" s="6">
        <f t="shared" si="0"/>
        <v>3</v>
      </c>
    </row>
    <row r="41" spans="1:11" x14ac:dyDescent="0.25">
      <c r="A41" s="5">
        <v>42596</v>
      </c>
      <c r="B41" s="6">
        <v>59.95</v>
      </c>
      <c r="C41" s="6">
        <v>118.5</v>
      </c>
      <c r="D41" s="6">
        <v>0</v>
      </c>
      <c r="E41" s="6">
        <v>21.21</v>
      </c>
      <c r="F41" s="6">
        <v>68.2</v>
      </c>
      <c r="G41" s="6">
        <v>0.49</v>
      </c>
      <c r="H41" s="6">
        <v>121.1</v>
      </c>
      <c r="I41" s="6">
        <v>0</v>
      </c>
      <c r="J41" s="6">
        <v>1</v>
      </c>
      <c r="K41" s="6">
        <f t="shared" si="0"/>
        <v>1</v>
      </c>
    </row>
    <row r="42" spans="1:11" x14ac:dyDescent="0.25">
      <c r="A42" s="5"/>
      <c r="B42" s="6"/>
      <c r="C42" s="6"/>
      <c r="D42" s="6"/>
      <c r="E42" s="6"/>
      <c r="F42" s="6"/>
      <c r="G42" s="6"/>
      <c r="H42" s="6"/>
      <c r="I42" s="6"/>
      <c r="J42" s="6"/>
      <c r="K42" s="6"/>
    </row>
    <row r="43" spans="1:11" x14ac:dyDescent="0.25">
      <c r="A43" s="6"/>
      <c r="B43" s="6"/>
      <c r="C43" s="6"/>
      <c r="D43" s="6"/>
      <c r="E43" s="6"/>
      <c r="F43" s="6"/>
      <c r="G43" s="6"/>
      <c r="H43" s="6"/>
      <c r="I43" s="6"/>
      <c r="J43" s="6"/>
      <c r="K43" s="6"/>
    </row>
    <row r="45" spans="1:11" x14ac:dyDescent="0.25">
      <c r="A45" s="5"/>
      <c r="B45" s="6"/>
      <c r="C45" s="6"/>
      <c r="D45" s="6"/>
      <c r="E45" s="6"/>
      <c r="F45" s="6"/>
      <c r="G45" s="6"/>
      <c r="H45" s="6"/>
      <c r="I45" s="6"/>
      <c r="J45" s="6"/>
      <c r="K45" s="6"/>
    </row>
    <row r="46" spans="1:11" x14ac:dyDescent="0.25">
      <c r="A46" s="5"/>
      <c r="B46" s="6"/>
      <c r="C46" s="6"/>
      <c r="D46" s="6"/>
      <c r="E46" s="6"/>
      <c r="F46" s="6"/>
      <c r="G46" s="6"/>
      <c r="H46" s="6"/>
      <c r="I46" s="6"/>
      <c r="J46" s="6"/>
      <c r="K46" s="6"/>
    </row>
    <row r="47" spans="1:11" x14ac:dyDescent="0.25">
      <c r="A47" s="5"/>
      <c r="B47" s="6"/>
      <c r="C47" s="6"/>
      <c r="D47" s="6"/>
      <c r="E47" s="6"/>
      <c r="F47" s="6"/>
      <c r="G47" s="6"/>
      <c r="H47" s="6"/>
      <c r="I47" s="6"/>
      <c r="J47" s="6"/>
      <c r="K47" s="6"/>
    </row>
    <row r="48" spans="1:11" x14ac:dyDescent="0.25">
      <c r="A48" s="5"/>
      <c r="B48" s="6"/>
      <c r="C48" s="6"/>
      <c r="D48" s="6"/>
      <c r="E48" s="6"/>
      <c r="F48" s="6"/>
      <c r="G48" s="6"/>
      <c r="H48" s="6"/>
      <c r="I48" s="6"/>
      <c r="J48" s="6"/>
      <c r="K48" s="6"/>
    </row>
    <row r="53" spans="2:14" x14ac:dyDescent="0.25">
      <c r="B53" s="6"/>
      <c r="C53" s="6"/>
      <c r="D53" s="6"/>
      <c r="E53" s="6"/>
      <c r="F53" s="6"/>
      <c r="G53" s="6"/>
      <c r="H53" s="6"/>
      <c r="I53" s="6"/>
      <c r="J53" s="6"/>
      <c r="K53" s="6"/>
      <c r="L53" s="6"/>
      <c r="M53" s="6"/>
      <c r="N53" s="6"/>
    </row>
    <row r="54" spans="2:14" x14ac:dyDescent="0.25">
      <c r="B54" s="6"/>
      <c r="C54" s="6"/>
      <c r="D54" s="6"/>
      <c r="E54" s="6"/>
      <c r="F54" s="6"/>
      <c r="G54" s="6"/>
      <c r="H54" s="6"/>
      <c r="I54" s="6"/>
      <c r="J54" s="6"/>
      <c r="K54" s="6"/>
      <c r="L54" s="6"/>
      <c r="M54" s="6"/>
      <c r="N54" s="6"/>
    </row>
    <row r="55" spans="2:14" x14ac:dyDescent="0.25">
      <c r="B55" s="6"/>
      <c r="C55" s="6"/>
      <c r="D55" s="6"/>
      <c r="E55" s="6"/>
      <c r="F55" s="6"/>
      <c r="G55" s="6"/>
      <c r="H55" s="6"/>
      <c r="I55" s="6"/>
      <c r="J55" s="6"/>
      <c r="K55" s="6"/>
      <c r="L55" s="6"/>
      <c r="M55" s="6"/>
      <c r="N55" s="6"/>
    </row>
    <row r="56" spans="2:14" x14ac:dyDescent="0.25">
      <c r="B56" s="6"/>
      <c r="C56" s="6"/>
      <c r="D56" s="6"/>
      <c r="E56" s="6"/>
      <c r="F56" s="6"/>
      <c r="G56" s="6"/>
      <c r="H56" s="6"/>
      <c r="I56" s="6"/>
      <c r="J56" s="6"/>
      <c r="K56" s="6"/>
      <c r="L56" s="6"/>
      <c r="M56" s="6"/>
      <c r="N56" s="6"/>
    </row>
    <row r="57" spans="2:14" x14ac:dyDescent="0.25">
      <c r="B57" s="6"/>
      <c r="C57" s="6"/>
      <c r="D57" s="6"/>
      <c r="E57" s="6"/>
      <c r="F57" s="6"/>
      <c r="G57" s="6"/>
      <c r="H57" s="6"/>
      <c r="I57" s="6"/>
      <c r="J57" s="6"/>
      <c r="K57" s="6"/>
      <c r="L57" s="6"/>
      <c r="M57" s="6"/>
      <c r="N57" s="6"/>
    </row>
    <row r="58" spans="2:14" x14ac:dyDescent="0.25">
      <c r="B58" s="6"/>
      <c r="C58" s="6"/>
      <c r="D58" s="6"/>
      <c r="E58" s="6"/>
      <c r="F58" s="6"/>
      <c r="G58" s="6"/>
      <c r="H58" s="6"/>
      <c r="I58" s="6"/>
      <c r="J58" s="6"/>
      <c r="K58" s="6"/>
      <c r="L58" s="6"/>
      <c r="M58" s="6"/>
      <c r="N58" s="6"/>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sheetPr>
  <dimension ref="A1:P58"/>
  <sheetViews>
    <sheetView workbookViewId="0">
      <selection activeCell="E10" sqref="E10"/>
    </sheetView>
  </sheetViews>
  <sheetFormatPr defaultRowHeight="15" x14ac:dyDescent="0.25"/>
  <cols>
    <col min="1" max="1" width="11.7109375" customWidth="1"/>
    <col min="13" max="13" width="40.85546875" customWidth="1"/>
  </cols>
  <sheetData>
    <row r="1" spans="1:16" x14ac:dyDescent="0.25">
      <c r="A1" t="s">
        <v>50</v>
      </c>
    </row>
    <row r="2" spans="1:16" x14ac:dyDescent="0.25">
      <c r="A2" t="s">
        <v>67</v>
      </c>
      <c r="B2" t="s">
        <v>68</v>
      </c>
      <c r="C2" t="s">
        <v>69</v>
      </c>
      <c r="D2" t="s">
        <v>70</v>
      </c>
      <c r="E2" t="s">
        <v>66</v>
      </c>
      <c r="F2" s="19" t="s">
        <v>71</v>
      </c>
      <c r="H2" s="19"/>
      <c r="I2" s="6" t="s">
        <v>72</v>
      </c>
    </row>
    <row r="3" spans="1:16" x14ac:dyDescent="0.25">
      <c r="A3" s="21" t="s">
        <v>62</v>
      </c>
      <c r="B3" s="21" t="s">
        <v>79</v>
      </c>
      <c r="C3" s="21" t="s">
        <v>80</v>
      </c>
      <c r="D3" s="21" t="s">
        <v>81</v>
      </c>
      <c r="E3" s="6">
        <v>4</v>
      </c>
      <c r="F3" s="22" t="s">
        <v>82</v>
      </c>
    </row>
    <row r="4" spans="1:16" x14ac:dyDescent="0.25">
      <c r="A4" s="6"/>
      <c r="B4" s="6"/>
      <c r="C4" s="6"/>
      <c r="D4" s="6"/>
      <c r="E4" s="6"/>
      <c r="F4" s="6"/>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AVERAGE(G8:G13)</f>
        <v>6.5</v>
      </c>
      <c r="O6" s="8">
        <f xml:space="preserve"> AVERAGE(G25)</f>
        <v>4.21</v>
      </c>
      <c r="P6" s="8"/>
    </row>
    <row r="7" spans="1:16" x14ac:dyDescent="0.25">
      <c r="A7" s="1"/>
      <c r="M7" t="s">
        <v>48</v>
      </c>
      <c r="N7" s="8">
        <f>AVERAGE(E8:E13)</f>
        <v>48.581666666666671</v>
      </c>
      <c r="O7" s="8">
        <f>AVERAGE(E15:E31)</f>
        <v>57.694117647058818</v>
      </c>
      <c r="P7" s="8"/>
    </row>
    <row r="8" spans="1:16" x14ac:dyDescent="0.25">
      <c r="A8" s="4">
        <v>42274</v>
      </c>
      <c r="B8" s="2">
        <v>55.61</v>
      </c>
      <c r="C8" s="2">
        <v>102.08</v>
      </c>
      <c r="D8" s="2">
        <v>0.35</v>
      </c>
      <c r="E8" s="2">
        <v>27.74</v>
      </c>
      <c r="F8" s="2">
        <v>64.400000000000006</v>
      </c>
      <c r="G8" s="2">
        <v>7.33</v>
      </c>
      <c r="H8" s="2">
        <v>114.6</v>
      </c>
      <c r="I8" s="2">
        <v>0</v>
      </c>
      <c r="J8" s="2">
        <v>5</v>
      </c>
      <c r="K8" s="2">
        <f>SUM(I8:J8)</f>
        <v>5</v>
      </c>
      <c r="M8" t="s">
        <v>47</v>
      </c>
      <c r="N8" s="8">
        <v>0</v>
      </c>
      <c r="O8" s="8">
        <f>AVERAGE(D15:D31)</f>
        <v>7.4747058823529411</v>
      </c>
      <c r="P8" s="8"/>
    </row>
    <row r="9" spans="1:16" x14ac:dyDescent="0.25">
      <c r="A9" s="4">
        <v>42281</v>
      </c>
      <c r="B9" s="2">
        <v>64.94</v>
      </c>
      <c r="C9" s="2">
        <v>248.77</v>
      </c>
      <c r="D9" s="2">
        <v>0.56000000000000005</v>
      </c>
      <c r="E9" s="2">
        <v>48.33</v>
      </c>
      <c r="F9" s="2">
        <v>63.2</v>
      </c>
      <c r="G9" s="2">
        <v>6.24</v>
      </c>
      <c r="H9" s="2">
        <v>115.5</v>
      </c>
      <c r="I9" s="2">
        <v>0</v>
      </c>
      <c r="J9" s="2">
        <v>8</v>
      </c>
      <c r="K9" s="2">
        <f t="shared" ref="K9:K14" si="0">SUM(I9:J9)</f>
        <v>8</v>
      </c>
      <c r="M9" t="s">
        <v>46</v>
      </c>
      <c r="N9" s="8">
        <f>AVERAGE(I8:I13)</f>
        <v>0</v>
      </c>
      <c r="O9" s="8">
        <f>AVERAGE(I15:I31)</f>
        <v>5.6470588235294121</v>
      </c>
      <c r="P9" s="8"/>
    </row>
    <row r="10" spans="1:16" x14ac:dyDescent="0.25">
      <c r="A10" s="4">
        <v>42288</v>
      </c>
      <c r="B10" s="2">
        <v>50.53</v>
      </c>
      <c r="C10" s="2">
        <v>103.31</v>
      </c>
      <c r="D10" s="2">
        <v>0.31</v>
      </c>
      <c r="E10" s="2">
        <v>48.84</v>
      </c>
      <c r="F10" s="2">
        <v>62.3</v>
      </c>
      <c r="G10" s="2">
        <v>4.99</v>
      </c>
      <c r="H10" s="2">
        <v>115.6</v>
      </c>
      <c r="I10" s="2">
        <v>0</v>
      </c>
      <c r="J10" s="2">
        <v>4</v>
      </c>
      <c r="K10" s="2">
        <f t="shared" si="0"/>
        <v>4</v>
      </c>
      <c r="M10" t="s">
        <v>45</v>
      </c>
      <c r="N10" s="8">
        <f>AVERAGE(J8:J13)</f>
        <v>5.333333333333333</v>
      </c>
      <c r="O10" s="8">
        <f>AVERAGE(J15:J31)</f>
        <v>0.11764705882352941</v>
      </c>
      <c r="P10" s="8"/>
    </row>
    <row r="11" spans="1:16" x14ac:dyDescent="0.25">
      <c r="A11" s="4">
        <v>42295</v>
      </c>
      <c r="B11" s="2">
        <v>71.010000000000005</v>
      </c>
      <c r="C11" s="2">
        <v>144.53</v>
      </c>
      <c r="D11" s="2">
        <v>0.45</v>
      </c>
      <c r="E11" s="2">
        <v>73.61</v>
      </c>
      <c r="F11" s="2">
        <v>61.3</v>
      </c>
      <c r="G11" s="2">
        <v>7.43</v>
      </c>
      <c r="H11" s="2">
        <v>115.7</v>
      </c>
      <c r="I11" s="2">
        <v>0</v>
      </c>
      <c r="J11" s="2">
        <v>5</v>
      </c>
      <c r="K11" s="2">
        <f t="shared" si="0"/>
        <v>5</v>
      </c>
      <c r="M11" t="s">
        <v>44</v>
      </c>
      <c r="N11" s="8">
        <f>SUM(N9:N10)</f>
        <v>5.333333333333333</v>
      </c>
      <c r="O11" s="8">
        <f>SUM(O9:O10)</f>
        <v>5.7647058823529411</v>
      </c>
      <c r="P11" s="8"/>
    </row>
    <row r="12" spans="1:16" x14ac:dyDescent="0.25">
      <c r="A12" s="4">
        <v>42302</v>
      </c>
      <c r="B12" s="2">
        <v>58.73</v>
      </c>
      <c r="C12" s="2">
        <v>117.09</v>
      </c>
      <c r="D12" s="2">
        <v>0.41</v>
      </c>
      <c r="E12" s="2">
        <v>43.84</v>
      </c>
      <c r="F12" s="2">
        <v>61.3</v>
      </c>
      <c r="G12" s="2">
        <v>5.7</v>
      </c>
      <c r="H12" s="2">
        <v>114.6</v>
      </c>
      <c r="I12" s="2">
        <v>0</v>
      </c>
      <c r="J12" s="2">
        <v>4</v>
      </c>
      <c r="K12" s="2">
        <f t="shared" si="0"/>
        <v>4</v>
      </c>
      <c r="M12" t="s">
        <v>42</v>
      </c>
      <c r="N12" s="14">
        <f>N10/N11</f>
        <v>1</v>
      </c>
      <c r="O12" s="14">
        <f>O10/O11</f>
        <v>2.0408163265306121E-2</v>
      </c>
      <c r="P12" s="8"/>
    </row>
    <row r="13" spans="1:16" x14ac:dyDescent="0.25">
      <c r="A13" s="4">
        <v>42309</v>
      </c>
      <c r="B13" s="2">
        <v>63.36</v>
      </c>
      <c r="C13" s="2">
        <v>124</v>
      </c>
      <c r="D13" s="2">
        <v>0.42</v>
      </c>
      <c r="E13" s="2">
        <v>49.13</v>
      </c>
      <c r="F13" s="2">
        <v>59.7</v>
      </c>
      <c r="G13" s="2">
        <v>7.31</v>
      </c>
      <c r="H13" s="2">
        <v>117.2</v>
      </c>
      <c r="I13" s="2">
        <v>0</v>
      </c>
      <c r="J13" s="2">
        <v>6</v>
      </c>
      <c r="K13" s="2">
        <f t="shared" si="0"/>
        <v>6</v>
      </c>
      <c r="M13" t="s">
        <v>43</v>
      </c>
      <c r="N13" s="8">
        <f>AVERAGE(K8:K31)</f>
        <v>5.791666666666667</v>
      </c>
      <c r="O13" s="8">
        <f>AVERAGE(K8:K31)</f>
        <v>5.791666666666667</v>
      </c>
      <c r="P13" s="8"/>
    </row>
    <row r="14" spans="1:16" x14ac:dyDescent="0.25">
      <c r="A14" s="5">
        <v>42316</v>
      </c>
      <c r="B14" s="6">
        <v>64.099999999999994</v>
      </c>
      <c r="C14" s="6">
        <v>117.21</v>
      </c>
      <c r="D14" s="6">
        <v>4.29</v>
      </c>
      <c r="E14" s="6">
        <v>43.73</v>
      </c>
      <c r="F14" s="6">
        <v>59.4</v>
      </c>
      <c r="G14" s="6">
        <v>6.17</v>
      </c>
      <c r="H14" s="6">
        <v>116</v>
      </c>
      <c r="I14" s="6">
        <v>1</v>
      </c>
      <c r="J14" s="6">
        <v>8</v>
      </c>
      <c r="K14" s="6">
        <f t="shared" si="0"/>
        <v>9</v>
      </c>
      <c r="N14" s="8"/>
      <c r="O14" s="8"/>
      <c r="P14" s="8"/>
    </row>
    <row r="15" spans="1:16" x14ac:dyDescent="0.25">
      <c r="A15" s="7">
        <v>42386</v>
      </c>
      <c r="B15" s="3">
        <v>62.62</v>
      </c>
      <c r="C15" s="3">
        <v>132.28</v>
      </c>
      <c r="D15" s="3">
        <v>7.37</v>
      </c>
      <c r="E15" s="3">
        <v>58.79</v>
      </c>
      <c r="F15" s="3">
        <v>49.1</v>
      </c>
      <c r="G15" s="3">
        <v>0</v>
      </c>
      <c r="H15" s="3">
        <v>0</v>
      </c>
      <c r="I15" s="3">
        <v>4</v>
      </c>
      <c r="J15" s="3">
        <v>0</v>
      </c>
      <c r="K15" s="3">
        <f>SUM(I15:J15)</f>
        <v>4</v>
      </c>
      <c r="O15" s="8"/>
      <c r="P15" s="8"/>
    </row>
    <row r="16" spans="1:16" x14ac:dyDescent="0.25">
      <c r="A16" s="7">
        <v>42393</v>
      </c>
      <c r="B16" s="3">
        <v>57.02</v>
      </c>
      <c r="C16" s="3">
        <v>121.5</v>
      </c>
      <c r="D16" s="3">
        <v>7.06</v>
      </c>
      <c r="E16" s="3">
        <v>55.15</v>
      </c>
      <c r="F16" s="3">
        <v>48.5</v>
      </c>
      <c r="G16" s="3">
        <v>0</v>
      </c>
      <c r="H16" s="3">
        <v>0</v>
      </c>
      <c r="I16" s="3">
        <v>4</v>
      </c>
      <c r="J16" s="3">
        <v>0</v>
      </c>
      <c r="K16" s="3">
        <f t="shared" ref="K16:K31" si="1">SUM(I16:J16)</f>
        <v>4</v>
      </c>
      <c r="M16" t="s">
        <v>20</v>
      </c>
      <c r="N16" s="9">
        <v>0.77</v>
      </c>
      <c r="O16" s="8"/>
      <c r="P16" s="8"/>
    </row>
    <row r="17" spans="1:16" x14ac:dyDescent="0.25">
      <c r="A17" s="7">
        <v>42400</v>
      </c>
      <c r="B17" s="3">
        <v>64.45</v>
      </c>
      <c r="C17" s="3">
        <v>113.5</v>
      </c>
      <c r="D17" s="3">
        <v>7.06</v>
      </c>
      <c r="E17" s="3">
        <v>52.64</v>
      </c>
      <c r="F17" s="3">
        <v>47.7</v>
      </c>
      <c r="G17" s="3">
        <v>0</v>
      </c>
      <c r="H17" s="3">
        <v>0</v>
      </c>
      <c r="I17" s="3">
        <v>6</v>
      </c>
      <c r="J17" s="3">
        <v>0</v>
      </c>
      <c r="K17" s="3">
        <f t="shared" si="1"/>
        <v>6</v>
      </c>
      <c r="M17" t="s">
        <v>21</v>
      </c>
      <c r="N17" s="9">
        <v>0.125</v>
      </c>
      <c r="O17" s="8"/>
      <c r="P17" s="8"/>
    </row>
    <row r="18" spans="1:16" x14ac:dyDescent="0.25">
      <c r="A18" s="7">
        <v>42407</v>
      </c>
      <c r="B18" s="3">
        <v>68.19</v>
      </c>
      <c r="C18" s="3">
        <v>145.75</v>
      </c>
      <c r="D18" s="3">
        <v>8.0399999999999991</v>
      </c>
      <c r="E18" s="3">
        <v>64.760000000000005</v>
      </c>
      <c r="F18" s="3">
        <v>48.2</v>
      </c>
      <c r="G18" s="3">
        <v>0</v>
      </c>
      <c r="H18" s="3">
        <v>0</v>
      </c>
      <c r="I18" s="3">
        <v>3</v>
      </c>
      <c r="J18" s="3">
        <v>0</v>
      </c>
      <c r="K18" s="3">
        <f t="shared" si="1"/>
        <v>3</v>
      </c>
      <c r="M18" t="s">
        <v>16</v>
      </c>
      <c r="N18" s="8">
        <f>AVERAGE(H8:H13)</f>
        <v>115.53333333333335</v>
      </c>
      <c r="O18" s="8"/>
      <c r="P18" s="8"/>
    </row>
    <row r="19" spans="1:16" x14ac:dyDescent="0.25">
      <c r="A19" s="7">
        <v>42414</v>
      </c>
      <c r="B19" s="3">
        <v>60.11</v>
      </c>
      <c r="C19" s="3">
        <v>102.33</v>
      </c>
      <c r="D19" s="3">
        <v>6.94</v>
      </c>
      <c r="E19" s="3">
        <v>55.3</v>
      </c>
      <c r="F19" s="3">
        <v>47.5</v>
      </c>
      <c r="G19" s="3">
        <v>0</v>
      </c>
      <c r="H19" s="3">
        <v>0</v>
      </c>
      <c r="I19" s="3">
        <v>8</v>
      </c>
      <c r="J19" s="3">
        <v>0</v>
      </c>
      <c r="K19" s="3">
        <f t="shared" si="1"/>
        <v>8</v>
      </c>
      <c r="M19" t="s">
        <v>17</v>
      </c>
      <c r="N19" s="8">
        <v>54</v>
      </c>
      <c r="O19" s="8"/>
      <c r="P19" s="8"/>
    </row>
    <row r="20" spans="1:16" x14ac:dyDescent="0.25">
      <c r="A20" s="7">
        <v>42421</v>
      </c>
      <c r="B20" s="3">
        <v>96.02</v>
      </c>
      <c r="C20" s="3">
        <v>183.75</v>
      </c>
      <c r="D20" s="3">
        <v>10.69</v>
      </c>
      <c r="E20" s="3">
        <v>78.849999999999994</v>
      </c>
      <c r="F20" s="3">
        <v>47.4</v>
      </c>
      <c r="G20" s="3">
        <v>0</v>
      </c>
      <c r="H20" s="3">
        <v>0</v>
      </c>
      <c r="I20" s="3">
        <v>6</v>
      </c>
      <c r="J20" s="3">
        <v>0</v>
      </c>
      <c r="K20" s="3">
        <f t="shared" si="1"/>
        <v>6</v>
      </c>
      <c r="M20" t="s">
        <v>19</v>
      </c>
      <c r="N20" s="8">
        <f>($N6*8.33*(N13*N12)*(N18-N19)/0.58*52/100000)-$O6*8.33*(O13*O12)*(N18-N19)/0.58*52/100000</f>
        <v>17.071388070363991</v>
      </c>
      <c r="O20" s="8"/>
      <c r="P20" s="8"/>
    </row>
    <row r="21" spans="1:16" x14ac:dyDescent="0.25">
      <c r="A21" s="7">
        <v>42428</v>
      </c>
      <c r="B21" s="3">
        <v>65.569999999999993</v>
      </c>
      <c r="C21" s="3">
        <v>139.69</v>
      </c>
      <c r="D21" s="3">
        <v>7.94</v>
      </c>
      <c r="E21" s="3">
        <v>62.72</v>
      </c>
      <c r="F21" s="3">
        <v>47</v>
      </c>
      <c r="G21" s="3">
        <v>0</v>
      </c>
      <c r="H21" s="3">
        <v>0</v>
      </c>
      <c r="I21" s="3">
        <v>2</v>
      </c>
      <c r="J21" s="3">
        <v>0</v>
      </c>
      <c r="K21" s="3">
        <f t="shared" si="1"/>
        <v>2</v>
      </c>
      <c r="M21" t="s">
        <v>18</v>
      </c>
      <c r="N21" s="8">
        <f>$N6*8.33*(N13*N12)*(N18-N19)/0.58*52/100000</f>
        <v>17.30006395498085</v>
      </c>
      <c r="O21" s="8"/>
    </row>
    <row r="22" spans="1:16" x14ac:dyDescent="0.25">
      <c r="A22" s="7">
        <v>42435</v>
      </c>
      <c r="B22" s="3">
        <v>63.81</v>
      </c>
      <c r="C22" s="3">
        <v>122.44</v>
      </c>
      <c r="D22" s="3">
        <v>7.63</v>
      </c>
      <c r="E22" s="3">
        <v>55.42</v>
      </c>
      <c r="F22" s="3">
        <v>48</v>
      </c>
      <c r="G22" s="3">
        <v>0</v>
      </c>
      <c r="H22" s="3">
        <v>0</v>
      </c>
      <c r="I22" s="3">
        <v>8</v>
      </c>
      <c r="J22" s="3">
        <v>0</v>
      </c>
      <c r="K22" s="3">
        <f t="shared" si="1"/>
        <v>8</v>
      </c>
      <c r="M22" t="s">
        <v>22</v>
      </c>
      <c r="N22" s="10">
        <f>N20*N16</f>
        <v>13.144968814180274</v>
      </c>
    </row>
    <row r="23" spans="1:16" x14ac:dyDescent="0.25">
      <c r="A23" s="7">
        <v>42442</v>
      </c>
      <c r="B23" s="3">
        <v>61.92</v>
      </c>
      <c r="C23" s="3">
        <v>124.31</v>
      </c>
      <c r="D23" s="3">
        <v>7.06</v>
      </c>
      <c r="E23" s="3">
        <v>54.02</v>
      </c>
      <c r="F23" s="3">
        <v>49.6</v>
      </c>
      <c r="G23" s="3">
        <v>0</v>
      </c>
      <c r="H23" s="3">
        <v>0</v>
      </c>
      <c r="I23" s="3">
        <v>4</v>
      </c>
      <c r="J23" s="3">
        <v>0</v>
      </c>
      <c r="K23" s="3">
        <f t="shared" si="1"/>
        <v>4</v>
      </c>
      <c r="M23" t="s">
        <v>23</v>
      </c>
      <c r="N23" s="10">
        <f>N21*N16</f>
        <v>13.321049245335255</v>
      </c>
    </row>
    <row r="24" spans="1:16" x14ac:dyDescent="0.25">
      <c r="A24" s="7">
        <v>42449</v>
      </c>
      <c r="B24" s="3">
        <v>59.9</v>
      </c>
      <c r="C24" s="3">
        <v>116.92</v>
      </c>
      <c r="D24" s="3">
        <v>6.81</v>
      </c>
      <c r="E24" s="3">
        <v>50.16</v>
      </c>
      <c r="F24" s="3">
        <v>50</v>
      </c>
      <c r="G24" s="3">
        <v>0</v>
      </c>
      <c r="H24" s="3">
        <v>0</v>
      </c>
      <c r="I24" s="3">
        <v>9</v>
      </c>
      <c r="J24" s="3">
        <v>0</v>
      </c>
      <c r="K24" s="3">
        <f t="shared" si="1"/>
        <v>9</v>
      </c>
      <c r="M24" t="s">
        <v>24</v>
      </c>
      <c r="N24" s="11">
        <f>O8*N13*52/1000</f>
        <v>2.2511322549019606</v>
      </c>
    </row>
    <row r="25" spans="1:16" x14ac:dyDescent="0.25">
      <c r="A25" s="7">
        <v>42456</v>
      </c>
      <c r="B25" s="3">
        <v>66.87</v>
      </c>
      <c r="C25" s="3">
        <v>136.5</v>
      </c>
      <c r="D25" s="3">
        <v>8.07</v>
      </c>
      <c r="E25" s="3">
        <v>59.85</v>
      </c>
      <c r="F25" s="3">
        <v>50.5</v>
      </c>
      <c r="G25" s="3">
        <v>4.21</v>
      </c>
      <c r="H25" s="3">
        <v>115.9</v>
      </c>
      <c r="I25" s="3">
        <v>5</v>
      </c>
      <c r="J25" s="3">
        <v>2</v>
      </c>
      <c r="K25" s="3">
        <f t="shared" si="1"/>
        <v>7</v>
      </c>
      <c r="M25" t="s">
        <v>25</v>
      </c>
      <c r="N25" s="12">
        <f>N17*N24</f>
        <v>0.28139153186274507</v>
      </c>
    </row>
    <row r="26" spans="1:16" x14ac:dyDescent="0.25">
      <c r="A26" s="7">
        <v>42463</v>
      </c>
      <c r="B26" s="3">
        <v>62.45</v>
      </c>
      <c r="C26" s="3">
        <v>126.91</v>
      </c>
      <c r="D26" s="3">
        <v>7.59</v>
      </c>
      <c r="E26" s="3">
        <v>59.79</v>
      </c>
      <c r="F26" s="3">
        <v>50.7</v>
      </c>
      <c r="G26" s="3">
        <v>0</v>
      </c>
      <c r="H26" s="3">
        <v>0</v>
      </c>
      <c r="I26" s="3">
        <v>7</v>
      </c>
      <c r="J26" s="3">
        <v>0</v>
      </c>
      <c r="K26" s="3">
        <f t="shared" si="1"/>
        <v>7</v>
      </c>
    </row>
    <row r="27" spans="1:16" x14ac:dyDescent="0.25">
      <c r="A27" s="7">
        <v>42470</v>
      </c>
      <c r="B27" s="3">
        <v>60.33</v>
      </c>
      <c r="C27" s="3">
        <v>110.44</v>
      </c>
      <c r="D27" s="3">
        <v>6.31</v>
      </c>
      <c r="E27" s="3">
        <v>45.17</v>
      </c>
      <c r="F27" s="3">
        <v>50.1</v>
      </c>
      <c r="G27" s="3">
        <v>0</v>
      </c>
      <c r="H27" s="3">
        <v>0</v>
      </c>
      <c r="I27" s="3">
        <v>2</v>
      </c>
      <c r="J27" s="3">
        <v>0</v>
      </c>
      <c r="K27" s="3">
        <f t="shared" si="1"/>
        <v>2</v>
      </c>
      <c r="M27" t="s">
        <v>35</v>
      </c>
      <c r="N27" s="9">
        <v>0.16</v>
      </c>
    </row>
    <row r="28" spans="1:16" x14ac:dyDescent="0.25">
      <c r="A28" s="7">
        <v>42477</v>
      </c>
      <c r="B28" s="3">
        <v>66.19</v>
      </c>
      <c r="C28" s="3">
        <v>131.44</v>
      </c>
      <c r="D28" s="3">
        <v>7.66</v>
      </c>
      <c r="E28" s="3">
        <v>58.5</v>
      </c>
      <c r="F28" s="3">
        <v>51.7</v>
      </c>
      <c r="G28" s="3">
        <v>0</v>
      </c>
      <c r="H28" s="3">
        <v>0</v>
      </c>
      <c r="I28" s="3">
        <v>8</v>
      </c>
      <c r="J28" s="3">
        <v>0</v>
      </c>
      <c r="K28" s="3">
        <f t="shared" si="1"/>
        <v>8</v>
      </c>
      <c r="M28" t="s">
        <v>36</v>
      </c>
      <c r="N28" s="10">
        <f>N13*N27*52</f>
        <v>48.186666666666667</v>
      </c>
    </row>
    <row r="29" spans="1:16" x14ac:dyDescent="0.25">
      <c r="A29" s="7">
        <v>42484</v>
      </c>
      <c r="B29" s="3">
        <v>65.88</v>
      </c>
      <c r="C29" s="3">
        <v>129.06</v>
      </c>
      <c r="D29" s="3">
        <v>5.96</v>
      </c>
      <c r="E29" s="3">
        <v>50.55</v>
      </c>
      <c r="F29" s="3">
        <v>53.5</v>
      </c>
      <c r="G29" s="3">
        <v>0</v>
      </c>
      <c r="H29" s="3">
        <v>0</v>
      </c>
      <c r="I29" s="3">
        <v>6</v>
      </c>
      <c r="J29" s="3">
        <v>0</v>
      </c>
      <c r="K29" s="3">
        <f t="shared" si="1"/>
        <v>6</v>
      </c>
    </row>
    <row r="30" spans="1:16" x14ac:dyDescent="0.25">
      <c r="A30" s="7">
        <v>42491</v>
      </c>
      <c r="B30" s="3">
        <v>61.62</v>
      </c>
      <c r="C30" s="3">
        <v>118.8</v>
      </c>
      <c r="D30" s="3">
        <v>7.29</v>
      </c>
      <c r="E30" s="3">
        <v>55.27</v>
      </c>
      <c r="F30" s="3">
        <v>53.5</v>
      </c>
      <c r="G30" s="3">
        <v>0</v>
      </c>
      <c r="H30" s="3">
        <v>0</v>
      </c>
      <c r="I30" s="3">
        <v>10</v>
      </c>
      <c r="J30" s="3">
        <v>0</v>
      </c>
      <c r="K30" s="3">
        <f t="shared" si="1"/>
        <v>10</v>
      </c>
      <c r="M30" t="s">
        <v>37</v>
      </c>
      <c r="N30" s="12">
        <v>300</v>
      </c>
    </row>
    <row r="31" spans="1:16" x14ac:dyDescent="0.25">
      <c r="A31" s="7">
        <v>42498</v>
      </c>
      <c r="B31" s="3">
        <v>64.11</v>
      </c>
      <c r="C31" s="3">
        <v>132.09</v>
      </c>
      <c r="D31" s="3">
        <v>7.59</v>
      </c>
      <c r="E31" s="3">
        <v>63.86</v>
      </c>
      <c r="F31" s="3">
        <v>54.5</v>
      </c>
      <c r="G31" s="3">
        <v>0</v>
      </c>
      <c r="H31" s="3">
        <v>0</v>
      </c>
      <c r="I31" s="3">
        <v>4</v>
      </c>
      <c r="J31" s="3">
        <v>0</v>
      </c>
      <c r="K31" s="3">
        <f t="shared" si="1"/>
        <v>4</v>
      </c>
      <c r="M31" t="s">
        <v>38</v>
      </c>
      <c r="N31" s="13">
        <f>N30/(SUM(N28,N22)-N25)</f>
        <v>4.9139852782683544</v>
      </c>
    </row>
    <row r="32" spans="1:16" x14ac:dyDescent="0.25">
      <c r="A32" s="5"/>
      <c r="B32" s="6"/>
      <c r="C32" s="6"/>
      <c r="D32" s="6"/>
      <c r="E32" s="6"/>
      <c r="F32" s="6"/>
      <c r="G32" s="6"/>
      <c r="H32" s="6"/>
      <c r="I32" s="6"/>
      <c r="J32" s="6"/>
      <c r="K32" s="6"/>
    </row>
    <row r="33" spans="1:11" x14ac:dyDescent="0.25">
      <c r="A33" s="5"/>
      <c r="B33" s="6"/>
      <c r="C33" s="6"/>
      <c r="D33" s="6"/>
      <c r="E33" s="6"/>
      <c r="F33" s="6"/>
      <c r="G33" s="6"/>
      <c r="H33" s="6"/>
      <c r="I33" s="6"/>
      <c r="J33" s="6"/>
      <c r="K33" s="6"/>
    </row>
    <row r="34" spans="1:11" x14ac:dyDescent="0.25">
      <c r="A34" s="5"/>
      <c r="B34" s="6"/>
      <c r="C34" s="6"/>
      <c r="D34" s="6"/>
      <c r="E34" s="6"/>
      <c r="F34" s="6"/>
      <c r="G34" s="6"/>
      <c r="H34" s="6"/>
      <c r="I34" s="6"/>
      <c r="J34" s="6"/>
      <c r="K34" s="6"/>
    </row>
    <row r="35" spans="1:11" x14ac:dyDescent="0.25">
      <c r="A35" s="5"/>
      <c r="B35" s="6"/>
      <c r="C35" s="6"/>
      <c r="D35" s="6"/>
      <c r="E35" s="6"/>
      <c r="F35" s="6"/>
      <c r="G35" s="6"/>
      <c r="H35" s="6"/>
      <c r="I35" s="6"/>
      <c r="J35" s="6"/>
      <c r="K35" s="6"/>
    </row>
    <row r="36" spans="1:11" x14ac:dyDescent="0.25">
      <c r="A36" s="5"/>
      <c r="B36" s="6"/>
      <c r="C36" s="6"/>
      <c r="D36" s="6"/>
      <c r="E36" s="6"/>
      <c r="F36" s="6"/>
      <c r="G36" s="6"/>
      <c r="H36" s="6"/>
      <c r="I36" s="6"/>
      <c r="J36" s="6"/>
      <c r="K36" s="6"/>
    </row>
    <row r="37" spans="1:11" x14ac:dyDescent="0.25">
      <c r="A37" s="5"/>
      <c r="B37" s="6"/>
      <c r="C37" s="6"/>
      <c r="D37" s="6"/>
      <c r="E37" s="6"/>
      <c r="F37" s="6"/>
      <c r="G37" s="6"/>
      <c r="H37" s="6"/>
      <c r="I37" s="6"/>
      <c r="J37" s="6"/>
      <c r="K37" s="6"/>
    </row>
    <row r="38" spans="1:11" x14ac:dyDescent="0.25">
      <c r="A38" s="5"/>
      <c r="B38" s="6"/>
      <c r="C38" s="6"/>
      <c r="D38" s="6"/>
      <c r="E38" s="6"/>
      <c r="F38" s="6"/>
      <c r="G38" s="6"/>
      <c r="H38" s="6"/>
      <c r="I38" s="6"/>
      <c r="J38" s="6"/>
      <c r="K38" s="6"/>
    </row>
    <row r="39" spans="1:11" x14ac:dyDescent="0.25">
      <c r="A39" s="5"/>
      <c r="B39" s="6"/>
      <c r="C39" s="6"/>
      <c r="D39" s="6"/>
      <c r="E39" s="6"/>
      <c r="F39" s="6"/>
      <c r="G39" s="6"/>
      <c r="H39" s="6"/>
      <c r="I39" s="6"/>
      <c r="J39" s="6"/>
      <c r="K39" s="6"/>
    </row>
    <row r="40" spans="1:11" x14ac:dyDescent="0.25">
      <c r="A40" s="5"/>
      <c r="B40" s="6"/>
      <c r="C40" s="6"/>
      <c r="D40" s="6"/>
      <c r="E40" s="6"/>
      <c r="F40" s="6"/>
      <c r="G40" s="6"/>
      <c r="H40" s="6"/>
      <c r="I40" s="6"/>
      <c r="J40" s="6"/>
      <c r="K40" s="6"/>
    </row>
    <row r="41" spans="1:11" x14ac:dyDescent="0.25">
      <c r="A41" s="5"/>
      <c r="B41" s="6"/>
      <c r="C41" s="6"/>
      <c r="D41" s="6"/>
      <c r="E41" s="6"/>
      <c r="F41" s="6"/>
      <c r="G41" s="6"/>
      <c r="H41" s="6"/>
      <c r="I41" s="6"/>
      <c r="J41" s="6"/>
      <c r="K41" s="6"/>
    </row>
    <row r="42" spans="1:11" x14ac:dyDescent="0.25">
      <c r="A42" s="5"/>
      <c r="B42" s="6"/>
      <c r="C42" s="6"/>
      <c r="D42" s="6"/>
      <c r="E42" s="6"/>
      <c r="F42" s="6"/>
      <c r="G42" s="6"/>
      <c r="H42" s="6"/>
      <c r="I42" s="6"/>
      <c r="J42" s="6"/>
      <c r="K42" s="6"/>
    </row>
    <row r="43" spans="1:11" x14ac:dyDescent="0.25">
      <c r="A43" s="5"/>
      <c r="B43" s="6"/>
      <c r="C43" s="6"/>
      <c r="D43" s="6"/>
      <c r="E43" s="6"/>
      <c r="F43" s="6"/>
      <c r="G43" s="6"/>
      <c r="H43" s="6"/>
      <c r="I43" s="6"/>
      <c r="J43" s="6"/>
      <c r="K43" s="6"/>
    </row>
    <row r="44" spans="1:11" x14ac:dyDescent="0.25">
      <c r="A44" s="6"/>
      <c r="B44" s="6"/>
      <c r="C44" s="6"/>
      <c r="D44" s="6"/>
      <c r="E44" s="6"/>
      <c r="F44" s="6"/>
      <c r="G44" s="6"/>
      <c r="H44" s="6"/>
      <c r="I44" s="6"/>
      <c r="J44" s="6"/>
      <c r="K44" s="6"/>
    </row>
    <row r="45" spans="1:11" x14ac:dyDescent="0.25">
      <c r="A45" s="5"/>
      <c r="B45" s="6"/>
      <c r="C45" s="6"/>
      <c r="D45" s="6"/>
      <c r="E45" s="6"/>
      <c r="F45" s="6"/>
      <c r="G45" s="6"/>
      <c r="H45" s="6"/>
      <c r="I45" s="6"/>
      <c r="J45" s="6"/>
      <c r="K45" s="6"/>
    </row>
    <row r="46" spans="1:11" x14ac:dyDescent="0.25">
      <c r="A46" s="5"/>
      <c r="B46" s="6"/>
      <c r="C46" s="6"/>
      <c r="D46" s="6"/>
      <c r="E46" s="6"/>
      <c r="F46" s="6"/>
      <c r="G46" s="6"/>
      <c r="H46" s="6"/>
      <c r="I46" s="6"/>
      <c r="J46" s="6"/>
      <c r="K46" s="6"/>
    </row>
    <row r="47" spans="1:11" x14ac:dyDescent="0.25">
      <c r="A47" s="5"/>
      <c r="B47" s="6"/>
      <c r="C47" s="6"/>
      <c r="D47" s="6"/>
      <c r="E47" s="6"/>
      <c r="F47" s="6"/>
      <c r="G47" s="6"/>
      <c r="H47" s="6"/>
      <c r="I47" s="6"/>
      <c r="J47" s="6"/>
      <c r="K47" s="6"/>
    </row>
    <row r="48" spans="1:11" x14ac:dyDescent="0.25">
      <c r="A48" s="5"/>
      <c r="B48" s="6"/>
      <c r="C48" s="6"/>
      <c r="D48" s="6"/>
      <c r="E48" s="6"/>
      <c r="F48" s="6"/>
      <c r="G48" s="6"/>
      <c r="H48" s="6"/>
      <c r="I48" s="6"/>
      <c r="J48" s="6"/>
      <c r="K48" s="6"/>
    </row>
    <row r="53" spans="2:14" x14ac:dyDescent="0.25">
      <c r="B53" s="6"/>
      <c r="C53" s="6"/>
      <c r="D53" s="6"/>
      <c r="E53" s="6"/>
      <c r="F53" s="6"/>
      <c r="G53" s="6"/>
      <c r="H53" s="6"/>
      <c r="I53" s="6"/>
      <c r="J53" s="6"/>
      <c r="K53" s="6"/>
      <c r="L53" s="6"/>
      <c r="M53" s="6"/>
      <c r="N53" s="6"/>
    </row>
    <row r="54" spans="2:14" x14ac:dyDescent="0.25">
      <c r="B54" s="6"/>
      <c r="C54" s="6"/>
      <c r="D54" s="6"/>
      <c r="E54" s="6"/>
      <c r="F54" s="6"/>
      <c r="G54" s="6"/>
      <c r="H54" s="6"/>
      <c r="I54" s="6"/>
      <c r="J54" s="6"/>
      <c r="K54" s="6"/>
      <c r="L54" s="6"/>
      <c r="M54" s="6"/>
      <c r="N54" s="6"/>
    </row>
    <row r="55" spans="2:14" x14ac:dyDescent="0.25">
      <c r="B55" s="6"/>
      <c r="C55" s="6"/>
      <c r="D55" s="6"/>
      <c r="E55" s="6"/>
      <c r="F55" s="6"/>
      <c r="G55" s="6"/>
      <c r="H55" s="6"/>
      <c r="I55" s="6"/>
      <c r="J55" s="6"/>
      <c r="K55" s="6"/>
      <c r="L55" s="6"/>
      <c r="M55" s="6"/>
      <c r="N55" s="6"/>
    </row>
    <row r="56" spans="2:14" x14ac:dyDescent="0.25">
      <c r="B56" s="6"/>
      <c r="C56" s="6"/>
      <c r="D56" s="6"/>
      <c r="E56" s="6"/>
      <c r="F56" s="6"/>
      <c r="G56" s="6"/>
      <c r="H56" s="6"/>
      <c r="I56" s="6"/>
      <c r="J56" s="6"/>
      <c r="K56" s="6"/>
      <c r="L56" s="6"/>
      <c r="M56" s="6"/>
      <c r="N56" s="6"/>
    </row>
    <row r="57" spans="2:14" x14ac:dyDescent="0.25">
      <c r="B57" s="6"/>
      <c r="C57" s="6"/>
      <c r="D57" s="6"/>
      <c r="E57" s="6"/>
      <c r="F57" s="6"/>
      <c r="G57" s="6"/>
      <c r="H57" s="6"/>
      <c r="I57" s="6"/>
      <c r="J57" s="6"/>
      <c r="K57" s="6"/>
      <c r="L57" s="6"/>
      <c r="M57" s="6"/>
      <c r="N57" s="6"/>
    </row>
    <row r="58" spans="2:14" x14ac:dyDescent="0.25">
      <c r="B58" s="6"/>
      <c r="C58" s="6"/>
      <c r="D58" s="6"/>
      <c r="E58" s="6"/>
      <c r="F58" s="6"/>
      <c r="G58" s="6"/>
      <c r="H58" s="6"/>
      <c r="I58" s="6"/>
      <c r="J58" s="6"/>
      <c r="K58" s="6"/>
      <c r="L58" s="6"/>
      <c r="M58" s="6"/>
      <c r="N58" s="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sheetPr>
  <dimension ref="A1:P58"/>
  <sheetViews>
    <sheetView workbookViewId="0">
      <selection activeCell="C6" sqref="C6"/>
    </sheetView>
  </sheetViews>
  <sheetFormatPr defaultRowHeight="15" x14ac:dyDescent="0.25"/>
  <cols>
    <col min="1" max="1" width="11.7109375" customWidth="1"/>
    <col min="13" max="13" width="40.85546875" customWidth="1"/>
  </cols>
  <sheetData>
    <row r="1" spans="1:16" x14ac:dyDescent="0.25">
      <c r="A1" t="s">
        <v>51</v>
      </c>
    </row>
    <row r="2" spans="1:16" x14ac:dyDescent="0.25">
      <c r="A2" t="s">
        <v>67</v>
      </c>
      <c r="B2" t="s">
        <v>68</v>
      </c>
      <c r="C2" t="s">
        <v>69</v>
      </c>
      <c r="D2" t="s">
        <v>70</v>
      </c>
      <c r="E2" t="s">
        <v>66</v>
      </c>
      <c r="F2" s="19" t="s">
        <v>71</v>
      </c>
      <c r="H2" s="37"/>
      <c r="I2" s="6" t="s">
        <v>72</v>
      </c>
    </row>
    <row r="3" spans="1:16" x14ac:dyDescent="0.25">
      <c r="A3" s="18" t="s">
        <v>75</v>
      </c>
      <c r="B3" s="18" t="s">
        <v>85</v>
      </c>
      <c r="C3" s="18" t="s">
        <v>86</v>
      </c>
      <c r="D3" s="18" t="s">
        <v>87</v>
      </c>
      <c r="E3" s="18" t="s">
        <v>84</v>
      </c>
      <c r="F3" s="6">
        <v>914</v>
      </c>
    </row>
    <row r="4" spans="1:16" x14ac:dyDescent="0.25">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AVERAGE(G8:G13)</f>
        <v>5.0449999999999999</v>
      </c>
      <c r="O6" s="8">
        <f xml:space="preserve"> AVERAGE(G14:G22)</f>
        <v>0</v>
      </c>
      <c r="P6" s="8"/>
    </row>
    <row r="7" spans="1:16" x14ac:dyDescent="0.25">
      <c r="A7" s="1"/>
      <c r="G7" t="s">
        <v>60</v>
      </c>
      <c r="M7" t="s">
        <v>48</v>
      </c>
      <c r="N7" s="8">
        <f>AVERAGE(E8:E13)</f>
        <v>148.87833333333333</v>
      </c>
      <c r="O7" s="8">
        <f>AVERAGE(E14:E22)</f>
        <v>72.673333333333332</v>
      </c>
      <c r="P7" s="8"/>
    </row>
    <row r="8" spans="1:16" x14ac:dyDescent="0.25">
      <c r="A8" s="4">
        <v>42274</v>
      </c>
      <c r="B8" s="2">
        <v>115.73</v>
      </c>
      <c r="C8" s="2">
        <v>146.75</v>
      </c>
      <c r="D8" s="2">
        <v>1.04</v>
      </c>
      <c r="E8" s="2">
        <v>115.93</v>
      </c>
      <c r="F8" s="2">
        <v>62.8</v>
      </c>
      <c r="G8" s="2">
        <v>7.49</v>
      </c>
      <c r="H8" s="2">
        <v>135.80000000000001</v>
      </c>
      <c r="I8" s="2">
        <v>0</v>
      </c>
      <c r="J8" s="2">
        <v>3</v>
      </c>
      <c r="K8" s="2">
        <f>SUM(I8:J8)</f>
        <v>3</v>
      </c>
      <c r="M8" t="s">
        <v>47</v>
      </c>
      <c r="N8" s="8">
        <v>0</v>
      </c>
      <c r="O8" s="8">
        <f>AVERAGE(D14:D22)</f>
        <v>4.8377777777777773</v>
      </c>
      <c r="P8" s="8"/>
    </row>
    <row r="9" spans="1:16" x14ac:dyDescent="0.25">
      <c r="A9" s="4">
        <v>42281</v>
      </c>
      <c r="B9" s="2">
        <v>114.67</v>
      </c>
      <c r="C9" s="2">
        <v>135.47</v>
      </c>
      <c r="D9" s="2">
        <v>0.97</v>
      </c>
      <c r="E9" s="2">
        <v>166.65</v>
      </c>
      <c r="F9" s="2">
        <v>60.2</v>
      </c>
      <c r="G9" s="2">
        <v>4.88</v>
      </c>
      <c r="H9" s="2">
        <v>131.80000000000001</v>
      </c>
      <c r="I9" s="2">
        <v>1</v>
      </c>
      <c r="J9" s="2">
        <v>3</v>
      </c>
      <c r="K9" s="2">
        <f t="shared" ref="K9:K14" si="0">SUM(I9:J9)</f>
        <v>4</v>
      </c>
      <c r="M9" t="s">
        <v>46</v>
      </c>
      <c r="N9" s="8">
        <f>AVERAGE(I8:I13)</f>
        <v>0.83333333333333337</v>
      </c>
      <c r="O9" s="8">
        <f>AVERAGE(I14:I22)</f>
        <v>4.1111111111111107</v>
      </c>
      <c r="P9" s="8"/>
    </row>
    <row r="10" spans="1:16" x14ac:dyDescent="0.25">
      <c r="A10" s="4">
        <v>42288</v>
      </c>
      <c r="B10" s="2">
        <v>102.7</v>
      </c>
      <c r="C10" s="2">
        <v>130.02000000000001</v>
      </c>
      <c r="D10" s="2">
        <v>0.93</v>
      </c>
      <c r="E10" s="2">
        <v>117.99</v>
      </c>
      <c r="F10" s="2">
        <v>60.5</v>
      </c>
      <c r="G10" s="2">
        <v>5</v>
      </c>
      <c r="H10" s="2">
        <v>130.4</v>
      </c>
      <c r="I10" s="2">
        <v>1</v>
      </c>
      <c r="J10" s="2">
        <v>10</v>
      </c>
      <c r="K10" s="2">
        <f t="shared" si="0"/>
        <v>11</v>
      </c>
      <c r="M10" t="s">
        <v>45</v>
      </c>
      <c r="N10" s="8">
        <f>AVERAGE(J8:J13)</f>
        <v>3.8333333333333335</v>
      </c>
      <c r="O10" s="8">
        <f>AVERAGE(J14:J22)</f>
        <v>0</v>
      </c>
      <c r="P10" s="8"/>
    </row>
    <row r="11" spans="1:16" x14ac:dyDescent="0.25">
      <c r="A11" s="4">
        <v>42295</v>
      </c>
      <c r="B11" s="2">
        <v>119.37</v>
      </c>
      <c r="C11" s="2">
        <v>161.62</v>
      </c>
      <c r="D11" s="2">
        <v>1.1200000000000001</v>
      </c>
      <c r="E11" s="2">
        <v>111.33</v>
      </c>
      <c r="F11" s="2">
        <v>58.4</v>
      </c>
      <c r="G11" s="2">
        <v>3</v>
      </c>
      <c r="H11" s="2">
        <v>137.5</v>
      </c>
      <c r="I11" s="2">
        <v>0</v>
      </c>
      <c r="J11" s="2">
        <v>1</v>
      </c>
      <c r="K11" s="2">
        <f t="shared" si="0"/>
        <v>1</v>
      </c>
      <c r="M11" t="s">
        <v>44</v>
      </c>
      <c r="N11" s="8">
        <f>SUM(N9:N10)</f>
        <v>4.666666666666667</v>
      </c>
      <c r="O11" s="8">
        <f>SUM(O9:O10)</f>
        <v>4.1111111111111107</v>
      </c>
      <c r="P11" s="8"/>
    </row>
    <row r="12" spans="1:16" x14ac:dyDescent="0.25">
      <c r="A12" s="4">
        <v>42302</v>
      </c>
      <c r="B12" s="2">
        <v>129.35</v>
      </c>
      <c r="C12" s="2">
        <v>143.31</v>
      </c>
      <c r="D12" s="2">
        <v>1.1000000000000001</v>
      </c>
      <c r="E12" s="2">
        <v>201.43</v>
      </c>
      <c r="F12" s="2">
        <v>57.6</v>
      </c>
      <c r="G12" s="2">
        <v>5.85</v>
      </c>
      <c r="H12" s="2">
        <v>135.6</v>
      </c>
      <c r="I12" s="2">
        <v>2</v>
      </c>
      <c r="J12" s="2">
        <v>4</v>
      </c>
      <c r="K12" s="2">
        <f t="shared" si="0"/>
        <v>6</v>
      </c>
      <c r="M12" t="s">
        <v>42</v>
      </c>
      <c r="N12" s="14">
        <f>N10/N11</f>
        <v>0.8214285714285714</v>
      </c>
      <c r="O12" s="14">
        <f>O10/O11</f>
        <v>0</v>
      </c>
      <c r="P12" s="8"/>
    </row>
    <row r="13" spans="1:16" x14ac:dyDescent="0.25">
      <c r="A13" s="4">
        <v>42309</v>
      </c>
      <c r="B13" s="2">
        <v>132.31</v>
      </c>
      <c r="C13" s="2">
        <v>166.75</v>
      </c>
      <c r="D13" s="2">
        <v>1.17</v>
      </c>
      <c r="E13" s="2">
        <v>179.94</v>
      </c>
      <c r="F13" s="2">
        <v>56.2</v>
      </c>
      <c r="G13" s="2">
        <v>4.05</v>
      </c>
      <c r="H13" s="2">
        <v>128.69999999999999</v>
      </c>
      <c r="I13" s="2">
        <v>1</v>
      </c>
      <c r="J13" s="2">
        <v>2</v>
      </c>
      <c r="K13" s="2">
        <f t="shared" si="0"/>
        <v>3</v>
      </c>
      <c r="M13" t="s">
        <v>43</v>
      </c>
      <c r="N13" s="8">
        <f>AVERAGE(K8:K31)</f>
        <v>4.333333333333333</v>
      </c>
      <c r="O13" s="8">
        <f>AVERAGE(K8:K31)</f>
        <v>4.333333333333333</v>
      </c>
      <c r="P13" s="8"/>
    </row>
    <row r="14" spans="1:16" x14ac:dyDescent="0.25">
      <c r="A14" s="7">
        <v>42316</v>
      </c>
      <c r="B14" s="3">
        <v>106.12</v>
      </c>
      <c r="C14" s="3">
        <v>125.34</v>
      </c>
      <c r="D14" s="3">
        <v>15.03</v>
      </c>
      <c r="E14" s="3">
        <v>182.61</v>
      </c>
      <c r="F14" s="3">
        <v>54.8</v>
      </c>
      <c r="G14" s="3">
        <v>0</v>
      </c>
      <c r="H14" s="3">
        <v>0</v>
      </c>
      <c r="I14" s="3">
        <v>4</v>
      </c>
      <c r="J14" s="3">
        <v>0</v>
      </c>
      <c r="K14" s="3">
        <f t="shared" si="0"/>
        <v>4</v>
      </c>
      <c r="N14" s="8"/>
      <c r="O14" s="8"/>
      <c r="P14" s="8"/>
    </row>
    <row r="15" spans="1:16" x14ac:dyDescent="0.25">
      <c r="A15" s="7">
        <v>42323</v>
      </c>
      <c r="B15" s="3">
        <v>96.37</v>
      </c>
      <c r="C15" s="3">
        <v>117</v>
      </c>
      <c r="D15" s="3">
        <v>12</v>
      </c>
      <c r="E15" s="3">
        <v>144.74</v>
      </c>
      <c r="F15" s="3">
        <v>54.5</v>
      </c>
      <c r="G15" s="3">
        <v>0</v>
      </c>
      <c r="H15" s="3">
        <v>0</v>
      </c>
      <c r="I15" s="3">
        <v>2</v>
      </c>
      <c r="J15" s="3">
        <v>0</v>
      </c>
      <c r="K15" s="3">
        <f>SUM(I15:J15)</f>
        <v>2</v>
      </c>
      <c r="O15" s="8"/>
      <c r="P15" s="8"/>
    </row>
    <row r="16" spans="1:16" x14ac:dyDescent="0.25">
      <c r="A16" s="7">
        <v>42337</v>
      </c>
      <c r="B16" s="3">
        <v>103.64</v>
      </c>
      <c r="C16" s="3">
        <v>118.88</v>
      </c>
      <c r="D16" s="3">
        <v>10.73</v>
      </c>
      <c r="E16" s="3">
        <v>161.52000000000001</v>
      </c>
      <c r="F16" s="3">
        <v>48.2</v>
      </c>
      <c r="G16" s="3">
        <v>0</v>
      </c>
      <c r="H16" s="3">
        <v>0</v>
      </c>
      <c r="I16" s="3">
        <v>7</v>
      </c>
      <c r="J16" s="3">
        <v>0</v>
      </c>
      <c r="K16" s="3">
        <f t="shared" ref="K16:K22" si="1">SUM(I16:J16)</f>
        <v>7</v>
      </c>
      <c r="M16" t="s">
        <v>20</v>
      </c>
      <c r="N16" s="9">
        <v>0.77</v>
      </c>
      <c r="O16" s="8"/>
      <c r="P16" s="8"/>
    </row>
    <row r="17" spans="1:16" x14ac:dyDescent="0.25">
      <c r="A17" s="1">
        <v>42344</v>
      </c>
      <c r="B17">
        <v>99.67</v>
      </c>
      <c r="C17">
        <v>157</v>
      </c>
      <c r="D17">
        <v>0.87</v>
      </c>
      <c r="E17">
        <v>27.79</v>
      </c>
      <c r="F17">
        <v>46.1</v>
      </c>
      <c r="G17">
        <v>0</v>
      </c>
      <c r="H17">
        <v>0</v>
      </c>
      <c r="I17">
        <v>3</v>
      </c>
      <c r="J17">
        <v>0</v>
      </c>
      <c r="K17" s="6">
        <f t="shared" si="1"/>
        <v>3</v>
      </c>
      <c r="M17" t="s">
        <v>21</v>
      </c>
      <c r="N17" s="9">
        <v>0.125</v>
      </c>
      <c r="O17" s="8"/>
      <c r="P17" s="8"/>
    </row>
    <row r="18" spans="1:16" x14ac:dyDescent="0.25">
      <c r="A18" s="1">
        <v>42351</v>
      </c>
      <c r="B18">
        <v>97.99</v>
      </c>
      <c r="C18">
        <v>147.25</v>
      </c>
      <c r="D18">
        <v>0.83</v>
      </c>
      <c r="E18">
        <v>32.39</v>
      </c>
      <c r="F18">
        <v>46.3</v>
      </c>
      <c r="G18">
        <v>0</v>
      </c>
      <c r="H18">
        <v>0</v>
      </c>
      <c r="I18">
        <v>6</v>
      </c>
      <c r="J18">
        <v>0</v>
      </c>
      <c r="K18" s="6">
        <f t="shared" si="1"/>
        <v>6</v>
      </c>
      <c r="M18" t="s">
        <v>16</v>
      </c>
      <c r="N18" s="8">
        <f>AVERAGE(H8:H13)</f>
        <v>133.29999999999998</v>
      </c>
      <c r="O18" s="8"/>
      <c r="P18" s="8"/>
    </row>
    <row r="19" spans="1:16" x14ac:dyDescent="0.25">
      <c r="A19" s="1">
        <v>42358</v>
      </c>
      <c r="B19">
        <v>97.61</v>
      </c>
      <c r="C19">
        <v>161.69</v>
      </c>
      <c r="D19">
        <v>1</v>
      </c>
      <c r="E19">
        <v>24.89</v>
      </c>
      <c r="F19">
        <v>44.7</v>
      </c>
      <c r="G19">
        <v>0</v>
      </c>
      <c r="H19">
        <v>0</v>
      </c>
      <c r="I19">
        <v>6</v>
      </c>
      <c r="J19">
        <v>0</v>
      </c>
      <c r="K19" s="6">
        <f t="shared" si="1"/>
        <v>6</v>
      </c>
      <c r="M19" t="s">
        <v>17</v>
      </c>
      <c r="N19" s="8">
        <v>54</v>
      </c>
      <c r="O19" s="8"/>
      <c r="P19" s="8"/>
    </row>
    <row r="20" spans="1:16" x14ac:dyDescent="0.25">
      <c r="A20" s="1">
        <v>42365</v>
      </c>
      <c r="B20">
        <v>103.3</v>
      </c>
      <c r="C20">
        <v>192.38</v>
      </c>
      <c r="D20">
        <v>1.1200000000000001</v>
      </c>
      <c r="E20">
        <v>21.06</v>
      </c>
      <c r="F20">
        <v>41.8</v>
      </c>
      <c r="G20">
        <v>0</v>
      </c>
      <c r="H20">
        <v>0</v>
      </c>
      <c r="I20">
        <v>1</v>
      </c>
      <c r="J20">
        <v>0</v>
      </c>
      <c r="K20" s="6">
        <f t="shared" si="1"/>
        <v>1</v>
      </c>
      <c r="M20" t="s">
        <v>19</v>
      </c>
      <c r="N20" s="8">
        <f>($N6*8.33*(N13*N12)*(N18-N19)/0.58*52/100000)-$O6*8.33*(O13*O12)*(N18-N19)/0.58*52/100000</f>
        <v>10.635223268994249</v>
      </c>
      <c r="O20" s="8"/>
      <c r="P20" s="8"/>
    </row>
    <row r="21" spans="1:16" x14ac:dyDescent="0.25">
      <c r="A21" s="1">
        <v>42372</v>
      </c>
      <c r="B21">
        <v>101.54</v>
      </c>
      <c r="C21">
        <v>152.44</v>
      </c>
      <c r="D21">
        <v>1</v>
      </c>
      <c r="E21">
        <v>30.96</v>
      </c>
      <c r="F21">
        <v>40.200000000000003</v>
      </c>
      <c r="G21">
        <v>0</v>
      </c>
      <c r="H21">
        <v>0</v>
      </c>
      <c r="I21">
        <v>2</v>
      </c>
      <c r="J21">
        <v>0</v>
      </c>
      <c r="K21" s="6">
        <f t="shared" si="1"/>
        <v>2</v>
      </c>
      <c r="M21" t="s">
        <v>18</v>
      </c>
      <c r="N21" s="8">
        <f>$N6*8.33*(N13*N12)*(N18-N19)/0.58*52/100000</f>
        <v>10.635223268994249</v>
      </c>
      <c r="O21" s="8"/>
    </row>
    <row r="22" spans="1:16" x14ac:dyDescent="0.25">
      <c r="A22" s="1">
        <v>42379</v>
      </c>
      <c r="B22">
        <v>99.97</v>
      </c>
      <c r="C22">
        <v>146.75</v>
      </c>
      <c r="D22">
        <v>0.96</v>
      </c>
      <c r="E22">
        <v>28.1</v>
      </c>
      <c r="F22">
        <v>38.4</v>
      </c>
      <c r="G22">
        <v>0</v>
      </c>
      <c r="H22">
        <v>0</v>
      </c>
      <c r="I22">
        <v>6</v>
      </c>
      <c r="J22">
        <v>0</v>
      </c>
      <c r="K22" s="6">
        <f t="shared" si="1"/>
        <v>6</v>
      </c>
      <c r="M22" t="s">
        <v>22</v>
      </c>
      <c r="N22" s="10">
        <f>N20*N16</f>
        <v>8.189121917125572</v>
      </c>
    </row>
    <row r="23" spans="1:16" x14ac:dyDescent="0.25">
      <c r="A23" s="5"/>
      <c r="B23" s="6"/>
      <c r="C23" s="6"/>
      <c r="D23" s="6"/>
      <c r="E23" s="6"/>
      <c r="F23" s="6"/>
      <c r="G23" s="6"/>
      <c r="H23" s="6"/>
      <c r="I23" s="6"/>
      <c r="J23" s="6"/>
      <c r="K23" s="6"/>
      <c r="M23" t="s">
        <v>23</v>
      </c>
      <c r="N23" s="10">
        <f>N21*N16</f>
        <v>8.189121917125572</v>
      </c>
    </row>
    <row r="24" spans="1:16" x14ac:dyDescent="0.25">
      <c r="A24" s="5"/>
      <c r="B24" s="6"/>
      <c r="C24" s="6"/>
      <c r="D24" s="6"/>
      <c r="E24" s="6"/>
      <c r="F24" s="6"/>
      <c r="G24" s="6"/>
      <c r="H24" s="6"/>
      <c r="I24" s="6"/>
      <c r="J24" s="6"/>
      <c r="K24" s="6"/>
      <c r="M24" t="s">
        <v>24</v>
      </c>
      <c r="N24" s="11">
        <f>O8*N13*52/1000</f>
        <v>1.0901125925925923</v>
      </c>
    </row>
    <row r="25" spans="1:16" x14ac:dyDescent="0.25">
      <c r="A25" s="5"/>
      <c r="B25" s="6"/>
      <c r="C25" s="6"/>
      <c r="D25" s="6"/>
      <c r="E25" s="6"/>
      <c r="F25" s="6"/>
      <c r="G25" s="6"/>
      <c r="H25" s="6"/>
      <c r="I25" s="6"/>
      <c r="J25" s="6"/>
      <c r="K25" s="6"/>
      <c r="M25" t="s">
        <v>25</v>
      </c>
      <c r="N25" s="12">
        <f>N17*N24</f>
        <v>0.13626407407407404</v>
      </c>
    </row>
    <row r="26" spans="1:16" x14ac:dyDescent="0.25">
      <c r="A26" s="5"/>
      <c r="B26" s="6"/>
      <c r="C26" s="6"/>
      <c r="D26" s="6"/>
      <c r="E26" s="6"/>
      <c r="F26" s="6"/>
      <c r="G26" s="6"/>
      <c r="H26" s="6"/>
      <c r="I26" s="6"/>
      <c r="J26" s="6"/>
      <c r="K26" s="6"/>
    </row>
    <row r="27" spans="1:16" x14ac:dyDescent="0.25">
      <c r="A27" s="5"/>
      <c r="B27" s="6"/>
      <c r="C27" s="6"/>
      <c r="D27" s="6"/>
      <c r="E27" s="6"/>
      <c r="F27" s="6"/>
      <c r="G27" s="6"/>
      <c r="H27" s="6"/>
      <c r="I27" s="6"/>
      <c r="J27" s="6"/>
      <c r="K27" s="6"/>
      <c r="M27" t="s">
        <v>35</v>
      </c>
      <c r="N27" s="9">
        <v>0.16</v>
      </c>
    </row>
    <row r="28" spans="1:16" x14ac:dyDescent="0.25">
      <c r="A28" s="5"/>
      <c r="B28" s="6"/>
      <c r="C28" s="6"/>
      <c r="D28" s="6"/>
      <c r="E28" s="6"/>
      <c r="F28" s="6"/>
      <c r="G28" s="6"/>
      <c r="H28" s="6"/>
      <c r="I28" s="6"/>
      <c r="J28" s="6"/>
      <c r="K28" s="6"/>
      <c r="M28" t="s">
        <v>36</v>
      </c>
      <c r="N28" s="10">
        <f>N13*N27*52</f>
        <v>36.053333333333327</v>
      </c>
    </row>
    <row r="29" spans="1:16" x14ac:dyDescent="0.25">
      <c r="A29" s="5"/>
      <c r="B29" s="6"/>
      <c r="C29" s="6"/>
      <c r="D29" s="6"/>
      <c r="E29" s="6"/>
      <c r="F29" s="6"/>
      <c r="G29" s="6"/>
      <c r="H29" s="6"/>
      <c r="I29" s="6"/>
      <c r="J29" s="6"/>
      <c r="K29" s="6"/>
    </row>
    <row r="30" spans="1:16" x14ac:dyDescent="0.25">
      <c r="A30" s="5"/>
      <c r="B30" s="6"/>
      <c r="C30" s="6"/>
      <c r="D30" s="6"/>
      <c r="E30" s="6"/>
      <c r="F30" s="6"/>
      <c r="G30" s="6"/>
      <c r="H30" s="6"/>
      <c r="I30" s="6"/>
      <c r="J30" s="6"/>
      <c r="K30" s="6"/>
      <c r="M30" t="s">
        <v>37</v>
      </c>
      <c r="N30" s="12">
        <v>300</v>
      </c>
    </row>
    <row r="31" spans="1:16" x14ac:dyDescent="0.25">
      <c r="A31" s="5"/>
      <c r="B31" s="6"/>
      <c r="C31" s="6"/>
      <c r="D31" s="6"/>
      <c r="E31" s="6"/>
      <c r="F31" s="6"/>
      <c r="G31" s="6"/>
      <c r="H31" s="6"/>
      <c r="I31" s="6"/>
      <c r="J31" s="6"/>
      <c r="K31" s="6"/>
      <c r="M31" t="s">
        <v>38</v>
      </c>
      <c r="N31" s="13">
        <f>N30/(SUM(N28,N22)-N25)</f>
        <v>6.8017661919677366</v>
      </c>
    </row>
    <row r="32" spans="1:16" x14ac:dyDescent="0.25">
      <c r="A32" s="5"/>
      <c r="B32" s="6"/>
      <c r="C32" s="6"/>
      <c r="D32" s="6"/>
      <c r="E32" s="6"/>
      <c r="F32" s="6"/>
      <c r="G32" s="6"/>
      <c r="H32" s="6"/>
      <c r="I32" s="6"/>
      <c r="J32" s="6"/>
      <c r="K32" s="6"/>
    </row>
    <row r="33" spans="1:11" x14ac:dyDescent="0.25">
      <c r="A33" s="5"/>
      <c r="B33" s="6"/>
      <c r="C33" s="6"/>
      <c r="D33" s="6"/>
      <c r="E33" s="6"/>
      <c r="F33" s="6"/>
      <c r="G33" s="6"/>
      <c r="H33" s="6"/>
      <c r="I33" s="6"/>
      <c r="J33" s="6"/>
      <c r="K33" s="6"/>
    </row>
    <row r="34" spans="1:11" x14ac:dyDescent="0.25">
      <c r="A34" s="5"/>
      <c r="B34" s="6"/>
      <c r="C34" s="6"/>
      <c r="D34" s="6"/>
      <c r="E34" s="6"/>
      <c r="F34" s="6"/>
      <c r="G34" s="6"/>
      <c r="H34" s="6"/>
      <c r="I34" s="6"/>
      <c r="J34" s="6"/>
      <c r="K34" s="6"/>
    </row>
    <row r="35" spans="1:11" x14ac:dyDescent="0.25">
      <c r="A35" s="5"/>
      <c r="B35" s="6"/>
      <c r="C35" s="6"/>
      <c r="D35" s="6"/>
      <c r="E35" s="6"/>
      <c r="F35" s="6"/>
      <c r="G35" s="6"/>
      <c r="H35" s="6"/>
      <c r="I35" s="6"/>
      <c r="J35" s="6"/>
      <c r="K35" s="6"/>
    </row>
    <row r="36" spans="1:11" x14ac:dyDescent="0.25">
      <c r="A36" s="5"/>
      <c r="B36" s="6"/>
      <c r="C36" s="6"/>
      <c r="D36" s="6"/>
      <c r="E36" s="6"/>
      <c r="F36" s="6"/>
      <c r="G36" s="6"/>
      <c r="H36" s="6"/>
      <c r="I36" s="6"/>
      <c r="J36" s="6"/>
      <c r="K36" s="6"/>
    </row>
    <row r="37" spans="1:11" x14ac:dyDescent="0.25">
      <c r="A37" s="5"/>
      <c r="B37" s="6"/>
      <c r="C37" s="6"/>
      <c r="D37" s="6"/>
      <c r="E37" s="6"/>
      <c r="F37" s="6"/>
      <c r="G37" s="6"/>
      <c r="H37" s="6"/>
      <c r="I37" s="6"/>
      <c r="J37" s="6"/>
      <c r="K37" s="6"/>
    </row>
    <row r="38" spans="1:11" x14ac:dyDescent="0.25">
      <c r="A38" s="5"/>
      <c r="B38" s="6"/>
      <c r="C38" s="6"/>
      <c r="D38" s="6"/>
      <c r="E38" s="6"/>
      <c r="F38" s="6"/>
      <c r="G38" s="6"/>
      <c r="H38" s="6"/>
      <c r="I38" s="6"/>
      <c r="J38" s="6"/>
      <c r="K38" s="6"/>
    </row>
    <row r="39" spans="1:11" x14ac:dyDescent="0.25">
      <c r="A39" s="5"/>
      <c r="B39" s="6"/>
      <c r="C39" s="6"/>
      <c r="D39" s="6"/>
      <c r="E39" s="6"/>
      <c r="F39" s="6"/>
      <c r="G39" s="6"/>
      <c r="H39" s="6"/>
      <c r="I39" s="6"/>
      <c r="J39" s="6"/>
      <c r="K39" s="6"/>
    </row>
    <row r="40" spans="1:11" x14ac:dyDescent="0.25">
      <c r="A40" s="5"/>
      <c r="B40" s="6"/>
      <c r="C40" s="6"/>
      <c r="D40" s="6"/>
      <c r="E40" s="6"/>
      <c r="F40" s="6"/>
      <c r="G40" s="6"/>
      <c r="H40" s="6"/>
      <c r="I40" s="6"/>
      <c r="J40" s="6"/>
      <c r="K40" s="6"/>
    </row>
    <row r="41" spans="1:11" x14ac:dyDescent="0.25">
      <c r="A41" s="5"/>
      <c r="B41" s="6"/>
      <c r="C41" s="6"/>
      <c r="D41" s="6"/>
      <c r="E41" s="6"/>
      <c r="F41" s="6"/>
      <c r="G41" s="6"/>
      <c r="H41" s="6"/>
      <c r="I41" s="6"/>
      <c r="J41" s="6"/>
      <c r="K41" s="6"/>
    </row>
    <row r="42" spans="1:11" x14ac:dyDescent="0.25">
      <c r="A42" s="5"/>
      <c r="B42" s="6"/>
      <c r="C42" s="6"/>
      <c r="D42" s="6"/>
      <c r="E42" s="6"/>
      <c r="F42" s="6"/>
      <c r="G42" s="6"/>
      <c r="H42" s="6"/>
      <c r="I42" s="6"/>
      <c r="J42" s="6"/>
      <c r="K42" s="6"/>
    </row>
    <row r="43" spans="1:11" x14ac:dyDescent="0.25">
      <c r="A43" s="5"/>
      <c r="B43" s="6"/>
      <c r="C43" s="6"/>
      <c r="D43" s="6"/>
      <c r="E43" s="6"/>
      <c r="F43" s="6"/>
      <c r="G43" s="6"/>
      <c r="H43" s="6"/>
      <c r="I43" s="6"/>
      <c r="J43" s="6"/>
      <c r="K43" s="6"/>
    </row>
    <row r="44" spans="1:11" x14ac:dyDescent="0.25">
      <c r="A44" s="6"/>
      <c r="B44" s="6"/>
      <c r="C44" s="6"/>
      <c r="D44" s="6"/>
      <c r="E44" s="6"/>
      <c r="F44" s="6"/>
      <c r="G44" s="6"/>
      <c r="H44" s="6"/>
      <c r="I44" s="6"/>
      <c r="J44" s="6"/>
      <c r="K44" s="6"/>
    </row>
    <row r="45" spans="1:11" x14ac:dyDescent="0.25">
      <c r="A45" s="5"/>
      <c r="B45" s="6"/>
      <c r="C45" s="6"/>
      <c r="D45" s="6"/>
      <c r="E45" s="6"/>
      <c r="F45" s="6"/>
      <c r="G45" s="6"/>
      <c r="H45" s="6"/>
      <c r="I45" s="6"/>
      <c r="J45" s="6"/>
      <c r="K45" s="6"/>
    </row>
    <row r="46" spans="1:11" x14ac:dyDescent="0.25">
      <c r="A46" s="5"/>
      <c r="B46" s="6"/>
      <c r="C46" s="6"/>
      <c r="D46" s="6"/>
      <c r="E46" s="6"/>
      <c r="F46" s="6"/>
      <c r="G46" s="6"/>
      <c r="H46" s="6"/>
      <c r="I46" s="6"/>
      <c r="J46" s="6"/>
      <c r="K46" s="6"/>
    </row>
    <row r="47" spans="1:11" x14ac:dyDescent="0.25">
      <c r="A47" s="5"/>
      <c r="B47" s="6"/>
      <c r="C47" s="6"/>
      <c r="D47" s="6"/>
      <c r="E47" s="6"/>
      <c r="F47" s="6"/>
      <c r="G47" s="6"/>
      <c r="H47" s="6"/>
      <c r="I47" s="6"/>
      <c r="J47" s="6"/>
      <c r="K47" s="6"/>
    </row>
    <row r="48" spans="1:11" x14ac:dyDescent="0.25">
      <c r="A48" s="5"/>
      <c r="B48" s="6"/>
      <c r="C48" s="6"/>
      <c r="D48" s="6"/>
      <c r="E48" s="6"/>
      <c r="F48" s="6"/>
      <c r="G48" s="6"/>
      <c r="H48" s="6"/>
      <c r="I48" s="6"/>
      <c r="J48" s="6"/>
      <c r="K48" s="6"/>
    </row>
    <row r="53" spans="2:14" x14ac:dyDescent="0.25">
      <c r="B53" s="6"/>
      <c r="C53" s="6"/>
      <c r="D53" s="6"/>
      <c r="E53" s="6"/>
      <c r="F53" s="6"/>
      <c r="G53" s="6"/>
      <c r="H53" s="6"/>
      <c r="I53" s="6"/>
      <c r="J53" s="6"/>
      <c r="K53" s="6"/>
      <c r="L53" s="6"/>
      <c r="M53" s="6"/>
      <c r="N53" s="6"/>
    </row>
    <row r="54" spans="2:14" x14ac:dyDescent="0.25">
      <c r="B54" s="6"/>
      <c r="C54" s="6"/>
      <c r="D54" s="6"/>
      <c r="E54" s="6"/>
      <c r="F54" s="6"/>
      <c r="G54" s="6"/>
      <c r="H54" s="6"/>
      <c r="I54" s="6"/>
      <c r="J54" s="6"/>
      <c r="K54" s="6"/>
      <c r="L54" s="6"/>
      <c r="M54" s="6"/>
      <c r="N54" s="6"/>
    </row>
    <row r="55" spans="2:14" x14ac:dyDescent="0.25">
      <c r="B55" s="6"/>
      <c r="C55" s="6"/>
      <c r="D55" s="6"/>
      <c r="E55" s="6"/>
      <c r="F55" s="6"/>
      <c r="G55" s="6"/>
      <c r="H55" s="6"/>
      <c r="I55" s="6"/>
      <c r="J55" s="6"/>
      <c r="K55" s="6"/>
      <c r="L55" s="6"/>
      <c r="M55" s="6"/>
      <c r="N55" s="6"/>
    </row>
    <row r="56" spans="2:14" x14ac:dyDescent="0.25">
      <c r="B56" s="6"/>
      <c r="C56" s="6"/>
      <c r="D56" s="6"/>
      <c r="E56" s="6"/>
      <c r="F56" s="6"/>
      <c r="G56" s="6"/>
      <c r="H56" s="6"/>
      <c r="I56" s="6"/>
      <c r="J56" s="6"/>
      <c r="K56" s="6"/>
      <c r="L56" s="6"/>
      <c r="M56" s="6"/>
      <c r="N56" s="6"/>
    </row>
    <row r="57" spans="2:14" x14ac:dyDescent="0.25">
      <c r="B57" s="6"/>
      <c r="C57" s="6"/>
      <c r="D57" s="6"/>
      <c r="E57" s="6"/>
      <c r="F57" s="6"/>
      <c r="G57" s="6"/>
      <c r="H57" s="6"/>
      <c r="I57" s="6"/>
      <c r="J57" s="6"/>
      <c r="K57" s="6"/>
      <c r="L57" s="6"/>
      <c r="M57" s="6"/>
      <c r="N57" s="6"/>
    </row>
    <row r="58" spans="2:14" x14ac:dyDescent="0.25">
      <c r="B58" s="6"/>
      <c r="C58" s="6"/>
      <c r="D58" s="6"/>
      <c r="E58" s="6"/>
      <c r="F58" s="6"/>
      <c r="G58" s="6"/>
      <c r="H58" s="6"/>
      <c r="I58" s="6"/>
      <c r="J58" s="6"/>
      <c r="K58" s="6"/>
      <c r="L58" s="6"/>
      <c r="M58" s="6"/>
      <c r="N58" s="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sheetPr>
  <dimension ref="A1:P58"/>
  <sheetViews>
    <sheetView workbookViewId="0">
      <selection activeCell="E6" sqref="E6"/>
    </sheetView>
  </sheetViews>
  <sheetFormatPr defaultRowHeight="15" x14ac:dyDescent="0.25"/>
  <cols>
    <col min="1" max="1" width="11.7109375" customWidth="1"/>
    <col min="6" max="6" width="16.42578125" bestFit="1" customWidth="1"/>
    <col min="7" max="7" width="15" bestFit="1" customWidth="1"/>
    <col min="13" max="13" width="40.85546875" customWidth="1"/>
  </cols>
  <sheetData>
    <row r="1" spans="1:16" x14ac:dyDescent="0.25">
      <c r="A1" t="s">
        <v>52</v>
      </c>
    </row>
    <row r="2" spans="1:16" x14ac:dyDescent="0.25">
      <c r="A2" t="s">
        <v>67</v>
      </c>
      <c r="B2" t="s">
        <v>68</v>
      </c>
      <c r="C2" t="s">
        <v>69</v>
      </c>
      <c r="D2" t="s">
        <v>70</v>
      </c>
      <c r="E2" t="s">
        <v>66</v>
      </c>
      <c r="F2" s="19" t="s">
        <v>71</v>
      </c>
      <c r="H2" s="19"/>
      <c r="I2" s="6" t="s">
        <v>72</v>
      </c>
    </row>
    <row r="3" spans="1:16" x14ac:dyDescent="0.25">
      <c r="A3" s="18" t="s">
        <v>75</v>
      </c>
      <c r="B3" s="18" t="s">
        <v>85</v>
      </c>
      <c r="C3" s="18" t="s">
        <v>86</v>
      </c>
      <c r="D3" s="18" t="s">
        <v>87</v>
      </c>
      <c r="E3" s="18" t="s">
        <v>84</v>
      </c>
      <c r="F3" s="6">
        <v>914</v>
      </c>
    </row>
    <row r="4" spans="1:16" x14ac:dyDescent="0.25">
      <c r="H4" s="2"/>
      <c r="I4" t="s">
        <v>12</v>
      </c>
      <c r="J4" t="s">
        <v>53</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AVERAGE(G9:G10,G12:G13)</f>
        <v>4.915</v>
      </c>
      <c r="O6" s="8">
        <f xml:space="preserve"> AVERAGE(G46,G48,G52:G54)</f>
        <v>4.3420000000000005</v>
      </c>
      <c r="P6" s="8"/>
    </row>
    <row r="7" spans="1:16" x14ac:dyDescent="0.25">
      <c r="A7" s="1"/>
      <c r="M7" t="s">
        <v>48</v>
      </c>
      <c r="N7" s="8">
        <f>AVERAGE(E9:E13)</f>
        <v>16.064</v>
      </c>
      <c r="O7" s="8">
        <f>AVERAGE(E46:E54)</f>
        <v>14.104444444444445</v>
      </c>
      <c r="P7" s="8"/>
    </row>
    <row r="8" spans="1:16" x14ac:dyDescent="0.25">
      <c r="A8" s="1">
        <v>42274</v>
      </c>
      <c r="B8">
        <v>22.51</v>
      </c>
      <c r="C8">
        <v>114.5</v>
      </c>
      <c r="D8">
        <v>0</v>
      </c>
      <c r="E8">
        <v>13.48</v>
      </c>
      <c r="F8">
        <v>66</v>
      </c>
      <c r="G8">
        <v>0</v>
      </c>
      <c r="H8">
        <v>0</v>
      </c>
      <c r="I8">
        <v>3</v>
      </c>
      <c r="J8">
        <v>0</v>
      </c>
      <c r="K8" s="6">
        <f>SUM(I8:J8)</f>
        <v>3</v>
      </c>
      <c r="M8" t="s">
        <v>47</v>
      </c>
      <c r="N8" s="8">
        <v>0</v>
      </c>
      <c r="O8" s="8">
        <f>AVERAGE(D46:D54)</f>
        <v>5.4122222222222218</v>
      </c>
      <c r="P8" s="8"/>
    </row>
    <row r="9" spans="1:16" x14ac:dyDescent="0.25">
      <c r="A9" s="4">
        <v>42281</v>
      </c>
      <c r="B9" s="2">
        <v>24.64</v>
      </c>
      <c r="C9" s="2">
        <v>115.81</v>
      </c>
      <c r="D9" s="2">
        <v>0.06</v>
      </c>
      <c r="E9" s="2">
        <v>14.57</v>
      </c>
      <c r="F9" s="2">
        <v>65.5</v>
      </c>
      <c r="G9" s="2">
        <v>5.13</v>
      </c>
      <c r="H9" s="2">
        <v>120.2</v>
      </c>
      <c r="I9" s="2">
        <v>5</v>
      </c>
      <c r="J9" s="2">
        <v>1</v>
      </c>
      <c r="K9" s="2">
        <f t="shared" ref="K9:K14" si="0">SUM(I9:J9)</f>
        <v>6</v>
      </c>
      <c r="M9" t="s">
        <v>46</v>
      </c>
      <c r="N9" s="8">
        <f>AVERAGE(I9:I13)</f>
        <v>4.4000000000000004</v>
      </c>
      <c r="O9" s="8">
        <f>AVERAGE(I46:I54)</f>
        <v>2.5555555555555554</v>
      </c>
      <c r="P9" s="8"/>
    </row>
    <row r="10" spans="1:16" x14ac:dyDescent="0.25">
      <c r="A10" s="4">
        <v>42288</v>
      </c>
      <c r="B10" s="2">
        <v>36.85</v>
      </c>
      <c r="C10" s="2">
        <v>172.75</v>
      </c>
      <c r="D10" s="2">
        <v>0.12</v>
      </c>
      <c r="E10" s="2">
        <v>14.17</v>
      </c>
      <c r="F10" s="2">
        <v>64.3</v>
      </c>
      <c r="G10" s="2">
        <v>6.64</v>
      </c>
      <c r="H10" s="2">
        <v>122.3</v>
      </c>
      <c r="I10" s="2">
        <v>1</v>
      </c>
      <c r="J10" s="2">
        <v>2</v>
      </c>
      <c r="K10" s="2">
        <f t="shared" si="0"/>
        <v>3</v>
      </c>
      <c r="M10" t="s">
        <v>45</v>
      </c>
      <c r="N10" s="8">
        <f>AVERAGE(J9:J13)</f>
        <v>1</v>
      </c>
      <c r="O10" s="8">
        <f>AVERAGE(J46:J54)</f>
        <v>0.55555555555555558</v>
      </c>
      <c r="P10" s="8"/>
    </row>
    <row r="11" spans="1:16" x14ac:dyDescent="0.25">
      <c r="A11" s="4">
        <v>42295</v>
      </c>
      <c r="B11" s="2">
        <v>29.73</v>
      </c>
      <c r="C11" s="2">
        <v>142.55000000000001</v>
      </c>
      <c r="D11" s="2">
        <v>0.11</v>
      </c>
      <c r="E11" s="2">
        <v>16.7</v>
      </c>
      <c r="F11" s="2">
        <v>63</v>
      </c>
      <c r="G11" s="2">
        <v>0</v>
      </c>
      <c r="H11" s="2">
        <v>0</v>
      </c>
      <c r="I11" s="2">
        <v>8</v>
      </c>
      <c r="J11" s="2">
        <v>0</v>
      </c>
      <c r="K11" s="2">
        <f t="shared" si="0"/>
        <v>8</v>
      </c>
      <c r="M11" t="s">
        <v>44</v>
      </c>
      <c r="N11" s="8">
        <f>SUM(N9:N10)</f>
        <v>5.4</v>
      </c>
      <c r="O11" s="8">
        <f>SUM(O9:O10)</f>
        <v>3.1111111111111107</v>
      </c>
      <c r="P11" s="8"/>
    </row>
    <row r="12" spans="1:16" x14ac:dyDescent="0.25">
      <c r="A12" s="4">
        <v>42302</v>
      </c>
      <c r="B12" s="2">
        <v>25.66</v>
      </c>
      <c r="C12" s="2">
        <v>110.16</v>
      </c>
      <c r="D12" s="2">
        <v>0.12</v>
      </c>
      <c r="E12" s="2">
        <v>15.73</v>
      </c>
      <c r="F12" s="2">
        <v>62.3</v>
      </c>
      <c r="G12" s="2">
        <v>1.71</v>
      </c>
      <c r="H12" s="2">
        <v>114.6</v>
      </c>
      <c r="I12" s="2">
        <v>7</v>
      </c>
      <c r="J12" s="2">
        <v>1</v>
      </c>
      <c r="K12" s="2">
        <f t="shared" si="0"/>
        <v>8</v>
      </c>
      <c r="M12" t="s">
        <v>42</v>
      </c>
      <c r="N12" s="14">
        <f>N10/N11</f>
        <v>0.18518518518518517</v>
      </c>
      <c r="O12" s="14">
        <f>O10/O11</f>
        <v>0.1785714285714286</v>
      </c>
      <c r="P12" s="8"/>
    </row>
    <row r="13" spans="1:16" x14ac:dyDescent="0.25">
      <c r="A13" s="4">
        <v>42309</v>
      </c>
      <c r="B13" s="2">
        <v>46.75</v>
      </c>
      <c r="C13" s="2">
        <v>233.25</v>
      </c>
      <c r="D13" s="2">
        <v>0</v>
      </c>
      <c r="E13" s="2">
        <v>19.149999999999999</v>
      </c>
      <c r="F13" s="2">
        <v>61</v>
      </c>
      <c r="G13" s="2">
        <v>6.18</v>
      </c>
      <c r="H13" s="2">
        <v>118.4</v>
      </c>
      <c r="I13" s="2">
        <v>1</v>
      </c>
      <c r="J13" s="2">
        <v>1</v>
      </c>
      <c r="K13" s="2">
        <f t="shared" si="0"/>
        <v>2</v>
      </c>
      <c r="M13" t="s">
        <v>43</v>
      </c>
      <c r="N13" s="8">
        <f>AVERAGE(K9:K54)</f>
        <v>4.5</v>
      </c>
      <c r="O13" s="8">
        <f>AVERAGE(K9:K54)</f>
        <v>4.5</v>
      </c>
      <c r="P13" s="8"/>
    </row>
    <row r="14" spans="1:16" x14ac:dyDescent="0.25">
      <c r="A14" s="1">
        <v>42316</v>
      </c>
      <c r="B14">
        <v>19.89</v>
      </c>
      <c r="C14">
        <v>88.55</v>
      </c>
      <c r="D14">
        <v>0.18</v>
      </c>
      <c r="E14">
        <v>14.27</v>
      </c>
      <c r="F14">
        <v>60</v>
      </c>
      <c r="G14">
        <v>0</v>
      </c>
      <c r="H14">
        <v>0</v>
      </c>
      <c r="I14">
        <v>7</v>
      </c>
      <c r="J14">
        <v>0</v>
      </c>
      <c r="K14" s="6">
        <f t="shared" si="0"/>
        <v>7</v>
      </c>
      <c r="N14" s="8"/>
      <c r="O14" s="8"/>
      <c r="P14" s="8"/>
    </row>
    <row r="15" spans="1:16" x14ac:dyDescent="0.25">
      <c r="A15" s="1">
        <v>42323</v>
      </c>
      <c r="B15">
        <v>23.96</v>
      </c>
      <c r="C15">
        <v>131.41</v>
      </c>
      <c r="D15">
        <v>0.11</v>
      </c>
      <c r="E15">
        <v>15.01</v>
      </c>
      <c r="F15">
        <v>58.8</v>
      </c>
      <c r="G15">
        <v>0</v>
      </c>
      <c r="H15">
        <v>0</v>
      </c>
      <c r="I15">
        <v>7</v>
      </c>
      <c r="J15">
        <v>0</v>
      </c>
      <c r="K15" s="6">
        <f>SUM(I15:J15)</f>
        <v>7</v>
      </c>
      <c r="O15" s="8"/>
      <c r="P15" s="8"/>
    </row>
    <row r="16" spans="1:16" x14ac:dyDescent="0.25">
      <c r="A16" s="1">
        <v>42330</v>
      </c>
      <c r="B16">
        <v>27.6</v>
      </c>
      <c r="C16">
        <v>147</v>
      </c>
      <c r="D16">
        <v>0.13</v>
      </c>
      <c r="E16">
        <v>16.32</v>
      </c>
      <c r="F16">
        <v>56.7</v>
      </c>
      <c r="G16">
        <v>0</v>
      </c>
      <c r="H16">
        <v>0</v>
      </c>
      <c r="I16">
        <v>8</v>
      </c>
      <c r="J16">
        <v>0</v>
      </c>
      <c r="K16" s="6">
        <f t="shared" ref="K16:K54" si="1">SUM(I16:J16)</f>
        <v>8</v>
      </c>
      <c r="M16" t="s">
        <v>20</v>
      </c>
      <c r="N16" s="9">
        <v>0.77</v>
      </c>
      <c r="O16" s="8"/>
      <c r="P16" s="8"/>
    </row>
    <row r="17" spans="1:16" x14ac:dyDescent="0.25">
      <c r="A17" s="1">
        <v>42337</v>
      </c>
      <c r="B17">
        <v>23.49</v>
      </c>
      <c r="C17">
        <v>121.25</v>
      </c>
      <c r="D17">
        <v>0.1</v>
      </c>
      <c r="E17">
        <v>13.93</v>
      </c>
      <c r="F17">
        <v>54.2</v>
      </c>
      <c r="G17">
        <v>5.16</v>
      </c>
      <c r="H17">
        <v>116</v>
      </c>
      <c r="I17">
        <v>7</v>
      </c>
      <c r="J17">
        <v>2</v>
      </c>
      <c r="K17" s="6">
        <f t="shared" si="1"/>
        <v>9</v>
      </c>
      <c r="M17" t="s">
        <v>21</v>
      </c>
      <c r="N17" s="9">
        <v>0.125</v>
      </c>
      <c r="O17" s="8"/>
      <c r="P17" s="8"/>
    </row>
    <row r="18" spans="1:16" x14ac:dyDescent="0.25">
      <c r="A18" s="1">
        <v>42344</v>
      </c>
      <c r="B18">
        <v>28.8</v>
      </c>
      <c r="C18">
        <v>127.55</v>
      </c>
      <c r="D18">
        <v>1.1299999999999999</v>
      </c>
      <c r="E18">
        <v>17.420000000000002</v>
      </c>
      <c r="F18">
        <v>54</v>
      </c>
      <c r="G18">
        <v>0</v>
      </c>
      <c r="H18">
        <v>0</v>
      </c>
      <c r="I18">
        <v>7</v>
      </c>
      <c r="J18">
        <v>0</v>
      </c>
      <c r="K18" s="6">
        <f t="shared" si="1"/>
        <v>7</v>
      </c>
      <c r="M18" t="s">
        <v>16</v>
      </c>
      <c r="N18" s="8">
        <f>AVERAGE(H8:H13)</f>
        <v>79.25</v>
      </c>
      <c r="O18" s="8"/>
      <c r="P18" s="8"/>
    </row>
    <row r="19" spans="1:16" x14ac:dyDescent="0.25">
      <c r="A19" s="1">
        <v>42351</v>
      </c>
      <c r="B19">
        <v>27.43</v>
      </c>
      <c r="C19">
        <v>143.4</v>
      </c>
      <c r="D19">
        <v>0.15</v>
      </c>
      <c r="E19">
        <v>13.64</v>
      </c>
      <c r="F19">
        <v>52.9</v>
      </c>
      <c r="G19">
        <v>2.97</v>
      </c>
      <c r="H19">
        <v>122.1</v>
      </c>
      <c r="I19">
        <v>4</v>
      </c>
      <c r="J19">
        <v>1</v>
      </c>
      <c r="K19" s="6">
        <f t="shared" si="1"/>
        <v>5</v>
      </c>
      <c r="M19" t="s">
        <v>17</v>
      </c>
      <c r="N19" s="8">
        <v>54</v>
      </c>
      <c r="O19" s="8"/>
      <c r="P19" s="8"/>
    </row>
    <row r="20" spans="1:16" x14ac:dyDescent="0.25">
      <c r="A20" s="1">
        <v>42358</v>
      </c>
      <c r="B20">
        <v>24.7</v>
      </c>
      <c r="C20">
        <v>138.38</v>
      </c>
      <c r="D20">
        <v>0.04</v>
      </c>
      <c r="E20">
        <v>14.06</v>
      </c>
      <c r="F20">
        <v>51.8</v>
      </c>
      <c r="G20">
        <v>0</v>
      </c>
      <c r="H20">
        <v>0</v>
      </c>
      <c r="I20">
        <v>3</v>
      </c>
      <c r="J20">
        <v>0</v>
      </c>
      <c r="K20" s="6">
        <f t="shared" si="1"/>
        <v>3</v>
      </c>
      <c r="M20" t="s">
        <v>19</v>
      </c>
      <c r="N20" s="8">
        <f>($N6*8.33*(N13*N12)*(N18-N19)/0.58*52/100000)-$O6*8.33*(O13*O12)*(N18-N19)/0.58*52/100000</f>
        <v>0.11441276372126419</v>
      </c>
      <c r="O20" s="8"/>
      <c r="P20" s="8"/>
    </row>
    <row r="21" spans="1:16" x14ac:dyDescent="0.25">
      <c r="A21" s="1">
        <v>42365</v>
      </c>
      <c r="B21">
        <v>26.1</v>
      </c>
      <c r="C21">
        <v>128</v>
      </c>
      <c r="D21">
        <v>0.12</v>
      </c>
      <c r="E21">
        <v>14.05</v>
      </c>
      <c r="F21">
        <v>50.8</v>
      </c>
      <c r="G21">
        <v>0</v>
      </c>
      <c r="H21">
        <v>0</v>
      </c>
      <c r="I21">
        <v>3</v>
      </c>
      <c r="J21">
        <v>0</v>
      </c>
      <c r="K21" s="6">
        <f t="shared" si="1"/>
        <v>3</v>
      </c>
      <c r="M21" t="s">
        <v>18</v>
      </c>
      <c r="N21" s="8">
        <f>$N6*8.33*(N13*N12)*(N18-N19)/0.58*52/100000</f>
        <v>0.77236753376436784</v>
      </c>
      <c r="O21" s="8"/>
    </row>
    <row r="22" spans="1:16" x14ac:dyDescent="0.25">
      <c r="A22" s="1">
        <v>42372</v>
      </c>
      <c r="B22">
        <v>28.48</v>
      </c>
      <c r="C22">
        <v>122.16</v>
      </c>
      <c r="D22">
        <v>0.13</v>
      </c>
      <c r="E22">
        <v>16.2</v>
      </c>
      <c r="F22">
        <v>49.6</v>
      </c>
      <c r="G22">
        <v>0</v>
      </c>
      <c r="H22">
        <v>0</v>
      </c>
      <c r="I22">
        <v>4</v>
      </c>
      <c r="J22">
        <v>0</v>
      </c>
      <c r="K22" s="6">
        <f t="shared" si="1"/>
        <v>4</v>
      </c>
      <c r="M22" t="s">
        <v>22</v>
      </c>
      <c r="N22" s="10">
        <f>N20*N16</f>
        <v>8.8097828065373432E-2</v>
      </c>
    </row>
    <row r="23" spans="1:16" x14ac:dyDescent="0.25">
      <c r="A23" s="1">
        <v>42379</v>
      </c>
      <c r="B23">
        <v>27.81</v>
      </c>
      <c r="C23">
        <v>154</v>
      </c>
      <c r="D23">
        <v>0.4</v>
      </c>
      <c r="E23">
        <v>14.69</v>
      </c>
      <c r="F23">
        <v>47.3</v>
      </c>
      <c r="G23">
        <v>5.04</v>
      </c>
      <c r="H23">
        <v>127.3</v>
      </c>
      <c r="I23">
        <v>5</v>
      </c>
      <c r="J23">
        <v>1</v>
      </c>
      <c r="K23" s="6">
        <f t="shared" si="1"/>
        <v>6</v>
      </c>
      <c r="M23" t="s">
        <v>23</v>
      </c>
      <c r="N23" s="10">
        <f>N21*N16</f>
        <v>0.59472300099856323</v>
      </c>
    </row>
    <row r="24" spans="1:16" x14ac:dyDescent="0.25">
      <c r="A24" s="1">
        <v>42386</v>
      </c>
      <c r="B24">
        <v>23.55</v>
      </c>
      <c r="C24">
        <v>124.5</v>
      </c>
      <c r="D24">
        <v>0.25</v>
      </c>
      <c r="E24">
        <v>12.32</v>
      </c>
      <c r="F24">
        <v>46.7</v>
      </c>
      <c r="G24">
        <v>4.42</v>
      </c>
      <c r="H24">
        <v>119.6</v>
      </c>
      <c r="I24">
        <v>1</v>
      </c>
      <c r="J24">
        <v>1</v>
      </c>
      <c r="K24" s="6">
        <f t="shared" si="1"/>
        <v>2</v>
      </c>
      <c r="M24" t="s">
        <v>24</v>
      </c>
      <c r="N24" s="11">
        <f>O8*N13*52/1000</f>
        <v>1.2664599999999999</v>
      </c>
    </row>
    <row r="25" spans="1:16" x14ac:dyDescent="0.25">
      <c r="A25" s="1">
        <v>42393</v>
      </c>
      <c r="B25">
        <v>20.87</v>
      </c>
      <c r="C25">
        <v>99.61</v>
      </c>
      <c r="D25">
        <v>0.14000000000000001</v>
      </c>
      <c r="E25">
        <v>12.67</v>
      </c>
      <c r="F25">
        <v>44.2</v>
      </c>
      <c r="G25">
        <v>4.91</v>
      </c>
      <c r="H25">
        <v>114.4</v>
      </c>
      <c r="I25">
        <v>12</v>
      </c>
      <c r="J25">
        <v>1</v>
      </c>
      <c r="K25" s="6">
        <f t="shared" si="1"/>
        <v>13</v>
      </c>
      <c r="M25" t="s">
        <v>25</v>
      </c>
      <c r="N25" s="12">
        <f>N17*N24</f>
        <v>0.15830749999999999</v>
      </c>
    </row>
    <row r="26" spans="1:16" x14ac:dyDescent="0.25">
      <c r="A26" s="1">
        <v>42400</v>
      </c>
      <c r="B26">
        <v>20.329999999999998</v>
      </c>
      <c r="C26">
        <v>96</v>
      </c>
      <c r="D26">
        <v>0.13</v>
      </c>
      <c r="E26">
        <v>12.65</v>
      </c>
      <c r="F26">
        <v>43.4</v>
      </c>
      <c r="G26">
        <v>0</v>
      </c>
      <c r="H26">
        <v>0</v>
      </c>
      <c r="I26">
        <v>4</v>
      </c>
      <c r="J26">
        <v>0</v>
      </c>
      <c r="K26" s="6">
        <f t="shared" si="1"/>
        <v>4</v>
      </c>
    </row>
    <row r="27" spans="1:16" x14ac:dyDescent="0.25">
      <c r="A27" s="1">
        <v>42407</v>
      </c>
      <c r="B27">
        <v>20.22</v>
      </c>
      <c r="C27">
        <v>94.74</v>
      </c>
      <c r="D27">
        <v>0.24</v>
      </c>
      <c r="E27">
        <v>12.69</v>
      </c>
      <c r="F27">
        <v>43.4</v>
      </c>
      <c r="G27">
        <v>5.13</v>
      </c>
      <c r="H27">
        <v>122.7</v>
      </c>
      <c r="I27">
        <v>10</v>
      </c>
      <c r="J27">
        <v>1</v>
      </c>
      <c r="K27" s="6">
        <f t="shared" si="1"/>
        <v>11</v>
      </c>
      <c r="M27" t="s">
        <v>35</v>
      </c>
      <c r="N27" s="9">
        <v>0.16</v>
      </c>
    </row>
    <row r="28" spans="1:16" x14ac:dyDescent="0.25">
      <c r="A28" s="1">
        <v>42414</v>
      </c>
      <c r="B28">
        <v>26.36</v>
      </c>
      <c r="C28">
        <v>124.08</v>
      </c>
      <c r="D28">
        <v>0.12</v>
      </c>
      <c r="E28">
        <v>14.45</v>
      </c>
      <c r="F28">
        <v>43</v>
      </c>
      <c r="G28">
        <v>5.12</v>
      </c>
      <c r="H28">
        <v>119.6</v>
      </c>
      <c r="I28">
        <v>7</v>
      </c>
      <c r="J28">
        <v>1</v>
      </c>
      <c r="K28" s="6">
        <f t="shared" si="1"/>
        <v>8</v>
      </c>
      <c r="M28" t="s">
        <v>36</v>
      </c>
      <c r="N28" s="10">
        <f>N13*N27*52</f>
        <v>37.44</v>
      </c>
    </row>
    <row r="29" spans="1:16" x14ac:dyDescent="0.25">
      <c r="A29" s="1">
        <v>42421</v>
      </c>
      <c r="B29">
        <v>24.55</v>
      </c>
      <c r="C29">
        <v>139.25</v>
      </c>
      <c r="D29">
        <v>0.12</v>
      </c>
      <c r="E29">
        <v>12.92</v>
      </c>
      <c r="F29">
        <v>43.2</v>
      </c>
      <c r="G29">
        <v>4.88</v>
      </c>
      <c r="H29">
        <v>124.5</v>
      </c>
      <c r="I29">
        <v>2</v>
      </c>
      <c r="J29">
        <v>1</v>
      </c>
      <c r="K29" s="6">
        <f t="shared" si="1"/>
        <v>3</v>
      </c>
    </row>
    <row r="30" spans="1:16" x14ac:dyDescent="0.25">
      <c r="A30" s="1">
        <v>42428</v>
      </c>
      <c r="B30">
        <v>31.46</v>
      </c>
      <c r="C30">
        <v>169</v>
      </c>
      <c r="D30">
        <v>0.17</v>
      </c>
      <c r="E30">
        <v>13.78</v>
      </c>
      <c r="F30">
        <v>43.9</v>
      </c>
      <c r="G30">
        <v>0</v>
      </c>
      <c r="H30">
        <v>0</v>
      </c>
      <c r="I30">
        <v>3</v>
      </c>
      <c r="J30">
        <v>0</v>
      </c>
      <c r="K30" s="6">
        <f t="shared" si="1"/>
        <v>3</v>
      </c>
      <c r="M30" t="s">
        <v>37</v>
      </c>
      <c r="N30" s="12">
        <v>300</v>
      </c>
    </row>
    <row r="31" spans="1:16" x14ac:dyDescent="0.25">
      <c r="A31" s="1">
        <v>42435</v>
      </c>
      <c r="B31">
        <v>25.9</v>
      </c>
      <c r="C31">
        <v>133.19</v>
      </c>
      <c r="D31">
        <v>0.08</v>
      </c>
      <c r="E31">
        <v>12.58</v>
      </c>
      <c r="F31">
        <v>44.7</v>
      </c>
      <c r="G31">
        <v>5.14</v>
      </c>
      <c r="H31">
        <v>123.7</v>
      </c>
      <c r="I31">
        <v>5</v>
      </c>
      <c r="J31">
        <v>1</v>
      </c>
      <c r="K31" s="6">
        <f t="shared" si="1"/>
        <v>6</v>
      </c>
      <c r="M31" t="s">
        <v>38</v>
      </c>
      <c r="N31" s="13">
        <f>N30/(SUM(N28,N22)-N25)</f>
        <v>8.0278748520217071</v>
      </c>
    </row>
    <row r="32" spans="1:16" x14ac:dyDescent="0.25">
      <c r="A32" s="1">
        <v>42442</v>
      </c>
      <c r="B32">
        <v>22.73</v>
      </c>
      <c r="C32">
        <v>116.62</v>
      </c>
      <c r="D32">
        <v>0.46</v>
      </c>
      <c r="E32">
        <v>12.53</v>
      </c>
      <c r="F32">
        <v>46.8</v>
      </c>
      <c r="G32">
        <v>0</v>
      </c>
      <c r="H32">
        <v>0</v>
      </c>
      <c r="I32">
        <v>3</v>
      </c>
      <c r="J32">
        <v>0</v>
      </c>
      <c r="K32" s="6">
        <f t="shared" si="1"/>
        <v>3</v>
      </c>
    </row>
    <row r="33" spans="1:11" x14ac:dyDescent="0.25">
      <c r="A33" s="1">
        <v>42449</v>
      </c>
      <c r="B33">
        <v>22.9</v>
      </c>
      <c r="C33">
        <v>117.9</v>
      </c>
      <c r="D33">
        <v>7.0000000000000007E-2</v>
      </c>
      <c r="E33">
        <v>13.84</v>
      </c>
      <c r="F33">
        <v>47.7</v>
      </c>
      <c r="G33">
        <v>0</v>
      </c>
      <c r="H33">
        <v>0</v>
      </c>
      <c r="I33">
        <v>5</v>
      </c>
      <c r="J33">
        <v>0</v>
      </c>
      <c r="K33" s="6">
        <f t="shared" si="1"/>
        <v>5</v>
      </c>
    </row>
    <row r="34" spans="1:11" x14ac:dyDescent="0.25">
      <c r="A34" s="1">
        <v>42456</v>
      </c>
      <c r="B34">
        <v>23.43</v>
      </c>
      <c r="C34">
        <v>126.38</v>
      </c>
      <c r="D34">
        <v>0.12</v>
      </c>
      <c r="E34">
        <v>13.82</v>
      </c>
      <c r="F34">
        <v>48.1</v>
      </c>
      <c r="G34">
        <v>0</v>
      </c>
      <c r="H34">
        <v>0</v>
      </c>
      <c r="I34">
        <v>1</v>
      </c>
      <c r="J34">
        <v>0</v>
      </c>
      <c r="K34" s="6">
        <f t="shared" si="1"/>
        <v>1</v>
      </c>
    </row>
    <row r="35" spans="1:11" x14ac:dyDescent="0.25">
      <c r="A35" s="1">
        <v>42463</v>
      </c>
      <c r="B35">
        <v>25.61</v>
      </c>
      <c r="C35">
        <v>153.25</v>
      </c>
      <c r="D35">
        <v>0.28999999999999998</v>
      </c>
      <c r="E35">
        <v>13.4</v>
      </c>
      <c r="F35">
        <v>49</v>
      </c>
      <c r="G35">
        <v>5.01</v>
      </c>
      <c r="H35">
        <v>119.2</v>
      </c>
      <c r="I35">
        <v>2</v>
      </c>
      <c r="J35">
        <v>1</v>
      </c>
      <c r="K35" s="6">
        <f t="shared" si="1"/>
        <v>3</v>
      </c>
    </row>
    <row r="36" spans="1:11" x14ac:dyDescent="0.25">
      <c r="A36" s="1">
        <v>42470</v>
      </c>
      <c r="B36">
        <v>23.51</v>
      </c>
      <c r="C36">
        <v>125.75</v>
      </c>
      <c r="D36">
        <v>0.42</v>
      </c>
      <c r="E36">
        <v>13.11</v>
      </c>
      <c r="F36">
        <v>49.5</v>
      </c>
      <c r="G36">
        <v>5.12</v>
      </c>
      <c r="H36">
        <v>117.6</v>
      </c>
      <c r="I36">
        <v>2</v>
      </c>
      <c r="J36">
        <v>1</v>
      </c>
      <c r="K36" s="6">
        <f t="shared" si="1"/>
        <v>3</v>
      </c>
    </row>
    <row r="37" spans="1:11" x14ac:dyDescent="0.25">
      <c r="A37" s="1">
        <v>42477</v>
      </c>
      <c r="B37">
        <v>24.14</v>
      </c>
      <c r="C37">
        <v>134.78</v>
      </c>
      <c r="D37">
        <v>0.1</v>
      </c>
      <c r="E37">
        <v>13.71</v>
      </c>
      <c r="F37">
        <v>50.1</v>
      </c>
      <c r="G37">
        <v>5.03</v>
      </c>
      <c r="H37">
        <v>116</v>
      </c>
      <c r="I37">
        <v>4</v>
      </c>
      <c r="J37">
        <v>1</v>
      </c>
      <c r="K37" s="6">
        <f t="shared" si="1"/>
        <v>5</v>
      </c>
    </row>
    <row r="38" spans="1:11" x14ac:dyDescent="0.25">
      <c r="A38" s="1">
        <v>42484</v>
      </c>
      <c r="B38">
        <v>42.57</v>
      </c>
      <c r="C38">
        <v>196.12</v>
      </c>
      <c r="D38">
        <v>0.25</v>
      </c>
      <c r="E38">
        <v>13.51</v>
      </c>
      <c r="F38">
        <v>52.9</v>
      </c>
      <c r="G38">
        <v>0</v>
      </c>
      <c r="H38">
        <v>0</v>
      </c>
      <c r="I38">
        <v>1</v>
      </c>
      <c r="J38">
        <v>0</v>
      </c>
      <c r="K38" s="6">
        <f t="shared" si="1"/>
        <v>1</v>
      </c>
    </row>
    <row r="39" spans="1:11" x14ac:dyDescent="0.25">
      <c r="A39" s="1">
        <v>42491</v>
      </c>
      <c r="B39">
        <v>27.02</v>
      </c>
      <c r="C39">
        <v>127.25</v>
      </c>
      <c r="D39">
        <v>0.17</v>
      </c>
      <c r="E39">
        <v>15.99</v>
      </c>
      <c r="F39">
        <v>52.7</v>
      </c>
      <c r="G39">
        <v>0</v>
      </c>
      <c r="H39">
        <v>0</v>
      </c>
      <c r="I39">
        <v>3</v>
      </c>
      <c r="J39">
        <v>0</v>
      </c>
      <c r="K39" s="6">
        <f t="shared" si="1"/>
        <v>3</v>
      </c>
    </row>
    <row r="40" spans="1:11" x14ac:dyDescent="0.25">
      <c r="A40" s="1">
        <v>42498</v>
      </c>
      <c r="B40">
        <v>28.4</v>
      </c>
      <c r="C40">
        <v>139.75</v>
      </c>
      <c r="D40">
        <v>0.21</v>
      </c>
      <c r="E40">
        <v>15.56</v>
      </c>
      <c r="F40">
        <v>54.3</v>
      </c>
      <c r="G40">
        <v>3.67</v>
      </c>
      <c r="H40">
        <v>116.4</v>
      </c>
      <c r="I40">
        <v>2</v>
      </c>
      <c r="J40">
        <v>1</v>
      </c>
      <c r="K40" s="6">
        <f t="shared" si="1"/>
        <v>3</v>
      </c>
    </row>
    <row r="41" spans="1:11" x14ac:dyDescent="0.25">
      <c r="A41" s="1">
        <v>42505</v>
      </c>
      <c r="B41">
        <v>24.52</v>
      </c>
      <c r="C41">
        <v>130.88</v>
      </c>
      <c r="D41">
        <v>0</v>
      </c>
      <c r="E41">
        <v>10.130000000000001</v>
      </c>
      <c r="F41">
        <v>54.3</v>
      </c>
      <c r="G41">
        <v>0</v>
      </c>
      <c r="H41">
        <v>0</v>
      </c>
      <c r="I41">
        <v>1</v>
      </c>
      <c r="J41">
        <v>0</v>
      </c>
      <c r="K41" s="6">
        <f t="shared" si="1"/>
        <v>1</v>
      </c>
    </row>
    <row r="42" spans="1:11" x14ac:dyDescent="0.25">
      <c r="A42" s="1">
        <v>42512</v>
      </c>
      <c r="B42">
        <v>30.02</v>
      </c>
      <c r="C42">
        <v>137.91</v>
      </c>
      <c r="D42">
        <v>0.22</v>
      </c>
      <c r="E42">
        <v>13.91</v>
      </c>
      <c r="F42">
        <v>55.6</v>
      </c>
      <c r="G42">
        <v>5.04</v>
      </c>
      <c r="H42">
        <v>115.2</v>
      </c>
      <c r="I42">
        <v>3</v>
      </c>
      <c r="J42">
        <v>1</v>
      </c>
      <c r="K42" s="6">
        <f t="shared" si="1"/>
        <v>4</v>
      </c>
    </row>
    <row r="43" spans="1:11" x14ac:dyDescent="0.25">
      <c r="A43" s="1">
        <v>42519</v>
      </c>
      <c r="B43">
        <v>27.69</v>
      </c>
      <c r="C43">
        <v>127.38</v>
      </c>
      <c r="D43">
        <v>0.17</v>
      </c>
      <c r="E43">
        <v>14.25</v>
      </c>
      <c r="F43">
        <v>58.5</v>
      </c>
      <c r="G43">
        <v>5.01</v>
      </c>
      <c r="H43">
        <v>120.4</v>
      </c>
      <c r="I43">
        <v>5</v>
      </c>
      <c r="J43">
        <v>1</v>
      </c>
      <c r="K43" s="6">
        <f t="shared" si="1"/>
        <v>6</v>
      </c>
    </row>
    <row r="44" spans="1:11" x14ac:dyDescent="0.25">
      <c r="A44" s="1">
        <v>42526</v>
      </c>
      <c r="B44">
        <v>24.99</v>
      </c>
      <c r="C44">
        <v>135</v>
      </c>
      <c r="D44">
        <v>0.12</v>
      </c>
      <c r="E44">
        <v>13.17</v>
      </c>
      <c r="F44">
        <v>60.8</v>
      </c>
      <c r="G44">
        <v>0</v>
      </c>
      <c r="H44">
        <v>0</v>
      </c>
      <c r="I44">
        <v>3</v>
      </c>
      <c r="J44">
        <v>0</v>
      </c>
      <c r="K44" s="6">
        <f t="shared" si="1"/>
        <v>3</v>
      </c>
    </row>
    <row r="45" spans="1:11" x14ac:dyDescent="0.25">
      <c r="A45" s="1">
        <v>42533</v>
      </c>
      <c r="B45">
        <v>23.52</v>
      </c>
      <c r="C45">
        <v>127.5</v>
      </c>
      <c r="D45">
        <v>0.12</v>
      </c>
      <c r="E45">
        <v>13.83</v>
      </c>
      <c r="F45">
        <v>61.4</v>
      </c>
      <c r="G45">
        <v>0</v>
      </c>
      <c r="H45">
        <v>0</v>
      </c>
      <c r="I45">
        <v>2</v>
      </c>
      <c r="J45">
        <v>0</v>
      </c>
      <c r="K45" s="6">
        <f t="shared" si="1"/>
        <v>2</v>
      </c>
    </row>
    <row r="46" spans="1:11" x14ac:dyDescent="0.25">
      <c r="A46" s="7">
        <v>42540</v>
      </c>
      <c r="B46" s="3">
        <v>32.380000000000003</v>
      </c>
      <c r="C46" s="3">
        <v>150.19</v>
      </c>
      <c r="D46" s="3">
        <v>3.25</v>
      </c>
      <c r="E46" s="3">
        <v>16.37</v>
      </c>
      <c r="F46" s="3">
        <v>62.5</v>
      </c>
      <c r="G46" s="3">
        <v>4.9000000000000004</v>
      </c>
      <c r="H46" s="3">
        <v>121.6</v>
      </c>
      <c r="I46" s="3">
        <v>1</v>
      </c>
      <c r="J46" s="3">
        <v>1</v>
      </c>
      <c r="K46" s="3">
        <f t="shared" si="1"/>
        <v>2</v>
      </c>
    </row>
    <row r="47" spans="1:11" x14ac:dyDescent="0.25">
      <c r="A47" s="7">
        <v>42547</v>
      </c>
      <c r="B47" s="3">
        <v>25.82</v>
      </c>
      <c r="C47" s="3">
        <v>152.25</v>
      </c>
      <c r="D47" s="3">
        <v>5.25</v>
      </c>
      <c r="E47" s="3">
        <v>13.68</v>
      </c>
      <c r="F47" s="3">
        <v>65.599999999999994</v>
      </c>
      <c r="G47" s="3">
        <v>0</v>
      </c>
      <c r="H47" s="3">
        <v>0</v>
      </c>
      <c r="I47" s="3">
        <v>4</v>
      </c>
      <c r="J47" s="3">
        <v>0</v>
      </c>
      <c r="K47" s="3">
        <f t="shared" si="1"/>
        <v>4</v>
      </c>
    </row>
    <row r="48" spans="1:11" x14ac:dyDescent="0.25">
      <c r="A48" s="7">
        <v>42554</v>
      </c>
      <c r="B48" s="3">
        <v>27.27</v>
      </c>
      <c r="C48" s="3">
        <v>145.69</v>
      </c>
      <c r="D48" s="3">
        <v>5.66</v>
      </c>
      <c r="E48" s="3">
        <v>13.64</v>
      </c>
      <c r="F48" s="3">
        <v>66.3</v>
      </c>
      <c r="G48" s="3">
        <v>4.97</v>
      </c>
      <c r="H48" s="3">
        <v>118.8</v>
      </c>
      <c r="I48" s="3">
        <v>3</v>
      </c>
      <c r="J48" s="3">
        <v>1</v>
      </c>
      <c r="K48" s="3">
        <f t="shared" si="1"/>
        <v>4</v>
      </c>
    </row>
    <row r="49" spans="1:14" x14ac:dyDescent="0.25">
      <c r="A49" s="7">
        <v>42561</v>
      </c>
      <c r="B49" s="3">
        <v>22.72</v>
      </c>
      <c r="C49" s="3">
        <v>117</v>
      </c>
      <c r="D49" s="3">
        <v>4.78</v>
      </c>
      <c r="E49" s="3">
        <v>13.98</v>
      </c>
      <c r="F49" s="3">
        <v>66.900000000000006</v>
      </c>
      <c r="G49" s="3">
        <v>0</v>
      </c>
      <c r="H49" s="3">
        <v>0</v>
      </c>
      <c r="I49" s="3">
        <v>4</v>
      </c>
      <c r="J49" s="3">
        <v>0</v>
      </c>
      <c r="K49" s="3">
        <f t="shared" si="1"/>
        <v>4</v>
      </c>
    </row>
    <row r="50" spans="1:14" x14ac:dyDescent="0.25">
      <c r="A50" s="7">
        <v>42568</v>
      </c>
      <c r="B50" s="3">
        <v>27.98</v>
      </c>
      <c r="C50" s="3">
        <v>132.06</v>
      </c>
      <c r="D50" s="3">
        <v>5.92</v>
      </c>
      <c r="E50" s="3">
        <v>15.67</v>
      </c>
      <c r="F50" s="3">
        <v>66.7</v>
      </c>
      <c r="G50" s="3">
        <v>0</v>
      </c>
      <c r="H50" s="3">
        <v>0</v>
      </c>
      <c r="I50" s="3">
        <v>6</v>
      </c>
      <c r="J50" s="3">
        <v>0</v>
      </c>
      <c r="K50" s="3">
        <f t="shared" si="1"/>
        <v>6</v>
      </c>
    </row>
    <row r="51" spans="1:14" x14ac:dyDescent="0.25">
      <c r="A51" s="7">
        <v>42575</v>
      </c>
      <c r="B51" s="3">
        <v>26.58</v>
      </c>
      <c r="C51" s="3">
        <v>157.88</v>
      </c>
      <c r="D51" s="3">
        <v>5.5</v>
      </c>
      <c r="E51" s="3">
        <v>14.08</v>
      </c>
      <c r="F51" s="3">
        <v>65.3</v>
      </c>
      <c r="G51" s="3">
        <v>0</v>
      </c>
      <c r="H51" s="3">
        <v>0</v>
      </c>
      <c r="I51" s="3">
        <v>1</v>
      </c>
      <c r="J51" s="3">
        <v>0</v>
      </c>
      <c r="K51" s="3">
        <f t="shared" si="1"/>
        <v>1</v>
      </c>
    </row>
    <row r="52" spans="1:14" x14ac:dyDescent="0.25">
      <c r="A52" s="7">
        <v>42582</v>
      </c>
      <c r="B52" s="3">
        <v>23.52</v>
      </c>
      <c r="C52" s="3">
        <v>121.12</v>
      </c>
      <c r="D52" s="3">
        <v>4.87</v>
      </c>
      <c r="E52" s="3">
        <v>10.27</v>
      </c>
      <c r="F52" s="3">
        <v>66.900000000000006</v>
      </c>
      <c r="G52" s="3">
        <v>3.6</v>
      </c>
      <c r="H52" s="3">
        <v>107.9</v>
      </c>
      <c r="I52" s="3">
        <v>0</v>
      </c>
      <c r="J52" s="3">
        <v>1</v>
      </c>
      <c r="K52" s="3">
        <f t="shared" si="1"/>
        <v>1</v>
      </c>
    </row>
    <row r="53" spans="1:14" x14ac:dyDescent="0.25">
      <c r="A53" s="7">
        <v>42589</v>
      </c>
      <c r="B53" s="3">
        <v>23.49</v>
      </c>
      <c r="C53" s="3">
        <v>119.7</v>
      </c>
      <c r="D53" s="3">
        <v>4.9800000000000004</v>
      </c>
      <c r="E53" s="3">
        <v>12.74</v>
      </c>
      <c r="F53" s="3">
        <v>69</v>
      </c>
      <c r="G53" s="3">
        <v>3.5</v>
      </c>
      <c r="H53" s="3">
        <v>120</v>
      </c>
      <c r="I53" s="3">
        <v>4</v>
      </c>
      <c r="J53" s="3">
        <v>1</v>
      </c>
      <c r="K53" s="3">
        <f t="shared" si="1"/>
        <v>5</v>
      </c>
      <c r="L53" s="6"/>
      <c r="M53" s="6"/>
      <c r="N53" s="6"/>
    </row>
    <row r="54" spans="1:14" x14ac:dyDescent="0.25">
      <c r="A54" s="7">
        <v>42596</v>
      </c>
      <c r="B54" s="3">
        <v>40.08</v>
      </c>
      <c r="C54" s="3">
        <v>175.5</v>
      </c>
      <c r="D54" s="3">
        <v>8.5</v>
      </c>
      <c r="E54" s="3">
        <v>16.510000000000002</v>
      </c>
      <c r="F54" s="3">
        <v>69.5</v>
      </c>
      <c r="G54" s="3">
        <v>4.74</v>
      </c>
      <c r="H54" s="3">
        <v>126.5</v>
      </c>
      <c r="I54" s="3">
        <v>0</v>
      </c>
      <c r="J54" s="3">
        <v>1</v>
      </c>
      <c r="K54" s="3">
        <f t="shared" si="1"/>
        <v>1</v>
      </c>
      <c r="L54" s="6"/>
      <c r="M54" s="6"/>
      <c r="N54" s="6"/>
    </row>
    <row r="55" spans="1:14" x14ac:dyDescent="0.25">
      <c r="B55" s="6"/>
      <c r="C55" s="6"/>
      <c r="D55" s="6"/>
      <c r="E55" s="6"/>
      <c r="F55" s="6"/>
      <c r="G55" s="6"/>
      <c r="H55" s="6"/>
      <c r="I55" s="6"/>
      <c r="J55" s="6"/>
      <c r="K55" s="6"/>
      <c r="L55" s="6"/>
      <c r="M55" s="6"/>
      <c r="N55" s="6"/>
    </row>
    <row r="56" spans="1:14" x14ac:dyDescent="0.25">
      <c r="B56" s="6"/>
      <c r="C56" s="6"/>
      <c r="D56" s="6"/>
      <c r="E56" s="6"/>
      <c r="F56" s="6"/>
      <c r="G56" s="6"/>
      <c r="H56" s="6"/>
      <c r="I56" s="6"/>
      <c r="J56" s="6"/>
      <c r="K56" s="6"/>
      <c r="L56" s="6"/>
      <c r="M56" s="6"/>
      <c r="N56" s="6"/>
    </row>
    <row r="57" spans="1:14" x14ac:dyDescent="0.25">
      <c r="B57" s="6"/>
      <c r="C57" s="6"/>
      <c r="D57" s="6"/>
      <c r="E57" s="6"/>
      <c r="F57" s="6"/>
      <c r="G57" s="6"/>
      <c r="H57" s="6"/>
      <c r="I57" s="6"/>
      <c r="J57" s="6"/>
      <c r="K57" s="6"/>
      <c r="L57" s="6"/>
      <c r="M57" s="6"/>
      <c r="N57" s="6"/>
    </row>
    <row r="58" spans="1:14" x14ac:dyDescent="0.25">
      <c r="B58" s="6"/>
      <c r="C58" s="6"/>
      <c r="D58" s="6"/>
      <c r="E58" s="6"/>
      <c r="F58" s="6"/>
      <c r="G58" s="6"/>
      <c r="H58" s="6"/>
      <c r="I58" s="6"/>
      <c r="J58" s="6"/>
      <c r="K58" s="6"/>
      <c r="L58" s="6"/>
      <c r="M58" s="6"/>
      <c r="N58" s="6"/>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P58"/>
  <sheetViews>
    <sheetView workbookViewId="0">
      <selection activeCell="E13" sqref="E13"/>
    </sheetView>
  </sheetViews>
  <sheetFormatPr defaultRowHeight="15" x14ac:dyDescent="0.25"/>
  <cols>
    <col min="1" max="1" width="11.7109375" customWidth="1"/>
    <col min="13" max="13" width="40.85546875" customWidth="1"/>
  </cols>
  <sheetData>
    <row r="1" spans="1:16" x14ac:dyDescent="0.25">
      <c r="A1" t="s">
        <v>54</v>
      </c>
    </row>
    <row r="2" spans="1:16" x14ac:dyDescent="0.25">
      <c r="A2" t="s">
        <v>67</v>
      </c>
      <c r="B2" t="s">
        <v>68</v>
      </c>
      <c r="C2" t="s">
        <v>69</v>
      </c>
      <c r="D2" t="s">
        <v>70</v>
      </c>
      <c r="E2" t="s">
        <v>66</v>
      </c>
      <c r="F2" s="19" t="s">
        <v>71</v>
      </c>
      <c r="H2" s="19"/>
      <c r="I2" s="6" t="s">
        <v>72</v>
      </c>
    </row>
    <row r="3" spans="1:16" x14ac:dyDescent="0.25">
      <c r="A3" s="23" t="s">
        <v>75</v>
      </c>
      <c r="B3" s="23" t="s">
        <v>85</v>
      </c>
      <c r="C3" s="23" t="s">
        <v>86</v>
      </c>
      <c r="D3" s="23" t="s">
        <v>88</v>
      </c>
      <c r="E3" s="6">
        <v>2</v>
      </c>
      <c r="F3" s="6">
        <v>276</v>
      </c>
    </row>
    <row r="4" spans="1:16" x14ac:dyDescent="0.25">
      <c r="H4" s="2"/>
      <c r="I4" t="s">
        <v>12</v>
      </c>
      <c r="J4" t="s">
        <v>61</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AVERAGE(G8:G22)</f>
        <v>26.742999999999999</v>
      </c>
      <c r="O6" s="8">
        <f xml:space="preserve"> AVERAGE(G13:G31)</f>
        <v>27.53131578947368</v>
      </c>
      <c r="P6" s="8"/>
    </row>
    <row r="7" spans="1:16" x14ac:dyDescent="0.25">
      <c r="A7" s="1"/>
      <c r="M7" t="s">
        <v>48</v>
      </c>
      <c r="N7" s="8">
        <f>AVERAGE(E8:E12)</f>
        <v>4.8959999999999999</v>
      </c>
      <c r="O7" s="8">
        <f>AVERAGE(E13:E31)</f>
        <v>2.7052631578947368</v>
      </c>
      <c r="P7" s="8"/>
    </row>
    <row r="8" spans="1:16" x14ac:dyDescent="0.25">
      <c r="A8" s="4">
        <v>42281</v>
      </c>
      <c r="B8" s="2">
        <v>52.64</v>
      </c>
      <c r="C8" s="2">
        <v>76.5</v>
      </c>
      <c r="D8" s="2">
        <v>0.12</v>
      </c>
      <c r="E8" s="2">
        <v>11.6</v>
      </c>
      <c r="F8" s="2">
        <v>66.5</v>
      </c>
      <c r="G8" s="2">
        <v>14.65</v>
      </c>
      <c r="H8" s="2">
        <v>130.4</v>
      </c>
      <c r="I8" s="2">
        <v>0</v>
      </c>
      <c r="J8" s="2">
        <v>2</v>
      </c>
      <c r="K8" s="2">
        <f>SUM(I8:J8)</f>
        <v>2</v>
      </c>
      <c r="M8" t="s">
        <v>47</v>
      </c>
      <c r="N8" s="8">
        <v>0</v>
      </c>
      <c r="O8" s="8">
        <f>AVERAGE(D13:D31)</f>
        <v>0.45736842105263165</v>
      </c>
      <c r="P8" s="8"/>
    </row>
    <row r="9" spans="1:16" x14ac:dyDescent="0.25">
      <c r="A9" s="4">
        <v>42288</v>
      </c>
      <c r="B9" s="2">
        <v>57.33</v>
      </c>
      <c r="C9" s="2">
        <v>70.12</v>
      </c>
      <c r="D9" s="2">
        <v>0.13</v>
      </c>
      <c r="E9" s="2">
        <v>3.41</v>
      </c>
      <c r="F9" s="2">
        <v>67</v>
      </c>
      <c r="G9" s="2">
        <v>25.95</v>
      </c>
      <c r="H9" s="2">
        <v>131.1</v>
      </c>
      <c r="I9" s="2">
        <v>0</v>
      </c>
      <c r="J9" s="2">
        <v>2</v>
      </c>
      <c r="K9" s="2">
        <f t="shared" ref="K9:K14" si="0">SUM(I9:J9)</f>
        <v>2</v>
      </c>
      <c r="M9" t="s">
        <v>46</v>
      </c>
      <c r="N9" s="8">
        <f>AVERAGE(I8:I12)</f>
        <v>0</v>
      </c>
      <c r="O9" s="8">
        <f>AVERAGE(I15:I30)</f>
        <v>0</v>
      </c>
      <c r="P9" s="8"/>
    </row>
    <row r="10" spans="1:16" x14ac:dyDescent="0.25">
      <c r="A10" s="4">
        <v>42295</v>
      </c>
      <c r="B10" s="2">
        <v>51.04</v>
      </c>
      <c r="C10" s="2">
        <v>53.81</v>
      </c>
      <c r="D10" s="2">
        <v>0.06</v>
      </c>
      <c r="E10" s="2">
        <v>3.75</v>
      </c>
      <c r="F10" s="2">
        <v>66.5</v>
      </c>
      <c r="G10" s="2">
        <v>24.01</v>
      </c>
      <c r="H10" s="2">
        <v>129.9</v>
      </c>
      <c r="I10" s="2">
        <v>0</v>
      </c>
      <c r="J10" s="2">
        <v>2</v>
      </c>
      <c r="K10" s="2">
        <f t="shared" si="0"/>
        <v>2</v>
      </c>
      <c r="M10" t="s">
        <v>45</v>
      </c>
      <c r="N10" s="8">
        <f>AVERAGE(J8:J12)</f>
        <v>2</v>
      </c>
      <c r="O10" s="8">
        <f>AVERAGE(J13:J290)</f>
        <v>2.1052631578947367</v>
      </c>
      <c r="P10" s="8"/>
    </row>
    <row r="11" spans="1:16" x14ac:dyDescent="0.25">
      <c r="A11" s="4">
        <v>42302</v>
      </c>
      <c r="B11" s="2">
        <v>59.7</v>
      </c>
      <c r="C11" s="2">
        <v>38.619999999999997</v>
      </c>
      <c r="D11" s="2">
        <v>0.12</v>
      </c>
      <c r="E11" s="2">
        <v>2.0299999999999998</v>
      </c>
      <c r="F11" s="2">
        <v>66.5</v>
      </c>
      <c r="G11" s="2">
        <v>37.200000000000003</v>
      </c>
      <c r="H11" s="2">
        <v>128.30000000000001</v>
      </c>
      <c r="I11" s="2">
        <v>0</v>
      </c>
      <c r="J11" s="2">
        <v>2</v>
      </c>
      <c r="K11" s="2">
        <f t="shared" si="0"/>
        <v>2</v>
      </c>
      <c r="M11" t="s">
        <v>44</v>
      </c>
      <c r="N11" s="8">
        <f>SUM(N9:N10)</f>
        <v>2</v>
      </c>
      <c r="O11" s="8">
        <f>SUM(O9:O10)</f>
        <v>2.1052631578947367</v>
      </c>
      <c r="P11" s="8"/>
    </row>
    <row r="12" spans="1:16" x14ac:dyDescent="0.25">
      <c r="A12" s="4">
        <v>42309</v>
      </c>
      <c r="B12" s="2">
        <v>50.71</v>
      </c>
      <c r="C12" s="2">
        <v>54.19</v>
      </c>
      <c r="D12" s="2">
        <v>0.12</v>
      </c>
      <c r="E12" s="2">
        <v>3.69</v>
      </c>
      <c r="F12" s="2">
        <v>64.099999999999994</v>
      </c>
      <c r="G12" s="2">
        <v>23.73</v>
      </c>
      <c r="H12" s="2">
        <v>129.5</v>
      </c>
      <c r="I12" s="2">
        <v>0</v>
      </c>
      <c r="J12" s="2">
        <v>2</v>
      </c>
      <c r="K12" s="2">
        <f t="shared" si="0"/>
        <v>2</v>
      </c>
      <c r="M12" t="s">
        <v>42</v>
      </c>
      <c r="N12" s="14">
        <f>N10/N11</f>
        <v>1</v>
      </c>
      <c r="O12" s="14">
        <f>O10/O11</f>
        <v>1</v>
      </c>
      <c r="P12" s="8"/>
    </row>
    <row r="13" spans="1:16" x14ac:dyDescent="0.25">
      <c r="A13" s="7">
        <v>42323</v>
      </c>
      <c r="B13" s="3">
        <v>55.19</v>
      </c>
      <c r="C13" s="3">
        <v>76.75</v>
      </c>
      <c r="D13" s="3">
        <v>0.46</v>
      </c>
      <c r="E13" s="3">
        <v>3.25</v>
      </c>
      <c r="F13" s="3">
        <v>62.9</v>
      </c>
      <c r="G13" s="3">
        <v>30.85</v>
      </c>
      <c r="H13" s="3">
        <v>134.4</v>
      </c>
      <c r="I13" s="3">
        <v>0</v>
      </c>
      <c r="J13" s="3">
        <v>3</v>
      </c>
      <c r="K13" s="3">
        <f t="shared" si="0"/>
        <v>3</v>
      </c>
      <c r="M13" t="s">
        <v>43</v>
      </c>
      <c r="N13" s="8">
        <f>AVERAGE(K8:K31)</f>
        <v>2.0833333333333335</v>
      </c>
      <c r="O13" s="8">
        <f>AVERAGE(K8:K31)</f>
        <v>2.0833333333333335</v>
      </c>
      <c r="P13" s="8"/>
    </row>
    <row r="14" spans="1:16" x14ac:dyDescent="0.25">
      <c r="A14" s="7">
        <v>42337</v>
      </c>
      <c r="B14" s="3">
        <v>51.82</v>
      </c>
      <c r="C14" s="3">
        <v>80.62</v>
      </c>
      <c r="D14" s="3">
        <v>0.44</v>
      </c>
      <c r="E14" s="3">
        <v>2.31</v>
      </c>
      <c r="F14" s="3">
        <v>67.599999999999994</v>
      </c>
      <c r="G14" s="3">
        <v>28.53</v>
      </c>
      <c r="H14" s="3">
        <v>131.4</v>
      </c>
      <c r="I14" s="3">
        <v>0</v>
      </c>
      <c r="J14" s="3">
        <v>4</v>
      </c>
      <c r="K14" s="3">
        <f t="shared" si="0"/>
        <v>4</v>
      </c>
      <c r="N14" s="8"/>
      <c r="O14" s="8"/>
      <c r="P14" s="8"/>
    </row>
    <row r="15" spans="1:16" x14ac:dyDescent="0.25">
      <c r="A15" s="7">
        <v>42344</v>
      </c>
      <c r="B15" s="3">
        <v>48.58</v>
      </c>
      <c r="C15" s="3">
        <v>64.31</v>
      </c>
      <c r="D15" s="3">
        <v>0.37</v>
      </c>
      <c r="E15" s="3">
        <v>1.79</v>
      </c>
      <c r="F15" s="3">
        <v>71.900000000000006</v>
      </c>
      <c r="G15" s="3">
        <v>17.63</v>
      </c>
      <c r="H15" s="3">
        <v>131.1</v>
      </c>
      <c r="I15" s="3">
        <v>0</v>
      </c>
      <c r="J15" s="3">
        <v>2</v>
      </c>
      <c r="K15" s="3">
        <f>SUM(I15:J15)</f>
        <v>2</v>
      </c>
      <c r="O15" s="8"/>
      <c r="P15" s="8"/>
    </row>
    <row r="16" spans="1:16" x14ac:dyDescent="0.25">
      <c r="A16" s="7">
        <v>42351</v>
      </c>
      <c r="B16" s="3">
        <v>47.8</v>
      </c>
      <c r="C16" s="3">
        <v>64.12</v>
      </c>
      <c r="D16" s="3">
        <v>0.37</v>
      </c>
      <c r="E16" s="3">
        <v>1.75</v>
      </c>
      <c r="F16" s="3">
        <v>70.599999999999994</v>
      </c>
      <c r="G16" s="3">
        <v>15.73</v>
      </c>
      <c r="H16" s="3">
        <v>131.1</v>
      </c>
      <c r="I16" s="3">
        <v>0</v>
      </c>
      <c r="J16" s="3">
        <v>1</v>
      </c>
      <c r="K16" s="3">
        <f>SUM(I16:J16)</f>
        <v>1</v>
      </c>
      <c r="M16" t="s">
        <v>20</v>
      </c>
      <c r="N16" s="9">
        <v>0.77</v>
      </c>
      <c r="O16" s="8"/>
      <c r="P16" s="8"/>
    </row>
    <row r="17" spans="1:16" x14ac:dyDescent="0.25">
      <c r="A17" s="7">
        <v>42358</v>
      </c>
      <c r="B17" s="3">
        <v>57.8</v>
      </c>
      <c r="C17" s="3">
        <v>74.06</v>
      </c>
      <c r="D17" s="3">
        <v>0.44</v>
      </c>
      <c r="E17" s="3">
        <v>1.61</v>
      </c>
      <c r="F17" s="3">
        <v>64.7</v>
      </c>
      <c r="G17" s="3">
        <v>27.12</v>
      </c>
      <c r="H17" s="3">
        <v>131.30000000000001</v>
      </c>
      <c r="I17" s="3">
        <v>0</v>
      </c>
      <c r="J17" s="3">
        <v>2</v>
      </c>
      <c r="K17" s="3">
        <f>SUM(I17:J17)</f>
        <v>2</v>
      </c>
      <c r="M17" t="s">
        <v>21</v>
      </c>
      <c r="N17" s="9">
        <v>0.125</v>
      </c>
      <c r="O17" s="8"/>
      <c r="P17" s="8"/>
    </row>
    <row r="18" spans="1:16" x14ac:dyDescent="0.25">
      <c r="A18" s="7">
        <v>42365</v>
      </c>
      <c r="B18" s="3">
        <v>50.17</v>
      </c>
      <c r="C18" s="3">
        <v>72.465000000000003</v>
      </c>
      <c r="D18" s="3">
        <v>0.37</v>
      </c>
      <c r="E18" s="3">
        <v>2.8</v>
      </c>
      <c r="F18" s="3">
        <v>67.300000000000011</v>
      </c>
      <c r="G18" s="3">
        <v>20.695</v>
      </c>
      <c r="H18" s="3">
        <v>133.85</v>
      </c>
      <c r="I18" s="3">
        <v>0</v>
      </c>
      <c r="J18" s="3">
        <v>3</v>
      </c>
      <c r="K18" s="3">
        <f>SUM(I18:J18)</f>
        <v>3</v>
      </c>
      <c r="M18" t="s">
        <v>16</v>
      </c>
      <c r="N18" s="8">
        <f>AVERAGE(H8:H12)</f>
        <v>129.84</v>
      </c>
      <c r="O18" s="8"/>
      <c r="P18" s="8"/>
    </row>
    <row r="19" spans="1:16" x14ac:dyDescent="0.25">
      <c r="A19" s="7">
        <v>42372</v>
      </c>
      <c r="B19" s="3">
        <v>55.55</v>
      </c>
      <c r="C19" s="3">
        <v>72.94</v>
      </c>
      <c r="D19" s="3">
        <v>0.37</v>
      </c>
      <c r="E19" s="3">
        <v>9.18</v>
      </c>
      <c r="F19" s="3">
        <v>60</v>
      </c>
      <c r="G19" s="3">
        <v>25.59</v>
      </c>
      <c r="H19" s="3">
        <v>133.69999999999999</v>
      </c>
      <c r="I19" s="3">
        <v>0</v>
      </c>
      <c r="J19" s="3">
        <v>2</v>
      </c>
      <c r="K19" s="3">
        <f>SUM(I19:J19)</f>
        <v>2</v>
      </c>
      <c r="M19" t="s">
        <v>17</v>
      </c>
      <c r="N19" s="8">
        <v>54</v>
      </c>
      <c r="O19" s="8"/>
      <c r="P19" s="8"/>
    </row>
    <row r="20" spans="1:16" x14ac:dyDescent="0.25">
      <c r="A20" s="7">
        <v>42379</v>
      </c>
      <c r="B20" s="3">
        <v>114.1</v>
      </c>
      <c r="C20" s="3">
        <v>134.62</v>
      </c>
      <c r="D20" s="3">
        <v>0.88</v>
      </c>
      <c r="E20" s="3">
        <v>3.08</v>
      </c>
      <c r="F20" s="3">
        <v>65.7</v>
      </c>
      <c r="G20" s="3">
        <v>49.54</v>
      </c>
      <c r="H20" s="3">
        <v>136.6</v>
      </c>
      <c r="I20" s="3">
        <v>0</v>
      </c>
      <c r="J20" s="3">
        <v>1</v>
      </c>
      <c r="K20" s="3">
        <f t="shared" ref="K20:K31" si="1">SUM(I19:J19)</f>
        <v>2</v>
      </c>
      <c r="M20" t="s">
        <v>19</v>
      </c>
      <c r="N20" s="8">
        <f>($N6*8.33*(N13*N12)*(N18-N19)/0.58*52/100000)-$O6*8.33*(O13*O12)*(N18-N19)/0.58*52/100000</f>
        <v>-0.93020284558983235</v>
      </c>
      <c r="O20" s="8"/>
      <c r="P20" s="8"/>
    </row>
    <row r="21" spans="1:16" x14ac:dyDescent="0.25">
      <c r="A21" s="7">
        <v>42393</v>
      </c>
      <c r="B21" s="3">
        <v>56.9</v>
      </c>
      <c r="C21" s="3">
        <v>73.69</v>
      </c>
      <c r="D21" s="3">
        <v>0.44</v>
      </c>
      <c r="E21" s="3">
        <v>1.87</v>
      </c>
      <c r="F21" s="3">
        <v>60</v>
      </c>
      <c r="G21" s="3">
        <v>26.58</v>
      </c>
      <c r="H21" s="3">
        <v>131.6</v>
      </c>
      <c r="I21" s="3">
        <v>0</v>
      </c>
      <c r="J21" s="3">
        <v>2</v>
      </c>
      <c r="K21" s="3">
        <f t="shared" si="1"/>
        <v>1</v>
      </c>
      <c r="M21" t="s">
        <v>18</v>
      </c>
      <c r="N21" s="8">
        <f>$N6*8.33*(N13*N12)*(N18-N19)/0.58*52/100000</f>
        <v>31.556408017931041</v>
      </c>
      <c r="O21" s="8"/>
    </row>
    <row r="22" spans="1:16" x14ac:dyDescent="0.25">
      <c r="A22" s="7">
        <v>42400</v>
      </c>
      <c r="B22" s="3">
        <v>62.56</v>
      </c>
      <c r="C22" s="3">
        <v>84.38</v>
      </c>
      <c r="D22" s="3">
        <v>0.44</v>
      </c>
      <c r="E22" s="3">
        <v>2.56</v>
      </c>
      <c r="F22" s="3">
        <v>49.4</v>
      </c>
      <c r="G22" s="3">
        <v>33.340000000000003</v>
      </c>
      <c r="H22" s="3">
        <v>129.9</v>
      </c>
      <c r="I22" s="3">
        <v>0</v>
      </c>
      <c r="J22" s="3">
        <v>2</v>
      </c>
      <c r="K22" s="3">
        <f t="shared" si="1"/>
        <v>2</v>
      </c>
      <c r="M22" t="s">
        <v>22</v>
      </c>
      <c r="N22" s="10">
        <f>N20*N16</f>
        <v>-0.71625619110417094</v>
      </c>
    </row>
    <row r="23" spans="1:16" x14ac:dyDescent="0.25">
      <c r="A23" s="7">
        <v>42407</v>
      </c>
      <c r="B23" s="3">
        <v>53.65</v>
      </c>
      <c r="C23" s="3">
        <v>72.62</v>
      </c>
      <c r="D23" s="3">
        <v>0.42</v>
      </c>
      <c r="E23" s="3">
        <v>2.31</v>
      </c>
      <c r="F23" s="3">
        <v>65.5</v>
      </c>
      <c r="G23" s="3">
        <v>23.96</v>
      </c>
      <c r="H23" s="3">
        <v>131.6</v>
      </c>
      <c r="I23" s="3">
        <v>0</v>
      </c>
      <c r="J23" s="3">
        <v>3</v>
      </c>
      <c r="K23" s="3">
        <f t="shared" si="1"/>
        <v>2</v>
      </c>
      <c r="M23" t="s">
        <v>23</v>
      </c>
      <c r="N23" s="10">
        <f>N21*N16</f>
        <v>24.298434173806903</v>
      </c>
    </row>
    <row r="24" spans="1:16" x14ac:dyDescent="0.25">
      <c r="A24" s="7">
        <v>42414</v>
      </c>
      <c r="B24" s="3">
        <v>47.42</v>
      </c>
      <c r="C24" s="3">
        <v>60.75</v>
      </c>
      <c r="D24" s="3">
        <v>0.37</v>
      </c>
      <c r="E24" s="3">
        <v>2.83</v>
      </c>
      <c r="F24" s="3">
        <v>67.3</v>
      </c>
      <c r="G24" s="3">
        <v>16.09</v>
      </c>
      <c r="H24" s="3">
        <v>131.69999999999999</v>
      </c>
      <c r="I24" s="3">
        <v>0</v>
      </c>
      <c r="J24" s="3">
        <v>1</v>
      </c>
      <c r="K24" s="3">
        <f t="shared" si="1"/>
        <v>3</v>
      </c>
      <c r="M24" t="s">
        <v>24</v>
      </c>
      <c r="N24" s="11">
        <f>O8*N13*52/1000</f>
        <v>4.9548245614035098E-2</v>
      </c>
    </row>
    <row r="25" spans="1:16" x14ac:dyDescent="0.25">
      <c r="A25" s="7">
        <v>42421</v>
      </c>
      <c r="B25" s="3">
        <v>59.77</v>
      </c>
      <c r="C25" s="3">
        <v>74.75</v>
      </c>
      <c r="D25" s="3">
        <v>0.46</v>
      </c>
      <c r="E25" s="3">
        <v>1.65</v>
      </c>
      <c r="F25" s="3">
        <v>57.5</v>
      </c>
      <c r="G25" s="3">
        <v>25.21</v>
      </c>
      <c r="H25" s="3">
        <v>130</v>
      </c>
      <c r="I25" s="3">
        <v>0</v>
      </c>
      <c r="J25" s="3">
        <v>3</v>
      </c>
      <c r="K25" s="3">
        <f t="shared" si="1"/>
        <v>1</v>
      </c>
      <c r="M25" t="s">
        <v>25</v>
      </c>
      <c r="N25" s="12">
        <f>N17*N24</f>
        <v>6.1935307017543873E-3</v>
      </c>
    </row>
    <row r="26" spans="1:16" x14ac:dyDescent="0.25">
      <c r="A26" s="7">
        <v>42428</v>
      </c>
      <c r="B26" s="3">
        <v>57.05</v>
      </c>
      <c r="C26" s="3">
        <v>76.5</v>
      </c>
      <c r="D26" s="3">
        <v>0.44</v>
      </c>
      <c r="E26" s="3">
        <v>1.61</v>
      </c>
      <c r="F26" s="3">
        <v>57.7</v>
      </c>
      <c r="G26" s="3">
        <v>25.92</v>
      </c>
      <c r="H26" s="3">
        <v>125.7</v>
      </c>
      <c r="I26" s="3">
        <v>0</v>
      </c>
      <c r="J26" s="3">
        <v>2</v>
      </c>
      <c r="K26" s="3">
        <f t="shared" si="1"/>
        <v>3</v>
      </c>
    </row>
    <row r="27" spans="1:16" x14ac:dyDescent="0.25">
      <c r="A27" s="7">
        <v>42435</v>
      </c>
      <c r="B27" s="3">
        <v>57.38</v>
      </c>
      <c r="C27" s="3">
        <v>70.88</v>
      </c>
      <c r="D27" s="3">
        <v>0.44</v>
      </c>
      <c r="E27" s="3">
        <v>1.93</v>
      </c>
      <c r="F27" s="3">
        <v>68</v>
      </c>
      <c r="G27" s="3">
        <v>26.07</v>
      </c>
      <c r="H27" s="3">
        <v>132.5</v>
      </c>
      <c r="I27" s="3">
        <v>0</v>
      </c>
      <c r="J27" s="3">
        <v>2</v>
      </c>
      <c r="K27" s="3">
        <f t="shared" si="1"/>
        <v>2</v>
      </c>
      <c r="M27" t="s">
        <v>35</v>
      </c>
      <c r="N27" s="9">
        <v>0.16</v>
      </c>
    </row>
    <row r="28" spans="1:16" x14ac:dyDescent="0.25">
      <c r="A28" s="7">
        <v>42442</v>
      </c>
      <c r="B28" s="3">
        <v>52.48</v>
      </c>
      <c r="C28" s="3">
        <v>34.880000000000003</v>
      </c>
      <c r="D28" s="3">
        <v>0.5</v>
      </c>
      <c r="E28" s="3">
        <v>1.08</v>
      </c>
      <c r="F28" s="3">
        <v>51.1</v>
      </c>
      <c r="G28" s="3">
        <v>33.42</v>
      </c>
      <c r="H28" s="3">
        <v>131.1</v>
      </c>
      <c r="I28" s="3">
        <v>0</v>
      </c>
      <c r="J28" s="3">
        <v>1</v>
      </c>
      <c r="K28" s="3">
        <f t="shared" si="1"/>
        <v>2</v>
      </c>
      <c r="M28" t="s">
        <v>36</v>
      </c>
      <c r="N28" s="10">
        <f>N13*N27*52</f>
        <v>17.333333333333336</v>
      </c>
    </row>
    <row r="29" spans="1:16" x14ac:dyDescent="0.25">
      <c r="A29" s="7">
        <v>42449</v>
      </c>
      <c r="B29" s="3">
        <v>73.19</v>
      </c>
      <c r="C29" s="3">
        <v>97.38</v>
      </c>
      <c r="D29" s="3">
        <v>0.54</v>
      </c>
      <c r="E29" s="3">
        <v>4.95</v>
      </c>
      <c r="F29" s="3">
        <v>66.8</v>
      </c>
      <c r="G29" s="3">
        <v>33.32</v>
      </c>
      <c r="H29" s="3">
        <v>133.80000000000001</v>
      </c>
      <c r="I29" s="3">
        <v>0</v>
      </c>
      <c r="J29" s="3">
        <v>3</v>
      </c>
      <c r="K29" s="3">
        <f t="shared" si="1"/>
        <v>1</v>
      </c>
    </row>
    <row r="30" spans="1:16" x14ac:dyDescent="0.25">
      <c r="A30" s="7">
        <v>42456</v>
      </c>
      <c r="B30" s="3">
        <v>66.92</v>
      </c>
      <c r="C30" s="3">
        <v>77.62</v>
      </c>
      <c r="D30" s="3">
        <v>0.5</v>
      </c>
      <c r="E30" s="3">
        <v>2.4</v>
      </c>
      <c r="F30" s="3">
        <v>52.7</v>
      </c>
      <c r="G30" s="3">
        <v>37.270000000000003</v>
      </c>
      <c r="H30" s="3">
        <v>127.9</v>
      </c>
      <c r="I30" s="3">
        <v>0</v>
      </c>
      <c r="J30" s="3">
        <v>1</v>
      </c>
      <c r="K30" s="3">
        <f t="shared" si="1"/>
        <v>3</v>
      </c>
      <c r="M30" t="s">
        <v>37</v>
      </c>
      <c r="N30" s="12">
        <v>300</v>
      </c>
    </row>
    <row r="31" spans="1:16" x14ac:dyDescent="0.25">
      <c r="A31" s="7">
        <v>42463</v>
      </c>
      <c r="B31" s="3">
        <v>57.62</v>
      </c>
      <c r="C31" s="3">
        <v>74.81</v>
      </c>
      <c r="D31" s="3">
        <v>0.44</v>
      </c>
      <c r="E31" s="3">
        <v>2.44</v>
      </c>
      <c r="F31" s="3">
        <v>67.3</v>
      </c>
      <c r="G31" s="3">
        <v>26.23</v>
      </c>
      <c r="H31" s="3">
        <v>129.69999999999999</v>
      </c>
      <c r="I31" s="3">
        <v>0</v>
      </c>
      <c r="J31" s="3">
        <v>2</v>
      </c>
      <c r="K31" s="3">
        <f t="shared" si="1"/>
        <v>1</v>
      </c>
      <c r="M31" t="s">
        <v>38</v>
      </c>
      <c r="N31" s="13">
        <f>N30/(SUM(N28,N22)-N25)</f>
        <v>18.060448018057862</v>
      </c>
    </row>
    <row r="32" spans="1:16" x14ac:dyDescent="0.25">
      <c r="K32" s="6"/>
    </row>
    <row r="33" spans="1:11" x14ac:dyDescent="0.25">
      <c r="A33" s="5"/>
      <c r="B33" s="6"/>
      <c r="C33" s="6"/>
      <c r="D33" s="6"/>
      <c r="E33" s="6"/>
      <c r="F33" s="6"/>
      <c r="G33" s="6"/>
      <c r="H33" s="6"/>
      <c r="I33" s="6"/>
      <c r="J33" s="6"/>
      <c r="K33" s="6"/>
    </row>
    <row r="34" spans="1:11" x14ac:dyDescent="0.25">
      <c r="A34" s="5"/>
      <c r="B34" s="6"/>
      <c r="C34" s="6"/>
      <c r="D34" s="6"/>
      <c r="E34" s="6"/>
      <c r="F34" s="6"/>
      <c r="G34" s="6"/>
      <c r="H34" s="6"/>
      <c r="I34" s="6"/>
      <c r="J34" s="6"/>
      <c r="K34" s="6"/>
    </row>
    <row r="35" spans="1:11" x14ac:dyDescent="0.25">
      <c r="A35" s="5"/>
      <c r="B35" s="6"/>
      <c r="C35" s="6"/>
      <c r="D35" s="6"/>
      <c r="E35" s="6"/>
      <c r="F35" s="6"/>
      <c r="G35" s="6"/>
      <c r="H35" s="6"/>
      <c r="I35" s="6"/>
      <c r="J35" s="6"/>
      <c r="K35" s="6"/>
    </row>
    <row r="36" spans="1:11" x14ac:dyDescent="0.25">
      <c r="A36" s="5"/>
      <c r="B36" s="6"/>
      <c r="C36" s="6"/>
      <c r="D36" s="6"/>
      <c r="E36" s="6"/>
      <c r="F36" s="6"/>
      <c r="G36" s="6"/>
      <c r="H36" s="6"/>
      <c r="I36" s="6"/>
      <c r="J36" s="6"/>
      <c r="K36" s="6"/>
    </row>
    <row r="37" spans="1:11" x14ac:dyDescent="0.25">
      <c r="A37" s="5"/>
      <c r="B37" s="6"/>
      <c r="C37" s="6"/>
      <c r="D37" s="6"/>
      <c r="E37" s="6"/>
      <c r="F37" s="6"/>
      <c r="G37" s="6"/>
      <c r="H37" s="6"/>
      <c r="I37" s="6"/>
      <c r="J37" s="6"/>
      <c r="K37" s="6"/>
    </row>
    <row r="38" spans="1:11" x14ac:dyDescent="0.25">
      <c r="A38" s="5"/>
      <c r="B38" s="6"/>
      <c r="C38" s="6"/>
      <c r="D38" s="6"/>
      <c r="E38" s="6"/>
      <c r="F38" s="6"/>
      <c r="G38" s="6"/>
      <c r="H38" s="6"/>
      <c r="I38" s="6"/>
      <c r="J38" s="6"/>
      <c r="K38" s="6"/>
    </row>
    <row r="39" spans="1:11" x14ac:dyDescent="0.25">
      <c r="A39" s="5"/>
      <c r="B39" s="6"/>
      <c r="C39" s="6"/>
      <c r="D39" s="6"/>
      <c r="E39" s="6"/>
      <c r="F39" s="6"/>
      <c r="G39" s="6"/>
      <c r="H39" s="6"/>
      <c r="I39" s="6"/>
      <c r="J39" s="6"/>
      <c r="K39" s="6"/>
    </row>
    <row r="40" spans="1:11" x14ac:dyDescent="0.25">
      <c r="A40" s="5"/>
      <c r="B40" s="6"/>
      <c r="C40" s="6"/>
      <c r="D40" s="6"/>
      <c r="E40" s="6"/>
      <c r="F40" s="6"/>
      <c r="G40" s="6"/>
      <c r="H40" s="6"/>
      <c r="I40" s="6"/>
      <c r="J40" s="6"/>
      <c r="K40" s="6"/>
    </row>
    <row r="41" spans="1:11" x14ac:dyDescent="0.25">
      <c r="A41" s="5"/>
      <c r="B41" s="6"/>
      <c r="C41" s="6"/>
      <c r="D41" s="6"/>
      <c r="E41" s="6"/>
      <c r="F41" s="6"/>
      <c r="G41" s="6"/>
      <c r="H41" s="6"/>
      <c r="I41" s="6"/>
      <c r="J41" s="6"/>
      <c r="K41" s="6"/>
    </row>
    <row r="42" spans="1:11" x14ac:dyDescent="0.25">
      <c r="A42" s="5"/>
      <c r="B42" s="6"/>
      <c r="C42" s="6"/>
      <c r="D42" s="6"/>
      <c r="E42" s="6"/>
      <c r="F42" s="6"/>
      <c r="G42" s="6"/>
      <c r="H42" s="6"/>
      <c r="I42" s="6"/>
      <c r="J42" s="6"/>
      <c r="K42" s="6"/>
    </row>
    <row r="43" spans="1:11" x14ac:dyDescent="0.25">
      <c r="A43" s="5"/>
      <c r="B43" s="6"/>
      <c r="C43" s="6"/>
      <c r="D43" s="6"/>
      <c r="E43" s="6"/>
      <c r="F43" s="6"/>
      <c r="G43" s="6"/>
      <c r="H43" s="6"/>
      <c r="I43" s="6"/>
      <c r="J43" s="6"/>
      <c r="K43" s="6"/>
    </row>
    <row r="44" spans="1:11" x14ac:dyDescent="0.25">
      <c r="A44" s="6"/>
      <c r="B44" s="6"/>
      <c r="C44" s="6"/>
      <c r="D44" s="6"/>
      <c r="E44" s="6"/>
      <c r="F44" s="6"/>
      <c r="G44" s="6"/>
      <c r="H44" s="6"/>
      <c r="I44" s="6"/>
      <c r="J44" s="6"/>
      <c r="K44" s="6"/>
    </row>
    <row r="45" spans="1:11" x14ac:dyDescent="0.25">
      <c r="A45" s="5"/>
      <c r="B45" s="6"/>
      <c r="C45" s="6"/>
      <c r="D45" s="6"/>
      <c r="E45" s="6"/>
      <c r="F45" s="6"/>
      <c r="G45" s="6"/>
      <c r="H45" s="6"/>
      <c r="I45" s="6"/>
      <c r="J45" s="6"/>
      <c r="K45" s="6"/>
    </row>
    <row r="46" spans="1:11" x14ac:dyDescent="0.25">
      <c r="A46" s="5"/>
      <c r="B46" s="6"/>
      <c r="C46" s="6"/>
      <c r="D46" s="6"/>
      <c r="E46" s="6"/>
      <c r="F46" s="6"/>
      <c r="G46" s="6"/>
      <c r="H46" s="6"/>
      <c r="I46" s="6"/>
      <c r="J46" s="6"/>
      <c r="K46" s="6"/>
    </row>
    <row r="47" spans="1:11" x14ac:dyDescent="0.25">
      <c r="A47" s="5"/>
      <c r="B47" s="6"/>
      <c r="C47" s="6"/>
      <c r="D47" s="6"/>
      <c r="E47" s="6"/>
      <c r="F47" s="6"/>
      <c r="G47" s="6"/>
      <c r="H47" s="6"/>
      <c r="I47" s="6"/>
      <c r="J47" s="6"/>
      <c r="K47" s="6"/>
    </row>
    <row r="48" spans="1:11" x14ac:dyDescent="0.25">
      <c r="A48" s="5"/>
      <c r="B48" s="6"/>
      <c r="C48" s="6"/>
      <c r="D48" s="6"/>
      <c r="E48" s="6"/>
      <c r="F48" s="6"/>
      <c r="G48" s="6"/>
      <c r="H48" s="6"/>
      <c r="I48" s="6"/>
      <c r="J48" s="6"/>
      <c r="K48" s="6"/>
    </row>
    <row r="53" spans="2:14" x14ac:dyDescent="0.25">
      <c r="B53" s="6"/>
      <c r="C53" s="6"/>
      <c r="D53" s="6"/>
      <c r="E53" s="6"/>
      <c r="F53" s="6"/>
      <c r="G53" s="6"/>
      <c r="H53" s="6"/>
      <c r="I53" s="6"/>
      <c r="J53" s="6"/>
      <c r="K53" s="6"/>
      <c r="L53" s="6"/>
      <c r="M53" s="6"/>
      <c r="N53" s="6"/>
    </row>
    <row r="54" spans="2:14" x14ac:dyDescent="0.25">
      <c r="B54" s="6"/>
      <c r="C54" s="6"/>
      <c r="D54" s="6"/>
      <c r="E54" s="6"/>
      <c r="F54" s="6"/>
      <c r="G54" s="6"/>
      <c r="H54" s="6"/>
      <c r="I54" s="6"/>
      <c r="J54" s="6"/>
      <c r="K54" s="6"/>
      <c r="L54" s="6"/>
      <c r="M54" s="6"/>
      <c r="N54" s="6"/>
    </row>
    <row r="55" spans="2:14" x14ac:dyDescent="0.25">
      <c r="B55" s="6"/>
      <c r="C55" s="6"/>
      <c r="D55" s="6"/>
      <c r="E55" s="6"/>
      <c r="F55" s="6"/>
      <c r="G55" s="6"/>
      <c r="H55" s="6"/>
      <c r="I55" s="6"/>
      <c r="J55" s="6"/>
      <c r="K55" s="6"/>
      <c r="L55" s="6"/>
      <c r="M55" s="6"/>
      <c r="N55" s="6"/>
    </row>
    <row r="56" spans="2:14" x14ac:dyDescent="0.25">
      <c r="B56" s="6"/>
      <c r="C56" s="6"/>
      <c r="D56" s="6"/>
      <c r="E56" s="6"/>
      <c r="F56" s="6"/>
      <c r="G56" s="6"/>
      <c r="H56" s="6"/>
      <c r="I56" s="6"/>
      <c r="J56" s="6"/>
      <c r="K56" s="6"/>
      <c r="L56" s="6"/>
      <c r="M56" s="6"/>
      <c r="N56" s="6"/>
    </row>
    <row r="57" spans="2:14" x14ac:dyDescent="0.25">
      <c r="B57" s="6"/>
      <c r="C57" s="6"/>
      <c r="D57" s="6"/>
      <c r="E57" s="6"/>
      <c r="F57" s="6"/>
      <c r="G57" s="6"/>
      <c r="H57" s="6"/>
      <c r="I57" s="6"/>
      <c r="J57" s="6"/>
      <c r="K57" s="6"/>
      <c r="L57" s="6"/>
      <c r="M57" s="6"/>
      <c r="N57" s="6"/>
    </row>
    <row r="58" spans="2:14" x14ac:dyDescent="0.25">
      <c r="B58" s="6"/>
      <c r="C58" s="6"/>
      <c r="D58" s="6"/>
      <c r="E58" s="6"/>
      <c r="F58" s="6"/>
      <c r="G58" s="6"/>
      <c r="H58" s="6"/>
      <c r="I58" s="6"/>
      <c r="J58" s="6"/>
      <c r="K58" s="6"/>
      <c r="L58" s="6"/>
      <c r="M58" s="6"/>
      <c r="N58" s="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sheetPr>
  <dimension ref="A1:P58"/>
  <sheetViews>
    <sheetView workbookViewId="0">
      <selection activeCell="O6" sqref="O6"/>
    </sheetView>
  </sheetViews>
  <sheetFormatPr defaultRowHeight="15" x14ac:dyDescent="0.25"/>
  <cols>
    <col min="1" max="1" width="11.7109375" customWidth="1"/>
    <col min="13" max="13" width="40.85546875" customWidth="1"/>
  </cols>
  <sheetData>
    <row r="1" spans="1:16" x14ac:dyDescent="0.25">
      <c r="A1" t="s">
        <v>55</v>
      </c>
    </row>
    <row r="2" spans="1:16" x14ac:dyDescent="0.25">
      <c r="A2" t="s">
        <v>67</v>
      </c>
      <c r="B2" t="s">
        <v>68</v>
      </c>
      <c r="C2" t="s">
        <v>69</v>
      </c>
      <c r="D2" t="s">
        <v>70</v>
      </c>
      <c r="E2" t="s">
        <v>66</v>
      </c>
      <c r="F2" s="19" t="s">
        <v>71</v>
      </c>
      <c r="H2" s="19"/>
      <c r="I2" s="6" t="s">
        <v>72</v>
      </c>
    </row>
    <row r="3" spans="1:16" x14ac:dyDescent="0.25">
      <c r="A3" t="s">
        <v>75</v>
      </c>
      <c r="B3" s="24" t="s">
        <v>89</v>
      </c>
      <c r="C3" s="24" t="s">
        <v>86</v>
      </c>
      <c r="D3" s="24" t="s">
        <v>90</v>
      </c>
      <c r="E3" s="6">
        <v>4</v>
      </c>
      <c r="F3" s="6" t="s">
        <v>91</v>
      </c>
    </row>
    <row r="4" spans="1:16" x14ac:dyDescent="0.25">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AVERAGE(G8:G13)</f>
        <v>8.5566666666666666</v>
      </c>
      <c r="O6" s="8">
        <f xml:space="preserve"> AVERAGE(G15:G30)</f>
        <v>0.22125</v>
      </c>
      <c r="P6" s="8"/>
    </row>
    <row r="7" spans="1:16" x14ac:dyDescent="0.25">
      <c r="A7" s="1"/>
      <c r="M7" t="s">
        <v>48</v>
      </c>
      <c r="N7" s="8">
        <f>AVERAGE(E8:E13)</f>
        <v>29.13</v>
      </c>
      <c r="O7" s="8">
        <f>AVERAGE(E15:E30)</f>
        <v>38.750624999999999</v>
      </c>
      <c r="P7" s="8"/>
    </row>
    <row r="8" spans="1:16" x14ac:dyDescent="0.25">
      <c r="A8" s="4">
        <v>42274</v>
      </c>
      <c r="B8" s="2">
        <v>34.11</v>
      </c>
      <c r="C8" s="2">
        <v>148.12</v>
      </c>
      <c r="D8" s="2">
        <v>0.23</v>
      </c>
      <c r="E8" s="2">
        <v>28.15</v>
      </c>
      <c r="F8" s="2">
        <v>63.2</v>
      </c>
      <c r="G8" s="2">
        <v>10.67</v>
      </c>
      <c r="H8" s="2">
        <v>120</v>
      </c>
      <c r="I8" s="2">
        <v>1</v>
      </c>
      <c r="J8" s="2">
        <v>7</v>
      </c>
      <c r="K8" s="2">
        <f>SUM(I8:J8)</f>
        <v>8</v>
      </c>
      <c r="M8" t="s">
        <v>47</v>
      </c>
      <c r="N8" s="8">
        <v>0</v>
      </c>
      <c r="O8" s="8">
        <f>AVERAGE(D15:D30)</f>
        <v>6.3556249999999999</v>
      </c>
      <c r="P8" s="8"/>
    </row>
    <row r="9" spans="1:16" x14ac:dyDescent="0.25">
      <c r="A9" s="4">
        <v>42281</v>
      </c>
      <c r="B9" s="2">
        <v>36.369999999999997</v>
      </c>
      <c r="C9" s="2">
        <v>159.09</v>
      </c>
      <c r="D9" s="2">
        <v>0.28000000000000003</v>
      </c>
      <c r="E9" s="2">
        <v>32.57</v>
      </c>
      <c r="F9" s="2">
        <v>63.2</v>
      </c>
      <c r="G9" s="2">
        <v>4.38</v>
      </c>
      <c r="H9" s="2">
        <v>120</v>
      </c>
      <c r="I9" s="2">
        <v>3</v>
      </c>
      <c r="J9" s="2">
        <v>1</v>
      </c>
      <c r="K9" s="2">
        <f t="shared" ref="K9:K14" si="0">SUM(I9:J9)</f>
        <v>4</v>
      </c>
      <c r="M9" t="s">
        <v>46</v>
      </c>
      <c r="N9" s="8">
        <f>AVERAGE(I8:I13)</f>
        <v>2.1666666666666665</v>
      </c>
      <c r="O9" s="8">
        <f>AVERAGE(I15:I30)</f>
        <v>6.3125</v>
      </c>
      <c r="P9" s="8"/>
    </row>
    <row r="10" spans="1:16" x14ac:dyDescent="0.25">
      <c r="A10" s="4">
        <v>42288</v>
      </c>
      <c r="B10" s="2">
        <v>33.78</v>
      </c>
      <c r="C10" s="2">
        <v>150.07</v>
      </c>
      <c r="D10" s="2">
        <v>0.25</v>
      </c>
      <c r="E10" s="2">
        <v>28.16</v>
      </c>
      <c r="F10" s="2">
        <v>61.9</v>
      </c>
      <c r="G10" s="2">
        <v>6.33</v>
      </c>
      <c r="H10" s="2">
        <v>120</v>
      </c>
      <c r="I10" s="2">
        <v>3</v>
      </c>
      <c r="J10" s="2">
        <v>2</v>
      </c>
      <c r="K10" s="2">
        <f t="shared" si="0"/>
        <v>5</v>
      </c>
      <c r="M10" t="s">
        <v>45</v>
      </c>
      <c r="N10" s="8">
        <f>AVERAGE(J8:J13)</f>
        <v>3.6666666666666665</v>
      </c>
      <c r="O10" s="8">
        <f>AVERAGE(J15:J30)</f>
        <v>0</v>
      </c>
      <c r="P10" s="8"/>
    </row>
    <row r="11" spans="1:16" x14ac:dyDescent="0.25">
      <c r="A11" s="4">
        <v>42295</v>
      </c>
      <c r="B11" s="2">
        <v>36.479999999999997</v>
      </c>
      <c r="C11" s="2">
        <v>156.62</v>
      </c>
      <c r="D11" s="2">
        <v>0.25</v>
      </c>
      <c r="E11" s="2">
        <v>31.13</v>
      </c>
      <c r="F11" s="2">
        <v>61.3</v>
      </c>
      <c r="G11" s="2">
        <v>7.31</v>
      </c>
      <c r="H11" s="2">
        <v>120</v>
      </c>
      <c r="I11" s="2">
        <v>3</v>
      </c>
      <c r="J11" s="2">
        <v>3</v>
      </c>
      <c r="K11" s="2">
        <f t="shared" si="0"/>
        <v>6</v>
      </c>
      <c r="M11" t="s">
        <v>44</v>
      </c>
      <c r="N11" s="8">
        <f>SUM(N9:N10)</f>
        <v>5.833333333333333</v>
      </c>
      <c r="O11" s="8">
        <f>SUM(O9:O10)</f>
        <v>6.3125</v>
      </c>
      <c r="P11" s="8"/>
    </row>
    <row r="12" spans="1:16" x14ac:dyDescent="0.25">
      <c r="A12" s="4">
        <v>42302</v>
      </c>
      <c r="B12" s="2">
        <v>35.229999999999997</v>
      </c>
      <c r="C12" s="2">
        <v>153.13999999999999</v>
      </c>
      <c r="D12" s="2">
        <v>0.25</v>
      </c>
      <c r="E12" s="2">
        <v>26.12</v>
      </c>
      <c r="F12" s="2">
        <v>60</v>
      </c>
      <c r="G12" s="2">
        <v>13.05</v>
      </c>
      <c r="H12" s="2">
        <v>120</v>
      </c>
      <c r="I12" s="2">
        <v>1</v>
      </c>
      <c r="J12" s="2">
        <v>7</v>
      </c>
      <c r="K12" s="2">
        <f t="shared" si="0"/>
        <v>8</v>
      </c>
      <c r="M12" t="s">
        <v>42</v>
      </c>
      <c r="N12" s="14">
        <f>N10/N11</f>
        <v>0.62857142857142856</v>
      </c>
      <c r="O12" s="14">
        <f>O10/O11</f>
        <v>0</v>
      </c>
      <c r="P12" s="8"/>
    </row>
    <row r="13" spans="1:16" x14ac:dyDescent="0.25">
      <c r="A13" s="4">
        <v>42309</v>
      </c>
      <c r="B13" s="2">
        <v>36.229999999999997</v>
      </c>
      <c r="C13" s="2">
        <v>160.88</v>
      </c>
      <c r="D13" s="2">
        <v>0.28000000000000003</v>
      </c>
      <c r="E13" s="2">
        <v>28.65</v>
      </c>
      <c r="F13" s="2">
        <v>59</v>
      </c>
      <c r="G13" s="2">
        <v>9.6</v>
      </c>
      <c r="H13" s="2">
        <v>120</v>
      </c>
      <c r="I13" s="2">
        <v>2</v>
      </c>
      <c r="J13" s="2">
        <v>2</v>
      </c>
      <c r="K13" s="2">
        <f t="shared" si="0"/>
        <v>4</v>
      </c>
      <c r="M13" t="s">
        <v>43</v>
      </c>
      <c r="N13" s="8">
        <f>AVERAGE(K8:K30)</f>
        <v>6.1304347826086953</v>
      </c>
      <c r="O13" s="8">
        <f>AVERAGE(K8:K30)</f>
        <v>6.1304347826086953</v>
      </c>
      <c r="P13" s="8"/>
    </row>
    <row r="14" spans="1:16" x14ac:dyDescent="0.25">
      <c r="A14" s="1">
        <v>42316</v>
      </c>
      <c r="B14">
        <v>37.49</v>
      </c>
      <c r="C14">
        <v>157.88</v>
      </c>
      <c r="D14">
        <v>4.97</v>
      </c>
      <c r="E14">
        <v>38.17</v>
      </c>
      <c r="F14">
        <v>57.5</v>
      </c>
      <c r="G14">
        <v>0.19</v>
      </c>
      <c r="H14" s="6">
        <v>120</v>
      </c>
      <c r="I14">
        <v>5</v>
      </c>
      <c r="J14">
        <v>0</v>
      </c>
      <c r="K14" s="6">
        <f t="shared" si="0"/>
        <v>5</v>
      </c>
      <c r="N14" s="8"/>
      <c r="O14" s="8"/>
      <c r="P14" s="8"/>
    </row>
    <row r="15" spans="1:16" x14ac:dyDescent="0.25">
      <c r="A15" s="7">
        <v>42323</v>
      </c>
      <c r="B15" s="3">
        <v>37.71</v>
      </c>
      <c r="C15" s="3">
        <v>162.38</v>
      </c>
      <c r="D15" s="3">
        <v>6.2</v>
      </c>
      <c r="E15" s="3">
        <v>38.21</v>
      </c>
      <c r="F15" s="3">
        <v>56.6</v>
      </c>
      <c r="G15" s="3">
        <v>0.13</v>
      </c>
      <c r="H15" s="3">
        <v>120</v>
      </c>
      <c r="I15" s="3">
        <v>5</v>
      </c>
      <c r="J15" s="3">
        <v>0</v>
      </c>
      <c r="K15" s="3">
        <f>SUM(I15:J15)</f>
        <v>5</v>
      </c>
      <c r="O15" s="8"/>
      <c r="P15" s="8"/>
    </row>
    <row r="16" spans="1:16" x14ac:dyDescent="0.25">
      <c r="A16" s="7">
        <v>42330</v>
      </c>
      <c r="B16" s="3">
        <v>31.21</v>
      </c>
      <c r="C16" s="3">
        <v>134.83000000000001</v>
      </c>
      <c r="D16" s="3">
        <v>5.26</v>
      </c>
      <c r="E16" s="3">
        <v>30.58</v>
      </c>
      <c r="F16" s="3">
        <v>54.7</v>
      </c>
      <c r="G16" s="3">
        <v>0.17</v>
      </c>
      <c r="H16" s="3">
        <v>120</v>
      </c>
      <c r="I16" s="3">
        <v>9</v>
      </c>
      <c r="J16" s="3">
        <v>0</v>
      </c>
      <c r="K16" s="3">
        <f t="shared" ref="K16:K30" si="1">SUM(I16:J16)</f>
        <v>9</v>
      </c>
      <c r="M16" t="s">
        <v>20</v>
      </c>
      <c r="N16" s="9">
        <v>0.77</v>
      </c>
      <c r="O16" s="8"/>
      <c r="P16" s="8"/>
    </row>
    <row r="17" spans="1:16" x14ac:dyDescent="0.25">
      <c r="A17" s="7">
        <v>42337</v>
      </c>
      <c r="B17" s="3">
        <v>48.56</v>
      </c>
      <c r="C17" s="3">
        <v>209.25</v>
      </c>
      <c r="D17" s="3">
        <v>8.17</v>
      </c>
      <c r="E17" s="3">
        <v>49.31</v>
      </c>
      <c r="F17" s="3">
        <v>53.3</v>
      </c>
      <c r="G17" s="3">
        <v>0.26</v>
      </c>
      <c r="H17" s="3">
        <v>120</v>
      </c>
      <c r="I17" s="3">
        <v>3</v>
      </c>
      <c r="J17" s="3">
        <v>0</v>
      </c>
      <c r="K17" s="3">
        <f t="shared" si="1"/>
        <v>3</v>
      </c>
      <c r="M17" t="s">
        <v>21</v>
      </c>
      <c r="N17" s="9">
        <v>0.125</v>
      </c>
      <c r="O17" s="8"/>
      <c r="P17" s="8"/>
    </row>
    <row r="18" spans="1:16" x14ac:dyDescent="0.25">
      <c r="A18" s="7">
        <v>42344</v>
      </c>
      <c r="B18" s="3">
        <v>43.15</v>
      </c>
      <c r="C18" s="3">
        <v>191.46</v>
      </c>
      <c r="D18" s="3">
        <v>7.02</v>
      </c>
      <c r="E18" s="3">
        <v>41.69</v>
      </c>
      <c r="F18" s="3">
        <v>51.1</v>
      </c>
      <c r="G18" s="3">
        <v>0.26</v>
      </c>
      <c r="H18" s="3">
        <v>120</v>
      </c>
      <c r="I18" s="3">
        <v>7</v>
      </c>
      <c r="J18" s="3">
        <v>0</v>
      </c>
      <c r="K18" s="3">
        <f t="shared" si="1"/>
        <v>7</v>
      </c>
      <c r="M18" t="s">
        <v>16</v>
      </c>
      <c r="N18" s="8">
        <f>AVERAGE(H8:H13)</f>
        <v>120</v>
      </c>
      <c r="O18" s="8"/>
      <c r="P18" s="8"/>
    </row>
    <row r="19" spans="1:16" x14ac:dyDescent="0.25">
      <c r="A19" s="7">
        <v>42351</v>
      </c>
      <c r="B19" s="3">
        <v>32.69</v>
      </c>
      <c r="C19" s="3">
        <v>141.27000000000001</v>
      </c>
      <c r="D19" s="3">
        <v>5.35</v>
      </c>
      <c r="E19" s="3">
        <v>32.69</v>
      </c>
      <c r="F19" s="3">
        <v>50.6</v>
      </c>
      <c r="G19" s="3">
        <v>0.15</v>
      </c>
      <c r="H19" s="3">
        <v>120</v>
      </c>
      <c r="I19" s="3">
        <v>11</v>
      </c>
      <c r="J19" s="3">
        <v>0</v>
      </c>
      <c r="K19" s="3">
        <f t="shared" si="1"/>
        <v>11</v>
      </c>
      <c r="M19" t="s">
        <v>17</v>
      </c>
      <c r="N19" s="8">
        <v>54</v>
      </c>
      <c r="O19" s="8"/>
      <c r="P19" s="8"/>
    </row>
    <row r="20" spans="1:16" x14ac:dyDescent="0.25">
      <c r="A20" s="7">
        <v>42358</v>
      </c>
      <c r="B20" s="3">
        <v>36.89</v>
      </c>
      <c r="C20" s="3">
        <v>156.05000000000001</v>
      </c>
      <c r="D20" s="3">
        <v>6.29</v>
      </c>
      <c r="E20" s="3">
        <v>38.270000000000003</v>
      </c>
      <c r="F20" s="3">
        <v>50.2</v>
      </c>
      <c r="G20" s="3">
        <v>7.0000000000000007E-2</v>
      </c>
      <c r="H20" s="3">
        <v>120</v>
      </c>
      <c r="I20" s="3">
        <v>7</v>
      </c>
      <c r="J20" s="3">
        <v>0</v>
      </c>
      <c r="K20" s="3">
        <f t="shared" si="1"/>
        <v>7</v>
      </c>
      <c r="M20" t="s">
        <v>19</v>
      </c>
      <c r="N20" s="8">
        <f>($N6*8.33*(N13*N12)*(N18-N19)/0.58*52/100000)-$O6*8.33*(O13*O12)*(N18-N19)/0.58*52/100000</f>
        <v>16.25229939166417</v>
      </c>
      <c r="O20" s="8"/>
      <c r="P20" s="8"/>
    </row>
    <row r="21" spans="1:16" x14ac:dyDescent="0.25">
      <c r="A21" s="7">
        <v>42365</v>
      </c>
      <c r="B21" s="3">
        <v>36.82</v>
      </c>
      <c r="C21" s="3">
        <v>158.06</v>
      </c>
      <c r="D21" s="3">
        <v>6.21</v>
      </c>
      <c r="E21" s="3">
        <v>38.32</v>
      </c>
      <c r="F21" s="3">
        <v>49.6</v>
      </c>
      <c r="G21" s="3">
        <v>0.22</v>
      </c>
      <c r="H21" s="3">
        <v>120</v>
      </c>
      <c r="I21" s="3">
        <v>10</v>
      </c>
      <c r="J21" s="3">
        <v>0</v>
      </c>
      <c r="K21" s="3">
        <f t="shared" si="1"/>
        <v>10</v>
      </c>
      <c r="M21" t="s">
        <v>18</v>
      </c>
      <c r="N21" s="8">
        <f>$N6*8.33*(N13*N12)*(N18-N19)/0.58*52/100000</f>
        <v>16.25229939166417</v>
      </c>
      <c r="O21" s="8"/>
    </row>
    <row r="22" spans="1:16" x14ac:dyDescent="0.25">
      <c r="A22" s="7">
        <v>42372</v>
      </c>
      <c r="B22" s="3">
        <v>36.75</v>
      </c>
      <c r="C22" s="3">
        <v>160.88</v>
      </c>
      <c r="D22" s="3">
        <v>6.15</v>
      </c>
      <c r="E22" s="3">
        <v>38.090000000000003</v>
      </c>
      <c r="F22" s="3">
        <v>46.9</v>
      </c>
      <c r="G22" s="3">
        <v>0.19</v>
      </c>
      <c r="H22" s="3">
        <v>120</v>
      </c>
      <c r="I22" s="3">
        <v>5</v>
      </c>
      <c r="J22" s="3">
        <v>0</v>
      </c>
      <c r="K22" s="3">
        <f t="shared" si="1"/>
        <v>5</v>
      </c>
      <c r="M22" t="s">
        <v>22</v>
      </c>
      <c r="N22" s="10">
        <f>N20*N16</f>
        <v>12.514270531581412</v>
      </c>
    </row>
    <row r="23" spans="1:16" x14ac:dyDescent="0.25">
      <c r="A23" s="7">
        <v>42379</v>
      </c>
      <c r="B23" s="3">
        <v>38.590000000000003</v>
      </c>
      <c r="C23" s="3">
        <v>179</v>
      </c>
      <c r="D23" s="3">
        <v>6.21</v>
      </c>
      <c r="E23" s="3">
        <v>37.770000000000003</v>
      </c>
      <c r="F23" s="3">
        <v>45.4</v>
      </c>
      <c r="G23" s="3">
        <v>0.32</v>
      </c>
      <c r="H23" s="3">
        <v>120</v>
      </c>
      <c r="I23" s="3">
        <v>3</v>
      </c>
      <c r="J23" s="3">
        <v>0</v>
      </c>
      <c r="K23" s="3">
        <f t="shared" si="1"/>
        <v>3</v>
      </c>
      <c r="M23" t="s">
        <v>23</v>
      </c>
      <c r="N23" s="10">
        <f>N21*N16</f>
        <v>12.514270531581412</v>
      </c>
    </row>
    <row r="24" spans="1:16" x14ac:dyDescent="0.25">
      <c r="A24" s="7">
        <v>42386</v>
      </c>
      <c r="B24" s="3">
        <v>37.67</v>
      </c>
      <c r="C24" s="3">
        <v>163.34</v>
      </c>
      <c r="D24" s="3">
        <v>6.21</v>
      </c>
      <c r="E24" s="3">
        <v>38.35</v>
      </c>
      <c r="F24" s="3">
        <v>43.5</v>
      </c>
      <c r="G24" s="3">
        <v>0.2</v>
      </c>
      <c r="H24" s="3">
        <v>120</v>
      </c>
      <c r="I24" s="3">
        <v>7</v>
      </c>
      <c r="J24" s="3">
        <v>0</v>
      </c>
      <c r="K24" s="3">
        <f t="shared" si="1"/>
        <v>7</v>
      </c>
      <c r="M24" t="s">
        <v>24</v>
      </c>
      <c r="N24" s="11">
        <f>O8*N13*52/1000</f>
        <v>2.0260627173913046</v>
      </c>
    </row>
    <row r="25" spans="1:16" x14ac:dyDescent="0.25">
      <c r="A25" s="7">
        <v>42393</v>
      </c>
      <c r="B25" s="3">
        <v>36.57</v>
      </c>
      <c r="C25" s="3">
        <v>159.75</v>
      </c>
      <c r="D25" s="3">
        <v>5.97</v>
      </c>
      <c r="E25" s="3">
        <v>35</v>
      </c>
      <c r="F25" s="3">
        <v>42.4</v>
      </c>
      <c r="G25" s="3">
        <v>0.27</v>
      </c>
      <c r="H25" s="3">
        <v>120</v>
      </c>
      <c r="I25" s="3">
        <v>5</v>
      </c>
      <c r="J25" s="3">
        <v>0</v>
      </c>
      <c r="K25" s="3">
        <f t="shared" si="1"/>
        <v>5</v>
      </c>
      <c r="M25" t="s">
        <v>25</v>
      </c>
      <c r="N25" s="12">
        <f>N17*N24</f>
        <v>0.25325783967391308</v>
      </c>
    </row>
    <row r="26" spans="1:16" x14ac:dyDescent="0.25">
      <c r="A26" s="7">
        <v>42400</v>
      </c>
      <c r="B26" s="3">
        <v>37.04</v>
      </c>
      <c r="C26" s="3">
        <v>156.62</v>
      </c>
      <c r="D26" s="3">
        <v>6.29</v>
      </c>
      <c r="E26" s="3">
        <v>39.049999999999997</v>
      </c>
      <c r="F26" s="3">
        <v>42.1</v>
      </c>
      <c r="G26" s="3">
        <v>0.25</v>
      </c>
      <c r="H26" s="3">
        <v>120</v>
      </c>
      <c r="I26" s="3">
        <v>3</v>
      </c>
      <c r="J26" s="3">
        <v>0</v>
      </c>
      <c r="K26" s="3">
        <f t="shared" si="1"/>
        <v>3</v>
      </c>
    </row>
    <row r="27" spans="1:16" x14ac:dyDescent="0.25">
      <c r="A27" s="7">
        <v>42407</v>
      </c>
      <c r="B27" s="3">
        <v>42.43</v>
      </c>
      <c r="C27" s="3">
        <v>186.14</v>
      </c>
      <c r="D27" s="3">
        <v>6.86</v>
      </c>
      <c r="E27" s="3">
        <v>42.77</v>
      </c>
      <c r="F27" s="3">
        <v>40.9</v>
      </c>
      <c r="G27" s="3">
        <v>0.32</v>
      </c>
      <c r="H27" s="3">
        <v>120</v>
      </c>
      <c r="I27" s="3">
        <v>8</v>
      </c>
      <c r="J27" s="3">
        <v>0</v>
      </c>
      <c r="K27" s="3">
        <f t="shared" si="1"/>
        <v>8</v>
      </c>
      <c r="M27" t="s">
        <v>35</v>
      </c>
      <c r="N27" s="9">
        <v>0.16</v>
      </c>
    </row>
    <row r="28" spans="1:16" x14ac:dyDescent="0.25">
      <c r="A28" s="7">
        <v>42414</v>
      </c>
      <c r="B28" s="3">
        <v>43.12</v>
      </c>
      <c r="C28" s="3">
        <v>190.66</v>
      </c>
      <c r="D28" s="3">
        <v>7.16</v>
      </c>
      <c r="E28" s="3">
        <v>43.83</v>
      </c>
      <c r="F28" s="3">
        <v>40.5</v>
      </c>
      <c r="G28" s="3">
        <v>0.24</v>
      </c>
      <c r="H28" s="3">
        <v>120</v>
      </c>
      <c r="I28" s="3">
        <v>7</v>
      </c>
      <c r="J28" s="3">
        <v>0</v>
      </c>
      <c r="K28" s="3">
        <f t="shared" si="1"/>
        <v>7</v>
      </c>
      <c r="M28" t="s">
        <v>36</v>
      </c>
      <c r="N28" s="10">
        <f>N13*N27*52</f>
        <v>51.005217391304349</v>
      </c>
    </row>
    <row r="29" spans="1:16" x14ac:dyDescent="0.25">
      <c r="A29" s="7">
        <v>42421</v>
      </c>
      <c r="B29" s="3">
        <v>36.99</v>
      </c>
      <c r="C29" s="3">
        <v>161.75</v>
      </c>
      <c r="D29" s="3">
        <v>6.21</v>
      </c>
      <c r="E29" s="3">
        <v>38.200000000000003</v>
      </c>
      <c r="F29" s="3">
        <v>40.5</v>
      </c>
      <c r="G29" s="3">
        <v>0.25</v>
      </c>
      <c r="H29" s="3">
        <v>120</v>
      </c>
      <c r="I29" s="3">
        <v>6</v>
      </c>
      <c r="J29" s="3">
        <v>0</v>
      </c>
      <c r="K29" s="3">
        <f t="shared" si="1"/>
        <v>6</v>
      </c>
    </row>
    <row r="30" spans="1:16" x14ac:dyDescent="0.25">
      <c r="A30" s="7">
        <v>42428</v>
      </c>
      <c r="B30" s="3">
        <v>38.83</v>
      </c>
      <c r="C30" s="3">
        <v>175.12</v>
      </c>
      <c r="D30" s="3">
        <v>6.13</v>
      </c>
      <c r="E30" s="3">
        <v>37.880000000000003</v>
      </c>
      <c r="F30" s="3">
        <v>40.6</v>
      </c>
      <c r="G30" s="3">
        <v>0.24</v>
      </c>
      <c r="H30" s="3">
        <v>120</v>
      </c>
      <c r="I30" s="3">
        <v>5</v>
      </c>
      <c r="J30" s="3">
        <v>0</v>
      </c>
      <c r="K30" s="3">
        <f t="shared" si="1"/>
        <v>5</v>
      </c>
      <c r="M30" t="s">
        <v>37</v>
      </c>
      <c r="N30" s="12">
        <v>300</v>
      </c>
    </row>
    <row r="31" spans="1:16" x14ac:dyDescent="0.25">
      <c r="A31" s="1">
        <v>42435</v>
      </c>
      <c r="B31">
        <v>37.21</v>
      </c>
      <c r="C31">
        <v>159.88</v>
      </c>
      <c r="D31">
        <v>6.12</v>
      </c>
      <c r="E31">
        <v>37.99</v>
      </c>
      <c r="F31">
        <v>42.1</v>
      </c>
      <c r="G31">
        <v>0.19</v>
      </c>
      <c r="H31" s="6">
        <v>120</v>
      </c>
      <c r="I31">
        <v>6</v>
      </c>
      <c r="J31">
        <v>0</v>
      </c>
      <c r="K31" s="6"/>
      <c r="M31" t="s">
        <v>38</v>
      </c>
      <c r="N31" s="13">
        <f>N30/(SUM(N28,N22)-N25)</f>
        <v>4.74186623109075</v>
      </c>
    </row>
    <row r="32" spans="1:16" x14ac:dyDescent="0.25">
      <c r="A32" s="1">
        <v>42442</v>
      </c>
      <c r="B32">
        <v>36.479999999999997</v>
      </c>
      <c r="C32">
        <v>161.41</v>
      </c>
      <c r="D32">
        <v>6.13</v>
      </c>
      <c r="E32">
        <v>37.51</v>
      </c>
      <c r="F32">
        <v>43.4</v>
      </c>
      <c r="G32">
        <v>0.2</v>
      </c>
      <c r="H32" s="6">
        <v>120</v>
      </c>
      <c r="I32">
        <v>7</v>
      </c>
      <c r="J32">
        <v>0</v>
      </c>
      <c r="K32" s="6"/>
    </row>
    <row r="33" spans="1:11" x14ac:dyDescent="0.25">
      <c r="A33" s="1">
        <v>42449</v>
      </c>
      <c r="B33">
        <v>35.340000000000003</v>
      </c>
      <c r="C33">
        <v>162.94</v>
      </c>
      <c r="D33">
        <v>5.84</v>
      </c>
      <c r="E33">
        <v>34.090000000000003</v>
      </c>
      <c r="F33">
        <v>43.7</v>
      </c>
      <c r="G33">
        <v>0.27</v>
      </c>
      <c r="H33" s="6">
        <v>120</v>
      </c>
      <c r="I33">
        <v>4</v>
      </c>
      <c r="J33">
        <v>0</v>
      </c>
      <c r="K33" s="6"/>
    </row>
    <row r="34" spans="1:11" x14ac:dyDescent="0.25">
      <c r="A34" s="1">
        <v>42456</v>
      </c>
      <c r="B34">
        <v>37.01</v>
      </c>
      <c r="C34">
        <v>163.66</v>
      </c>
      <c r="D34">
        <v>6.02</v>
      </c>
      <c r="E34">
        <v>37.25</v>
      </c>
      <c r="F34">
        <v>45.1</v>
      </c>
      <c r="G34">
        <v>0.25</v>
      </c>
      <c r="H34" s="6">
        <v>120</v>
      </c>
      <c r="I34">
        <v>7</v>
      </c>
      <c r="J34">
        <v>0</v>
      </c>
      <c r="K34" s="6"/>
    </row>
    <row r="35" spans="1:11" x14ac:dyDescent="0.25">
      <c r="A35" s="1">
        <v>42463</v>
      </c>
      <c r="B35">
        <v>37.32</v>
      </c>
      <c r="C35">
        <v>161.94</v>
      </c>
      <c r="D35">
        <v>6.08</v>
      </c>
      <c r="E35">
        <v>37.31</v>
      </c>
      <c r="F35">
        <v>46.1</v>
      </c>
      <c r="G35">
        <v>0.28999999999999998</v>
      </c>
      <c r="H35" s="6">
        <v>120</v>
      </c>
      <c r="I35">
        <v>6</v>
      </c>
      <c r="J35">
        <v>0</v>
      </c>
      <c r="K35" s="6"/>
    </row>
    <row r="36" spans="1:11" x14ac:dyDescent="0.25">
      <c r="A36" s="1">
        <v>42470</v>
      </c>
      <c r="B36">
        <v>36.97</v>
      </c>
      <c r="C36">
        <v>162.5</v>
      </c>
      <c r="D36">
        <v>6.12</v>
      </c>
      <c r="E36">
        <v>38</v>
      </c>
      <c r="F36">
        <v>45.8</v>
      </c>
      <c r="G36">
        <v>0.28000000000000003</v>
      </c>
      <c r="H36" s="6">
        <v>120</v>
      </c>
      <c r="I36">
        <v>3</v>
      </c>
      <c r="J36">
        <v>0</v>
      </c>
      <c r="K36" s="6"/>
    </row>
    <row r="37" spans="1:11" x14ac:dyDescent="0.25">
      <c r="A37" s="1">
        <v>42477</v>
      </c>
      <c r="B37">
        <v>35.51</v>
      </c>
      <c r="C37">
        <v>153.5</v>
      </c>
      <c r="D37">
        <v>6.04</v>
      </c>
      <c r="E37">
        <v>37.68</v>
      </c>
      <c r="F37">
        <v>46.4</v>
      </c>
      <c r="G37">
        <v>0.2</v>
      </c>
      <c r="H37" s="6">
        <v>120</v>
      </c>
      <c r="I37">
        <v>3</v>
      </c>
      <c r="J37">
        <v>0</v>
      </c>
      <c r="K37" s="6"/>
    </row>
    <row r="38" spans="1:11" x14ac:dyDescent="0.25">
      <c r="A38" s="1">
        <v>42484</v>
      </c>
      <c r="B38">
        <v>37.950000000000003</v>
      </c>
      <c r="C38">
        <v>167.48</v>
      </c>
      <c r="D38">
        <v>6.16</v>
      </c>
      <c r="E38">
        <v>37.69</v>
      </c>
      <c r="F38">
        <v>49.3</v>
      </c>
      <c r="G38">
        <v>0.13</v>
      </c>
      <c r="H38" s="6">
        <v>120</v>
      </c>
      <c r="I38">
        <v>8</v>
      </c>
      <c r="J38">
        <v>0</v>
      </c>
      <c r="K38" s="6"/>
    </row>
    <row r="39" spans="1:11" x14ac:dyDescent="0.25">
      <c r="A39" s="1">
        <v>42491</v>
      </c>
      <c r="B39">
        <v>29.37</v>
      </c>
      <c r="C39">
        <v>134</v>
      </c>
      <c r="D39">
        <v>4.79</v>
      </c>
      <c r="E39">
        <v>28.52</v>
      </c>
      <c r="F39">
        <v>50.2</v>
      </c>
      <c r="G39">
        <v>0.01</v>
      </c>
      <c r="H39" s="6">
        <v>120</v>
      </c>
      <c r="I39">
        <v>3</v>
      </c>
      <c r="J39">
        <v>0</v>
      </c>
      <c r="K39" s="6"/>
    </row>
    <row r="40" spans="1:11" x14ac:dyDescent="0.25">
      <c r="A40" s="1">
        <v>42498</v>
      </c>
      <c r="B40">
        <v>34.47</v>
      </c>
      <c r="C40">
        <v>147.63999999999999</v>
      </c>
      <c r="D40">
        <v>5.7</v>
      </c>
      <c r="E40">
        <v>35.14</v>
      </c>
      <c r="F40">
        <v>50.8</v>
      </c>
      <c r="G40">
        <v>0.21</v>
      </c>
      <c r="H40" s="6">
        <v>120</v>
      </c>
      <c r="I40">
        <v>14</v>
      </c>
      <c r="J40">
        <v>0</v>
      </c>
      <c r="K40" s="6"/>
    </row>
    <row r="41" spans="1:11" x14ac:dyDescent="0.25">
      <c r="A41" s="1">
        <v>42505</v>
      </c>
      <c r="B41">
        <v>36.6</v>
      </c>
      <c r="C41">
        <v>155.25</v>
      </c>
      <c r="D41">
        <v>6.03</v>
      </c>
      <c r="E41">
        <v>36.81</v>
      </c>
      <c r="F41">
        <v>51.8</v>
      </c>
      <c r="G41">
        <v>0.25</v>
      </c>
      <c r="H41" s="6">
        <v>120</v>
      </c>
      <c r="I41">
        <v>4</v>
      </c>
      <c r="J41">
        <v>0</v>
      </c>
      <c r="K41" s="6"/>
    </row>
    <row r="42" spans="1:11" x14ac:dyDescent="0.25">
      <c r="A42" s="1">
        <v>42512</v>
      </c>
      <c r="B42">
        <v>38.590000000000003</v>
      </c>
      <c r="C42">
        <v>173</v>
      </c>
      <c r="D42">
        <v>6.02</v>
      </c>
      <c r="E42">
        <v>36.74</v>
      </c>
      <c r="F42">
        <v>53.2</v>
      </c>
      <c r="G42">
        <v>0.26</v>
      </c>
      <c r="H42" s="6">
        <v>120</v>
      </c>
      <c r="I42">
        <v>6</v>
      </c>
      <c r="J42">
        <v>0</v>
      </c>
      <c r="K42" s="6"/>
    </row>
    <row r="43" spans="1:11" x14ac:dyDescent="0.25">
      <c r="A43" s="1">
        <v>42519</v>
      </c>
      <c r="B43">
        <v>38.299999999999997</v>
      </c>
      <c r="C43">
        <v>164.04</v>
      </c>
      <c r="D43">
        <v>6.2</v>
      </c>
      <c r="E43">
        <v>38.03</v>
      </c>
      <c r="F43">
        <v>54.3</v>
      </c>
      <c r="G43">
        <v>0.34</v>
      </c>
      <c r="H43" s="6">
        <v>120</v>
      </c>
      <c r="I43">
        <v>7</v>
      </c>
      <c r="J43">
        <v>0</v>
      </c>
      <c r="K43" s="6"/>
    </row>
    <row r="44" spans="1:11" x14ac:dyDescent="0.25">
      <c r="A44" s="1">
        <v>42526</v>
      </c>
      <c r="B44">
        <v>38.01</v>
      </c>
      <c r="C44">
        <v>166.12</v>
      </c>
      <c r="D44">
        <v>6.09</v>
      </c>
      <c r="E44">
        <v>37.71</v>
      </c>
      <c r="F44">
        <v>56.2</v>
      </c>
      <c r="G44">
        <v>0.24</v>
      </c>
      <c r="H44" s="6">
        <v>120</v>
      </c>
      <c r="I44">
        <v>10</v>
      </c>
      <c r="J44">
        <v>0</v>
      </c>
      <c r="K44" s="6"/>
    </row>
    <row r="45" spans="1:11" x14ac:dyDescent="0.25">
      <c r="A45" s="1">
        <v>42533</v>
      </c>
      <c r="B45">
        <v>37.69</v>
      </c>
      <c r="C45">
        <v>160.44</v>
      </c>
      <c r="D45">
        <v>6.13</v>
      </c>
      <c r="E45">
        <v>37.65</v>
      </c>
      <c r="F45">
        <v>57.4</v>
      </c>
      <c r="G45">
        <v>0.19</v>
      </c>
      <c r="H45" s="6">
        <v>120</v>
      </c>
      <c r="I45">
        <v>6</v>
      </c>
      <c r="J45">
        <v>0</v>
      </c>
      <c r="K45" s="6"/>
    </row>
    <row r="46" spans="1:11" x14ac:dyDescent="0.25">
      <c r="A46" s="1">
        <v>42540</v>
      </c>
      <c r="B46">
        <v>41.79</v>
      </c>
      <c r="C46">
        <v>178.12</v>
      </c>
      <c r="D46">
        <v>6.74</v>
      </c>
      <c r="E46">
        <v>40.99</v>
      </c>
      <c r="F46">
        <v>59.5</v>
      </c>
      <c r="G46">
        <v>0.24</v>
      </c>
      <c r="H46" s="6">
        <v>120</v>
      </c>
      <c r="I46">
        <v>10</v>
      </c>
      <c r="J46">
        <v>0</v>
      </c>
      <c r="K46" s="6"/>
    </row>
    <row r="47" spans="1:11" x14ac:dyDescent="0.25">
      <c r="A47" s="1">
        <v>42547</v>
      </c>
      <c r="B47">
        <v>37.6</v>
      </c>
      <c r="C47">
        <v>162.75</v>
      </c>
      <c r="D47">
        <v>5.75</v>
      </c>
      <c r="E47">
        <v>35.19</v>
      </c>
      <c r="F47">
        <v>60.6</v>
      </c>
      <c r="G47">
        <v>0.15</v>
      </c>
      <c r="H47" s="6">
        <v>120</v>
      </c>
      <c r="I47">
        <v>11</v>
      </c>
      <c r="J47">
        <v>0</v>
      </c>
      <c r="K47" s="6"/>
    </row>
    <row r="48" spans="1:11" x14ac:dyDescent="0.25">
      <c r="A48" s="5"/>
      <c r="B48" s="6"/>
      <c r="C48" s="6"/>
      <c r="D48" s="6"/>
      <c r="E48" s="6"/>
      <c r="F48" s="6"/>
      <c r="G48" s="6"/>
      <c r="H48" s="6"/>
      <c r="I48" s="6"/>
      <c r="J48" s="6"/>
      <c r="K48" s="6"/>
    </row>
    <row r="53" spans="2:14" x14ac:dyDescent="0.25">
      <c r="B53" s="6"/>
      <c r="C53" s="6"/>
      <c r="D53" s="6"/>
      <c r="E53" s="6"/>
      <c r="F53" s="6"/>
      <c r="G53" s="6"/>
      <c r="H53" s="6"/>
      <c r="I53" s="6"/>
      <c r="J53" s="6"/>
      <c r="K53" s="6"/>
      <c r="L53" s="6"/>
      <c r="M53" s="6"/>
      <c r="N53" s="6"/>
    </row>
    <row r="54" spans="2:14" x14ac:dyDescent="0.25">
      <c r="B54" s="6"/>
      <c r="C54" s="6"/>
      <c r="D54" s="6"/>
      <c r="E54" s="6"/>
      <c r="F54" s="6"/>
      <c r="G54" s="6"/>
      <c r="H54" s="6"/>
      <c r="I54" s="6"/>
      <c r="J54" s="6"/>
      <c r="K54" s="6"/>
      <c r="L54" s="6"/>
      <c r="M54" s="6"/>
      <c r="N54" s="6"/>
    </row>
    <row r="55" spans="2:14" x14ac:dyDescent="0.25">
      <c r="B55" s="6"/>
      <c r="C55" s="6"/>
      <c r="D55" s="6"/>
      <c r="E55" s="6"/>
      <c r="F55" s="6"/>
      <c r="G55" s="6"/>
      <c r="H55" s="6"/>
      <c r="I55" s="6"/>
      <c r="J55" s="6"/>
      <c r="K55" s="6"/>
      <c r="L55" s="6"/>
      <c r="M55" s="6"/>
      <c r="N55" s="6"/>
    </row>
    <row r="56" spans="2:14" x14ac:dyDescent="0.25">
      <c r="B56" s="6"/>
      <c r="C56" s="6"/>
      <c r="D56" s="6"/>
      <c r="E56" s="6"/>
      <c r="F56" s="6"/>
      <c r="G56" s="6"/>
      <c r="H56" s="6"/>
      <c r="I56" s="6"/>
      <c r="J56" s="6"/>
      <c r="K56" s="6"/>
      <c r="L56" s="6"/>
      <c r="M56" s="6"/>
      <c r="N56" s="6"/>
    </row>
    <row r="57" spans="2:14" x14ac:dyDescent="0.25">
      <c r="B57" s="6"/>
      <c r="C57" s="6"/>
      <c r="D57" s="6"/>
      <c r="E57" s="6"/>
      <c r="F57" s="6"/>
      <c r="G57" s="6"/>
      <c r="H57" s="6"/>
      <c r="I57" s="6"/>
      <c r="J57" s="6"/>
      <c r="K57" s="6"/>
      <c r="L57" s="6"/>
      <c r="M57" s="6"/>
      <c r="N57" s="6"/>
    </row>
    <row r="58" spans="2:14" x14ac:dyDescent="0.25">
      <c r="B58" s="6"/>
      <c r="C58" s="6"/>
      <c r="D58" s="6"/>
      <c r="E58" s="6"/>
      <c r="F58" s="6"/>
      <c r="G58" s="6"/>
      <c r="H58" s="6"/>
      <c r="I58" s="6"/>
      <c r="J58" s="6"/>
      <c r="K58" s="6"/>
      <c r="L58" s="6"/>
      <c r="M58" s="6"/>
      <c r="N58" s="6"/>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sheetPr>
  <dimension ref="A1:P58"/>
  <sheetViews>
    <sheetView workbookViewId="0">
      <selection activeCell="L7" sqref="L7"/>
    </sheetView>
  </sheetViews>
  <sheetFormatPr defaultRowHeight="15" x14ac:dyDescent="0.25"/>
  <cols>
    <col min="1" max="1" width="11.7109375" customWidth="1"/>
    <col min="13" max="13" width="40.85546875" customWidth="1"/>
  </cols>
  <sheetData>
    <row r="1" spans="1:16" x14ac:dyDescent="0.25">
      <c r="A1" t="s">
        <v>56</v>
      </c>
    </row>
    <row r="2" spans="1:16" x14ac:dyDescent="0.25">
      <c r="A2" t="s">
        <v>67</v>
      </c>
      <c r="B2" t="s">
        <v>68</v>
      </c>
      <c r="C2" t="s">
        <v>69</v>
      </c>
      <c r="D2" t="s">
        <v>70</v>
      </c>
      <c r="E2" t="s">
        <v>66</v>
      </c>
      <c r="F2" s="19" t="s">
        <v>71</v>
      </c>
      <c r="H2" s="19"/>
      <c r="I2" s="6" t="s">
        <v>72</v>
      </c>
    </row>
    <row r="3" spans="1:16" x14ac:dyDescent="0.25">
      <c r="A3" s="18" t="s">
        <v>62</v>
      </c>
      <c r="B3" s="18" t="s">
        <v>73</v>
      </c>
      <c r="C3" s="18" t="s">
        <v>92</v>
      </c>
      <c r="D3" s="18" t="s">
        <v>93</v>
      </c>
      <c r="E3" s="6">
        <v>6</v>
      </c>
      <c r="F3" s="6">
        <v>120</v>
      </c>
    </row>
    <row r="4" spans="1:16" x14ac:dyDescent="0.25">
      <c r="A4" s="6"/>
      <c r="B4" s="6"/>
      <c r="C4" s="6"/>
      <c r="D4" s="6"/>
      <c r="E4" s="6"/>
      <c r="F4" s="6"/>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AVERAGE(G9:G11)</f>
        <v>2.4966666666666666</v>
      </c>
      <c r="O6" s="8">
        <f xml:space="preserve"> AVERAGE(G15:G20,G22,G24,G26:G49,G51,G53)</f>
        <v>2.5105882352941173</v>
      </c>
      <c r="P6" s="8"/>
    </row>
    <row r="7" spans="1:16" x14ac:dyDescent="0.25">
      <c r="A7" s="1"/>
      <c r="M7" t="s">
        <v>48</v>
      </c>
      <c r="N7" s="8">
        <f>AVERAGE(E9:E12)</f>
        <v>46.03</v>
      </c>
      <c r="O7" s="8">
        <f>AVERAGE(E14:E53)</f>
        <v>42.766000000000005</v>
      </c>
      <c r="P7" s="8"/>
    </row>
    <row r="8" spans="1:16" x14ac:dyDescent="0.25">
      <c r="A8" s="5">
        <v>42281</v>
      </c>
      <c r="B8" s="6">
        <v>64.459999999999994</v>
      </c>
      <c r="C8" s="6">
        <v>207.19</v>
      </c>
      <c r="D8" s="6">
        <v>0</v>
      </c>
      <c r="E8" s="6">
        <v>46.15</v>
      </c>
      <c r="F8" s="6">
        <v>65.599999999999994</v>
      </c>
      <c r="G8" s="6">
        <v>2.16</v>
      </c>
      <c r="H8" s="6">
        <v>119</v>
      </c>
      <c r="I8" s="6">
        <v>0</v>
      </c>
      <c r="J8" s="6">
        <v>4</v>
      </c>
      <c r="K8" s="6">
        <f>SUM(I8:J8)</f>
        <v>4</v>
      </c>
      <c r="M8" t="s">
        <v>47</v>
      </c>
      <c r="N8" s="8">
        <v>0</v>
      </c>
      <c r="O8" s="8">
        <f>AVERAGE(D14:D53)</f>
        <v>13.123750000000005</v>
      </c>
      <c r="P8" s="8"/>
    </row>
    <row r="9" spans="1:16" x14ac:dyDescent="0.25">
      <c r="A9" s="4">
        <v>42288</v>
      </c>
      <c r="B9" s="2">
        <v>59.47</v>
      </c>
      <c r="C9" s="2">
        <v>177.49</v>
      </c>
      <c r="D9" s="2">
        <v>0</v>
      </c>
      <c r="E9" s="2">
        <v>40.520000000000003</v>
      </c>
      <c r="F9" s="2">
        <v>64.900000000000006</v>
      </c>
      <c r="G9" s="2">
        <v>2.11</v>
      </c>
      <c r="H9" s="2">
        <v>118.4</v>
      </c>
      <c r="I9" s="2">
        <v>1</v>
      </c>
      <c r="J9" s="2">
        <v>9</v>
      </c>
      <c r="K9" s="2">
        <f t="shared" ref="K9:K14" si="0">SUM(I9:J9)</f>
        <v>10</v>
      </c>
      <c r="M9" t="s">
        <v>46</v>
      </c>
      <c r="N9" s="8">
        <f>AVERAGE(I9:I12)</f>
        <v>1.25</v>
      </c>
      <c r="O9" s="8">
        <f>AVERAGE(I14:I53)</f>
        <v>6.4</v>
      </c>
      <c r="P9" s="8"/>
    </row>
    <row r="10" spans="1:16" x14ac:dyDescent="0.25">
      <c r="A10" s="4">
        <v>42295</v>
      </c>
      <c r="B10" s="2">
        <v>76.67</v>
      </c>
      <c r="C10" s="2">
        <v>278.08999999999997</v>
      </c>
      <c r="D10" s="2">
        <v>0</v>
      </c>
      <c r="E10" s="2">
        <v>49.75</v>
      </c>
      <c r="F10" s="2">
        <v>63.5</v>
      </c>
      <c r="G10" s="2">
        <v>2.85</v>
      </c>
      <c r="H10" s="2">
        <v>115.4</v>
      </c>
      <c r="I10" s="2">
        <v>0</v>
      </c>
      <c r="J10" s="2">
        <v>7</v>
      </c>
      <c r="K10" s="2">
        <f t="shared" si="0"/>
        <v>7</v>
      </c>
      <c r="M10" t="s">
        <v>45</v>
      </c>
      <c r="N10" s="8">
        <f>AVERAGE(J9:J12)</f>
        <v>6.25</v>
      </c>
      <c r="O10" s="8">
        <f>AVERAGE(J14:J53)</f>
        <v>4.375</v>
      </c>
      <c r="P10" s="8"/>
    </row>
    <row r="11" spans="1:16" x14ac:dyDescent="0.25">
      <c r="A11" s="4">
        <v>42302</v>
      </c>
      <c r="B11" s="2">
        <v>56.95</v>
      </c>
      <c r="C11" s="2">
        <v>173.08</v>
      </c>
      <c r="D11" s="2">
        <v>0</v>
      </c>
      <c r="E11" s="2">
        <v>41.53</v>
      </c>
      <c r="F11" s="2">
        <v>62.9</v>
      </c>
      <c r="G11" s="2">
        <v>2.5299999999999998</v>
      </c>
      <c r="H11" s="2">
        <v>117.6</v>
      </c>
      <c r="I11" s="2">
        <v>0</v>
      </c>
      <c r="J11" s="2">
        <v>9</v>
      </c>
      <c r="K11" s="2">
        <f t="shared" si="0"/>
        <v>9</v>
      </c>
      <c r="M11" t="s">
        <v>44</v>
      </c>
      <c r="N11" s="8">
        <f>SUM(N9:N10)</f>
        <v>7.5</v>
      </c>
      <c r="O11" s="8">
        <f>SUM(O9:O10)</f>
        <v>10.775</v>
      </c>
      <c r="P11" s="8"/>
    </row>
    <row r="12" spans="1:16" x14ac:dyDescent="0.25">
      <c r="A12" s="4">
        <v>42309</v>
      </c>
      <c r="B12" s="2">
        <v>56.18</v>
      </c>
      <c r="C12" s="2">
        <v>112.59</v>
      </c>
      <c r="D12" s="2">
        <v>0</v>
      </c>
      <c r="E12" s="2">
        <v>52.32</v>
      </c>
      <c r="F12" s="2">
        <v>61.6</v>
      </c>
      <c r="G12" s="2">
        <v>0</v>
      </c>
      <c r="H12" s="2">
        <v>0</v>
      </c>
      <c r="I12" s="2">
        <v>4</v>
      </c>
      <c r="J12" s="2">
        <v>0</v>
      </c>
      <c r="K12" s="2">
        <f t="shared" si="0"/>
        <v>4</v>
      </c>
      <c r="M12" t="s">
        <v>42</v>
      </c>
      <c r="N12" s="14">
        <f>N10/N11</f>
        <v>0.83333333333333337</v>
      </c>
      <c r="O12" s="14">
        <f>O10/O11</f>
        <v>0.40603248259860786</v>
      </c>
      <c r="P12" s="8"/>
    </row>
    <row r="13" spans="1:16" x14ac:dyDescent="0.25">
      <c r="A13" s="1">
        <v>42316</v>
      </c>
      <c r="B13">
        <v>55.73</v>
      </c>
      <c r="C13">
        <v>130.93</v>
      </c>
      <c r="D13">
        <v>1.8</v>
      </c>
      <c r="E13">
        <v>50.63</v>
      </c>
      <c r="F13">
        <v>61.2</v>
      </c>
      <c r="G13">
        <v>1.99</v>
      </c>
      <c r="H13">
        <v>118.8</v>
      </c>
      <c r="I13">
        <v>10</v>
      </c>
      <c r="J13">
        <v>3</v>
      </c>
      <c r="K13" s="6">
        <f t="shared" si="0"/>
        <v>13</v>
      </c>
      <c r="M13" t="s">
        <v>43</v>
      </c>
      <c r="N13" s="8">
        <f>AVERAGE(K9:K53)</f>
        <v>10.533333333333333</v>
      </c>
      <c r="O13" s="8">
        <f>AVERAGE(K9:K53)</f>
        <v>10.533333333333333</v>
      </c>
      <c r="P13" s="8"/>
    </row>
    <row r="14" spans="1:16" x14ac:dyDescent="0.25">
      <c r="A14" s="7">
        <v>42323</v>
      </c>
      <c r="B14" s="3">
        <v>52.78</v>
      </c>
      <c r="C14" s="3">
        <v>106.34</v>
      </c>
      <c r="D14" s="3">
        <v>6.8</v>
      </c>
      <c r="E14" s="3">
        <v>49.44</v>
      </c>
      <c r="F14" s="3">
        <v>58.6</v>
      </c>
      <c r="G14" s="3">
        <v>0</v>
      </c>
      <c r="H14" s="3">
        <v>0</v>
      </c>
      <c r="I14" s="3">
        <v>7</v>
      </c>
      <c r="J14" s="3">
        <v>0</v>
      </c>
      <c r="K14" s="3">
        <f t="shared" si="0"/>
        <v>7</v>
      </c>
      <c r="N14" s="8"/>
      <c r="O14" s="8"/>
      <c r="P14" s="8"/>
    </row>
    <row r="15" spans="1:16" x14ac:dyDescent="0.25">
      <c r="A15" s="7">
        <v>42330</v>
      </c>
      <c r="B15" s="3">
        <v>66.34</v>
      </c>
      <c r="C15" s="3">
        <v>289.75</v>
      </c>
      <c r="D15" s="3">
        <v>7.57</v>
      </c>
      <c r="E15" s="3">
        <v>46.28</v>
      </c>
      <c r="F15" s="3">
        <v>58.2</v>
      </c>
      <c r="G15" s="3">
        <v>2.95</v>
      </c>
      <c r="H15" s="3">
        <v>122.6</v>
      </c>
      <c r="I15" s="3">
        <v>8</v>
      </c>
      <c r="J15" s="3">
        <v>4</v>
      </c>
      <c r="K15" s="3">
        <f>SUM(I15:J15)</f>
        <v>12</v>
      </c>
      <c r="O15" s="8"/>
      <c r="P15" s="8"/>
    </row>
    <row r="16" spans="1:16" x14ac:dyDescent="0.25">
      <c r="A16" s="7">
        <v>42337</v>
      </c>
      <c r="B16" s="3">
        <v>59.14</v>
      </c>
      <c r="C16" s="3">
        <v>128.46</v>
      </c>
      <c r="D16" s="3">
        <v>9.4700000000000006</v>
      </c>
      <c r="E16" s="3">
        <v>53.83</v>
      </c>
      <c r="F16" s="3">
        <v>55.9</v>
      </c>
      <c r="G16" s="3">
        <v>2.19</v>
      </c>
      <c r="H16" s="3">
        <v>103.4</v>
      </c>
      <c r="I16" s="3">
        <v>8</v>
      </c>
      <c r="J16" s="3">
        <v>1</v>
      </c>
      <c r="K16" s="3">
        <f t="shared" ref="K16:K53" si="1">SUM(I16:J16)</f>
        <v>9</v>
      </c>
      <c r="M16" t="s">
        <v>20</v>
      </c>
      <c r="N16" s="9">
        <v>0.77</v>
      </c>
      <c r="O16" s="8"/>
      <c r="P16" s="8"/>
    </row>
    <row r="17" spans="1:16" x14ac:dyDescent="0.25">
      <c r="A17" s="7">
        <v>42344</v>
      </c>
      <c r="B17" s="3">
        <v>59.12</v>
      </c>
      <c r="C17" s="3">
        <v>134.4</v>
      </c>
      <c r="D17" s="3">
        <v>12.73</v>
      </c>
      <c r="E17" s="3">
        <v>47.58</v>
      </c>
      <c r="F17" s="3">
        <v>55.2</v>
      </c>
      <c r="G17" s="3">
        <v>2.89</v>
      </c>
      <c r="H17" s="3">
        <v>122.6</v>
      </c>
      <c r="I17" s="3">
        <v>9</v>
      </c>
      <c r="J17" s="3">
        <v>6</v>
      </c>
      <c r="K17" s="3">
        <f t="shared" si="1"/>
        <v>15</v>
      </c>
      <c r="M17" t="s">
        <v>21</v>
      </c>
      <c r="N17" s="9">
        <v>0.125</v>
      </c>
      <c r="O17" s="8"/>
      <c r="P17" s="8"/>
    </row>
    <row r="18" spans="1:16" x14ac:dyDescent="0.25">
      <c r="A18" s="7">
        <v>42351</v>
      </c>
      <c r="B18" s="3">
        <v>67.09</v>
      </c>
      <c r="C18" s="3">
        <v>199.19</v>
      </c>
      <c r="D18" s="3">
        <v>13.94</v>
      </c>
      <c r="E18" s="3">
        <v>46.88</v>
      </c>
      <c r="F18" s="3">
        <v>54.3</v>
      </c>
      <c r="G18" s="3">
        <v>2.88</v>
      </c>
      <c r="H18" s="3">
        <v>120.9</v>
      </c>
      <c r="I18" s="3">
        <v>7</v>
      </c>
      <c r="J18" s="3">
        <v>4</v>
      </c>
      <c r="K18" s="3">
        <f t="shared" si="1"/>
        <v>11</v>
      </c>
      <c r="M18" t="s">
        <v>16</v>
      </c>
      <c r="N18" s="8">
        <f>AVERAGE(H9:H11)</f>
        <v>117.13333333333333</v>
      </c>
      <c r="O18" s="8"/>
      <c r="P18" s="8"/>
    </row>
    <row r="19" spans="1:16" x14ac:dyDescent="0.25">
      <c r="A19" s="7">
        <v>42358</v>
      </c>
      <c r="B19" s="3">
        <v>59.61</v>
      </c>
      <c r="C19" s="3">
        <v>118.38</v>
      </c>
      <c r="D19" s="3">
        <v>14.27</v>
      </c>
      <c r="E19" s="3">
        <v>50.85</v>
      </c>
      <c r="F19" s="3">
        <v>53.1</v>
      </c>
      <c r="G19" s="3">
        <v>4.5199999999999996</v>
      </c>
      <c r="H19" s="3">
        <v>124.7</v>
      </c>
      <c r="I19" s="3">
        <v>11</v>
      </c>
      <c r="J19" s="3">
        <v>1</v>
      </c>
      <c r="K19" s="3">
        <f t="shared" si="1"/>
        <v>12</v>
      </c>
      <c r="M19" t="s">
        <v>17</v>
      </c>
      <c r="N19" s="8">
        <v>54</v>
      </c>
      <c r="O19" s="8"/>
      <c r="P19" s="8"/>
    </row>
    <row r="20" spans="1:16" x14ac:dyDescent="0.25">
      <c r="A20" s="7">
        <v>42365</v>
      </c>
      <c r="B20" s="3">
        <v>58.76</v>
      </c>
      <c r="C20" s="3">
        <v>137.16</v>
      </c>
      <c r="D20" s="3">
        <v>13.59</v>
      </c>
      <c r="E20" s="3">
        <v>49.69</v>
      </c>
      <c r="F20" s="3">
        <v>50.9</v>
      </c>
      <c r="G20" s="3">
        <v>2.19</v>
      </c>
      <c r="H20" s="3">
        <v>111.4</v>
      </c>
      <c r="I20" s="3">
        <v>3</v>
      </c>
      <c r="J20" s="3">
        <v>1</v>
      </c>
      <c r="K20" s="3">
        <f t="shared" si="1"/>
        <v>4</v>
      </c>
      <c r="M20" t="s">
        <v>19</v>
      </c>
      <c r="N20" s="8">
        <f>($N6*8.33*(N13*N12)*(N18-N19)/0.58*52/100000)-$O6*8.33*(O13*O12)*(N18-N19)/0.58*52/100000</f>
        <v>5.2702593039886878</v>
      </c>
      <c r="O20" s="8"/>
      <c r="P20" s="8"/>
    </row>
    <row r="21" spans="1:16" x14ac:dyDescent="0.25">
      <c r="A21" s="7">
        <v>42365</v>
      </c>
      <c r="B21" s="3">
        <v>57.76</v>
      </c>
      <c r="C21" s="3">
        <v>125.12</v>
      </c>
      <c r="D21" s="3">
        <v>13.96</v>
      </c>
      <c r="E21" s="3">
        <v>55.75</v>
      </c>
      <c r="F21" s="3">
        <v>51.6</v>
      </c>
      <c r="G21" s="3">
        <v>0</v>
      </c>
      <c r="H21" s="3">
        <v>0</v>
      </c>
      <c r="I21" s="3">
        <v>3</v>
      </c>
      <c r="J21" s="3">
        <v>0</v>
      </c>
      <c r="K21" s="3">
        <f t="shared" si="1"/>
        <v>3</v>
      </c>
      <c r="M21" t="s">
        <v>18</v>
      </c>
      <c r="N21" s="8">
        <f>$N6*8.33*(N13*N12)*(N18-N19)/0.58*52/100000</f>
        <v>10.332947343942104</v>
      </c>
      <c r="O21" s="8"/>
    </row>
    <row r="22" spans="1:16" x14ac:dyDescent="0.25">
      <c r="A22" s="7">
        <v>42372</v>
      </c>
      <c r="B22" s="3">
        <v>61.01</v>
      </c>
      <c r="C22" s="3">
        <v>179.05</v>
      </c>
      <c r="D22" s="3">
        <v>15.11</v>
      </c>
      <c r="E22" s="3">
        <v>43</v>
      </c>
      <c r="F22" s="3">
        <v>50.9</v>
      </c>
      <c r="G22" s="3">
        <v>2.5499999999999998</v>
      </c>
      <c r="H22" s="3">
        <v>121.9</v>
      </c>
      <c r="I22" s="3">
        <v>7</v>
      </c>
      <c r="J22" s="3">
        <v>4</v>
      </c>
      <c r="K22" s="3">
        <f t="shared" si="1"/>
        <v>11</v>
      </c>
      <c r="M22" t="s">
        <v>22</v>
      </c>
      <c r="N22" s="10">
        <f>N20*N16</f>
        <v>4.0580996640712899</v>
      </c>
    </row>
    <row r="23" spans="1:16" x14ac:dyDescent="0.25">
      <c r="A23" s="7">
        <v>42379</v>
      </c>
      <c r="B23" s="3">
        <v>57.64</v>
      </c>
      <c r="C23" s="3">
        <v>118.5</v>
      </c>
      <c r="D23" s="3">
        <v>14.56</v>
      </c>
      <c r="E23" s="3">
        <v>52.17</v>
      </c>
      <c r="F23" s="3">
        <v>49.4</v>
      </c>
      <c r="G23" s="3">
        <v>0</v>
      </c>
      <c r="H23" s="3">
        <v>0</v>
      </c>
      <c r="I23" s="3">
        <v>6</v>
      </c>
      <c r="J23" s="3">
        <v>0</v>
      </c>
      <c r="K23" s="3">
        <f t="shared" si="1"/>
        <v>6</v>
      </c>
      <c r="M23" t="s">
        <v>23</v>
      </c>
      <c r="N23" s="10">
        <f>N21*N16</f>
        <v>7.9563694548354205</v>
      </c>
    </row>
    <row r="24" spans="1:16" x14ac:dyDescent="0.25">
      <c r="A24" s="7">
        <v>42386</v>
      </c>
      <c r="B24" s="3">
        <v>53.01</v>
      </c>
      <c r="C24" s="3">
        <v>110.56</v>
      </c>
      <c r="D24" s="3">
        <v>13.32</v>
      </c>
      <c r="E24" s="3">
        <v>40.4</v>
      </c>
      <c r="F24" s="3">
        <v>49</v>
      </c>
      <c r="G24" s="3">
        <v>2.17</v>
      </c>
      <c r="H24" s="3">
        <v>125</v>
      </c>
      <c r="I24" s="3">
        <v>7</v>
      </c>
      <c r="J24" s="3">
        <v>4</v>
      </c>
      <c r="K24" s="3">
        <f t="shared" si="1"/>
        <v>11</v>
      </c>
      <c r="M24" t="s">
        <v>24</v>
      </c>
      <c r="N24" s="11">
        <f>O8*N13*52/1000</f>
        <v>7.1883153333333354</v>
      </c>
    </row>
    <row r="25" spans="1:16" x14ac:dyDescent="0.25">
      <c r="A25" s="7">
        <v>42393</v>
      </c>
      <c r="B25" s="3">
        <v>57.48</v>
      </c>
      <c r="C25" s="3">
        <v>114.22</v>
      </c>
      <c r="D25" s="3">
        <v>14.8</v>
      </c>
      <c r="E25" s="3">
        <v>47.91</v>
      </c>
      <c r="F25" s="3">
        <v>47.8</v>
      </c>
      <c r="G25" s="3">
        <v>0</v>
      </c>
      <c r="H25" s="3">
        <v>0</v>
      </c>
      <c r="I25" s="3">
        <v>12</v>
      </c>
      <c r="J25" s="3">
        <v>0</v>
      </c>
      <c r="K25" s="3">
        <f t="shared" si="1"/>
        <v>12</v>
      </c>
      <c r="M25" t="s">
        <v>25</v>
      </c>
      <c r="N25" s="12">
        <f>N17*N24</f>
        <v>0.89853941666666692</v>
      </c>
    </row>
    <row r="26" spans="1:16" x14ac:dyDescent="0.25">
      <c r="A26" s="7">
        <v>42400</v>
      </c>
      <c r="B26" s="3">
        <v>49.52</v>
      </c>
      <c r="C26" s="3">
        <v>105.94</v>
      </c>
      <c r="D26" s="3">
        <v>12.72</v>
      </c>
      <c r="E26" s="3">
        <v>37.75</v>
      </c>
      <c r="F26" s="3">
        <v>46.5</v>
      </c>
      <c r="G26" s="3">
        <v>2.08</v>
      </c>
      <c r="H26" s="3">
        <v>134.6</v>
      </c>
      <c r="I26" s="3">
        <v>7</v>
      </c>
      <c r="J26" s="3">
        <v>5</v>
      </c>
      <c r="K26" s="3">
        <f t="shared" si="1"/>
        <v>12</v>
      </c>
    </row>
    <row r="27" spans="1:16" x14ac:dyDescent="0.25">
      <c r="A27" s="7">
        <v>42407</v>
      </c>
      <c r="B27" s="3">
        <v>56.25</v>
      </c>
      <c r="C27" s="3">
        <v>129.38</v>
      </c>
      <c r="D27" s="3">
        <v>14.4</v>
      </c>
      <c r="E27" s="3">
        <v>45.79</v>
      </c>
      <c r="F27" s="3">
        <v>46</v>
      </c>
      <c r="G27" s="3">
        <v>2.17</v>
      </c>
      <c r="H27" s="3">
        <v>132.5</v>
      </c>
      <c r="I27" s="3">
        <v>7</v>
      </c>
      <c r="J27" s="3">
        <v>2</v>
      </c>
      <c r="K27" s="3">
        <f t="shared" si="1"/>
        <v>9</v>
      </c>
      <c r="M27" t="s">
        <v>35</v>
      </c>
      <c r="N27" s="9">
        <v>0.16</v>
      </c>
    </row>
    <row r="28" spans="1:16" x14ac:dyDescent="0.25">
      <c r="A28" s="7">
        <v>42414</v>
      </c>
      <c r="B28" s="3">
        <v>52.84</v>
      </c>
      <c r="C28" s="3">
        <v>118.07</v>
      </c>
      <c r="D28" s="3">
        <v>13.54</v>
      </c>
      <c r="E28" s="3">
        <v>38.65</v>
      </c>
      <c r="F28" s="3">
        <v>45.7</v>
      </c>
      <c r="G28" s="3">
        <v>2.2200000000000002</v>
      </c>
      <c r="H28" s="3">
        <v>133.19999999999999</v>
      </c>
      <c r="I28" s="3">
        <v>8</v>
      </c>
      <c r="J28" s="3">
        <v>6</v>
      </c>
      <c r="K28" s="3">
        <f t="shared" si="1"/>
        <v>14</v>
      </c>
      <c r="M28" t="s">
        <v>36</v>
      </c>
      <c r="N28" s="10">
        <f>N13*N27*52</f>
        <v>87.637333333333331</v>
      </c>
    </row>
    <row r="29" spans="1:16" x14ac:dyDescent="0.25">
      <c r="A29" s="7">
        <v>42421</v>
      </c>
      <c r="B29" s="3">
        <v>67.78</v>
      </c>
      <c r="C29" s="3">
        <v>233.97</v>
      </c>
      <c r="D29" s="3">
        <v>17.149999999999999</v>
      </c>
      <c r="E29" s="3">
        <v>41.91</v>
      </c>
      <c r="F29" s="3">
        <v>45.7</v>
      </c>
      <c r="G29" s="3">
        <v>2.65</v>
      </c>
      <c r="H29" s="3">
        <v>130.1</v>
      </c>
      <c r="I29" s="3">
        <v>9</v>
      </c>
      <c r="J29" s="3">
        <v>3</v>
      </c>
      <c r="K29" s="3">
        <f t="shared" si="1"/>
        <v>12</v>
      </c>
    </row>
    <row r="30" spans="1:16" x14ac:dyDescent="0.25">
      <c r="A30" s="7">
        <v>42428</v>
      </c>
      <c r="B30" s="3">
        <v>53.63</v>
      </c>
      <c r="C30" s="3">
        <v>117.38</v>
      </c>
      <c r="D30" s="3">
        <v>13.71</v>
      </c>
      <c r="E30" s="3">
        <v>40.39</v>
      </c>
      <c r="F30" s="3">
        <v>45.6</v>
      </c>
      <c r="G30" s="3">
        <v>2.1800000000000002</v>
      </c>
      <c r="H30" s="3">
        <v>134.69999999999999</v>
      </c>
      <c r="I30" s="3">
        <v>8</v>
      </c>
      <c r="J30" s="3">
        <v>5</v>
      </c>
      <c r="K30" s="3">
        <f t="shared" si="1"/>
        <v>13</v>
      </c>
      <c r="M30" t="s">
        <v>37</v>
      </c>
      <c r="N30" s="12">
        <v>300</v>
      </c>
    </row>
    <row r="31" spans="1:16" x14ac:dyDescent="0.25">
      <c r="A31" s="7">
        <v>42435</v>
      </c>
      <c r="B31" s="3">
        <v>54.05</v>
      </c>
      <c r="C31" s="3">
        <v>152.08000000000001</v>
      </c>
      <c r="D31" s="3">
        <v>13.39</v>
      </c>
      <c r="E31" s="3">
        <v>40.72</v>
      </c>
      <c r="F31" s="3">
        <v>46</v>
      </c>
      <c r="G31" s="3">
        <v>2.35</v>
      </c>
      <c r="H31" s="3">
        <v>126.5</v>
      </c>
      <c r="I31" s="3">
        <v>5</v>
      </c>
      <c r="J31" s="3">
        <v>4</v>
      </c>
      <c r="K31" s="3">
        <f t="shared" si="1"/>
        <v>9</v>
      </c>
      <c r="M31" t="s">
        <v>38</v>
      </c>
      <c r="N31" s="13">
        <f>N30/(SUM(N28,N22)-N25)</f>
        <v>3.3040777957148446</v>
      </c>
    </row>
    <row r="32" spans="1:16" x14ac:dyDescent="0.25">
      <c r="A32" s="7">
        <v>42442</v>
      </c>
      <c r="B32" s="3">
        <v>53.99</v>
      </c>
      <c r="C32" s="3">
        <v>119.62</v>
      </c>
      <c r="D32" s="3">
        <v>13.08</v>
      </c>
      <c r="E32" s="3">
        <v>40.07</v>
      </c>
      <c r="F32" s="3">
        <v>47</v>
      </c>
      <c r="G32" s="3">
        <v>2.69</v>
      </c>
      <c r="H32" s="3">
        <v>131.1</v>
      </c>
      <c r="I32" s="3">
        <v>6</v>
      </c>
      <c r="J32" s="3">
        <v>4</v>
      </c>
      <c r="K32" s="3">
        <f t="shared" si="1"/>
        <v>10</v>
      </c>
    </row>
    <row r="33" spans="1:11" x14ac:dyDescent="0.25">
      <c r="A33" s="7">
        <v>42449</v>
      </c>
      <c r="B33" s="3">
        <v>62.34</v>
      </c>
      <c r="C33" s="3">
        <v>190.55</v>
      </c>
      <c r="D33" s="3">
        <v>14.77</v>
      </c>
      <c r="E33" s="3">
        <v>42.9</v>
      </c>
      <c r="F33" s="3">
        <v>48.4</v>
      </c>
      <c r="G33" s="3">
        <v>2.23</v>
      </c>
      <c r="H33" s="3">
        <v>122.5</v>
      </c>
      <c r="I33" s="3">
        <v>7</v>
      </c>
      <c r="J33" s="3">
        <v>1</v>
      </c>
      <c r="K33" s="3">
        <f t="shared" si="1"/>
        <v>8</v>
      </c>
    </row>
    <row r="34" spans="1:11" x14ac:dyDescent="0.25">
      <c r="A34" s="7">
        <v>42456</v>
      </c>
      <c r="B34" s="3">
        <v>51.78</v>
      </c>
      <c r="C34" s="3">
        <v>129.35</v>
      </c>
      <c r="D34" s="3">
        <v>12.21</v>
      </c>
      <c r="E34" s="3">
        <v>38.69</v>
      </c>
      <c r="F34" s="3">
        <v>49</v>
      </c>
      <c r="G34" s="3">
        <v>2.15</v>
      </c>
      <c r="H34" s="3">
        <v>132</v>
      </c>
      <c r="I34" s="3">
        <v>7</v>
      </c>
      <c r="J34" s="3">
        <v>10</v>
      </c>
      <c r="K34" s="3">
        <f t="shared" si="1"/>
        <v>17</v>
      </c>
    </row>
    <row r="35" spans="1:11" x14ac:dyDescent="0.25">
      <c r="A35" s="7">
        <v>42463</v>
      </c>
      <c r="B35" s="3">
        <v>63.4</v>
      </c>
      <c r="C35" s="3">
        <v>180.49</v>
      </c>
      <c r="D35" s="3">
        <v>14.59</v>
      </c>
      <c r="E35" s="3">
        <v>45.26</v>
      </c>
      <c r="F35" s="3">
        <v>49.5</v>
      </c>
      <c r="G35" s="3">
        <v>2.21</v>
      </c>
      <c r="H35" s="3">
        <v>126.9</v>
      </c>
      <c r="I35" s="3">
        <v>4</v>
      </c>
      <c r="J35" s="3">
        <v>6</v>
      </c>
      <c r="K35" s="3">
        <f t="shared" si="1"/>
        <v>10</v>
      </c>
    </row>
    <row r="36" spans="1:11" x14ac:dyDescent="0.25">
      <c r="A36" s="7">
        <v>42470</v>
      </c>
      <c r="B36" s="3">
        <v>58.16</v>
      </c>
      <c r="C36" s="3">
        <v>161.07</v>
      </c>
      <c r="D36" s="3">
        <v>13.2</v>
      </c>
      <c r="E36" s="3">
        <v>37.39</v>
      </c>
      <c r="F36" s="3">
        <v>49.9</v>
      </c>
      <c r="G36" s="3">
        <v>2.41</v>
      </c>
      <c r="H36" s="3">
        <v>129.80000000000001</v>
      </c>
      <c r="I36" s="3">
        <v>3</v>
      </c>
      <c r="J36" s="3">
        <v>12</v>
      </c>
      <c r="K36" s="3">
        <f t="shared" si="1"/>
        <v>15</v>
      </c>
    </row>
    <row r="37" spans="1:11" x14ac:dyDescent="0.25">
      <c r="A37" s="7">
        <v>42477</v>
      </c>
      <c r="B37" s="3">
        <v>58.54</v>
      </c>
      <c r="C37" s="3">
        <v>143.30000000000001</v>
      </c>
      <c r="D37" s="3">
        <v>13.23</v>
      </c>
      <c r="E37" s="3">
        <v>44.25</v>
      </c>
      <c r="F37" s="3">
        <v>50.4</v>
      </c>
      <c r="G37" s="3">
        <v>2.2200000000000002</v>
      </c>
      <c r="H37" s="3">
        <v>129.5</v>
      </c>
      <c r="I37" s="3">
        <v>5</v>
      </c>
      <c r="J37" s="3">
        <v>3</v>
      </c>
      <c r="K37" s="3">
        <f t="shared" si="1"/>
        <v>8</v>
      </c>
    </row>
    <row r="38" spans="1:11" x14ac:dyDescent="0.25">
      <c r="A38" s="7">
        <v>42484</v>
      </c>
      <c r="B38" s="3">
        <v>59.85</v>
      </c>
      <c r="C38" s="3">
        <v>152.84</v>
      </c>
      <c r="D38" s="3">
        <v>13.49</v>
      </c>
      <c r="E38" s="3">
        <v>41.17</v>
      </c>
      <c r="F38" s="3">
        <v>52.3</v>
      </c>
      <c r="G38" s="3">
        <v>2.71</v>
      </c>
      <c r="H38" s="3">
        <v>127.3</v>
      </c>
      <c r="I38" s="3">
        <v>4</v>
      </c>
      <c r="J38" s="3">
        <v>8</v>
      </c>
      <c r="K38" s="3">
        <f t="shared" si="1"/>
        <v>12</v>
      </c>
    </row>
    <row r="39" spans="1:11" x14ac:dyDescent="0.25">
      <c r="A39" s="7">
        <v>42491</v>
      </c>
      <c r="B39" s="3">
        <v>64</v>
      </c>
      <c r="C39" s="3">
        <v>197.67</v>
      </c>
      <c r="D39" s="3">
        <v>14.12</v>
      </c>
      <c r="E39" s="3">
        <v>42.83</v>
      </c>
      <c r="F39" s="3">
        <v>53.4</v>
      </c>
      <c r="G39" s="3">
        <v>2.2000000000000002</v>
      </c>
      <c r="H39" s="3">
        <v>125.6</v>
      </c>
      <c r="I39" s="3">
        <v>2</v>
      </c>
      <c r="J39" s="3">
        <v>7</v>
      </c>
      <c r="K39" s="3">
        <f t="shared" si="1"/>
        <v>9</v>
      </c>
    </row>
    <row r="40" spans="1:11" x14ac:dyDescent="0.25">
      <c r="A40" s="7">
        <v>42498</v>
      </c>
      <c r="B40" s="3">
        <v>55.83</v>
      </c>
      <c r="C40" s="3">
        <v>156.99</v>
      </c>
      <c r="D40" s="3">
        <v>12.21</v>
      </c>
      <c r="E40" s="3">
        <v>32.909999999999997</v>
      </c>
      <c r="F40" s="3">
        <v>54.7</v>
      </c>
      <c r="G40" s="3">
        <v>2.2999999999999998</v>
      </c>
      <c r="H40" s="3">
        <v>129.80000000000001</v>
      </c>
      <c r="I40" s="3">
        <v>1</v>
      </c>
      <c r="J40" s="3">
        <v>13</v>
      </c>
      <c r="K40" s="3">
        <f t="shared" si="1"/>
        <v>14</v>
      </c>
    </row>
    <row r="41" spans="1:11" x14ac:dyDescent="0.25">
      <c r="A41" s="7">
        <v>42505</v>
      </c>
      <c r="B41" s="3">
        <v>56.19</v>
      </c>
      <c r="C41" s="3">
        <v>164.42</v>
      </c>
      <c r="D41" s="3">
        <v>12.05</v>
      </c>
      <c r="E41" s="3">
        <v>34.42</v>
      </c>
      <c r="F41" s="3">
        <v>55.1</v>
      </c>
      <c r="G41" s="3">
        <v>2.0499999999999998</v>
      </c>
      <c r="H41" s="3">
        <v>128.80000000000001</v>
      </c>
      <c r="I41" s="3">
        <v>3</v>
      </c>
      <c r="J41" s="3">
        <v>10</v>
      </c>
      <c r="K41" s="3">
        <f t="shared" si="1"/>
        <v>13</v>
      </c>
    </row>
    <row r="42" spans="1:11" x14ac:dyDescent="0.25">
      <c r="A42" s="7">
        <v>42512</v>
      </c>
      <c r="B42" s="3">
        <v>56.43</v>
      </c>
      <c r="C42" s="3">
        <v>113.86</v>
      </c>
      <c r="D42" s="3">
        <v>12.45</v>
      </c>
      <c r="E42" s="3">
        <v>40.92</v>
      </c>
      <c r="F42" s="3">
        <v>56.2</v>
      </c>
      <c r="G42" s="3">
        <v>2.75</v>
      </c>
      <c r="H42" s="3">
        <v>132.9</v>
      </c>
      <c r="I42" s="3">
        <v>7</v>
      </c>
      <c r="J42" s="3">
        <v>4</v>
      </c>
      <c r="K42" s="3">
        <f t="shared" si="1"/>
        <v>11</v>
      </c>
    </row>
    <row r="43" spans="1:11" x14ac:dyDescent="0.25">
      <c r="A43" s="7">
        <v>42519</v>
      </c>
      <c r="B43" s="3">
        <v>57.44</v>
      </c>
      <c r="C43" s="3">
        <v>115.88</v>
      </c>
      <c r="D43" s="3">
        <v>12.66</v>
      </c>
      <c r="E43" s="3">
        <v>44.69</v>
      </c>
      <c r="F43" s="3">
        <v>58</v>
      </c>
      <c r="G43" s="3">
        <v>2.2200000000000002</v>
      </c>
      <c r="H43" s="3">
        <v>134</v>
      </c>
      <c r="I43" s="3">
        <v>7</v>
      </c>
      <c r="J43" s="3">
        <v>1</v>
      </c>
      <c r="K43" s="3">
        <f t="shared" si="1"/>
        <v>8</v>
      </c>
    </row>
    <row r="44" spans="1:11" x14ac:dyDescent="0.25">
      <c r="A44" s="7">
        <v>42526</v>
      </c>
      <c r="B44" s="3">
        <v>65.16</v>
      </c>
      <c r="C44" s="3">
        <v>212.11</v>
      </c>
      <c r="D44" s="3">
        <v>14.12</v>
      </c>
      <c r="E44" s="3">
        <v>44.04</v>
      </c>
      <c r="F44" s="3">
        <v>59.4</v>
      </c>
      <c r="G44" s="3">
        <v>3.52</v>
      </c>
      <c r="H44" s="3">
        <v>128.5</v>
      </c>
      <c r="I44" s="3">
        <v>8</v>
      </c>
      <c r="J44" s="3">
        <v>5</v>
      </c>
      <c r="K44" s="3">
        <f t="shared" si="1"/>
        <v>13</v>
      </c>
    </row>
    <row r="45" spans="1:11" x14ac:dyDescent="0.25">
      <c r="A45" s="7">
        <v>42533</v>
      </c>
      <c r="B45" s="3">
        <v>69.47</v>
      </c>
      <c r="C45" s="3">
        <v>254.54</v>
      </c>
      <c r="D45" s="3">
        <v>14.99</v>
      </c>
      <c r="E45" s="3">
        <v>45.78</v>
      </c>
      <c r="F45" s="3">
        <v>60.7</v>
      </c>
      <c r="G45" s="3">
        <v>4.21</v>
      </c>
      <c r="H45" s="3">
        <v>124.9</v>
      </c>
      <c r="I45" s="3">
        <v>7</v>
      </c>
      <c r="J45" s="3">
        <v>2</v>
      </c>
      <c r="K45" s="3">
        <f t="shared" si="1"/>
        <v>9</v>
      </c>
    </row>
    <row r="46" spans="1:11" x14ac:dyDescent="0.25">
      <c r="A46" s="7">
        <v>42540</v>
      </c>
      <c r="B46" s="3">
        <v>66.099999999999994</v>
      </c>
      <c r="C46" s="3">
        <v>256.47000000000003</v>
      </c>
      <c r="D46" s="3">
        <v>14.06</v>
      </c>
      <c r="E46" s="3">
        <v>38.03</v>
      </c>
      <c r="F46" s="3">
        <v>62.2</v>
      </c>
      <c r="G46" s="3">
        <v>2.46</v>
      </c>
      <c r="H46" s="3">
        <v>128.5</v>
      </c>
      <c r="I46" s="3">
        <v>4</v>
      </c>
      <c r="J46" s="3">
        <v>7</v>
      </c>
      <c r="K46" s="3">
        <f t="shared" si="1"/>
        <v>11</v>
      </c>
    </row>
    <row r="47" spans="1:11" x14ac:dyDescent="0.25">
      <c r="A47" s="7">
        <v>42554</v>
      </c>
      <c r="B47" s="3">
        <v>65.7</v>
      </c>
      <c r="C47" s="3">
        <v>175.85</v>
      </c>
      <c r="D47" s="3">
        <v>14.12</v>
      </c>
      <c r="E47" s="3">
        <v>33.03</v>
      </c>
      <c r="F47" s="3">
        <v>64.900000000000006</v>
      </c>
      <c r="G47" s="3">
        <v>2.2400000000000002</v>
      </c>
      <c r="H47" s="3">
        <v>124.8</v>
      </c>
      <c r="I47" s="3">
        <v>9</v>
      </c>
      <c r="J47" s="3">
        <v>5</v>
      </c>
      <c r="K47" s="3">
        <f t="shared" si="1"/>
        <v>14</v>
      </c>
    </row>
    <row r="48" spans="1:11" x14ac:dyDescent="0.25">
      <c r="A48" s="7">
        <v>42561</v>
      </c>
      <c r="B48" s="3">
        <v>73.72</v>
      </c>
      <c r="C48" s="3">
        <v>255.53</v>
      </c>
      <c r="D48" s="3">
        <v>15.67</v>
      </c>
      <c r="E48" s="3">
        <v>32.25</v>
      </c>
      <c r="F48" s="3">
        <v>65.400000000000006</v>
      </c>
      <c r="G48" s="3">
        <v>2.7</v>
      </c>
      <c r="H48" s="3">
        <v>124.8</v>
      </c>
      <c r="I48" s="3">
        <v>2</v>
      </c>
      <c r="J48" s="3">
        <v>10</v>
      </c>
      <c r="K48" s="3">
        <f t="shared" si="1"/>
        <v>12</v>
      </c>
    </row>
    <row r="49" spans="1:14" x14ac:dyDescent="0.25">
      <c r="A49" s="7">
        <v>42568</v>
      </c>
      <c r="B49" s="3">
        <v>54.85</v>
      </c>
      <c r="C49" s="3">
        <v>105.42</v>
      </c>
      <c r="D49" s="3">
        <v>11.71</v>
      </c>
      <c r="E49" s="3">
        <v>37.479999999999997</v>
      </c>
      <c r="F49" s="3">
        <v>65.7</v>
      </c>
      <c r="G49" s="3">
        <v>1.87</v>
      </c>
      <c r="H49" s="3">
        <v>125.2</v>
      </c>
      <c r="I49" s="3">
        <v>12</v>
      </c>
      <c r="J49" s="3">
        <v>5</v>
      </c>
      <c r="K49" s="3">
        <f t="shared" si="1"/>
        <v>17</v>
      </c>
    </row>
    <row r="50" spans="1:14" x14ac:dyDescent="0.25">
      <c r="A50" s="7">
        <v>42575</v>
      </c>
      <c r="B50" s="3">
        <v>56.1</v>
      </c>
      <c r="C50" s="3">
        <v>104.89</v>
      </c>
      <c r="D50" s="3">
        <v>12.07</v>
      </c>
      <c r="E50" s="3">
        <v>43.11</v>
      </c>
      <c r="F50" s="3">
        <v>67.3</v>
      </c>
      <c r="G50" s="3">
        <v>0</v>
      </c>
      <c r="H50" s="3">
        <v>0</v>
      </c>
      <c r="I50" s="3">
        <v>7</v>
      </c>
      <c r="J50" s="3">
        <v>0</v>
      </c>
      <c r="K50" s="3">
        <f t="shared" si="1"/>
        <v>7</v>
      </c>
    </row>
    <row r="51" spans="1:14" x14ac:dyDescent="0.25">
      <c r="A51" s="7">
        <v>42582</v>
      </c>
      <c r="B51" s="3">
        <v>52.73</v>
      </c>
      <c r="C51" s="3">
        <v>121.94</v>
      </c>
      <c r="D51" s="3">
        <v>11.17</v>
      </c>
      <c r="E51" s="3">
        <v>37.85</v>
      </c>
      <c r="F51" s="3">
        <v>68.599999999999994</v>
      </c>
      <c r="G51" s="3">
        <v>2.06</v>
      </c>
      <c r="H51" s="3">
        <v>128.9</v>
      </c>
      <c r="I51" s="3">
        <v>5</v>
      </c>
      <c r="J51" s="3">
        <v>6</v>
      </c>
      <c r="K51" s="3">
        <f t="shared" si="1"/>
        <v>11</v>
      </c>
    </row>
    <row r="52" spans="1:14" x14ac:dyDescent="0.25">
      <c r="A52" s="7">
        <v>42589</v>
      </c>
      <c r="B52" s="3">
        <v>56.76</v>
      </c>
      <c r="C52" s="3">
        <v>103.19</v>
      </c>
      <c r="D52" s="3">
        <v>12.13</v>
      </c>
      <c r="E52" s="3">
        <v>44.88</v>
      </c>
      <c r="F52" s="3">
        <v>68.3</v>
      </c>
      <c r="G52" s="3">
        <v>0</v>
      </c>
      <c r="H52" s="3">
        <v>0</v>
      </c>
      <c r="I52" s="3">
        <v>6</v>
      </c>
      <c r="J52" s="3">
        <v>0</v>
      </c>
      <c r="K52" s="3">
        <f t="shared" si="1"/>
        <v>6</v>
      </c>
    </row>
    <row r="53" spans="1:14" x14ac:dyDescent="0.25">
      <c r="A53" s="7">
        <v>42596</v>
      </c>
      <c r="B53" s="3">
        <v>56.19</v>
      </c>
      <c r="C53" s="3">
        <v>125.25</v>
      </c>
      <c r="D53" s="3">
        <v>11.82</v>
      </c>
      <c r="E53" s="3">
        <v>39.700000000000003</v>
      </c>
      <c r="F53" s="3">
        <v>69.3</v>
      </c>
      <c r="G53" s="3">
        <v>2.17</v>
      </c>
      <c r="H53" s="3">
        <v>123.8</v>
      </c>
      <c r="I53" s="3">
        <v>8</v>
      </c>
      <c r="J53" s="3">
        <v>6</v>
      </c>
      <c r="K53" s="3">
        <f t="shared" si="1"/>
        <v>14</v>
      </c>
      <c r="L53" s="6"/>
      <c r="M53" s="6"/>
      <c r="N53" s="6"/>
    </row>
    <row r="54" spans="1:14" x14ac:dyDescent="0.25">
      <c r="B54" s="6"/>
      <c r="C54" s="6"/>
      <c r="D54" s="6"/>
      <c r="E54" s="6"/>
      <c r="F54" s="6"/>
      <c r="G54" s="6"/>
      <c r="H54" s="6"/>
      <c r="I54" s="6"/>
      <c r="J54" s="6"/>
      <c r="K54" s="6"/>
      <c r="L54" s="6"/>
      <c r="M54" s="6"/>
      <c r="N54" s="6"/>
    </row>
    <row r="55" spans="1:14" x14ac:dyDescent="0.25">
      <c r="B55" s="6"/>
      <c r="C55" s="6"/>
      <c r="D55" s="6"/>
      <c r="E55" s="6"/>
      <c r="F55" s="6"/>
      <c r="G55" s="6"/>
      <c r="H55" s="6"/>
      <c r="I55" s="6"/>
      <c r="J55" s="6"/>
      <c r="K55" s="6"/>
      <c r="L55" s="6"/>
      <c r="M55" s="6"/>
      <c r="N55" s="6"/>
    </row>
    <row r="56" spans="1:14" x14ac:dyDescent="0.25">
      <c r="B56" s="6"/>
      <c r="C56" s="6"/>
      <c r="D56" s="6"/>
      <c r="E56" s="6"/>
      <c r="F56" s="6"/>
      <c r="G56" s="6"/>
      <c r="H56" s="6"/>
      <c r="I56" s="6"/>
      <c r="J56" s="6"/>
      <c r="K56" s="6"/>
      <c r="L56" s="6"/>
      <c r="M56" s="6"/>
      <c r="N56" s="6"/>
    </row>
    <row r="57" spans="1:14" x14ac:dyDescent="0.25">
      <c r="B57" s="6"/>
      <c r="C57" s="6"/>
      <c r="D57" s="6"/>
      <c r="E57" s="6"/>
      <c r="F57" s="6"/>
      <c r="G57" s="6"/>
      <c r="H57" s="6"/>
      <c r="I57" s="6"/>
      <c r="J57" s="6"/>
      <c r="K57" s="6"/>
      <c r="L57" s="6"/>
      <c r="M57" s="6"/>
      <c r="N57" s="6"/>
    </row>
    <row r="58" spans="1:14" x14ac:dyDescent="0.25">
      <c r="B58" s="6"/>
      <c r="C58" s="6"/>
      <c r="D58" s="6"/>
      <c r="E58" s="6"/>
      <c r="F58" s="6"/>
      <c r="G58" s="6"/>
      <c r="H58" s="6"/>
      <c r="I58" s="6"/>
      <c r="J58" s="6"/>
      <c r="K58" s="6"/>
      <c r="L58" s="6"/>
      <c r="M58" s="6"/>
      <c r="N58" s="6"/>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sheetPr>
  <dimension ref="A1:P58"/>
  <sheetViews>
    <sheetView workbookViewId="0">
      <selection activeCell="N10" sqref="N10"/>
    </sheetView>
  </sheetViews>
  <sheetFormatPr defaultRowHeight="15" x14ac:dyDescent="0.25"/>
  <cols>
    <col min="1" max="1" width="11.7109375" customWidth="1"/>
    <col min="5" max="5" width="19" customWidth="1"/>
    <col min="6" max="6" width="19.7109375" customWidth="1"/>
    <col min="7" max="7" width="18.42578125" customWidth="1"/>
    <col min="8" max="8" width="18.5703125" customWidth="1"/>
    <col min="9" max="9" width="14.140625" customWidth="1"/>
    <col min="10" max="10" width="11.5703125" bestFit="1" customWidth="1"/>
    <col min="13" max="13" width="40.85546875" customWidth="1"/>
  </cols>
  <sheetData>
    <row r="1" spans="1:16" x14ac:dyDescent="0.25">
      <c r="A1" t="s">
        <v>57</v>
      </c>
    </row>
    <row r="2" spans="1:16" x14ac:dyDescent="0.25">
      <c r="A2" t="s">
        <v>67</v>
      </c>
      <c r="B2" t="s">
        <v>68</v>
      </c>
      <c r="C2" t="s">
        <v>69</v>
      </c>
      <c r="D2" t="s">
        <v>70</v>
      </c>
      <c r="E2" t="s">
        <v>66</v>
      </c>
      <c r="F2" s="19" t="s">
        <v>71</v>
      </c>
      <c r="H2" s="19"/>
      <c r="I2" s="6" t="s">
        <v>72</v>
      </c>
    </row>
    <row r="3" spans="1:16" x14ac:dyDescent="0.25">
      <c r="A3" s="6" t="s">
        <v>62</v>
      </c>
      <c r="B3" s="6" t="s">
        <v>94</v>
      </c>
      <c r="C3" s="6" t="s">
        <v>95</v>
      </c>
      <c r="D3" s="6" t="s">
        <v>96</v>
      </c>
      <c r="E3" s="6">
        <v>4</v>
      </c>
      <c r="F3" s="6">
        <v>130</v>
      </c>
    </row>
    <row r="4" spans="1:16" x14ac:dyDescent="0.25">
      <c r="A4" s="6"/>
      <c r="B4" s="6"/>
      <c r="C4" s="6"/>
      <c r="D4" s="6"/>
      <c r="E4" s="6"/>
      <c r="F4" s="6"/>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AVERAGE(G9:G11,G13)</f>
        <v>1.3625</v>
      </c>
      <c r="O6" s="8">
        <f xml:space="preserve"> AVERAGE(G15:G16)</f>
        <v>0</v>
      </c>
      <c r="P6" s="8"/>
    </row>
    <row r="7" spans="1:16" x14ac:dyDescent="0.25">
      <c r="A7" s="1"/>
      <c r="E7" s="6" t="s">
        <v>59</v>
      </c>
      <c r="M7" t="s">
        <v>48</v>
      </c>
      <c r="N7" s="8">
        <f>AVERAGE(E9:E13)</f>
        <v>16.097999999999999</v>
      </c>
      <c r="O7" s="8">
        <f>AVERAGE(E15:E16)</f>
        <v>13.43</v>
      </c>
      <c r="P7" s="8"/>
    </row>
    <row r="8" spans="1:16" x14ac:dyDescent="0.25">
      <c r="A8" s="1">
        <v>42274</v>
      </c>
      <c r="B8">
        <v>76.03</v>
      </c>
      <c r="C8">
        <v>100.5</v>
      </c>
      <c r="D8">
        <v>0</v>
      </c>
      <c r="E8">
        <v>13.47</v>
      </c>
      <c r="F8">
        <v>54.9</v>
      </c>
      <c r="G8">
        <v>1.87</v>
      </c>
      <c r="H8">
        <v>138.9</v>
      </c>
      <c r="I8">
        <v>1</v>
      </c>
      <c r="J8">
        <v>2</v>
      </c>
      <c r="K8" s="6">
        <f>SUM(I8:J8)</f>
        <v>3</v>
      </c>
      <c r="M8" t="s">
        <v>47</v>
      </c>
      <c r="N8" s="8">
        <v>0</v>
      </c>
      <c r="O8" s="8">
        <f>AVERAGE(D15:D16)</f>
        <v>0.52500000000000002</v>
      </c>
      <c r="P8" s="8"/>
    </row>
    <row r="9" spans="1:16" x14ac:dyDescent="0.25">
      <c r="A9" s="4">
        <v>42281</v>
      </c>
      <c r="B9" s="2">
        <v>55.33</v>
      </c>
      <c r="C9" s="2">
        <v>71.78</v>
      </c>
      <c r="D9" s="2">
        <v>0</v>
      </c>
      <c r="E9" s="2">
        <v>15.65</v>
      </c>
      <c r="F9" s="2">
        <v>54.5</v>
      </c>
      <c r="G9" s="2">
        <v>0.86</v>
      </c>
      <c r="H9" s="2">
        <v>138.6</v>
      </c>
      <c r="I9" s="2">
        <v>0</v>
      </c>
      <c r="J9" s="2">
        <v>10</v>
      </c>
      <c r="K9" s="2">
        <f t="shared" ref="K9:K14" si="0">SUM(I9:J9)</f>
        <v>10</v>
      </c>
      <c r="M9" t="s">
        <v>46</v>
      </c>
      <c r="N9" s="8">
        <f>AVERAGE(I9:I13)</f>
        <v>2.6</v>
      </c>
      <c r="O9" s="8">
        <f>AVERAGE(I15:I16)</f>
        <v>11.5</v>
      </c>
      <c r="P9" s="8"/>
    </row>
    <row r="10" spans="1:16" x14ac:dyDescent="0.25">
      <c r="A10" s="4">
        <v>42288</v>
      </c>
      <c r="B10" s="2">
        <v>57.3</v>
      </c>
      <c r="C10" s="2">
        <v>63.04</v>
      </c>
      <c r="D10" s="2">
        <v>0</v>
      </c>
      <c r="E10" s="2">
        <v>12.87</v>
      </c>
      <c r="F10" s="2">
        <v>53.9</v>
      </c>
      <c r="G10" s="2">
        <v>1.71</v>
      </c>
      <c r="H10" s="2">
        <v>142</v>
      </c>
      <c r="I10" s="2">
        <v>0</v>
      </c>
      <c r="J10" s="2">
        <v>10</v>
      </c>
      <c r="K10" s="2">
        <f t="shared" si="0"/>
        <v>10</v>
      </c>
      <c r="M10" t="s">
        <v>45</v>
      </c>
      <c r="N10" s="8">
        <f>AVERAGE(J9:J13)</f>
        <v>7.8</v>
      </c>
      <c r="O10" s="8">
        <f>AVERAGE(J15:J516)</f>
        <v>0</v>
      </c>
      <c r="P10" s="8"/>
    </row>
    <row r="11" spans="1:16" x14ac:dyDescent="0.25">
      <c r="A11" s="4">
        <v>42295</v>
      </c>
      <c r="B11" s="2">
        <v>57.35</v>
      </c>
      <c r="C11" s="2">
        <v>74.38</v>
      </c>
      <c r="D11" s="2">
        <v>0.27</v>
      </c>
      <c r="E11" s="2">
        <v>16.88</v>
      </c>
      <c r="F11" s="2">
        <v>53.8</v>
      </c>
      <c r="G11" s="2">
        <v>1.85</v>
      </c>
      <c r="H11" s="2">
        <v>141.1</v>
      </c>
      <c r="I11" s="2">
        <v>7</v>
      </c>
      <c r="J11" s="2">
        <v>7</v>
      </c>
      <c r="K11" s="2">
        <f t="shared" si="0"/>
        <v>14</v>
      </c>
      <c r="M11" t="s">
        <v>44</v>
      </c>
      <c r="N11" s="8">
        <f>SUM(N9:N10)</f>
        <v>10.4</v>
      </c>
      <c r="O11" s="8">
        <f>SUM(O9:O10)</f>
        <v>11.5</v>
      </c>
      <c r="P11" s="8"/>
    </row>
    <row r="12" spans="1:16" x14ac:dyDescent="0.25">
      <c r="A12" s="4">
        <v>42302</v>
      </c>
      <c r="B12" s="2">
        <v>54.09</v>
      </c>
      <c r="C12" s="2">
        <v>65.81</v>
      </c>
      <c r="D12" s="2">
        <v>0</v>
      </c>
      <c r="E12" s="2">
        <v>19.04</v>
      </c>
      <c r="F12" s="2">
        <v>53.7</v>
      </c>
      <c r="G12" s="2">
        <v>0</v>
      </c>
      <c r="H12" s="2">
        <v>0</v>
      </c>
      <c r="I12" s="2">
        <v>6</v>
      </c>
      <c r="J12" s="2">
        <v>0</v>
      </c>
      <c r="K12" s="2">
        <f t="shared" si="0"/>
        <v>6</v>
      </c>
      <c r="M12" t="s">
        <v>42</v>
      </c>
      <c r="N12" s="14">
        <f>N10/N11</f>
        <v>0.75</v>
      </c>
      <c r="O12" s="14">
        <f>O10/O11</f>
        <v>0</v>
      </c>
      <c r="P12" s="8"/>
    </row>
    <row r="13" spans="1:16" x14ac:dyDescent="0.25">
      <c r="A13" s="4">
        <v>42309</v>
      </c>
      <c r="B13" s="2">
        <v>55.83</v>
      </c>
      <c r="C13" s="2">
        <v>68.84</v>
      </c>
      <c r="D13" s="2">
        <v>0</v>
      </c>
      <c r="E13" s="2">
        <v>16.05</v>
      </c>
      <c r="F13" s="2">
        <v>53.6</v>
      </c>
      <c r="G13" s="2">
        <v>1.03</v>
      </c>
      <c r="H13" s="2">
        <v>142.30000000000001</v>
      </c>
      <c r="I13" s="2">
        <v>0</v>
      </c>
      <c r="J13" s="2">
        <v>12</v>
      </c>
      <c r="K13" s="2">
        <f t="shared" si="0"/>
        <v>12</v>
      </c>
      <c r="M13" t="s">
        <v>43</v>
      </c>
      <c r="N13" s="8">
        <f>AVERAGE(K9:K16)</f>
        <v>10.75</v>
      </c>
      <c r="O13" s="8">
        <f>AVERAGE(K9:K16)</f>
        <v>10.75</v>
      </c>
      <c r="P13" s="8"/>
    </row>
    <row r="14" spans="1:16" x14ac:dyDescent="0.25">
      <c r="A14" s="5">
        <v>42316</v>
      </c>
      <c r="B14" s="6">
        <v>61.62</v>
      </c>
      <c r="C14" s="6">
        <v>84.89</v>
      </c>
      <c r="D14" s="6">
        <v>0.64</v>
      </c>
      <c r="E14" s="6">
        <v>16.47</v>
      </c>
      <c r="F14" s="6">
        <v>53.8</v>
      </c>
      <c r="G14" s="6">
        <v>1.23</v>
      </c>
      <c r="H14" s="6">
        <v>137.5</v>
      </c>
      <c r="I14" s="6">
        <v>9</v>
      </c>
      <c r="J14" s="6">
        <v>2</v>
      </c>
      <c r="K14" s="6">
        <f t="shared" si="0"/>
        <v>11</v>
      </c>
      <c r="N14" s="8"/>
      <c r="O14" s="8"/>
      <c r="P14" s="8"/>
    </row>
    <row r="15" spans="1:16" x14ac:dyDescent="0.25">
      <c r="A15" s="7">
        <v>42323</v>
      </c>
      <c r="B15" s="3">
        <v>52.58</v>
      </c>
      <c r="C15" s="3">
        <v>60.38</v>
      </c>
      <c r="D15" s="3">
        <v>0.49</v>
      </c>
      <c r="E15" s="3">
        <v>13.8</v>
      </c>
      <c r="F15" s="3">
        <v>53.6</v>
      </c>
      <c r="G15" s="3">
        <v>0</v>
      </c>
      <c r="H15" s="3">
        <v>0</v>
      </c>
      <c r="I15" s="3">
        <v>11</v>
      </c>
      <c r="J15" s="3">
        <v>0</v>
      </c>
      <c r="K15" s="3">
        <f>SUM(I15:J15)</f>
        <v>11</v>
      </c>
      <c r="O15" s="8"/>
      <c r="P15" s="8"/>
    </row>
    <row r="16" spans="1:16" x14ac:dyDescent="0.25">
      <c r="A16" s="7">
        <v>42330</v>
      </c>
      <c r="B16" s="3">
        <v>54.5</v>
      </c>
      <c r="C16" s="3">
        <v>66.69</v>
      </c>
      <c r="D16" s="3">
        <v>0.56000000000000005</v>
      </c>
      <c r="E16" s="3">
        <v>13.06</v>
      </c>
      <c r="F16" s="3">
        <v>53.2</v>
      </c>
      <c r="G16" s="3">
        <v>0</v>
      </c>
      <c r="H16" s="3">
        <v>0</v>
      </c>
      <c r="I16" s="3">
        <v>12</v>
      </c>
      <c r="J16" s="3">
        <v>0</v>
      </c>
      <c r="K16" s="3">
        <f>SUM(I16:J16)</f>
        <v>12</v>
      </c>
      <c r="M16" t="s">
        <v>20</v>
      </c>
      <c r="N16" s="9">
        <v>0.77</v>
      </c>
      <c r="O16" s="8"/>
      <c r="P16" s="8"/>
    </row>
    <row r="17" spans="1:16" x14ac:dyDescent="0.25">
      <c r="A17" s="5">
        <v>42337</v>
      </c>
      <c r="B17" s="6">
        <v>60.85</v>
      </c>
      <c r="C17" s="6">
        <v>91.5</v>
      </c>
      <c r="D17" s="6">
        <v>0.63</v>
      </c>
      <c r="E17" s="6">
        <v>14.68</v>
      </c>
      <c r="F17" s="6">
        <v>52.7</v>
      </c>
      <c r="G17" s="6">
        <v>0</v>
      </c>
      <c r="H17" s="6">
        <v>0</v>
      </c>
      <c r="I17" s="6">
        <v>1</v>
      </c>
      <c r="J17" s="6">
        <v>0</v>
      </c>
      <c r="K17" s="6">
        <f>SUM(I17:J17)</f>
        <v>1</v>
      </c>
      <c r="M17" t="s">
        <v>21</v>
      </c>
      <c r="N17" s="9">
        <v>0.125</v>
      </c>
      <c r="O17" s="8"/>
      <c r="P17" s="8"/>
    </row>
    <row r="18" spans="1:16" x14ac:dyDescent="0.25">
      <c r="A18" s="5"/>
      <c r="B18" s="6"/>
      <c r="C18" s="6"/>
      <c r="D18" s="6"/>
      <c r="E18" s="6"/>
      <c r="F18" s="6"/>
      <c r="G18" s="6"/>
      <c r="H18" s="6"/>
      <c r="I18" s="6"/>
      <c r="J18" s="6"/>
      <c r="K18" s="6"/>
      <c r="M18" t="s">
        <v>16</v>
      </c>
      <c r="N18" s="8">
        <f>AVERAGE(H9:H11,H13)</f>
        <v>141</v>
      </c>
      <c r="O18" s="8"/>
      <c r="P18" s="8"/>
    </row>
    <row r="19" spans="1:16" x14ac:dyDescent="0.25">
      <c r="A19" s="5"/>
      <c r="B19" s="6"/>
      <c r="C19" s="6"/>
      <c r="D19" s="6"/>
      <c r="E19" s="6"/>
      <c r="F19" s="6"/>
      <c r="G19" s="6"/>
      <c r="H19" s="6"/>
      <c r="I19" s="6"/>
      <c r="J19" s="6"/>
      <c r="K19" s="6"/>
      <c r="M19" t="s">
        <v>17</v>
      </c>
      <c r="N19" s="8">
        <v>54</v>
      </c>
      <c r="O19" s="8"/>
      <c r="P19" s="8"/>
    </row>
    <row r="20" spans="1:16" x14ac:dyDescent="0.25">
      <c r="A20" s="5"/>
      <c r="B20" s="6"/>
      <c r="C20" s="6"/>
      <c r="D20" s="6"/>
      <c r="E20" s="6"/>
      <c r="F20" s="6"/>
      <c r="G20" s="6"/>
      <c r="H20" s="6"/>
      <c r="I20" s="6"/>
      <c r="J20" s="6"/>
      <c r="K20" s="6"/>
      <c r="M20" t="s">
        <v>19</v>
      </c>
      <c r="N20" s="8">
        <f>($N6*8.33*(N13*N12)*(N18-N19)/0.58*52/100000)-$O6*8.33*(O13*O12)*(N18-N19)/0.58*52/100000</f>
        <v>7.1374954218750002</v>
      </c>
      <c r="O20" s="8"/>
      <c r="P20" s="8"/>
    </row>
    <row r="21" spans="1:16" x14ac:dyDescent="0.25">
      <c r="A21" s="5"/>
      <c r="C21" s="6"/>
      <c r="D21" s="6"/>
      <c r="E21" s="6"/>
      <c r="F21" s="6"/>
      <c r="G21" s="6"/>
      <c r="H21" s="6"/>
      <c r="I21" s="6"/>
      <c r="J21" s="6"/>
      <c r="K21" s="6"/>
      <c r="M21" t="s">
        <v>18</v>
      </c>
      <c r="N21" s="8">
        <f>$N6*8.33*(N13*N12)*(N18-N19)/0.58*52/100000</f>
        <v>7.1374954218750002</v>
      </c>
      <c r="O21" s="8"/>
    </row>
    <row r="22" spans="1:16" x14ac:dyDescent="0.25">
      <c r="A22" s="5"/>
      <c r="B22" s="6"/>
      <c r="C22" s="6"/>
      <c r="D22" s="6"/>
      <c r="E22" s="6"/>
      <c r="F22" s="6"/>
      <c r="G22" s="6"/>
      <c r="H22" s="6"/>
      <c r="I22" s="6"/>
      <c r="J22" s="6"/>
      <c r="K22" s="6"/>
      <c r="M22" t="s">
        <v>22</v>
      </c>
      <c r="N22" s="10">
        <f>N20*N16</f>
        <v>5.4958714748437503</v>
      </c>
    </row>
    <row r="23" spans="1:16" x14ac:dyDescent="0.25">
      <c r="A23" s="5"/>
      <c r="B23" s="6"/>
      <c r="C23" s="6"/>
      <c r="D23" s="6"/>
      <c r="E23" s="6"/>
      <c r="F23" s="6"/>
      <c r="G23" s="6"/>
      <c r="H23" s="6"/>
      <c r="I23" s="6"/>
      <c r="J23" s="6"/>
      <c r="K23" s="6"/>
      <c r="M23" t="s">
        <v>23</v>
      </c>
      <c r="N23" s="10">
        <f>N21*N16</f>
        <v>5.4958714748437503</v>
      </c>
    </row>
    <row r="24" spans="1:16" x14ac:dyDescent="0.25">
      <c r="A24" s="5"/>
      <c r="B24" s="6"/>
      <c r="C24" s="6"/>
      <c r="D24" s="6"/>
      <c r="E24" s="6"/>
      <c r="F24" s="6"/>
      <c r="G24" s="6"/>
      <c r="H24" s="6"/>
      <c r="I24" s="6"/>
      <c r="J24" s="6"/>
      <c r="K24" s="6"/>
      <c r="M24" t="s">
        <v>24</v>
      </c>
      <c r="N24" s="11">
        <f>O8*N13*52/1000</f>
        <v>0.29347499999999999</v>
      </c>
    </row>
    <row r="25" spans="1:16" x14ac:dyDescent="0.25">
      <c r="A25" s="5"/>
      <c r="B25" s="6"/>
      <c r="C25" s="6"/>
      <c r="D25" s="6"/>
      <c r="E25" s="6"/>
      <c r="F25" s="6"/>
      <c r="G25" s="6"/>
      <c r="H25" s="6"/>
      <c r="I25" s="6"/>
      <c r="J25" s="6"/>
      <c r="K25" s="6"/>
      <c r="M25" t="s">
        <v>25</v>
      </c>
      <c r="N25" s="12">
        <f>N17*N24</f>
        <v>3.6684374999999998E-2</v>
      </c>
    </row>
    <row r="26" spans="1:16" x14ac:dyDescent="0.25">
      <c r="A26" s="5"/>
      <c r="B26" s="6"/>
      <c r="C26" s="6"/>
      <c r="D26" s="6"/>
      <c r="E26" s="6"/>
      <c r="F26" s="6"/>
      <c r="G26" s="6"/>
      <c r="H26" s="6"/>
      <c r="I26" s="6"/>
      <c r="J26" s="6"/>
      <c r="K26" s="6"/>
    </row>
    <row r="27" spans="1:16" x14ac:dyDescent="0.25">
      <c r="A27" s="5"/>
      <c r="B27" s="6"/>
      <c r="C27" s="6"/>
      <c r="D27" s="6"/>
      <c r="E27" s="6"/>
      <c r="F27" s="6"/>
      <c r="G27" s="6"/>
      <c r="H27" s="6"/>
      <c r="I27" s="6"/>
      <c r="J27" s="6"/>
      <c r="K27" s="6"/>
      <c r="M27" t="s">
        <v>35</v>
      </c>
      <c r="N27" s="9">
        <v>0.16</v>
      </c>
    </row>
    <row r="28" spans="1:16" x14ac:dyDescent="0.25">
      <c r="A28" s="5"/>
      <c r="B28" s="6"/>
      <c r="C28" s="6"/>
      <c r="D28" s="6"/>
      <c r="E28" s="6"/>
      <c r="F28" s="6"/>
      <c r="G28" s="6"/>
      <c r="H28" s="6"/>
      <c r="I28" s="6"/>
      <c r="J28" s="6"/>
      <c r="K28" s="6"/>
      <c r="M28" t="s">
        <v>36</v>
      </c>
      <c r="N28" s="10">
        <f>N13*N27*52</f>
        <v>89.44</v>
      </c>
    </row>
    <row r="29" spans="1:16" x14ac:dyDescent="0.25">
      <c r="A29" s="5"/>
      <c r="B29" s="6"/>
      <c r="C29" s="6"/>
      <c r="D29" s="6"/>
      <c r="E29" s="6"/>
      <c r="F29" s="6"/>
      <c r="G29" s="6"/>
      <c r="H29" s="6"/>
      <c r="I29" s="6"/>
      <c r="J29" s="6"/>
      <c r="K29" s="6"/>
    </row>
    <row r="30" spans="1:16" x14ac:dyDescent="0.25">
      <c r="A30" s="5"/>
      <c r="B30" s="6"/>
      <c r="C30" s="6"/>
      <c r="D30" s="6"/>
      <c r="E30" s="6"/>
      <c r="F30" s="6"/>
      <c r="G30" s="6"/>
      <c r="H30" s="6"/>
      <c r="I30" s="6"/>
      <c r="J30" s="6"/>
      <c r="K30" s="6"/>
      <c r="M30" t="s">
        <v>37</v>
      </c>
      <c r="N30" s="12">
        <v>300</v>
      </c>
    </row>
    <row r="31" spans="1:16" x14ac:dyDescent="0.25">
      <c r="A31" s="5"/>
      <c r="B31" s="6"/>
      <c r="C31" s="6"/>
      <c r="D31" s="6"/>
      <c r="E31" s="6"/>
      <c r="F31" s="6"/>
      <c r="G31" s="6"/>
      <c r="H31" s="6"/>
      <c r="I31" s="6"/>
      <c r="J31" s="6"/>
      <c r="K31" s="6"/>
      <c r="M31" t="s">
        <v>38</v>
      </c>
      <c r="N31" s="13">
        <f>N30/(SUM(N28,N22)-N25)</f>
        <v>3.161249418125879</v>
      </c>
    </row>
    <row r="32" spans="1:16" x14ac:dyDescent="0.25">
      <c r="A32" s="5"/>
      <c r="B32" s="6"/>
      <c r="C32" s="6"/>
      <c r="D32" s="6"/>
      <c r="E32" s="6"/>
      <c r="F32" s="6"/>
      <c r="G32" s="6"/>
      <c r="H32" s="6"/>
      <c r="I32" s="6"/>
      <c r="J32" s="6"/>
      <c r="K32" s="6"/>
    </row>
    <row r="33" spans="1:11" x14ac:dyDescent="0.25">
      <c r="A33" s="5"/>
      <c r="B33" s="6"/>
      <c r="C33" s="6"/>
      <c r="D33" s="6"/>
      <c r="E33" s="6"/>
      <c r="F33" s="6"/>
      <c r="G33" s="6"/>
      <c r="H33" s="6"/>
      <c r="I33" s="6"/>
      <c r="J33" s="6"/>
      <c r="K33" s="6"/>
    </row>
    <row r="34" spans="1:11" x14ac:dyDescent="0.25">
      <c r="A34" s="5"/>
      <c r="B34" s="6"/>
      <c r="C34" s="6"/>
      <c r="D34" s="6"/>
      <c r="E34" s="6"/>
      <c r="F34" s="6"/>
      <c r="G34" s="6"/>
      <c r="H34" s="6"/>
      <c r="I34" s="6"/>
      <c r="J34" s="6"/>
      <c r="K34" s="6"/>
    </row>
    <row r="35" spans="1:11" x14ac:dyDescent="0.25">
      <c r="A35" s="5"/>
      <c r="B35" s="6"/>
      <c r="C35" s="6"/>
      <c r="D35" s="6"/>
      <c r="E35" s="6"/>
      <c r="F35" s="6"/>
      <c r="G35" s="6"/>
      <c r="H35" s="6"/>
      <c r="I35" s="6"/>
      <c r="J35" s="6"/>
      <c r="K35" s="6"/>
    </row>
    <row r="36" spans="1:11" x14ac:dyDescent="0.25">
      <c r="A36" s="5"/>
      <c r="B36" s="6"/>
      <c r="C36" s="6"/>
      <c r="D36" s="6"/>
      <c r="E36" s="6"/>
      <c r="F36" s="6"/>
      <c r="G36" s="6"/>
      <c r="H36" s="6"/>
      <c r="I36" s="6"/>
      <c r="J36" s="6"/>
      <c r="K36" s="6"/>
    </row>
    <row r="37" spans="1:11" x14ac:dyDescent="0.25">
      <c r="A37" s="5"/>
      <c r="B37" s="6"/>
      <c r="C37" s="6"/>
      <c r="D37" s="6"/>
      <c r="E37" s="6"/>
      <c r="F37" s="6"/>
      <c r="G37" s="6"/>
      <c r="H37" s="6"/>
      <c r="I37" s="6"/>
      <c r="J37" s="6"/>
      <c r="K37" s="6"/>
    </row>
    <row r="38" spans="1:11" x14ac:dyDescent="0.25">
      <c r="A38" s="5"/>
      <c r="B38" s="6"/>
      <c r="C38" s="6"/>
      <c r="D38" s="6"/>
      <c r="E38" s="6"/>
      <c r="F38" s="6"/>
      <c r="G38" s="6"/>
      <c r="H38" s="6"/>
      <c r="I38" s="6"/>
      <c r="J38" s="6"/>
      <c r="K38" s="6"/>
    </row>
    <row r="39" spans="1:11" x14ac:dyDescent="0.25">
      <c r="A39" s="5"/>
      <c r="B39" s="6"/>
      <c r="C39" s="6"/>
      <c r="D39" s="6"/>
      <c r="E39" s="6"/>
      <c r="F39" s="6"/>
      <c r="G39" s="6"/>
      <c r="H39" s="6"/>
      <c r="I39" s="6"/>
      <c r="J39" s="6"/>
      <c r="K39" s="6"/>
    </row>
    <row r="40" spans="1:11" x14ac:dyDescent="0.25">
      <c r="A40" s="5"/>
      <c r="B40" s="6"/>
      <c r="C40" s="6"/>
      <c r="D40" s="6"/>
      <c r="E40" s="6"/>
      <c r="F40" s="6"/>
      <c r="G40" s="6"/>
      <c r="H40" s="6"/>
      <c r="I40" s="6"/>
      <c r="J40" s="6"/>
      <c r="K40" s="6"/>
    </row>
    <row r="41" spans="1:11" x14ac:dyDescent="0.25">
      <c r="A41" s="5"/>
      <c r="B41" s="6"/>
      <c r="C41" s="6"/>
      <c r="D41" s="6"/>
      <c r="E41" s="6"/>
      <c r="F41" s="6"/>
      <c r="G41" s="6"/>
      <c r="H41" s="6"/>
      <c r="I41" s="6"/>
      <c r="J41" s="6"/>
      <c r="K41" s="6"/>
    </row>
    <row r="42" spans="1:11" x14ac:dyDescent="0.25">
      <c r="A42" s="5"/>
      <c r="B42" s="6"/>
      <c r="C42" s="6"/>
      <c r="D42" s="6"/>
      <c r="E42" s="6"/>
      <c r="F42" s="6"/>
      <c r="G42" s="6"/>
      <c r="H42" s="6"/>
      <c r="I42" s="6"/>
      <c r="J42" s="6"/>
      <c r="K42" s="6"/>
    </row>
    <row r="43" spans="1:11" x14ac:dyDescent="0.25">
      <c r="A43" s="5"/>
      <c r="B43" s="6"/>
      <c r="C43" s="6"/>
      <c r="D43" s="6"/>
      <c r="E43" s="6"/>
      <c r="F43" s="6"/>
      <c r="G43" s="6"/>
      <c r="H43" s="6"/>
      <c r="I43" s="6"/>
      <c r="J43" s="6"/>
      <c r="K43" s="6"/>
    </row>
    <row r="44" spans="1:11" x14ac:dyDescent="0.25">
      <c r="A44" s="5"/>
      <c r="B44" s="6"/>
      <c r="C44" s="6"/>
      <c r="D44" s="6"/>
      <c r="E44" s="6"/>
      <c r="F44" s="6"/>
      <c r="G44" s="6"/>
      <c r="H44" s="6"/>
      <c r="I44" s="6"/>
      <c r="J44" s="6"/>
      <c r="K44" s="6"/>
    </row>
    <row r="45" spans="1:11" x14ac:dyDescent="0.25">
      <c r="A45" s="5"/>
      <c r="B45" s="6"/>
      <c r="C45" s="6"/>
      <c r="D45" s="6"/>
      <c r="E45" s="6"/>
      <c r="F45" s="6"/>
      <c r="G45" s="6"/>
      <c r="H45" s="6"/>
      <c r="I45" s="6"/>
      <c r="J45" s="6"/>
      <c r="K45" s="6"/>
    </row>
    <row r="46" spans="1:11" x14ac:dyDescent="0.25">
      <c r="A46" s="5"/>
      <c r="B46" s="6"/>
      <c r="C46" s="6"/>
      <c r="D46" s="6"/>
      <c r="E46" s="6"/>
      <c r="F46" s="6"/>
      <c r="G46" s="6"/>
      <c r="H46" s="6"/>
      <c r="I46" s="6"/>
      <c r="J46" s="6"/>
      <c r="K46" s="6"/>
    </row>
    <row r="47" spans="1:11" x14ac:dyDescent="0.25">
      <c r="A47" s="5"/>
      <c r="B47" s="6"/>
      <c r="C47" s="6"/>
      <c r="D47" s="6"/>
      <c r="E47" s="6"/>
      <c r="F47" s="6"/>
      <c r="G47" s="6"/>
      <c r="H47" s="6"/>
      <c r="I47" s="6"/>
      <c r="J47" s="6"/>
      <c r="K47" s="6"/>
    </row>
    <row r="48" spans="1:11" x14ac:dyDescent="0.25">
      <c r="A48" s="5"/>
      <c r="B48" s="6"/>
      <c r="C48" s="6"/>
      <c r="D48" s="6"/>
      <c r="E48" s="6"/>
      <c r="F48" s="6"/>
      <c r="G48" s="6"/>
      <c r="H48" s="6"/>
      <c r="I48" s="6"/>
      <c r="J48" s="6"/>
      <c r="K48" s="6"/>
    </row>
    <row r="49" spans="1:14" x14ac:dyDescent="0.25">
      <c r="A49" s="5"/>
      <c r="B49" s="6"/>
      <c r="C49" s="6"/>
      <c r="D49" s="6"/>
      <c r="E49" s="6"/>
      <c r="F49" s="6"/>
      <c r="G49" s="6"/>
      <c r="H49" s="6"/>
      <c r="I49" s="6"/>
      <c r="J49" s="6"/>
      <c r="K49" s="6"/>
    </row>
    <row r="50" spans="1:14" x14ac:dyDescent="0.25">
      <c r="A50" s="5"/>
      <c r="B50" s="6"/>
      <c r="C50" s="6"/>
      <c r="D50" s="6"/>
      <c r="E50" s="6"/>
      <c r="F50" s="6"/>
      <c r="G50" s="6"/>
      <c r="H50" s="6"/>
      <c r="I50" s="6"/>
      <c r="J50" s="6"/>
      <c r="K50" s="6"/>
    </row>
    <row r="51" spans="1:14" x14ac:dyDescent="0.25">
      <c r="A51" s="5"/>
      <c r="B51" s="6"/>
      <c r="C51" s="6"/>
      <c r="D51" s="6"/>
      <c r="E51" s="6"/>
      <c r="F51" s="6"/>
      <c r="G51" s="6"/>
      <c r="H51" s="6"/>
      <c r="I51" s="6"/>
      <c r="J51" s="6"/>
      <c r="K51" s="6"/>
    </row>
    <row r="52" spans="1:14" x14ac:dyDescent="0.25">
      <c r="A52" s="5"/>
      <c r="B52" s="6"/>
      <c r="C52" s="6"/>
      <c r="D52" s="6"/>
      <c r="E52" s="6"/>
      <c r="F52" s="6"/>
      <c r="G52" s="6"/>
      <c r="H52" s="6"/>
      <c r="I52" s="6"/>
      <c r="J52" s="6"/>
      <c r="K52" s="6"/>
    </row>
    <row r="53" spans="1:14" x14ac:dyDescent="0.25">
      <c r="A53" s="5"/>
      <c r="B53" s="6"/>
      <c r="C53" s="6"/>
      <c r="D53" s="6"/>
      <c r="E53" s="6"/>
      <c r="F53" s="6"/>
      <c r="G53" s="6"/>
      <c r="H53" s="6"/>
      <c r="I53" s="6"/>
      <c r="J53" s="6"/>
      <c r="K53" s="6"/>
      <c r="L53" s="6"/>
      <c r="M53" s="6"/>
      <c r="N53" s="6"/>
    </row>
    <row r="54" spans="1:14" x14ac:dyDescent="0.25">
      <c r="B54" s="6"/>
      <c r="C54" s="6"/>
      <c r="D54" s="6"/>
      <c r="E54" s="6"/>
      <c r="F54" s="6"/>
      <c r="G54" s="6"/>
      <c r="H54" s="6"/>
      <c r="I54" s="6"/>
      <c r="J54" s="6"/>
      <c r="K54" s="6"/>
      <c r="L54" s="6"/>
      <c r="M54" s="6"/>
      <c r="N54" s="6"/>
    </row>
    <row r="55" spans="1:14" x14ac:dyDescent="0.25">
      <c r="B55" s="6"/>
      <c r="C55" s="6"/>
      <c r="D55" s="6"/>
      <c r="E55" s="6"/>
      <c r="F55" s="6"/>
      <c r="G55" s="6"/>
      <c r="H55" s="6"/>
      <c r="I55" s="6"/>
      <c r="J55" s="6"/>
      <c r="K55" s="6"/>
      <c r="L55" s="6"/>
      <c r="M55" s="6"/>
      <c r="N55" s="6"/>
    </row>
    <row r="56" spans="1:14" x14ac:dyDescent="0.25">
      <c r="B56" s="6"/>
      <c r="C56" s="6"/>
      <c r="D56" s="6"/>
      <c r="E56" s="6"/>
      <c r="F56" s="6"/>
      <c r="G56" s="6"/>
      <c r="H56" s="6"/>
      <c r="I56" s="6"/>
      <c r="J56" s="6"/>
      <c r="K56" s="6"/>
      <c r="L56" s="6"/>
      <c r="M56" s="6"/>
      <c r="N56" s="6"/>
    </row>
    <row r="57" spans="1:14" x14ac:dyDescent="0.25">
      <c r="B57" s="6"/>
      <c r="C57" s="6"/>
      <c r="D57" s="6"/>
      <c r="E57" s="6"/>
      <c r="F57" s="6"/>
      <c r="G57" s="6"/>
      <c r="H57" s="6"/>
      <c r="I57" s="6"/>
      <c r="J57" s="6"/>
      <c r="K57" s="6"/>
      <c r="L57" s="6"/>
      <c r="M57" s="6"/>
      <c r="N57" s="6"/>
    </row>
    <row r="58" spans="1:14" x14ac:dyDescent="0.25">
      <c r="B58" s="6"/>
      <c r="C58" s="6"/>
      <c r="D58" s="6"/>
      <c r="E58" s="6"/>
      <c r="F58" s="6"/>
      <c r="G58" s="6"/>
      <c r="H58" s="6"/>
      <c r="I58" s="6"/>
      <c r="J58" s="6"/>
      <c r="K58" s="6"/>
      <c r="L58" s="6"/>
      <c r="M58" s="6"/>
      <c r="N58" s="6"/>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sheetPr>
  <dimension ref="A1:P58"/>
  <sheetViews>
    <sheetView workbookViewId="0">
      <selection activeCell="I10" sqref="I10"/>
    </sheetView>
  </sheetViews>
  <sheetFormatPr defaultRowHeight="15" x14ac:dyDescent="0.25"/>
  <cols>
    <col min="1" max="1" width="11.7109375" customWidth="1"/>
    <col min="11" max="11" width="12.28515625" bestFit="1" customWidth="1"/>
    <col min="13" max="13" width="40.85546875" customWidth="1"/>
  </cols>
  <sheetData>
    <row r="1" spans="1:16" x14ac:dyDescent="0.25">
      <c r="A1" t="s">
        <v>58</v>
      </c>
    </row>
    <row r="2" spans="1:16" x14ac:dyDescent="0.25">
      <c r="A2" t="s">
        <v>67</v>
      </c>
      <c r="B2" t="s">
        <v>68</v>
      </c>
      <c r="C2" t="s">
        <v>69</v>
      </c>
      <c r="D2" t="s">
        <v>70</v>
      </c>
      <c r="E2" t="s">
        <v>66</v>
      </c>
      <c r="F2" s="19" t="s">
        <v>71</v>
      </c>
      <c r="H2" s="19"/>
      <c r="I2" s="6" t="s">
        <v>72</v>
      </c>
    </row>
    <row r="3" spans="1:16" x14ac:dyDescent="0.25">
      <c r="A3" s="6" t="s">
        <v>75</v>
      </c>
      <c r="B3" s="23" t="s">
        <v>83</v>
      </c>
      <c r="C3" s="23" t="s">
        <v>95</v>
      </c>
      <c r="D3" s="23" t="s">
        <v>97</v>
      </c>
      <c r="E3" s="6">
        <v>4</v>
      </c>
      <c r="F3" s="6">
        <v>169</v>
      </c>
    </row>
    <row r="4" spans="1:16" x14ac:dyDescent="0.25">
      <c r="H4" s="2"/>
      <c r="I4" t="s">
        <v>12</v>
      </c>
    </row>
    <row r="5" spans="1:16" x14ac:dyDescent="0.25">
      <c r="A5" t="s">
        <v>1</v>
      </c>
      <c r="H5" s="3"/>
      <c r="I5" t="s">
        <v>13</v>
      </c>
      <c r="N5" t="s">
        <v>12</v>
      </c>
      <c r="O5" t="s">
        <v>13</v>
      </c>
      <c r="P5" t="s">
        <v>14</v>
      </c>
    </row>
    <row r="6" spans="1:16" x14ac:dyDescent="0.25">
      <c r="A6" t="s">
        <v>2</v>
      </c>
      <c r="B6" t="s">
        <v>3</v>
      </c>
      <c r="C6" t="s">
        <v>4</v>
      </c>
      <c r="D6" t="s">
        <v>5</v>
      </c>
      <c r="E6" t="s">
        <v>6</v>
      </c>
      <c r="F6" t="s">
        <v>7</v>
      </c>
      <c r="G6" t="s">
        <v>8</v>
      </c>
      <c r="H6" t="s">
        <v>9</v>
      </c>
      <c r="I6" t="s">
        <v>10</v>
      </c>
      <c r="J6" t="s">
        <v>11</v>
      </c>
      <c r="K6" t="s">
        <v>15</v>
      </c>
      <c r="M6" t="s">
        <v>49</v>
      </c>
      <c r="N6" s="8">
        <f>AVERAGE(G8:G11)</f>
        <v>7.4399999999999995</v>
      </c>
      <c r="O6" s="8">
        <f xml:space="preserve"> AVERAGE(G15:G19,G21,G23,G25:G49,G51,G53)</f>
        <v>0</v>
      </c>
      <c r="P6" s="8"/>
    </row>
    <row r="7" spans="1:16" x14ac:dyDescent="0.25">
      <c r="A7" s="5">
        <v>42281</v>
      </c>
      <c r="B7" s="6">
        <v>76.05</v>
      </c>
      <c r="C7" s="6">
        <v>86.56</v>
      </c>
      <c r="D7" s="6">
        <v>0.1</v>
      </c>
      <c r="E7" s="6">
        <v>36.97</v>
      </c>
      <c r="F7" s="6">
        <v>65</v>
      </c>
      <c r="G7" s="6">
        <v>5.08</v>
      </c>
      <c r="H7" s="6">
        <v>116.4</v>
      </c>
      <c r="I7" s="6">
        <v>0</v>
      </c>
      <c r="J7" s="6">
        <v>6</v>
      </c>
      <c r="K7" s="6"/>
      <c r="M7" t="s">
        <v>48</v>
      </c>
      <c r="N7" s="8">
        <f>AVERAGE(E8:E11)</f>
        <v>28.827500000000001</v>
      </c>
      <c r="O7" s="8">
        <f>AVERAGE(E13:E525)</f>
        <v>41.82884615384615</v>
      </c>
      <c r="P7" s="8"/>
    </row>
    <row r="8" spans="1:16" x14ac:dyDescent="0.25">
      <c r="A8" s="4">
        <v>42288</v>
      </c>
      <c r="B8" s="2">
        <v>70.069999999999993</v>
      </c>
      <c r="C8" s="2">
        <v>92.21</v>
      </c>
      <c r="D8" s="2">
        <v>0.17</v>
      </c>
      <c r="E8" s="2">
        <v>36.11</v>
      </c>
      <c r="F8" s="2">
        <v>64.7</v>
      </c>
      <c r="G8" s="2">
        <v>9.69</v>
      </c>
      <c r="H8" s="2">
        <v>122.6</v>
      </c>
      <c r="I8" s="2">
        <v>5</v>
      </c>
      <c r="J8" s="2">
        <v>4</v>
      </c>
      <c r="K8" s="2">
        <f>SUM(I8:J8)</f>
        <v>9</v>
      </c>
      <c r="M8" t="s">
        <v>47</v>
      </c>
      <c r="N8" s="8">
        <v>0</v>
      </c>
      <c r="O8" s="8">
        <f>AVERAGE(D13:D525)</f>
        <v>2.3853846153846154</v>
      </c>
      <c r="P8" s="8"/>
    </row>
    <row r="9" spans="1:16" x14ac:dyDescent="0.25">
      <c r="A9" s="4">
        <v>42295</v>
      </c>
      <c r="B9" s="2">
        <v>66.819999999999993</v>
      </c>
      <c r="C9" s="2">
        <v>109.45</v>
      </c>
      <c r="D9" s="2">
        <v>0.14000000000000001</v>
      </c>
      <c r="E9" s="2">
        <v>24.59</v>
      </c>
      <c r="F9" s="2">
        <v>63.4</v>
      </c>
      <c r="G9" s="16">
        <v>2.82</v>
      </c>
      <c r="H9" s="2">
        <v>117.7</v>
      </c>
      <c r="I9" s="2">
        <v>5</v>
      </c>
      <c r="J9" s="2">
        <v>3</v>
      </c>
      <c r="K9" s="2">
        <f t="shared" ref="K9:K14" si="0">SUM(I9:J9)</f>
        <v>8</v>
      </c>
      <c r="M9" t="s">
        <v>46</v>
      </c>
      <c r="N9" s="8">
        <f>AVERAGE(I8:I11)</f>
        <v>4.5</v>
      </c>
      <c r="O9" s="8">
        <f>AVERAGE(I13:I25)</f>
        <v>9.5384615384615383</v>
      </c>
      <c r="P9" s="8"/>
    </row>
    <row r="10" spans="1:16" x14ac:dyDescent="0.25">
      <c r="A10" s="4">
        <v>42302</v>
      </c>
      <c r="B10" s="2">
        <v>68.34</v>
      </c>
      <c r="C10" s="2">
        <v>113.06</v>
      </c>
      <c r="D10" s="2">
        <v>0.22</v>
      </c>
      <c r="E10" s="2">
        <v>18.79</v>
      </c>
      <c r="F10" s="2">
        <v>62.6</v>
      </c>
      <c r="G10" s="2">
        <v>11.08</v>
      </c>
      <c r="H10" s="2">
        <v>126.5</v>
      </c>
      <c r="I10" s="2">
        <v>7</v>
      </c>
      <c r="J10" s="2">
        <v>1</v>
      </c>
      <c r="K10" s="2">
        <f t="shared" si="0"/>
        <v>8</v>
      </c>
      <c r="M10" t="s">
        <v>45</v>
      </c>
      <c r="N10" s="8">
        <f>AVERAGE(J8:J11)</f>
        <v>3.75</v>
      </c>
      <c r="O10" s="8">
        <f>AVERAGE(J13:J25)</f>
        <v>0</v>
      </c>
      <c r="P10" s="8"/>
    </row>
    <row r="11" spans="1:16" x14ac:dyDescent="0.25">
      <c r="A11" s="4">
        <v>42309</v>
      </c>
      <c r="B11" s="2">
        <v>74.88</v>
      </c>
      <c r="C11" s="2">
        <v>101.62</v>
      </c>
      <c r="D11" s="2">
        <v>0.17</v>
      </c>
      <c r="E11" s="2">
        <v>35.82</v>
      </c>
      <c r="F11" s="2">
        <v>61.1</v>
      </c>
      <c r="G11" s="2">
        <v>6.17</v>
      </c>
      <c r="H11" s="2">
        <v>116.5</v>
      </c>
      <c r="I11" s="2">
        <v>1</v>
      </c>
      <c r="J11" s="2">
        <v>7</v>
      </c>
      <c r="K11" s="2">
        <f t="shared" si="0"/>
        <v>8</v>
      </c>
      <c r="M11" t="s">
        <v>44</v>
      </c>
      <c r="N11" s="8">
        <f>SUM(N9:N10)</f>
        <v>8.25</v>
      </c>
      <c r="O11" s="8">
        <f>SUM(O9:O10)</f>
        <v>9.5384615384615383</v>
      </c>
      <c r="P11" s="8"/>
    </row>
    <row r="12" spans="1:16" x14ac:dyDescent="0.25">
      <c r="A12" s="5">
        <v>42316</v>
      </c>
      <c r="B12" s="6">
        <v>68.040000000000006</v>
      </c>
      <c r="C12" s="6">
        <v>101.38</v>
      </c>
      <c r="D12" s="6">
        <v>1.22</v>
      </c>
      <c r="E12" s="6">
        <v>30.41</v>
      </c>
      <c r="F12" s="6">
        <v>60</v>
      </c>
      <c r="G12" s="6">
        <v>4.4800000000000004</v>
      </c>
      <c r="H12" s="6">
        <v>84.3</v>
      </c>
      <c r="I12" s="6">
        <v>7</v>
      </c>
      <c r="J12" s="6">
        <v>2</v>
      </c>
      <c r="K12" s="6">
        <f t="shared" si="0"/>
        <v>9</v>
      </c>
      <c r="M12" t="s">
        <v>42</v>
      </c>
      <c r="N12" s="14">
        <f>N10/N11</f>
        <v>0.45454545454545453</v>
      </c>
      <c r="O12" s="14">
        <f>O10/O11</f>
        <v>0</v>
      </c>
      <c r="P12" s="8"/>
    </row>
    <row r="13" spans="1:16" x14ac:dyDescent="0.25">
      <c r="A13" s="7">
        <v>42323</v>
      </c>
      <c r="B13" s="3">
        <v>71.64</v>
      </c>
      <c r="C13" s="3">
        <v>121.31</v>
      </c>
      <c r="D13" s="3">
        <v>2.91</v>
      </c>
      <c r="E13" s="15">
        <v>34.9</v>
      </c>
      <c r="F13" s="3">
        <v>58.8</v>
      </c>
      <c r="G13" s="3">
        <v>0</v>
      </c>
      <c r="H13" s="3">
        <v>66.2</v>
      </c>
      <c r="I13" s="3">
        <v>4</v>
      </c>
      <c r="J13" s="3">
        <v>0</v>
      </c>
      <c r="K13" s="3">
        <f t="shared" si="0"/>
        <v>4</v>
      </c>
      <c r="M13" t="s">
        <v>43</v>
      </c>
      <c r="N13" s="8">
        <f>AVERAGE(K8:K53)</f>
        <v>9.2222222222222214</v>
      </c>
      <c r="O13" s="8">
        <f>AVERAGE(K9:K53)</f>
        <v>9.235294117647058</v>
      </c>
      <c r="P13" s="8"/>
    </row>
    <row r="14" spans="1:16" x14ac:dyDescent="0.25">
      <c r="A14" s="7">
        <v>42330</v>
      </c>
      <c r="B14" s="3">
        <v>64.95</v>
      </c>
      <c r="C14" s="3">
        <v>84.54</v>
      </c>
      <c r="D14" s="3">
        <v>1.78</v>
      </c>
      <c r="E14" s="15">
        <v>52.03</v>
      </c>
      <c r="F14" s="3">
        <v>56.5</v>
      </c>
      <c r="G14" s="3">
        <v>0</v>
      </c>
      <c r="H14" s="3">
        <v>65</v>
      </c>
      <c r="I14" s="3">
        <v>16</v>
      </c>
      <c r="J14" s="3">
        <v>0</v>
      </c>
      <c r="K14" s="3">
        <f t="shared" si="0"/>
        <v>16</v>
      </c>
      <c r="N14" s="8"/>
      <c r="O14" s="8"/>
      <c r="P14" s="8"/>
    </row>
    <row r="15" spans="1:16" x14ac:dyDescent="0.25">
      <c r="A15" s="7">
        <v>42337</v>
      </c>
      <c r="B15" s="3">
        <v>66.05</v>
      </c>
      <c r="C15" s="3">
        <v>113.25</v>
      </c>
      <c r="D15" s="3">
        <v>2.1800000000000002</v>
      </c>
      <c r="E15" s="15">
        <v>18.23</v>
      </c>
      <c r="F15" s="3">
        <v>54.7</v>
      </c>
      <c r="G15" s="3">
        <v>0</v>
      </c>
      <c r="H15" s="3">
        <v>64</v>
      </c>
      <c r="I15" s="3">
        <v>12</v>
      </c>
      <c r="J15" s="3">
        <v>0</v>
      </c>
      <c r="K15" s="3">
        <f t="shared" ref="K15:K25" si="1">SUM(I15:J15)</f>
        <v>12</v>
      </c>
      <c r="O15" s="8"/>
      <c r="P15" s="8"/>
    </row>
    <row r="16" spans="1:16" x14ac:dyDescent="0.25">
      <c r="A16" s="7">
        <v>42344</v>
      </c>
      <c r="B16" s="3">
        <v>65.05</v>
      </c>
      <c r="C16" s="3">
        <v>110.3</v>
      </c>
      <c r="D16" s="3">
        <v>2.37</v>
      </c>
      <c r="E16" s="15">
        <v>18.48</v>
      </c>
      <c r="F16" s="3">
        <v>53.1</v>
      </c>
      <c r="G16" s="3">
        <v>0</v>
      </c>
      <c r="H16" s="3">
        <v>63.8</v>
      </c>
      <c r="I16" s="3">
        <v>14</v>
      </c>
      <c r="J16" s="3">
        <v>0</v>
      </c>
      <c r="K16" s="3">
        <f t="shared" si="1"/>
        <v>14</v>
      </c>
      <c r="M16" t="s">
        <v>20</v>
      </c>
      <c r="N16" s="9">
        <v>0.77</v>
      </c>
      <c r="O16" s="8"/>
      <c r="P16" s="8"/>
    </row>
    <row r="17" spans="1:16" x14ac:dyDescent="0.25">
      <c r="A17" s="7">
        <v>42351</v>
      </c>
      <c r="B17" s="3">
        <v>71.61</v>
      </c>
      <c r="C17" s="3">
        <v>85.19</v>
      </c>
      <c r="D17" s="3">
        <v>1.63</v>
      </c>
      <c r="E17" s="15">
        <v>47.699999999999996</v>
      </c>
      <c r="F17" s="3">
        <v>52.3</v>
      </c>
      <c r="G17" s="3">
        <v>0</v>
      </c>
      <c r="H17" s="3">
        <v>64.2</v>
      </c>
      <c r="I17" s="3">
        <v>6</v>
      </c>
      <c r="J17" s="3">
        <v>0</v>
      </c>
      <c r="K17" s="3">
        <f t="shared" si="1"/>
        <v>6</v>
      </c>
      <c r="M17" t="s">
        <v>21</v>
      </c>
      <c r="N17" s="9">
        <v>0.125</v>
      </c>
      <c r="O17" s="8"/>
      <c r="P17" s="8"/>
    </row>
    <row r="18" spans="1:16" x14ac:dyDescent="0.25">
      <c r="A18" s="7">
        <v>42358</v>
      </c>
      <c r="B18" s="3">
        <v>70.69</v>
      </c>
      <c r="C18" s="3">
        <v>115.88</v>
      </c>
      <c r="D18" s="3">
        <v>2.31</v>
      </c>
      <c r="E18" s="15">
        <v>24.18</v>
      </c>
      <c r="F18" s="3">
        <v>52.1</v>
      </c>
      <c r="G18" s="3">
        <v>0</v>
      </c>
      <c r="H18" s="3">
        <v>63.5</v>
      </c>
      <c r="I18" s="3">
        <v>11</v>
      </c>
      <c r="J18" s="3">
        <v>0</v>
      </c>
      <c r="K18" s="3">
        <f t="shared" si="1"/>
        <v>11</v>
      </c>
      <c r="M18" t="s">
        <v>16</v>
      </c>
      <c r="N18" s="8">
        <f>AVERAGE(H9:H11)</f>
        <v>120.23333333333333</v>
      </c>
      <c r="O18" s="8"/>
      <c r="P18" s="8"/>
    </row>
    <row r="19" spans="1:16" x14ac:dyDescent="0.25">
      <c r="A19" s="7">
        <v>42365</v>
      </c>
      <c r="B19" s="3">
        <v>72.81</v>
      </c>
      <c r="C19" s="3">
        <v>108.42</v>
      </c>
      <c r="D19" s="3">
        <v>1.97</v>
      </c>
      <c r="E19" s="15">
        <v>43.094999999999999</v>
      </c>
      <c r="F19" s="3">
        <v>50.599999999999994</v>
      </c>
      <c r="G19" s="3">
        <v>0</v>
      </c>
      <c r="H19" s="3">
        <v>63.55</v>
      </c>
      <c r="I19" s="3">
        <v>10</v>
      </c>
      <c r="J19" s="3">
        <v>0</v>
      </c>
      <c r="K19" s="3">
        <f t="shared" si="1"/>
        <v>10</v>
      </c>
      <c r="M19" t="s">
        <v>17</v>
      </c>
      <c r="N19" s="8">
        <v>54</v>
      </c>
      <c r="O19" s="8"/>
      <c r="P19" s="8"/>
    </row>
    <row r="20" spans="1:16" x14ac:dyDescent="0.25">
      <c r="A20" s="7">
        <v>42372</v>
      </c>
      <c r="B20" s="3">
        <v>88.71</v>
      </c>
      <c r="C20" s="3">
        <v>149.12</v>
      </c>
      <c r="D20" s="3">
        <v>2.79</v>
      </c>
      <c r="E20" s="15">
        <v>30.18</v>
      </c>
      <c r="F20" s="3">
        <v>48.9</v>
      </c>
      <c r="G20" s="3">
        <v>0</v>
      </c>
      <c r="H20" s="3">
        <v>63.8</v>
      </c>
      <c r="I20" s="3">
        <v>3</v>
      </c>
      <c r="J20" s="3">
        <v>0</v>
      </c>
      <c r="K20" s="3">
        <f t="shared" si="1"/>
        <v>3</v>
      </c>
      <c r="M20" t="s">
        <v>19</v>
      </c>
      <c r="N20" s="8">
        <f>($N6*8.33*(N13*N12)*(N18-N19)/0.58*52/100000)-$O6*8.33*(O13*O12)*(N18-N19)/0.58*52/100000</f>
        <v>15.427046960362238</v>
      </c>
      <c r="O20" s="8"/>
      <c r="P20" s="8"/>
    </row>
    <row r="21" spans="1:16" x14ac:dyDescent="0.25">
      <c r="A21" s="7">
        <v>42379</v>
      </c>
      <c r="B21" s="3">
        <v>73.78</v>
      </c>
      <c r="C21" s="3">
        <v>92.52</v>
      </c>
      <c r="D21" s="3">
        <v>0.99</v>
      </c>
      <c r="E21" s="15">
        <v>45.59</v>
      </c>
      <c r="F21" s="3">
        <v>47.4</v>
      </c>
      <c r="G21" s="3">
        <v>0</v>
      </c>
      <c r="H21" s="3">
        <v>62.2</v>
      </c>
      <c r="I21" s="3">
        <v>11</v>
      </c>
      <c r="J21" s="3">
        <v>0</v>
      </c>
      <c r="K21" s="3">
        <f t="shared" si="1"/>
        <v>11</v>
      </c>
      <c r="M21" t="s">
        <v>18</v>
      </c>
      <c r="N21" s="8">
        <f>$N6*8.33*(N13*N12)*(N18-N19)/0.58*52/100000</f>
        <v>15.427046960362238</v>
      </c>
      <c r="O21" s="8"/>
    </row>
    <row r="22" spans="1:16" x14ac:dyDescent="0.25">
      <c r="A22" s="7">
        <v>42386</v>
      </c>
      <c r="B22" s="3">
        <v>63.8</v>
      </c>
      <c r="C22" s="3">
        <v>85.28</v>
      </c>
      <c r="D22" s="3">
        <v>2.65</v>
      </c>
      <c r="E22" s="15">
        <v>39.5</v>
      </c>
      <c r="F22" s="3">
        <v>45.3</v>
      </c>
      <c r="G22" s="3">
        <v>0</v>
      </c>
      <c r="H22" s="3">
        <v>62.2</v>
      </c>
      <c r="I22" s="3">
        <v>10</v>
      </c>
      <c r="J22" s="3">
        <v>0</v>
      </c>
      <c r="K22" s="3">
        <f t="shared" si="1"/>
        <v>10</v>
      </c>
      <c r="M22" t="s">
        <v>22</v>
      </c>
      <c r="N22" s="10">
        <f>N20*N16</f>
        <v>11.878826159478924</v>
      </c>
    </row>
    <row r="23" spans="1:16" x14ac:dyDescent="0.25">
      <c r="A23" s="7">
        <v>42393</v>
      </c>
      <c r="B23" s="3">
        <v>75.290000000000006</v>
      </c>
      <c r="C23" s="3">
        <v>106.34</v>
      </c>
      <c r="D23" s="3">
        <v>3.05</v>
      </c>
      <c r="E23" s="15">
        <v>59.84</v>
      </c>
      <c r="F23" s="3">
        <v>45</v>
      </c>
      <c r="G23" s="3">
        <v>0</v>
      </c>
      <c r="H23" s="3">
        <v>61.9</v>
      </c>
      <c r="I23" s="3">
        <v>14</v>
      </c>
      <c r="J23" s="3">
        <v>0</v>
      </c>
      <c r="K23" s="3">
        <f t="shared" si="1"/>
        <v>14</v>
      </c>
      <c r="M23" t="s">
        <v>23</v>
      </c>
      <c r="N23" s="10">
        <f>N21*N16</f>
        <v>11.878826159478924</v>
      </c>
    </row>
    <row r="24" spans="1:16" x14ac:dyDescent="0.25">
      <c r="A24" s="7">
        <v>42400</v>
      </c>
      <c r="B24" s="3">
        <v>69.3</v>
      </c>
      <c r="C24" s="3">
        <v>98.38</v>
      </c>
      <c r="D24" s="3">
        <v>1.83</v>
      </c>
      <c r="E24" s="15">
        <v>40.57</v>
      </c>
      <c r="F24" s="3">
        <v>43.7</v>
      </c>
      <c r="G24" s="3">
        <v>0</v>
      </c>
      <c r="H24" s="3">
        <v>62.2</v>
      </c>
      <c r="I24" s="3">
        <v>6</v>
      </c>
      <c r="J24" s="3">
        <v>0</v>
      </c>
      <c r="K24" s="3">
        <f t="shared" si="1"/>
        <v>6</v>
      </c>
      <c r="M24" t="s">
        <v>24</v>
      </c>
      <c r="N24" s="11">
        <f>O8*N13*52/1000</f>
        <v>1.1439244444444443</v>
      </c>
    </row>
    <row r="25" spans="1:16" x14ac:dyDescent="0.25">
      <c r="A25" s="7">
        <v>42407</v>
      </c>
      <c r="B25" s="3">
        <v>71.59</v>
      </c>
      <c r="C25" s="3">
        <v>104.62</v>
      </c>
      <c r="D25" s="3">
        <v>4.55</v>
      </c>
      <c r="E25" s="15">
        <v>89.47999999999999</v>
      </c>
      <c r="F25" s="3">
        <v>43.7</v>
      </c>
      <c r="G25" s="3">
        <v>0</v>
      </c>
      <c r="H25" s="3">
        <v>61.5</v>
      </c>
      <c r="I25" s="3">
        <v>7</v>
      </c>
      <c r="J25" s="3">
        <v>0</v>
      </c>
      <c r="K25" s="3">
        <f t="shared" si="1"/>
        <v>7</v>
      </c>
      <c r="M25" t="s">
        <v>25</v>
      </c>
      <c r="N25" s="12">
        <f>N17*N24</f>
        <v>0.14299055555555554</v>
      </c>
    </row>
    <row r="26" spans="1:16" x14ac:dyDescent="0.25">
      <c r="A26" s="7"/>
      <c r="B26" s="3"/>
      <c r="C26" s="3"/>
      <c r="D26" s="3"/>
      <c r="E26" s="3"/>
      <c r="F26" s="3"/>
      <c r="G26" s="3"/>
      <c r="H26" s="3"/>
      <c r="I26" s="3"/>
      <c r="J26" s="3"/>
      <c r="K26" s="3"/>
    </row>
    <row r="27" spans="1:16" x14ac:dyDescent="0.25">
      <c r="A27" s="7"/>
      <c r="B27" s="3"/>
      <c r="C27" s="3"/>
      <c r="D27" s="3"/>
      <c r="E27" s="3"/>
      <c r="F27" s="3"/>
      <c r="G27" s="3"/>
      <c r="H27" s="3"/>
      <c r="I27" s="3"/>
      <c r="J27" s="3"/>
      <c r="K27" s="3"/>
      <c r="M27" t="s">
        <v>35</v>
      </c>
      <c r="N27" s="9">
        <v>0.16</v>
      </c>
    </row>
    <row r="28" spans="1:16" x14ac:dyDescent="0.25">
      <c r="A28" s="7"/>
      <c r="B28" s="3"/>
      <c r="C28" s="3"/>
      <c r="D28" s="3"/>
      <c r="E28" s="3"/>
      <c r="F28" s="3"/>
      <c r="G28" s="3"/>
      <c r="H28" s="3"/>
      <c r="I28" s="3"/>
      <c r="J28" s="3"/>
      <c r="K28" s="3"/>
      <c r="M28" t="s">
        <v>36</v>
      </c>
      <c r="N28" s="10">
        <f>N13*N27*52</f>
        <v>76.728888888888889</v>
      </c>
    </row>
    <row r="29" spans="1:16" x14ac:dyDescent="0.25">
      <c r="A29" s="7"/>
      <c r="B29" s="3"/>
      <c r="C29" s="3"/>
      <c r="D29" s="3"/>
      <c r="E29" s="3"/>
      <c r="F29" s="3"/>
      <c r="G29" s="3"/>
      <c r="H29" s="3"/>
      <c r="I29" s="3"/>
      <c r="J29" s="3"/>
      <c r="K29" s="3"/>
    </row>
    <row r="30" spans="1:16" x14ac:dyDescent="0.25">
      <c r="A30" s="7"/>
      <c r="B30" s="3"/>
      <c r="C30" s="3"/>
      <c r="D30" s="3"/>
      <c r="E30" s="3"/>
      <c r="F30" s="3"/>
      <c r="G30" s="3"/>
      <c r="H30" s="3"/>
      <c r="I30" s="3"/>
      <c r="J30" s="3"/>
      <c r="K30" s="3"/>
      <c r="M30" t="s">
        <v>37</v>
      </c>
      <c r="N30" s="12">
        <v>300</v>
      </c>
    </row>
    <row r="31" spans="1:16" x14ac:dyDescent="0.25">
      <c r="A31" s="7"/>
      <c r="B31" s="3"/>
      <c r="C31" s="3"/>
      <c r="D31" s="3"/>
      <c r="E31" s="3"/>
      <c r="F31" s="3"/>
      <c r="G31" s="3"/>
      <c r="H31" s="3"/>
      <c r="I31" s="3"/>
      <c r="J31" s="3"/>
      <c r="K31" s="3"/>
      <c r="M31" t="s">
        <v>38</v>
      </c>
      <c r="N31" s="13">
        <f>N30/(SUM(N28,N22)-N25)</f>
        <v>3.3911822109882337</v>
      </c>
    </row>
    <row r="32" spans="1:16" x14ac:dyDescent="0.25">
      <c r="A32" s="7"/>
      <c r="B32" s="3"/>
      <c r="C32" s="3"/>
      <c r="D32" s="3"/>
      <c r="E32" s="3"/>
      <c r="F32" s="3"/>
      <c r="G32" s="3"/>
      <c r="H32" s="3"/>
      <c r="I32" s="3"/>
      <c r="J32" s="3"/>
      <c r="K32" s="3"/>
    </row>
    <row r="33" spans="1:13" x14ac:dyDescent="0.25">
      <c r="A33" s="7"/>
      <c r="B33" s="3"/>
      <c r="C33" s="3"/>
      <c r="D33" s="3"/>
      <c r="E33" s="3"/>
      <c r="F33" s="3"/>
      <c r="G33" s="3"/>
      <c r="H33" s="3"/>
      <c r="I33" s="3"/>
      <c r="J33" s="3"/>
      <c r="K33" s="3"/>
    </row>
    <row r="34" spans="1:13" x14ac:dyDescent="0.25">
      <c r="A34" s="7"/>
      <c r="B34" s="3"/>
      <c r="C34" s="3"/>
      <c r="D34" s="3"/>
      <c r="E34" s="3"/>
      <c r="F34" s="3"/>
      <c r="G34" s="3"/>
      <c r="H34" s="3"/>
      <c r="I34" s="3"/>
      <c r="J34" s="3"/>
      <c r="K34" s="3"/>
    </row>
    <row r="35" spans="1:13" x14ac:dyDescent="0.25">
      <c r="A35" s="7"/>
      <c r="B35" s="3"/>
      <c r="C35" s="3"/>
      <c r="D35" s="3"/>
      <c r="E35" s="3"/>
      <c r="F35" s="3"/>
      <c r="G35" s="3"/>
      <c r="H35" s="3"/>
      <c r="I35" s="3"/>
      <c r="J35" s="3"/>
      <c r="K35" s="3"/>
    </row>
    <row r="36" spans="1:13" x14ac:dyDescent="0.25">
      <c r="A36" s="7"/>
      <c r="B36" s="3"/>
      <c r="C36" s="3"/>
      <c r="D36" s="3"/>
      <c r="E36" s="3"/>
      <c r="F36" s="3"/>
      <c r="G36" s="3"/>
      <c r="H36" s="3"/>
      <c r="I36" s="3"/>
      <c r="J36" s="3"/>
      <c r="K36" s="3"/>
    </row>
    <row r="37" spans="1:13" x14ac:dyDescent="0.25">
      <c r="A37" s="7"/>
      <c r="B37" s="3"/>
      <c r="C37" s="3"/>
      <c r="D37" s="3"/>
      <c r="E37" s="3"/>
      <c r="F37" s="3"/>
      <c r="G37" s="3"/>
      <c r="H37" s="3"/>
      <c r="I37" s="3"/>
      <c r="J37" s="3"/>
      <c r="K37" s="3"/>
    </row>
    <row r="38" spans="1:13" x14ac:dyDescent="0.25">
      <c r="A38" s="7"/>
      <c r="B38" s="3"/>
      <c r="C38" s="3"/>
      <c r="D38" s="3"/>
      <c r="E38" s="3"/>
      <c r="F38" s="3"/>
      <c r="G38" s="3"/>
      <c r="H38" s="3"/>
      <c r="I38" s="3"/>
      <c r="J38" s="3"/>
      <c r="K38" s="3"/>
    </row>
    <row r="39" spans="1:13" x14ac:dyDescent="0.25">
      <c r="A39" s="7"/>
      <c r="B39" s="3"/>
      <c r="C39" s="3"/>
      <c r="D39" s="3"/>
      <c r="E39" s="3"/>
      <c r="F39" s="3"/>
      <c r="G39" s="3"/>
      <c r="H39" s="3"/>
      <c r="I39" s="3"/>
      <c r="J39" s="3"/>
      <c r="K39" s="3"/>
    </row>
    <row r="40" spans="1:13" x14ac:dyDescent="0.25">
      <c r="A40" s="7"/>
      <c r="B40" s="3"/>
      <c r="C40" s="3"/>
      <c r="D40" s="3"/>
      <c r="E40" s="3"/>
      <c r="F40" s="3"/>
      <c r="G40" s="3"/>
      <c r="H40" s="3"/>
      <c r="I40" s="3"/>
      <c r="J40" s="3"/>
      <c r="K40" s="3"/>
    </row>
    <row r="41" spans="1:13" x14ac:dyDescent="0.25">
      <c r="A41" s="7"/>
      <c r="B41" s="3"/>
      <c r="C41" s="3"/>
      <c r="D41" s="3"/>
      <c r="E41" s="3"/>
      <c r="F41" s="3"/>
      <c r="G41" s="3"/>
      <c r="H41" s="3"/>
      <c r="I41" s="3"/>
      <c r="J41" s="3"/>
      <c r="K41" s="3"/>
    </row>
    <row r="42" spans="1:13" x14ac:dyDescent="0.25">
      <c r="A42" s="7"/>
      <c r="B42" s="3"/>
      <c r="C42" s="3"/>
      <c r="D42" s="3"/>
      <c r="E42" s="3"/>
      <c r="F42" s="3"/>
      <c r="G42" s="3"/>
      <c r="H42" s="3"/>
      <c r="I42" s="3"/>
      <c r="J42" s="3"/>
      <c r="K42" s="3"/>
    </row>
    <row r="43" spans="1:13" x14ac:dyDescent="0.25">
      <c r="A43" s="7"/>
      <c r="B43" s="3"/>
      <c r="C43" s="3"/>
      <c r="D43" s="3"/>
      <c r="E43" s="3"/>
      <c r="F43" s="3"/>
      <c r="G43" s="3"/>
      <c r="H43" s="3"/>
      <c r="I43" s="3"/>
      <c r="J43" s="3"/>
      <c r="K43" s="3"/>
    </row>
    <row r="45" spans="1:13" x14ac:dyDescent="0.25">
      <c r="A45" s="5"/>
      <c r="B45" s="6"/>
      <c r="C45" s="6"/>
      <c r="D45" s="6"/>
      <c r="E45" s="6"/>
      <c r="F45" s="6"/>
      <c r="G45" s="6"/>
      <c r="H45" s="6"/>
      <c r="I45" s="6"/>
      <c r="J45" s="6"/>
      <c r="K45" s="6"/>
      <c r="L45" s="6"/>
      <c r="M45" s="6"/>
    </row>
    <row r="46" spans="1:13" x14ac:dyDescent="0.25">
      <c r="A46" s="5"/>
      <c r="B46" s="6"/>
      <c r="C46" s="6"/>
      <c r="D46" s="6"/>
      <c r="E46" s="6"/>
      <c r="F46" s="6"/>
      <c r="G46" s="6"/>
      <c r="H46" s="6"/>
      <c r="I46" s="6"/>
      <c r="J46" s="6"/>
      <c r="K46" s="6"/>
      <c r="L46" s="6"/>
      <c r="M46" s="6"/>
    </row>
    <row r="47" spans="1:13" x14ac:dyDescent="0.25">
      <c r="A47" s="5"/>
      <c r="B47" s="6"/>
      <c r="C47" s="6"/>
      <c r="D47" s="6"/>
      <c r="E47" s="6"/>
      <c r="F47" s="6"/>
      <c r="G47" s="6"/>
      <c r="H47" s="6"/>
      <c r="I47" s="6"/>
      <c r="J47" s="6"/>
      <c r="K47" s="6"/>
      <c r="L47" s="6"/>
      <c r="M47" s="6"/>
    </row>
    <row r="48" spans="1:13" x14ac:dyDescent="0.25">
      <c r="A48" s="5"/>
      <c r="B48" s="6"/>
      <c r="C48" s="6"/>
      <c r="D48" s="6"/>
      <c r="E48" s="6"/>
      <c r="F48" s="6"/>
      <c r="G48" s="6"/>
      <c r="H48" s="6"/>
      <c r="I48" s="6"/>
      <c r="J48" s="6"/>
      <c r="K48" s="6"/>
      <c r="L48" s="6"/>
      <c r="M48" s="6"/>
    </row>
    <row r="49" spans="1:14" x14ac:dyDescent="0.25">
      <c r="A49" s="5"/>
      <c r="B49" s="6"/>
      <c r="C49" s="6"/>
      <c r="D49" s="6"/>
      <c r="E49" s="6"/>
      <c r="F49" s="6"/>
      <c r="G49" s="6"/>
      <c r="H49" s="6"/>
      <c r="I49" s="6"/>
      <c r="J49" s="6"/>
      <c r="K49" s="6"/>
      <c r="L49" s="6"/>
      <c r="M49" s="6"/>
    </row>
    <row r="50" spans="1:14" x14ac:dyDescent="0.25">
      <c r="A50" s="5"/>
      <c r="B50" s="6"/>
      <c r="C50" s="6"/>
      <c r="D50" s="6"/>
      <c r="E50" s="6"/>
      <c r="F50" s="6"/>
      <c r="G50" s="6"/>
      <c r="H50" s="6"/>
      <c r="I50" s="6"/>
      <c r="J50" s="6"/>
      <c r="K50" s="6"/>
      <c r="L50" s="6"/>
      <c r="M50" s="6"/>
    </row>
    <row r="51" spans="1:14" x14ac:dyDescent="0.25">
      <c r="A51" s="5"/>
      <c r="B51" s="6"/>
      <c r="C51" s="6"/>
      <c r="D51" s="6"/>
      <c r="E51" s="6"/>
      <c r="F51" s="6"/>
      <c r="G51" s="6"/>
      <c r="H51" s="6"/>
      <c r="I51" s="6"/>
      <c r="J51" s="6"/>
      <c r="K51" s="6"/>
      <c r="L51" s="6"/>
      <c r="M51" s="6"/>
    </row>
    <row r="52" spans="1:14" x14ac:dyDescent="0.25">
      <c r="A52" s="5"/>
      <c r="B52" s="6"/>
      <c r="C52" s="6"/>
      <c r="D52" s="6"/>
      <c r="E52" s="6"/>
      <c r="F52" s="6"/>
      <c r="G52" s="6"/>
      <c r="H52" s="6"/>
      <c r="I52" s="6"/>
      <c r="J52" s="6"/>
      <c r="K52" s="6"/>
      <c r="L52" s="6"/>
      <c r="M52" s="6"/>
    </row>
    <row r="53" spans="1:14" x14ac:dyDescent="0.25">
      <c r="A53" s="5"/>
      <c r="B53" s="6"/>
      <c r="C53" s="6"/>
      <c r="D53" s="6"/>
      <c r="E53" s="6"/>
      <c r="F53" s="6"/>
      <c r="G53" s="6"/>
      <c r="H53" s="6"/>
      <c r="I53" s="6"/>
      <c r="J53" s="6"/>
      <c r="K53" s="6"/>
      <c r="L53" s="6"/>
      <c r="M53" s="6"/>
      <c r="N53" s="6"/>
    </row>
    <row r="54" spans="1:14" x14ac:dyDescent="0.25">
      <c r="A54" s="6"/>
      <c r="B54" s="6"/>
      <c r="C54" s="6"/>
      <c r="D54" s="6"/>
      <c r="E54" s="6"/>
      <c r="F54" s="6"/>
      <c r="G54" s="6"/>
      <c r="H54" s="6"/>
      <c r="I54" s="6"/>
      <c r="J54" s="6"/>
      <c r="K54" s="6"/>
      <c r="L54" s="6"/>
      <c r="M54" s="6"/>
      <c r="N54" s="6"/>
    </row>
    <row r="55" spans="1:14" x14ac:dyDescent="0.25">
      <c r="A55" s="6"/>
      <c r="B55" s="6"/>
      <c r="C55" s="6"/>
      <c r="D55" s="6"/>
      <c r="E55" s="6"/>
      <c r="F55" s="6"/>
      <c r="G55" s="6"/>
      <c r="H55" s="6"/>
      <c r="I55" s="6"/>
      <c r="J55" s="6"/>
      <c r="K55" s="6"/>
      <c r="L55" s="6"/>
      <c r="M55" s="6"/>
      <c r="N55" s="6"/>
    </row>
    <row r="56" spans="1:14" x14ac:dyDescent="0.25">
      <c r="A56" s="6"/>
      <c r="B56" s="6"/>
      <c r="C56" s="6"/>
      <c r="D56" s="6"/>
      <c r="E56" s="6"/>
      <c r="F56" s="6"/>
      <c r="G56" s="6"/>
      <c r="H56" s="6"/>
      <c r="I56" s="6"/>
      <c r="J56" s="6"/>
      <c r="K56" s="6"/>
      <c r="L56" s="6"/>
      <c r="M56" s="6"/>
      <c r="N56" s="6"/>
    </row>
    <row r="57" spans="1:14" x14ac:dyDescent="0.25">
      <c r="A57" s="6"/>
      <c r="B57" s="6"/>
      <c r="C57" s="6"/>
      <c r="D57" s="6"/>
      <c r="E57" s="6"/>
      <c r="F57" s="6"/>
      <c r="G57" s="6"/>
      <c r="H57" s="6"/>
      <c r="I57" s="6"/>
      <c r="J57" s="6"/>
      <c r="K57" s="6"/>
      <c r="L57" s="6"/>
      <c r="M57" s="6"/>
      <c r="N57" s="6"/>
    </row>
    <row r="58" spans="1:14" x14ac:dyDescent="0.25">
      <c r="B58" s="6"/>
      <c r="C58" s="6"/>
      <c r="D58" s="6"/>
      <c r="E58" s="6"/>
      <c r="F58" s="6"/>
      <c r="G58" s="6"/>
      <c r="H58" s="6"/>
      <c r="I58" s="6"/>
      <c r="J58" s="6"/>
      <c r="K58" s="6"/>
      <c r="L58" s="6"/>
      <c r="M58" s="6"/>
      <c r="N58" s="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2:O161"/>
  <sheetViews>
    <sheetView zoomScale="90" zoomScaleNormal="90" workbookViewId="0">
      <selection activeCell="A15" sqref="A15"/>
    </sheetView>
  </sheetViews>
  <sheetFormatPr defaultRowHeight="15" x14ac:dyDescent="0.25"/>
  <cols>
    <col min="1" max="1" width="41.5703125" bestFit="1" customWidth="1"/>
    <col min="2" max="2" width="12.5703125" customWidth="1"/>
    <col min="3" max="3" width="11.28515625" customWidth="1"/>
    <col min="4" max="10" width="0" hidden="1" customWidth="1"/>
    <col min="11" max="11" width="41.5703125" bestFit="1" customWidth="1"/>
    <col min="12" max="13" width="11.85546875" customWidth="1"/>
    <col min="14" max="14" width="10.85546875" customWidth="1"/>
    <col min="15" max="15" width="28.7109375" customWidth="1"/>
  </cols>
  <sheetData>
    <row r="2" spans="1:15" ht="21" x14ac:dyDescent="0.35">
      <c r="A2" s="96" t="s">
        <v>343</v>
      </c>
    </row>
    <row r="3" spans="1:15" x14ac:dyDescent="0.25">
      <c r="A3" s="105" t="s">
        <v>345</v>
      </c>
    </row>
    <row r="5" spans="1:15" ht="15.75" thickBot="1" x14ac:dyDescent="0.3">
      <c r="B5" s="123" t="s">
        <v>111</v>
      </c>
      <c r="C5" s="123"/>
      <c r="L5" s="123" t="s">
        <v>276</v>
      </c>
      <c r="M5" s="123"/>
    </row>
    <row r="6" spans="1:15" x14ac:dyDescent="0.25">
      <c r="B6" s="41" t="s">
        <v>12</v>
      </c>
      <c r="C6" s="41" t="s">
        <v>13</v>
      </c>
      <c r="L6" s="41" t="s">
        <v>12</v>
      </c>
      <c r="M6" s="41" t="s">
        <v>13</v>
      </c>
      <c r="O6" s="94" t="s">
        <v>319</v>
      </c>
    </row>
    <row r="7" spans="1:15" ht="15.75" thickBot="1" x14ac:dyDescent="0.3">
      <c r="A7" t="s">
        <v>49</v>
      </c>
      <c r="B7" s="95">
        <f>AVERAGE('Nicor-RO-1_Weekly_Averages'!N6,'Nicor-RO-2_Weekly_Averages'!N6,'Nicor-RO-3_Weekly_Averages'!N6,'Nicor-RO-4_Weekly_Averages'!N6,'Nicor-RO-5_Weekly_Averages'!N6,'Nicor-RO-6_Weekly_Averages'!N6,'Nicor-RO-7_Weekly_Averages'!N6,'Nicor-RO-9_Weekly_Averages'!N6,'Nicor-RO-10_Weekly_Averages'!N6,'Nicor-RO-11_Weekly_Averages'!N6,'Nicor-RO-12_Weekly_Averages'!N6)</f>
        <v>5.5576666666666661</v>
      </c>
      <c r="C7" s="42">
        <f>AVERAGE('Nicor-RO-1_Weekly_Averages'!O6,'Nicor-RO-2_Weekly_Averages'!O6,'Nicor-RO-3_Weekly_Averages'!O6,'Nicor-RO-4_Weekly_Averages'!O6,'Nicor-RO-5_Weekly_Averages'!O6,'Nicor-RO-6_Weekly_Averages'!O6,'Nicor-RO-7_Weekly_Averages'!O6,'Nicor-RO-9_Weekly_Averages'!O6,'Nicor-RO-10_Weekly_Averages'!O6,'Nicor-RO-11_Weekly_Averages'!O6,'Nicor-RO-12_Weekly_Averages'!O6)</f>
        <v>2.6477071278394813</v>
      </c>
      <c r="E7" s="49" t="s">
        <v>112</v>
      </c>
      <c r="F7" s="49"/>
      <c r="G7" s="49"/>
      <c r="H7" s="49"/>
      <c r="I7" s="49"/>
      <c r="K7" t="s">
        <v>49</v>
      </c>
      <c r="L7" s="42">
        <f>B7*($L$9/($B$7+$B$8))</f>
        <v>3.246545039765083</v>
      </c>
      <c r="M7" s="42">
        <f>C7*($M$9/($C$7+$C$8))</f>
        <v>1.625449252991118</v>
      </c>
      <c r="N7" t="s">
        <v>283</v>
      </c>
      <c r="O7" s="98">
        <f>(L7-M7)/L7</f>
        <v>0.49932952320638868</v>
      </c>
    </row>
    <row r="8" spans="1:15" x14ac:dyDescent="0.25">
      <c r="A8" t="s">
        <v>48</v>
      </c>
      <c r="B8" s="95">
        <f>AVERAGE('Nicor-RO-1_Weekly_Averages'!N7,'Nicor-RO-2_Weekly_Averages'!N7,'Nicor-RO-3_Weekly_Averages'!N7,'Nicor-RO-4_Weekly_Averages'!N7,'Nicor-RO-5_Weekly_Averages'!N7,'Nicor-RO-6_Weekly_Averages'!N7,'Nicor-RO-7_Weekly_Averages'!N7,'Nicor-RO-9_Weekly_Averages'!N7,'Nicor-RO-10_Weekly_Averages'!N7,'Nicor-RO-11_Weekly_Averages'!N7,'Nicor-RO-12_Weekly_Averages'!N7)</f>
        <v>46.140840909090905</v>
      </c>
      <c r="C8" s="42">
        <f>AVERAGE('Nicor-RO-1_Weekly_Averages'!O7,'Nicor-RO-2_Weekly_Averages'!O7,'Nicor-RO-3_Weekly_Averages'!O7,'Nicor-RO-4_Weekly_Averages'!O7,'Nicor-RO-5_Weekly_Averages'!O7,'Nicor-RO-6_Weekly_Averages'!O7,'Nicor-RO-7_Weekly_Averages'!O7,'Nicor-RO-9_Weekly_Averages'!O7,'Nicor-RO-10_Weekly_Averages'!O7,'Nicor-RO-11_Weekly_Averages'!O7,'Nicor-RO-12_Weekly_Averages'!O7)</f>
        <v>46.545311426021989</v>
      </c>
      <c r="K8" t="s">
        <v>48</v>
      </c>
      <c r="L8" s="42">
        <f>B8*($L$9/($B$7+$B$8))</f>
        <v>26.953454960234918</v>
      </c>
      <c r="M8" s="42">
        <f>C8*($M$9/($C$7+$C$8))</f>
        <v>28.574550747008882</v>
      </c>
      <c r="N8" t="s">
        <v>283</v>
      </c>
    </row>
    <row r="9" spans="1:15" x14ac:dyDescent="0.25">
      <c r="A9" t="s">
        <v>47</v>
      </c>
      <c r="B9" s="42">
        <f>AVERAGE('Nicor-RO-1_Weekly_Averages'!N8,'Nicor-RO-2_Weekly_Averages'!N8,'Nicor-RO-3_Weekly_Averages'!N8,'Nicor-RO-4_Weekly_Averages'!N8,'Nicor-RO-5_Weekly_Averages'!N8,'Nicor-RO-6_Weekly_Averages'!N8,'Nicor-RO-7_Weekly_Averages'!N8,'Nicor-RO-9_Weekly_Averages'!N8,'Nicor-RO-10_Weekly_Averages'!N8,'Nicor-RO-11_Weekly_Averages'!N8,'Nicor-RO-12_Weekly_Averages'!N8)</f>
        <v>0</v>
      </c>
      <c r="C9" s="42">
        <f>AVERAGE('Nicor-RO-1_Weekly_Averages'!O8,'Nicor-RO-2_Weekly_Averages'!O8,'Nicor-RO-3_Weekly_Averages'!O8,'Nicor-RO-4_Weekly_Averages'!O8,'Nicor-RO-5_Weekly_Averages'!O8,'Nicor-RO-6_Weekly_Averages'!O8,'Nicor-RO-7_Weekly_Averages'!O8,'Nicor-RO-9_Weekly_Averages'!O8,'Nicor-RO-10_Weekly_Averages'!O8,'Nicor-RO-11_Weekly_Averages'!O8,'Nicor-RO-12_Weekly_Averages'!O8)</f>
        <v>5.2515515208944352</v>
      </c>
      <c r="K9" t="s">
        <v>281</v>
      </c>
      <c r="L9" s="43">
        <v>30.2</v>
      </c>
      <c r="M9" s="43">
        <v>30.2</v>
      </c>
      <c r="N9" t="s">
        <v>284</v>
      </c>
    </row>
    <row r="10" spans="1:15" x14ac:dyDescent="0.25">
      <c r="A10" t="s">
        <v>46</v>
      </c>
      <c r="B10" s="42">
        <f>AVERAGE('Nicor-RO-1_Weekly_Averages'!N9,'Nicor-RO-2_Weekly_Averages'!N9,'Nicor-RO-3_Weekly_Averages'!N9,'Nicor-RO-4_Weekly_Averages'!N9,'Nicor-RO-5_Weekly_Averages'!N9,'Nicor-RO-6_Weekly_Averages'!N9,'Nicor-RO-7_Weekly_Averages'!N9,'Nicor-RO-9_Weekly_Averages'!N9,'Nicor-RO-10_Weekly_Averages'!N9,'Nicor-RO-11_Weekly_Averages'!N9,'Nicor-RO-12_Weekly_Averages'!N9)</f>
        <v>1.6</v>
      </c>
      <c r="C10" s="42">
        <f>AVERAGE('Nicor-RO-1_Weekly_Averages'!O9,'Nicor-RO-2_Weekly_Averages'!O9,'Nicor-RO-3_Weekly_Averages'!O9,'Nicor-RO-4_Weekly_Averages'!O9,'Nicor-RO-5_Weekly_Averages'!O9,'Nicor-RO-6_Weekly_Averages'!O9,'Nicor-RO-7_Weekly_Averages'!O9,'Nicor-RO-9_Weekly_Averages'!O9,'Nicor-RO-10_Weekly_Averages'!O9,'Nicor-RO-11_Weekly_Averages'!O9,'Nicor-RO-12_Weekly_Averages'!O9)</f>
        <v>5.8765009277709801</v>
      </c>
      <c r="K10" t="s">
        <v>47</v>
      </c>
      <c r="L10" s="43">
        <v>0</v>
      </c>
      <c r="M10" s="99">
        <f>C9</f>
        <v>5.2515515208944352</v>
      </c>
      <c r="N10" t="s">
        <v>282</v>
      </c>
    </row>
    <row r="11" spans="1:15" x14ac:dyDescent="0.25">
      <c r="A11" t="s">
        <v>45</v>
      </c>
      <c r="B11" s="42">
        <f>AVERAGE('Nicor-RO-1_Weekly_Averages'!N10,'Nicor-RO-2_Weekly_Averages'!N10,'Nicor-RO-3_Weekly_Averages'!N10,'Nicor-RO-4_Weekly_Averages'!N10,'Nicor-RO-5_Weekly_Averages'!N10,'Nicor-RO-6_Weekly_Averages'!N10,'Nicor-RO-7_Weekly_Averages'!N10,'Nicor-RO-9_Weekly_Averages'!N10,'Nicor-RO-10_Weekly_Averages'!N10,'Nicor-RO-11_Weekly_Averages'!N10,'Nicor-RO-12_Weekly_Averages'!N10)</f>
        <v>5.7803030303030303</v>
      </c>
      <c r="C11" s="42">
        <f>AVERAGE('Nicor-RO-1_Weekly_Averages'!O10,'Nicor-RO-2_Weekly_Averages'!O10,'Nicor-RO-3_Weekly_Averages'!O10,'Nicor-RO-4_Weekly_Averages'!O10,'Nicor-RO-5_Weekly_Averages'!O10,'Nicor-RO-6_Weekly_Averages'!O10,'Nicor-RO-7_Weekly_Averages'!O10,'Nicor-RO-9_Weekly_Averages'!O10,'Nicor-RO-10_Weekly_Averages'!O10,'Nicor-RO-11_Weekly_Averages'!O10,'Nicor-RO-12_Weekly_Averages'!O10)</f>
        <v>1.7136636833160894</v>
      </c>
      <c r="K11" t="s">
        <v>46</v>
      </c>
      <c r="L11" s="42">
        <f>L13*(1-L14)</f>
        <v>1.8228485838779955</v>
      </c>
      <c r="M11" s="42">
        <f>L11</f>
        <v>1.8228485838779955</v>
      </c>
      <c r="N11" t="s">
        <v>283</v>
      </c>
    </row>
    <row r="12" spans="1:15" x14ac:dyDescent="0.25">
      <c r="A12" t="s">
        <v>44</v>
      </c>
      <c r="B12" s="42">
        <f>AVERAGE('Nicor-RO-1_Weekly_Averages'!N11,'Nicor-RO-2_Weekly_Averages'!N11,'Nicor-RO-3_Weekly_Averages'!N11,'Nicor-RO-4_Weekly_Averages'!N11,'Nicor-RO-5_Weekly_Averages'!N11,'Nicor-RO-6_Weekly_Averages'!N11,'Nicor-RO-7_Weekly_Averages'!N11,'Nicor-RO-9_Weekly_Averages'!N11,'Nicor-RO-10_Weekly_Averages'!N11,'Nicor-RO-11_Weekly_Averages'!N11,'Nicor-RO-12_Weekly_Averages'!N11)</f>
        <v>7.3803030303030308</v>
      </c>
      <c r="C12" s="42">
        <f>AVERAGE('Nicor-RO-1_Weekly_Averages'!O11,'Nicor-RO-2_Weekly_Averages'!O11,'Nicor-RO-3_Weekly_Averages'!O11,'Nicor-RO-4_Weekly_Averages'!O11,'Nicor-RO-5_Weekly_Averages'!O11,'Nicor-RO-6_Weekly_Averages'!O11,'Nicor-RO-7_Weekly_Averages'!O11,'Nicor-RO-9_Weekly_Averages'!O11,'Nicor-RO-10_Weekly_Averages'!O11,'Nicor-RO-11_Weekly_Averages'!O11,'Nicor-RO-12_Weekly_Averages'!O11)</f>
        <v>7.5901646110870704</v>
      </c>
      <c r="K12" t="s">
        <v>45</v>
      </c>
      <c r="L12" s="42">
        <f>L13*L14</f>
        <v>2.6845588235294113</v>
      </c>
      <c r="M12" s="42">
        <f>L12</f>
        <v>2.6845588235294113</v>
      </c>
      <c r="N12" t="s">
        <v>283</v>
      </c>
    </row>
    <row r="13" spans="1:15" x14ac:dyDescent="0.25">
      <c r="A13" t="s">
        <v>42</v>
      </c>
      <c r="B13" s="81">
        <f>AVERAGE('Nicor-RO-1_Weekly_Averages'!N12,'Nicor-RO-2_Weekly_Averages'!N12,'Nicor-RO-3_Weekly_Averages'!N12,'Nicor-RO-4_Weekly_Averages'!N12,'Nicor-RO-5_Weekly_Averages'!N12,'Nicor-RO-6_Weekly_Averages'!N12,'Nicor-RO-7_Weekly_Averages'!N12,'Nicor-RO-9_Weekly_Averages'!N12,'Nicor-RO-10_Weekly_Averages'!N12,'Nicor-RO-11_Weekly_Averages'!N12,'Nicor-RO-12_Weekly_Averages'!N12)</f>
        <v>0.76932041022950104</v>
      </c>
      <c r="C13" s="81">
        <f>AVERAGE('Nicor-RO-1_Weekly_Averages'!O12,'Nicor-RO-2_Weekly_Averages'!O12,'Nicor-RO-3_Weekly_Averages'!O12,'Nicor-RO-4_Weekly_Averages'!O12,'Nicor-RO-5_Weekly_Averages'!O12,'Nicor-RO-6_Weekly_Averages'!O12,'Nicor-RO-7_Weekly_Averages'!O12,'Nicor-RO-9_Weekly_Averages'!O12,'Nicor-RO-10_Weekly_Averages'!O12,'Nicor-RO-11_Weekly_Averages'!O12,'Nicor-RO-12_Weekly_Averages'!O12)</f>
        <v>0.20781240120494712</v>
      </c>
      <c r="K13" t="s">
        <v>44</v>
      </c>
      <c r="L13" s="42">
        <f>((1+4)/2*('2015 EIA RECS'!K232/13.5))+((5+9)/2*('2015 EIA RECS'!K233/13.5))+((10+15)/2*('2015 EIA RECS'!K234/13.5))</f>
        <v>4.5074074074074071</v>
      </c>
      <c r="M13" s="42">
        <f>L13</f>
        <v>4.5074074074074071</v>
      </c>
      <c r="N13" t="s">
        <v>278</v>
      </c>
    </row>
    <row r="14" spans="1:15" x14ac:dyDescent="0.25">
      <c r="A14" t="s">
        <v>43</v>
      </c>
      <c r="B14" s="42">
        <f>AVERAGE('Nicor-RO-1_Weekly_Averages'!N13,'Nicor-RO-2_Weekly_Averages'!N13,'Nicor-RO-3_Weekly_Averages'!N13,'Nicor-RO-4_Weekly_Averages'!N13,'Nicor-RO-5_Weekly_Averages'!N13,'Nicor-RO-6_Weekly_Averages'!N13,'Nicor-RO-7_Weekly_Averages'!N13,'Nicor-RO-9_Weekly_Averages'!N13,'Nicor-RO-10_Weekly_Averages'!N13,'Nicor-RO-11_Weekly_Averages'!N13,'Nicor-RO-12_Weekly_Averages'!N13)</f>
        <v>7.6527547734069481</v>
      </c>
      <c r="C14" s="42">
        <f>AVERAGE('Nicor-RO-1_Weekly_Averages'!O13,'Nicor-RO-2_Weekly_Averages'!O13,'Nicor-RO-3_Weekly_Averages'!O13,'Nicor-RO-4_Weekly_Averages'!O13,'Nicor-RO-5_Weekly_Averages'!O13,'Nicor-RO-6_Weekly_Averages'!O13,'Nicor-RO-7_Weekly_Averages'!O13,'Nicor-RO-9_Weekly_Averages'!O13,'Nicor-RO-10_Weekly_Averages'!O13,'Nicor-RO-11_Weekly_Averages'!O13,'Nicor-RO-12_Weekly_Averages'!O13)</f>
        <v>7.6539431275364782</v>
      </c>
      <c r="K14" t="s">
        <v>42</v>
      </c>
      <c r="L14" s="80">
        <f>('2015 EIA RECS'!K238+'2015 EIA RECS'!K239)/(0.8+7.3+5.5)</f>
        <v>0.59558823529411764</v>
      </c>
      <c r="M14" s="82">
        <f>L14</f>
        <v>0.59558823529411764</v>
      </c>
      <c r="N14" t="s">
        <v>278</v>
      </c>
    </row>
    <row r="15" spans="1:15" x14ac:dyDescent="0.25">
      <c r="A15" s="93" t="s">
        <v>318</v>
      </c>
      <c r="K15" t="s">
        <v>43</v>
      </c>
      <c r="L15" s="42">
        <f>L13</f>
        <v>4.5074074074074071</v>
      </c>
      <c r="M15" s="42">
        <f>M13</f>
        <v>4.5074074074074071</v>
      </c>
      <c r="N15" t="s">
        <v>278</v>
      </c>
    </row>
    <row r="17" spans="1:13" x14ac:dyDescent="0.25">
      <c r="A17" t="s">
        <v>20</v>
      </c>
      <c r="B17" s="50">
        <v>0.77</v>
      </c>
      <c r="C17" s="44"/>
    </row>
    <row r="18" spans="1:13" x14ac:dyDescent="0.25">
      <c r="A18" t="s">
        <v>21</v>
      </c>
      <c r="B18" s="50">
        <v>0.13</v>
      </c>
      <c r="C18" s="44"/>
      <c r="K18" t="s">
        <v>20</v>
      </c>
      <c r="L18" s="46">
        <v>0.85</v>
      </c>
      <c r="M18" t="s">
        <v>277</v>
      </c>
    </row>
    <row r="19" spans="1:13" x14ac:dyDescent="0.25">
      <c r="A19" t="s">
        <v>16</v>
      </c>
      <c r="B19" s="51">
        <f>AVERAGE('Nicor-RO-1_Weekly_Averages'!N18,'Nicor-RO-2_Weekly_Averages'!N18,'Nicor-RO-3_Weekly_Averages'!N18,'Nicor-RO-4_Weekly_Averages'!N18,'Nicor-RO-5_Weekly_Averages'!N18,'Nicor-RO-6_Weekly_Averages'!N18,'Nicor-RO-7_Weekly_Averages'!N18,'Nicor-RO-9_Weekly_Averages'!N18,'Nicor-RO-10_Weekly_Averages'!N18,'Nicor-RO-11_Weekly_Averages'!N18,'Nicor-RO-12_Weekly_Averages'!N18)</f>
        <v>121.02545454545454</v>
      </c>
      <c r="C19" s="44"/>
      <c r="K19" t="s">
        <v>21</v>
      </c>
      <c r="L19" s="46">
        <v>0.19089999999999999</v>
      </c>
      <c r="M19" t="s">
        <v>277</v>
      </c>
    </row>
    <row r="20" spans="1:13" x14ac:dyDescent="0.25">
      <c r="A20" t="s">
        <v>17</v>
      </c>
      <c r="B20" s="51">
        <f>AVERAGE('Nicor-RO-1_Weekly_Averages'!N19,'Nicor-RO-2_Weekly_Averages'!N19,'Nicor-RO-3_Weekly_Averages'!N19,'Nicor-RO-4_Weekly_Averages'!N19,'Nicor-RO-5_Weekly_Averages'!N19,'Nicor-RO-6_Weekly_Averages'!N19,'Nicor-RO-7_Weekly_Averages'!N19,'Nicor-RO-9_Weekly_Averages'!N19,'Nicor-RO-10_Weekly_Averages'!N19,'Nicor-RO-11_Weekly_Averages'!N19,'Nicor-RO-12_Weekly_Averages'!N19)</f>
        <v>54</v>
      </c>
      <c r="C20" s="44"/>
      <c r="K20" t="s">
        <v>16</v>
      </c>
      <c r="L20" s="42">
        <v>124.2</v>
      </c>
      <c r="M20" t="s">
        <v>280</v>
      </c>
    </row>
    <row r="21" spans="1:13" x14ac:dyDescent="0.25">
      <c r="A21" t="s">
        <v>19</v>
      </c>
      <c r="B21" s="45">
        <f>AVERAGE('Nicor-RO-1_Weekly_Averages'!N20,'Nicor-RO-2_Weekly_Averages'!N20,'Nicor-RO-3_Weekly_Averages'!N20,'Nicor-RO-4_Weekly_Averages'!N20,'Nicor-RO-5_Weekly_Averages'!N20,'Nicor-RO-6_Weekly_Averages'!N20,'Nicor-RO-7_Weekly_Averages'!N20,'Nicor-RO-9_Weekly_Averages'!N20,'Nicor-RO-10_Weekly_Averages'!N20,'Nicor-RO-11_Weekly_Averages'!N20,'Nicor-RO-12_Weekly_Averages'!N20)</f>
        <v>13.770139317474074</v>
      </c>
      <c r="C21" s="44"/>
      <c r="K21" t="s">
        <v>17</v>
      </c>
      <c r="L21" s="42">
        <v>75</v>
      </c>
      <c r="M21" t="s">
        <v>279</v>
      </c>
    </row>
    <row r="22" spans="1:13" x14ac:dyDescent="0.25">
      <c r="A22" t="s">
        <v>18</v>
      </c>
      <c r="B22" s="45">
        <f>AVERAGE('Nicor-RO-1_Weekly_Averages'!N21,'Nicor-RO-2_Weekly_Averages'!N21,'Nicor-RO-3_Weekly_Averages'!N21,'Nicor-RO-4_Weekly_Averages'!N21,'Nicor-RO-5_Weekly_Averages'!N21,'Nicor-RO-6_Weekly_Averages'!N21,'Nicor-RO-7_Weekly_Averages'!N21,'Nicor-RO-9_Weekly_Averages'!N21,'Nicor-RO-10_Weekly_Averages'!N21,'Nicor-RO-11_Weekly_Averages'!N21,'Nicor-RO-12_Weekly_Averages'!N21)</f>
        <v>17.033144260841606</v>
      </c>
      <c r="C22" s="44"/>
    </row>
    <row r="23" spans="1:13" ht="15.75" x14ac:dyDescent="0.25">
      <c r="A23" t="s">
        <v>22</v>
      </c>
      <c r="B23" s="46">
        <f>AVERAGE('Nicor-RO-1_Weekly_Averages'!N22,'Nicor-RO-2_Weekly_Averages'!N22,'Nicor-RO-3_Weekly_Averages'!N22,'Nicor-RO-4_Weekly_Averages'!N22,'Nicor-RO-5_Weekly_Averages'!N22,'Nicor-RO-6_Weekly_Averages'!N22,'Nicor-RO-7_Weekly_Averages'!N22,'Nicor-RO-9_Weekly_Averages'!N22,'Nicor-RO-10_Weekly_Averages'!N22,'Nicor-RO-11_Weekly_Averages'!N22,'Nicor-RO-12_Weekly_Averages'!N22)</f>
        <v>10.603007274455038</v>
      </c>
      <c r="C23" s="44"/>
      <c r="K23" s="84" t="s">
        <v>286</v>
      </c>
    </row>
    <row r="24" spans="1:13" x14ac:dyDescent="0.25">
      <c r="A24" t="s">
        <v>23</v>
      </c>
      <c r="B24" s="46">
        <f>AVERAGE('Nicor-RO-1_Weekly_Averages'!N23,'Nicor-RO-2_Weekly_Averages'!N23,'Nicor-RO-3_Weekly_Averages'!N23,'Nicor-RO-4_Weekly_Averages'!N23,'Nicor-RO-5_Weekly_Averages'!N23,'Nicor-RO-6_Weekly_Averages'!N23,'Nicor-RO-7_Weekly_Averages'!N23,'Nicor-RO-9_Weekly_Averages'!N23,'Nicor-RO-10_Weekly_Averages'!N23,'Nicor-RO-11_Weekly_Averages'!N23,'Nicor-RO-12_Weekly_Averages'!N23)</f>
        <v>13.115521080848039</v>
      </c>
      <c r="C24" s="44"/>
      <c r="K24" t="s">
        <v>285</v>
      </c>
      <c r="L24" s="45">
        <f>$L$7*8.33*($L$14*$L$13)*($L$20-$L$21)/0.58*52/100000</f>
        <v>3.2024312208593959</v>
      </c>
    </row>
    <row r="25" spans="1:13" x14ac:dyDescent="0.25">
      <c r="A25" t="s">
        <v>24</v>
      </c>
      <c r="B25" s="48">
        <f>AVERAGE('Nicor-RO-1_Weekly_Averages'!N24,'Nicor-RO-2_Weekly_Averages'!N24,'Nicor-RO-3_Weekly_Averages'!N24,'Nicor-RO-4_Weekly_Averages'!N24,'Nicor-RO-5_Weekly_Averages'!N24,'Nicor-RO-6_Weekly_Averages'!N24,'Nicor-RO-7_Weekly_Averages'!N24,'Nicor-RO-9_Weekly_Averages'!N24,'Nicor-RO-10_Weekly_Averages'!N24,'Nicor-RO-11_Weekly_Averages'!N24,'Nicor-RO-12_Weekly_Averages'!N24)</f>
        <v>2.0911930955397136</v>
      </c>
      <c r="C25" s="44"/>
      <c r="K25" t="s">
        <v>19</v>
      </c>
      <c r="L25" s="45">
        <f>$L$24-($M$7*8.33*($M$14*$M$13)*($L$20-$L$21)/0.58*52/100000)</f>
        <v>1.5990684546129754</v>
      </c>
    </row>
    <row r="26" spans="1:13" x14ac:dyDescent="0.25">
      <c r="A26" t="s">
        <v>25</v>
      </c>
      <c r="B26" s="46">
        <f>AVERAGE('Nicor-RO-1_Weekly_Averages'!N25,'Nicor-RO-2_Weekly_Averages'!N25,'Nicor-RO-3_Weekly_Averages'!N25,'Nicor-RO-4_Weekly_Averages'!N25,'Nicor-RO-5_Weekly_Averages'!N25,'Nicor-RO-6_Weekly_Averages'!N25,'Nicor-RO-7_Weekly_Averages'!N25,'Nicor-RO-9_Weekly_Averages'!N25,'Nicor-RO-10_Weekly_Averages'!N25,'Nicor-RO-11_Weekly_Averages'!N25,'Nicor-RO-12_Weekly_Averages'!N25)</f>
        <v>0.26139913694246419</v>
      </c>
      <c r="C26" s="44"/>
      <c r="K26" t="s">
        <v>18</v>
      </c>
      <c r="L26" s="45">
        <f>$L$24</f>
        <v>3.2024312208593959</v>
      </c>
      <c r="M26">
        <f>L26*29.3</f>
        <v>93.831234771180306</v>
      </c>
    </row>
    <row r="27" spans="1:13" x14ac:dyDescent="0.25">
      <c r="B27" s="47"/>
      <c r="C27" s="44"/>
      <c r="K27" t="s">
        <v>22</v>
      </c>
      <c r="L27" s="46">
        <f>$L$25*$L$18</f>
        <v>1.359208186421029</v>
      </c>
    </row>
    <row r="28" spans="1:13" x14ac:dyDescent="0.25">
      <c r="A28" t="s">
        <v>35</v>
      </c>
      <c r="B28" s="50">
        <f>AVERAGE('Nicor-RO-1_Weekly_Averages'!N27,'Nicor-RO-2_Weekly_Averages'!N27,'Nicor-RO-3_Weekly_Averages'!N27,'Nicor-RO-4_Weekly_Averages'!N27,'Nicor-RO-5_Weekly_Averages'!N27,'Nicor-RO-6_Weekly_Averages'!N27,'Nicor-RO-7_Weekly_Averages'!N27,'Nicor-RO-9_Weekly_Averages'!N27,'Nicor-RO-10_Weekly_Averages'!N27,'Nicor-RO-11_Weekly_Averages'!N27,'Nicor-RO-12_Weekly_Averages'!N27)</f>
        <v>0.15999999999999998</v>
      </c>
      <c r="C28" s="44"/>
      <c r="K28" t="s">
        <v>23</v>
      </c>
      <c r="L28" s="46">
        <f>$L$26*$L$18</f>
        <v>2.7220665377304862</v>
      </c>
    </row>
    <row r="29" spans="1:13" x14ac:dyDescent="0.25">
      <c r="A29" t="s">
        <v>36</v>
      </c>
      <c r="B29" s="46">
        <f>AVERAGE('Nicor-RO-1_Weekly_Averages'!N28,'Nicor-RO-2_Weekly_Averages'!N28,'Nicor-RO-3_Weekly_Averages'!N28,'Nicor-RO-4_Weekly_Averages'!N28,'Nicor-RO-5_Weekly_Averages'!N28,'Nicor-RO-6_Weekly_Averages'!N28,'Nicor-RO-7_Weekly_Averages'!N28,'Nicor-RO-9_Weekly_Averages'!N28,'Nicor-RO-10_Weekly_Averages'!N28,'Nicor-RO-11_Weekly_Averages'!N28,'Nicor-RO-12_Weekly_Averages'!N28)</f>
        <v>63.670919714745793</v>
      </c>
      <c r="C29" s="44"/>
      <c r="K29" t="s">
        <v>24</v>
      </c>
      <c r="L29" s="45">
        <f>$M$10*$M$13*52/1000</f>
        <v>1.230885875734383</v>
      </c>
    </row>
    <row r="30" spans="1:13" x14ac:dyDescent="0.25">
      <c r="B30" s="47"/>
      <c r="C30" s="44"/>
      <c r="K30" t="s">
        <v>25</v>
      </c>
      <c r="L30" s="46">
        <f>$L$29*$L$19</f>
        <v>0.23497611367769369</v>
      </c>
    </row>
    <row r="31" spans="1:13" x14ac:dyDescent="0.25">
      <c r="A31" t="s">
        <v>37</v>
      </c>
      <c r="B31" s="46">
        <f>AVERAGE('Nicor-RO-1_Weekly_Averages'!N30,'Nicor-RO-2_Weekly_Averages'!N30,'Nicor-RO-3_Weekly_Averages'!N30,'Nicor-RO-4_Weekly_Averages'!N30,'Nicor-RO-5_Weekly_Averages'!N30,'Nicor-RO-6_Weekly_Averages'!N30,'Nicor-RO-7_Weekly_Averages'!N30,'Nicor-RO-9_Weekly_Averages'!N30,'Nicor-RO-10_Weekly_Averages'!N30,'Nicor-RO-11_Weekly_Averages'!N30,'Nicor-RO-12_Weekly_Averages'!N30)</f>
        <v>300</v>
      </c>
      <c r="C31" s="44"/>
      <c r="L31" s="27"/>
    </row>
    <row r="32" spans="1:13" x14ac:dyDescent="0.25">
      <c r="A32" t="s">
        <v>38</v>
      </c>
      <c r="B32" s="45">
        <f>AVERAGE('Nicor-RO-1_Weekly_Averages'!N31,'Nicor-RO-2_Weekly_Averages'!N31,'Nicor-RO-3_Weekly_Averages'!N31,'Nicor-RO-4_Weekly_Averages'!N31,'Nicor-RO-5_Weekly_Averages'!N31,'Nicor-RO-6_Weekly_Averages'!N31,'Nicor-RO-7_Weekly_Averages'!N31,'Nicor-RO-9_Weekly_Averages'!N31,'Nicor-RO-10_Weekly_Averages'!N31,'Nicor-RO-11_Weekly_Averages'!N31,'Nicor-RO-12_Weekly_Averages'!N31)</f>
        <v>4.6386450271284101</v>
      </c>
      <c r="C32" s="44"/>
      <c r="K32" t="s">
        <v>35</v>
      </c>
      <c r="L32" s="46">
        <f>'Detergent Costs'!$D$9</f>
        <v>0.1633228373921867</v>
      </c>
    </row>
    <row r="33" spans="11:12" x14ac:dyDescent="0.25">
      <c r="K33" t="s">
        <v>36</v>
      </c>
      <c r="L33" s="46">
        <f>$L$32*$M$15*52</f>
        <v>38.280453487137564</v>
      </c>
    </row>
    <row r="34" spans="11:12" x14ac:dyDescent="0.25">
      <c r="L34" s="27"/>
    </row>
    <row r="35" spans="11:12" x14ac:dyDescent="0.25">
      <c r="K35" t="s">
        <v>37</v>
      </c>
      <c r="L35" s="46">
        <v>300</v>
      </c>
    </row>
    <row r="36" spans="11:12" x14ac:dyDescent="0.25">
      <c r="K36" t="s">
        <v>38</v>
      </c>
      <c r="L36" s="45">
        <f>$L$35/($L$33+$L$27-$L$30)</f>
        <v>7.6133078017868794</v>
      </c>
    </row>
    <row r="38" spans="11:12" ht="15.75" x14ac:dyDescent="0.25">
      <c r="K38" s="84" t="s">
        <v>287</v>
      </c>
    </row>
    <row r="39" spans="11:12" x14ac:dyDescent="0.25">
      <c r="K39" t="s">
        <v>285</v>
      </c>
      <c r="L39" s="45">
        <f>$L$7*8.33*($L$14*$L$13)*($L$20-$L$21)/0.58*52/100000</f>
        <v>3.2024312208593959</v>
      </c>
    </row>
    <row r="40" spans="11:12" x14ac:dyDescent="0.25">
      <c r="K40" t="s">
        <v>19</v>
      </c>
      <c r="L40" s="45">
        <f>L39-($M$7*8.33*($M$14*$M$13)*($L$20-$L$21)/0.58*52/100000)</f>
        <v>1.5990684546129754</v>
      </c>
    </row>
    <row r="41" spans="11:12" x14ac:dyDescent="0.25">
      <c r="K41" t="s">
        <v>18</v>
      </c>
      <c r="L41" s="45">
        <f>$L$24</f>
        <v>3.2024312208593959</v>
      </c>
    </row>
    <row r="42" spans="11:12" x14ac:dyDescent="0.25">
      <c r="K42" t="s">
        <v>22</v>
      </c>
      <c r="L42" s="46">
        <f>$L$25*$L$18</f>
        <v>1.359208186421029</v>
      </c>
    </row>
    <row r="43" spans="11:12" x14ac:dyDescent="0.25">
      <c r="K43" t="s">
        <v>23</v>
      </c>
      <c r="L43" s="46">
        <f>$L$26*$L$18</f>
        <v>2.7220665377304862</v>
      </c>
    </row>
    <row r="44" spans="11:12" x14ac:dyDescent="0.25">
      <c r="K44" t="s">
        <v>24</v>
      </c>
      <c r="L44" s="45">
        <f>$M$10*$M$13*52/1000</f>
        <v>1.230885875734383</v>
      </c>
    </row>
    <row r="45" spans="11:12" x14ac:dyDescent="0.25">
      <c r="K45" t="s">
        <v>25</v>
      </c>
      <c r="L45" s="46">
        <f>$L$29*$L$19</f>
        <v>0.23497611367769369</v>
      </c>
    </row>
    <row r="46" spans="11:12" x14ac:dyDescent="0.25">
      <c r="L46" s="27"/>
    </row>
    <row r="47" spans="11:12" x14ac:dyDescent="0.25">
      <c r="K47" t="s">
        <v>35</v>
      </c>
      <c r="L47" s="46">
        <f>'Detergent Costs'!$D$9</f>
        <v>0.1633228373921867</v>
      </c>
    </row>
    <row r="48" spans="11:12" x14ac:dyDescent="0.25">
      <c r="K48" t="s">
        <v>36</v>
      </c>
      <c r="L48" s="46">
        <f>$L$32*$M$15*52</f>
        <v>38.280453487137564</v>
      </c>
    </row>
    <row r="49" spans="11:12" x14ac:dyDescent="0.25">
      <c r="L49" s="27"/>
    </row>
    <row r="50" spans="11:12" x14ac:dyDescent="0.25">
      <c r="K50" t="s">
        <v>37</v>
      </c>
      <c r="L50" s="46">
        <v>300</v>
      </c>
    </row>
    <row r="51" spans="11:12" x14ac:dyDescent="0.25">
      <c r="K51" t="s">
        <v>38</v>
      </c>
      <c r="L51" s="45">
        <f>$L$35/($L$33+L43-$L$30)</f>
        <v>7.3587950417992314</v>
      </c>
    </row>
    <row r="53" spans="11:12" ht="15.75" x14ac:dyDescent="0.25">
      <c r="K53" s="84" t="s">
        <v>306</v>
      </c>
    </row>
    <row r="54" spans="11:12" x14ac:dyDescent="0.25">
      <c r="K54" t="s">
        <v>285</v>
      </c>
      <c r="L54" s="45">
        <f>$L$7*8.33*($L$14*6)*($L$20-$L$21)/0.58*52/100000</f>
        <v>4.262891189640281</v>
      </c>
    </row>
    <row r="55" spans="11:12" x14ac:dyDescent="0.25">
      <c r="K55" t="s">
        <v>19</v>
      </c>
      <c r="L55" s="45">
        <f>L54-($M$7*8.33*($M$14*6)*($L$20-$L$21)/0.58*52/100000)</f>
        <v>2.1285874252037966</v>
      </c>
    </row>
    <row r="56" spans="11:12" x14ac:dyDescent="0.25">
      <c r="K56" t="s">
        <v>18</v>
      </c>
      <c r="L56" s="45">
        <f>L54</f>
        <v>4.262891189640281</v>
      </c>
    </row>
    <row r="57" spans="11:12" x14ac:dyDescent="0.25">
      <c r="K57" t="s">
        <v>22</v>
      </c>
      <c r="L57" s="46">
        <f>$L$25*$L$18</f>
        <v>1.359208186421029</v>
      </c>
    </row>
    <row r="58" spans="11:12" x14ac:dyDescent="0.25">
      <c r="K58" t="s">
        <v>23</v>
      </c>
      <c r="L58" s="46">
        <f>L56*$L$18</f>
        <v>3.6234575111942386</v>
      </c>
    </row>
    <row r="59" spans="11:12" x14ac:dyDescent="0.25">
      <c r="K59" t="s">
        <v>24</v>
      </c>
      <c r="L59" s="45">
        <f>$M$10*6*52/1000</f>
        <v>1.6384840745190639</v>
      </c>
    </row>
    <row r="60" spans="11:12" x14ac:dyDescent="0.25">
      <c r="K60" t="s">
        <v>25</v>
      </c>
      <c r="L60" s="46">
        <f>L59*$L$19</f>
        <v>0.31278660982568929</v>
      </c>
    </row>
    <row r="62" spans="11:12" x14ac:dyDescent="0.25">
      <c r="K62" t="s">
        <v>35</v>
      </c>
      <c r="L62" s="46">
        <f>'Detergent Costs'!$D$9</f>
        <v>0.1633228373921867</v>
      </c>
    </row>
    <row r="63" spans="11:12" x14ac:dyDescent="0.25">
      <c r="K63" t="s">
        <v>36</v>
      </c>
      <c r="L63" s="46">
        <f>$L$32*6*52</f>
        <v>50.956725266362255</v>
      </c>
    </row>
    <row r="65" spans="11:12" x14ac:dyDescent="0.25">
      <c r="K65" t="s">
        <v>37</v>
      </c>
      <c r="L65" s="46">
        <v>300</v>
      </c>
    </row>
    <row r="66" spans="11:12" x14ac:dyDescent="0.25">
      <c r="K66" t="s">
        <v>38</v>
      </c>
      <c r="L66" s="45">
        <f>$L$35/(L63+L58-L60)</f>
        <v>5.5281812134997912</v>
      </c>
    </row>
    <row r="68" spans="11:12" ht="15.75" x14ac:dyDescent="0.25">
      <c r="K68" s="84" t="s">
        <v>288</v>
      </c>
    </row>
    <row r="69" spans="11:12" x14ac:dyDescent="0.25">
      <c r="K69" t="s">
        <v>285</v>
      </c>
      <c r="L69" s="45">
        <f>$L$7*8.33*($L$14*13)*($L$20-$L$21)/0.58*52/100000</f>
        <v>9.2362642442206084</v>
      </c>
    </row>
    <row r="70" spans="11:12" x14ac:dyDescent="0.25">
      <c r="K70" t="s">
        <v>19</v>
      </c>
      <c r="L70" s="45">
        <f>L69-($M$7*8.33*($M$14*13)*($L$20-$L$21)/0.58*52/100000)</f>
        <v>4.6119394212748928</v>
      </c>
    </row>
    <row r="71" spans="11:12" x14ac:dyDescent="0.25">
      <c r="K71" t="s">
        <v>18</v>
      </c>
      <c r="L71" s="45">
        <f>L69</f>
        <v>9.2362642442206084</v>
      </c>
    </row>
    <row r="72" spans="11:12" x14ac:dyDescent="0.25">
      <c r="K72" t="s">
        <v>22</v>
      </c>
      <c r="L72" s="46">
        <f>$L$25*$L$18</f>
        <v>1.359208186421029</v>
      </c>
    </row>
    <row r="73" spans="11:12" x14ac:dyDescent="0.25">
      <c r="K73" t="s">
        <v>23</v>
      </c>
      <c r="L73" s="46">
        <f>L71*$L$18</f>
        <v>7.8508246075875165</v>
      </c>
    </row>
    <row r="74" spans="11:12" x14ac:dyDescent="0.25">
      <c r="K74" t="s">
        <v>24</v>
      </c>
      <c r="L74" s="45">
        <f>$M$10*13*52/1000</f>
        <v>3.5500488281246385</v>
      </c>
    </row>
    <row r="75" spans="11:12" x14ac:dyDescent="0.25">
      <c r="K75" t="s">
        <v>25</v>
      </c>
      <c r="L75" s="46">
        <f>L74*$L$19</f>
        <v>0.67770432128899349</v>
      </c>
    </row>
    <row r="76" spans="11:12" x14ac:dyDescent="0.25">
      <c r="L76" s="27"/>
    </row>
    <row r="77" spans="11:12" x14ac:dyDescent="0.25">
      <c r="K77" t="s">
        <v>35</v>
      </c>
      <c r="L77" s="46">
        <f>'Detergent Costs'!$D$9</f>
        <v>0.1633228373921867</v>
      </c>
    </row>
    <row r="78" spans="11:12" x14ac:dyDescent="0.25">
      <c r="K78" t="s">
        <v>36</v>
      </c>
      <c r="L78" s="46">
        <f>$L$32*13*52</f>
        <v>110.40623807711822</v>
      </c>
    </row>
    <row r="79" spans="11:12" x14ac:dyDescent="0.25">
      <c r="L79" s="27"/>
    </row>
    <row r="80" spans="11:12" x14ac:dyDescent="0.25">
      <c r="K80" t="s">
        <v>37</v>
      </c>
      <c r="L80" s="46">
        <v>300</v>
      </c>
    </row>
    <row r="81" spans="11:12" x14ac:dyDescent="0.25">
      <c r="K81" t="s">
        <v>38</v>
      </c>
      <c r="L81" s="45">
        <f>$L$35/(L78+L73-L75)</f>
        <v>2.5514682523845194</v>
      </c>
    </row>
    <row r="83" spans="11:12" ht="15.75" x14ac:dyDescent="0.25">
      <c r="K83" s="84" t="s">
        <v>304</v>
      </c>
    </row>
    <row r="84" spans="11:12" x14ac:dyDescent="0.25">
      <c r="K84" t="s">
        <v>285</v>
      </c>
      <c r="L84" s="45">
        <f>$L$7*8.33*($L$14*21)*($L$20-$L$21)/0.58*52/100000</f>
        <v>14.920119163740985</v>
      </c>
    </row>
    <row r="85" spans="11:12" x14ac:dyDescent="0.25">
      <c r="K85" t="s">
        <v>19</v>
      </c>
      <c r="L85" s="45">
        <f>L84-($M$7*8.33*($M$14*21)*($L$20-$L$21)/0.58*52/100000)</f>
        <v>7.450055988213288</v>
      </c>
    </row>
    <row r="86" spans="11:12" x14ac:dyDescent="0.25">
      <c r="K86" t="s">
        <v>18</v>
      </c>
      <c r="L86" s="45">
        <f>L84</f>
        <v>14.920119163740985</v>
      </c>
    </row>
    <row r="87" spans="11:12" x14ac:dyDescent="0.25">
      <c r="K87" t="s">
        <v>22</v>
      </c>
      <c r="L87" s="46">
        <f>$L$25*$L$18</f>
        <v>1.359208186421029</v>
      </c>
    </row>
    <row r="88" spans="11:12" x14ac:dyDescent="0.25">
      <c r="K88" t="s">
        <v>23</v>
      </c>
      <c r="L88" s="46">
        <f>L86*$L$18</f>
        <v>12.682101289179837</v>
      </c>
    </row>
    <row r="89" spans="11:12" x14ac:dyDescent="0.25">
      <c r="K89" t="s">
        <v>24</v>
      </c>
      <c r="L89" s="45">
        <f>$M$10*21*52/1000</f>
        <v>5.7346942608167231</v>
      </c>
    </row>
    <row r="90" spans="11:12" x14ac:dyDescent="0.25">
      <c r="K90" t="s">
        <v>25</v>
      </c>
      <c r="L90" s="46">
        <f>L89*$L$19</f>
        <v>1.0947531343899124</v>
      </c>
    </row>
    <row r="91" spans="11:12" x14ac:dyDescent="0.25">
      <c r="L91" s="27"/>
    </row>
    <row r="92" spans="11:12" x14ac:dyDescent="0.25">
      <c r="K92" t="s">
        <v>35</v>
      </c>
      <c r="L92" s="46">
        <f>'Detergent Costs'!$D$9</f>
        <v>0.1633228373921867</v>
      </c>
    </row>
    <row r="93" spans="11:12" x14ac:dyDescent="0.25">
      <c r="K93" t="s">
        <v>36</v>
      </c>
      <c r="L93" s="46">
        <f>$L$32*21*52</f>
        <v>178.34853843226787</v>
      </c>
    </row>
    <row r="94" spans="11:12" x14ac:dyDescent="0.25">
      <c r="L94" s="27"/>
    </row>
    <row r="95" spans="11:12" x14ac:dyDescent="0.25">
      <c r="K95" t="s">
        <v>37</v>
      </c>
      <c r="L95" s="46">
        <v>300</v>
      </c>
    </row>
    <row r="96" spans="11:12" x14ac:dyDescent="0.25">
      <c r="K96" t="s">
        <v>38</v>
      </c>
      <c r="L96" s="45">
        <f>$L$35/(L93+L88-L90)</f>
        <v>1.5794803467142264</v>
      </c>
    </row>
    <row r="98" spans="11:12" ht="15.75" x14ac:dyDescent="0.25">
      <c r="K98" s="84" t="s">
        <v>289</v>
      </c>
    </row>
    <row r="99" spans="11:12" x14ac:dyDescent="0.25">
      <c r="K99" t="s">
        <v>285</v>
      </c>
      <c r="L99" s="45">
        <f>$L$7*8.33*($L$14*$L$13)*($L$20-70)/0.58*52/100000</f>
        <v>3.527881548182505</v>
      </c>
    </row>
    <row r="100" spans="11:12" x14ac:dyDescent="0.25">
      <c r="K100" t="s">
        <v>19</v>
      </c>
      <c r="L100" s="45">
        <f>L99-($M$7*8.33*($M$14*$M$13)*($L$20-$L$21)/0.58*52/100000)</f>
        <v>1.9245187819360845</v>
      </c>
    </row>
    <row r="101" spans="11:12" x14ac:dyDescent="0.25">
      <c r="K101" t="s">
        <v>18</v>
      </c>
      <c r="L101" s="45">
        <f>L99</f>
        <v>3.527881548182505</v>
      </c>
    </row>
    <row r="102" spans="11:12" x14ac:dyDescent="0.25">
      <c r="K102" t="s">
        <v>22</v>
      </c>
      <c r="L102" s="46">
        <f>$L$25*$L$18</f>
        <v>1.359208186421029</v>
      </c>
    </row>
    <row r="103" spans="11:12" x14ac:dyDescent="0.25">
      <c r="K103" t="s">
        <v>23</v>
      </c>
      <c r="L103" s="46">
        <f>L101*$L$18</f>
        <v>2.998699315955129</v>
      </c>
    </row>
    <row r="104" spans="11:12" x14ac:dyDescent="0.25">
      <c r="K104" t="s">
        <v>24</v>
      </c>
      <c r="L104" s="45">
        <f>$M$10*$M$13*52/1000</f>
        <v>1.230885875734383</v>
      </c>
    </row>
    <row r="105" spans="11:12" x14ac:dyDescent="0.25">
      <c r="K105" t="s">
        <v>25</v>
      </c>
      <c r="L105" s="46">
        <f>L104*$L$19</f>
        <v>0.23497611367769369</v>
      </c>
    </row>
    <row r="106" spans="11:12" x14ac:dyDescent="0.25">
      <c r="L106" s="27"/>
    </row>
    <row r="107" spans="11:12" x14ac:dyDescent="0.25">
      <c r="K107" t="s">
        <v>35</v>
      </c>
      <c r="L107" s="46">
        <f>'Detergent Costs'!$D$9</f>
        <v>0.1633228373921867</v>
      </c>
    </row>
    <row r="108" spans="11:12" x14ac:dyDescent="0.25">
      <c r="K108" t="s">
        <v>36</v>
      </c>
      <c r="L108" s="46">
        <f>$L$32*$M$15*52</f>
        <v>38.280453487137564</v>
      </c>
    </row>
    <row r="109" spans="11:12" x14ac:dyDescent="0.25">
      <c r="L109" s="27"/>
    </row>
    <row r="110" spans="11:12" x14ac:dyDescent="0.25">
      <c r="K110" t="s">
        <v>37</v>
      </c>
      <c r="L110" s="46">
        <v>300</v>
      </c>
    </row>
    <row r="111" spans="11:12" x14ac:dyDescent="0.25">
      <c r="K111" t="s">
        <v>38</v>
      </c>
      <c r="L111" s="45">
        <f>$L$35/(L108+L103-L105)</f>
        <v>7.309197654764211</v>
      </c>
    </row>
    <row r="113" spans="11:12" ht="15.75" x14ac:dyDescent="0.25">
      <c r="K113" s="84" t="s">
        <v>290</v>
      </c>
    </row>
    <row r="114" spans="11:12" x14ac:dyDescent="0.25">
      <c r="K114" t="s">
        <v>285</v>
      </c>
      <c r="L114" s="45">
        <f>$L$7*8.33*($L$14*13)*($L$20-70)/0.58*52/100000</f>
        <v>10.17490898448693</v>
      </c>
    </row>
    <row r="115" spans="11:12" x14ac:dyDescent="0.25">
      <c r="K115" t="s">
        <v>19</v>
      </c>
      <c r="L115" s="45">
        <f>L114-($M$7*8.33*($M$14*13)*($L$20-$L$21)/0.58*52/100000)</f>
        <v>5.5505841615412139</v>
      </c>
    </row>
    <row r="116" spans="11:12" x14ac:dyDescent="0.25">
      <c r="K116" t="s">
        <v>18</v>
      </c>
      <c r="L116" s="45">
        <f>L114</f>
        <v>10.17490898448693</v>
      </c>
    </row>
    <row r="117" spans="11:12" x14ac:dyDescent="0.25">
      <c r="K117" t="s">
        <v>22</v>
      </c>
      <c r="L117" s="46">
        <f>$L$25*$L$18</f>
        <v>1.359208186421029</v>
      </c>
    </row>
    <row r="118" spans="11:12" x14ac:dyDescent="0.25">
      <c r="K118" t="s">
        <v>23</v>
      </c>
      <c r="L118" s="46">
        <f>L116*$L$18</f>
        <v>8.64867263681389</v>
      </c>
    </row>
    <row r="119" spans="11:12" x14ac:dyDescent="0.25">
      <c r="K119" t="s">
        <v>24</v>
      </c>
      <c r="L119" s="45">
        <f>$M$10*13*52/1000</f>
        <v>3.5500488281246385</v>
      </c>
    </row>
    <row r="120" spans="11:12" x14ac:dyDescent="0.25">
      <c r="K120" t="s">
        <v>25</v>
      </c>
      <c r="L120" s="46">
        <f>L119*$L$19</f>
        <v>0.67770432128899349</v>
      </c>
    </row>
    <row r="121" spans="11:12" x14ac:dyDescent="0.25">
      <c r="L121" s="27"/>
    </row>
    <row r="122" spans="11:12" x14ac:dyDescent="0.25">
      <c r="K122" t="s">
        <v>35</v>
      </c>
      <c r="L122" s="46">
        <f>'Detergent Costs'!$D$9</f>
        <v>0.1633228373921867</v>
      </c>
    </row>
    <row r="123" spans="11:12" x14ac:dyDescent="0.25">
      <c r="K123" t="s">
        <v>36</v>
      </c>
      <c r="L123" s="46">
        <f>$L$32*13*52</f>
        <v>110.40623807711822</v>
      </c>
    </row>
    <row r="124" spans="11:12" x14ac:dyDescent="0.25">
      <c r="L124" s="27"/>
    </row>
    <row r="125" spans="11:12" x14ac:dyDescent="0.25">
      <c r="K125" t="s">
        <v>37</v>
      </c>
      <c r="L125" s="46">
        <v>300</v>
      </c>
    </row>
    <row r="126" spans="11:12" x14ac:dyDescent="0.25">
      <c r="K126" t="s">
        <v>38</v>
      </c>
      <c r="L126" s="45">
        <f>$L$35/(L123+L118-L120)</f>
        <v>2.5342716654837734</v>
      </c>
    </row>
    <row r="128" spans="11:12" ht="15.75" x14ac:dyDescent="0.25">
      <c r="K128" s="84" t="s">
        <v>305</v>
      </c>
    </row>
    <row r="129" spans="11:12" x14ac:dyDescent="0.25">
      <c r="K129" t="s">
        <v>285</v>
      </c>
      <c r="L129" s="45">
        <f>$L$7*8.33*($L$14*21)*($L$20-70)/0.58*52/100000</f>
        <v>16.436391436478889</v>
      </c>
    </row>
    <row r="130" spans="11:12" x14ac:dyDescent="0.25">
      <c r="K130" t="s">
        <v>19</v>
      </c>
      <c r="L130" s="45">
        <f>L129-($M$7*8.33*($M$14*21)*($L$20-$L$21)/0.58*52/100000)</f>
        <v>8.9663282609511921</v>
      </c>
    </row>
    <row r="131" spans="11:12" x14ac:dyDescent="0.25">
      <c r="K131" t="s">
        <v>18</v>
      </c>
      <c r="L131" s="45">
        <f>L129</f>
        <v>16.436391436478889</v>
      </c>
    </row>
    <row r="132" spans="11:12" x14ac:dyDescent="0.25">
      <c r="K132" t="s">
        <v>22</v>
      </c>
      <c r="L132" s="46">
        <f>$L$25*$L$18</f>
        <v>1.359208186421029</v>
      </c>
    </row>
    <row r="133" spans="11:12" x14ac:dyDescent="0.25">
      <c r="K133" t="s">
        <v>23</v>
      </c>
      <c r="L133" s="46">
        <f>L131*$L$18</f>
        <v>13.970932721007054</v>
      </c>
    </row>
    <row r="134" spans="11:12" x14ac:dyDescent="0.25">
      <c r="K134" t="s">
        <v>24</v>
      </c>
      <c r="L134" s="45">
        <f>$M$10*21*52/1000</f>
        <v>5.7346942608167231</v>
      </c>
    </row>
    <row r="135" spans="11:12" x14ac:dyDescent="0.25">
      <c r="K135" t="s">
        <v>25</v>
      </c>
      <c r="L135" s="46">
        <f>L134*$L$19</f>
        <v>1.0947531343899124</v>
      </c>
    </row>
    <row r="137" spans="11:12" x14ac:dyDescent="0.25">
      <c r="K137" t="s">
        <v>35</v>
      </c>
      <c r="L137" s="46">
        <f>'Detergent Costs'!$D$9</f>
        <v>0.1633228373921867</v>
      </c>
    </row>
    <row r="138" spans="11:12" x14ac:dyDescent="0.25">
      <c r="K138" t="s">
        <v>36</v>
      </c>
      <c r="L138" s="46">
        <f>$L$32*21*52</f>
        <v>178.34853843226787</v>
      </c>
    </row>
    <row r="140" spans="11:12" x14ac:dyDescent="0.25">
      <c r="K140" t="s">
        <v>37</v>
      </c>
      <c r="L140" s="46">
        <v>300</v>
      </c>
    </row>
    <row r="141" spans="11:12" x14ac:dyDescent="0.25">
      <c r="K141" t="s">
        <v>38</v>
      </c>
      <c r="L141" s="45">
        <f>$L$35/(L138+L133-L135)</f>
        <v>1.568834840537574</v>
      </c>
    </row>
    <row r="143" spans="11:12" ht="15.75" x14ac:dyDescent="0.25">
      <c r="K143" s="84" t="s">
        <v>291</v>
      </c>
    </row>
    <row r="144" spans="11:12" x14ac:dyDescent="0.25">
      <c r="K144" t="s">
        <v>292</v>
      </c>
      <c r="L144" s="45">
        <f>B7*(L146/($B$7+$B$8))</f>
        <v>1.3867692388400521</v>
      </c>
    </row>
    <row r="145" spans="11:12" x14ac:dyDescent="0.25">
      <c r="K145" t="s">
        <v>293</v>
      </c>
      <c r="L145" s="45">
        <f>B8*(L146/($B$7+$B$8))</f>
        <v>11.513230761159948</v>
      </c>
    </row>
    <row r="146" spans="11:12" x14ac:dyDescent="0.25">
      <c r="K146" t="s">
        <v>281</v>
      </c>
      <c r="L146" s="43">
        <v>12.9</v>
      </c>
    </row>
    <row r="147" spans="11:12" x14ac:dyDescent="0.25">
      <c r="K147" t="s">
        <v>294</v>
      </c>
      <c r="L147" s="45">
        <f>C7*(L146/($C$7+$C$8))</f>
        <v>0.69431441601276223</v>
      </c>
    </row>
    <row r="148" spans="11:12" x14ac:dyDescent="0.25">
      <c r="K148" t="s">
        <v>295</v>
      </c>
      <c r="L148" s="45">
        <f>C8*(L146/($C$7+$C$8))</f>
        <v>12.205685583987236</v>
      </c>
    </row>
    <row r="149" spans="11:12" x14ac:dyDescent="0.25">
      <c r="K149" t="s">
        <v>285</v>
      </c>
      <c r="L149" s="45">
        <f>L144*8.33*($L$14*$L$13)*($L$20-$L$21)/0.58*52/100000</f>
        <v>1.3679259188439141</v>
      </c>
    </row>
    <row r="150" spans="11:12" x14ac:dyDescent="0.25">
      <c r="K150" t="s">
        <v>19</v>
      </c>
      <c r="L150" s="45">
        <f>L144-(L147*8.33*($M$14*$M$13)*($L$20-$L$21)/0.58*52/100000)</f>
        <v>0.70188911683413091</v>
      </c>
    </row>
    <row r="151" spans="11:12" x14ac:dyDescent="0.25">
      <c r="K151" t="s">
        <v>18</v>
      </c>
      <c r="L151" s="45">
        <f>L149</f>
        <v>1.3679259188439141</v>
      </c>
    </row>
    <row r="152" spans="11:12" x14ac:dyDescent="0.25">
      <c r="K152" t="s">
        <v>22</v>
      </c>
      <c r="L152" s="46">
        <f>L151*$L$18</f>
        <v>1.1627370310173271</v>
      </c>
    </row>
    <row r="153" spans="11:12" x14ac:dyDescent="0.25">
      <c r="K153" t="s">
        <v>23</v>
      </c>
      <c r="L153" s="46">
        <f>L151*$L$18</f>
        <v>1.1627370310173271</v>
      </c>
    </row>
    <row r="154" spans="11:12" x14ac:dyDescent="0.25">
      <c r="K154" t="s">
        <v>24</v>
      </c>
      <c r="L154" s="45">
        <f>$M$10*$M$13*52/1000</f>
        <v>1.230885875734383</v>
      </c>
    </row>
    <row r="155" spans="11:12" x14ac:dyDescent="0.25">
      <c r="K155" t="s">
        <v>25</v>
      </c>
      <c r="L155" s="46">
        <f>L154*$L$19</f>
        <v>0.23497611367769369</v>
      </c>
    </row>
    <row r="157" spans="11:12" x14ac:dyDescent="0.25">
      <c r="K157" t="s">
        <v>35</v>
      </c>
      <c r="L157" s="46">
        <f>'Detergent Costs'!$D$9</f>
        <v>0.1633228373921867</v>
      </c>
    </row>
    <row r="158" spans="11:12" x14ac:dyDescent="0.25">
      <c r="K158" t="s">
        <v>36</v>
      </c>
      <c r="L158" s="46">
        <f>$L$32*$M$15*52</f>
        <v>38.280453487137564</v>
      </c>
    </row>
    <row r="160" spans="11:12" x14ac:dyDescent="0.25">
      <c r="K160" t="s">
        <v>37</v>
      </c>
      <c r="L160" s="46">
        <v>300</v>
      </c>
    </row>
    <row r="161" spans="11:12" x14ac:dyDescent="0.25">
      <c r="K161" t="s">
        <v>38</v>
      </c>
      <c r="L161" s="45">
        <f>$L$35/($L$33+L153-L155)</f>
        <v>7.6514578528152235</v>
      </c>
    </row>
  </sheetData>
  <mergeCells count="2">
    <mergeCell ref="B5:C5"/>
    <mergeCell ref="L5:M5"/>
  </mergeCells>
  <pageMargins left="0.7" right="0.7" top="0.75" bottom="0.75" header="0.3" footer="0.3"/>
  <pageSetup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A1:E10"/>
  <sheetViews>
    <sheetView workbookViewId="0">
      <selection activeCell="C2" sqref="C2"/>
    </sheetView>
  </sheetViews>
  <sheetFormatPr defaultRowHeight="15" x14ac:dyDescent="0.25"/>
  <cols>
    <col min="1" max="1" width="28" bestFit="1" customWidth="1"/>
    <col min="2" max="2" width="12.5703125" bestFit="1" customWidth="1"/>
    <col min="3" max="3" width="26.5703125" bestFit="1" customWidth="1"/>
    <col min="5" max="5" width="28" bestFit="1" customWidth="1"/>
  </cols>
  <sheetData>
    <row r="1" spans="1:5" x14ac:dyDescent="0.25">
      <c r="A1" s="83" t="s">
        <v>302</v>
      </c>
      <c r="B1" s="83" t="s">
        <v>303</v>
      </c>
      <c r="C1" s="43" t="s">
        <v>310</v>
      </c>
    </row>
    <row r="2" spans="1:5" x14ac:dyDescent="0.25">
      <c r="A2" s="86" t="s">
        <v>307</v>
      </c>
      <c r="B2" s="45">
        <v>1.568834840537574</v>
      </c>
      <c r="C2" s="45">
        <v>16.436391436478889</v>
      </c>
      <c r="E2" s="85"/>
    </row>
    <row r="3" spans="1:5" x14ac:dyDescent="0.25">
      <c r="A3" s="86" t="s">
        <v>308</v>
      </c>
      <c r="B3" s="45">
        <v>1.5794803467142264</v>
      </c>
      <c r="C3" s="45">
        <v>14.920119163740985</v>
      </c>
      <c r="E3" s="85"/>
    </row>
    <row r="4" spans="1:5" x14ac:dyDescent="0.25">
      <c r="A4" s="86" t="s">
        <v>300</v>
      </c>
      <c r="B4" s="45">
        <v>2.5342716654837734</v>
      </c>
      <c r="C4" s="45">
        <v>10.17490898448693</v>
      </c>
      <c r="E4" s="85"/>
    </row>
    <row r="5" spans="1:5" x14ac:dyDescent="0.25">
      <c r="A5" s="86" t="s">
        <v>298</v>
      </c>
      <c r="B5" s="45">
        <v>2.5514682523845194</v>
      </c>
      <c r="C5" s="45">
        <v>9.2362642442206084</v>
      </c>
      <c r="E5" s="85"/>
    </row>
    <row r="6" spans="1:5" x14ac:dyDescent="0.25">
      <c r="A6" s="86" t="s">
        <v>309</v>
      </c>
      <c r="B6" s="45">
        <v>5.5281812134997912</v>
      </c>
      <c r="C6" s="45">
        <v>4.262891189640281</v>
      </c>
      <c r="E6" s="85"/>
    </row>
    <row r="7" spans="1:5" x14ac:dyDescent="0.25">
      <c r="A7" s="86" t="s">
        <v>299</v>
      </c>
      <c r="B7" s="45">
        <v>7.309197654764211</v>
      </c>
      <c r="C7" s="45">
        <v>3.527881548182505</v>
      </c>
      <c r="E7" s="85"/>
    </row>
    <row r="8" spans="1:5" x14ac:dyDescent="0.25">
      <c r="A8" s="86" t="s">
        <v>297</v>
      </c>
      <c r="B8" s="45">
        <v>7.3587950417992314</v>
      </c>
      <c r="C8" s="45">
        <v>3.2024312208593959</v>
      </c>
      <c r="E8" s="85"/>
    </row>
    <row r="9" spans="1:5" x14ac:dyDescent="0.25">
      <c r="A9" s="86" t="s">
        <v>296</v>
      </c>
      <c r="B9" s="45">
        <v>7.6133078017868794</v>
      </c>
      <c r="C9" s="45">
        <v>1.5990684546129754</v>
      </c>
      <c r="E9" s="85"/>
    </row>
    <row r="10" spans="1:5" x14ac:dyDescent="0.25">
      <c r="A10" s="86" t="s">
        <v>301</v>
      </c>
      <c r="B10" s="45">
        <v>7.6514578528152235</v>
      </c>
      <c r="C10" s="45">
        <v>1.3679259188439141</v>
      </c>
      <c r="E10" s="85"/>
    </row>
  </sheetData>
  <sortState ref="A2:C10">
    <sortCondition ref="B2"/>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N269"/>
  <sheetViews>
    <sheetView zoomScale="70" zoomScaleNormal="70" workbookViewId="0">
      <selection activeCell="C242" sqref="C242"/>
    </sheetView>
  </sheetViews>
  <sheetFormatPr defaultColWidth="9.140625" defaultRowHeight="15" x14ac:dyDescent="0.25"/>
  <cols>
    <col min="1" max="1" width="28.7109375" customWidth="1"/>
    <col min="2" max="11" width="8.28515625" customWidth="1"/>
  </cols>
  <sheetData>
    <row r="1" spans="1:11" x14ac:dyDescent="0.25">
      <c r="A1" s="52" t="s">
        <v>113</v>
      </c>
    </row>
    <row r="2" spans="1:11" ht="24" customHeight="1" x14ac:dyDescent="0.25">
      <c r="A2" s="125" t="s">
        <v>114</v>
      </c>
      <c r="B2" s="125"/>
      <c r="C2" s="125"/>
      <c r="D2" s="125"/>
      <c r="E2" s="125"/>
      <c r="F2" s="125"/>
      <c r="G2" s="125"/>
      <c r="H2" s="125"/>
      <c r="I2" s="125"/>
      <c r="J2" s="125"/>
      <c r="K2" s="125"/>
    </row>
    <row r="3" spans="1:11" ht="24" customHeight="1" thickBot="1" x14ac:dyDescent="0.3">
      <c r="A3" s="53"/>
      <c r="B3" s="126" t="s">
        <v>115</v>
      </c>
      <c r="C3" s="126"/>
      <c r="D3" s="126"/>
      <c r="E3" s="126"/>
      <c r="F3" s="126"/>
      <c r="G3" s="126"/>
      <c r="H3" s="126"/>
      <c r="I3" s="126"/>
      <c r="J3" s="126"/>
      <c r="K3" s="126"/>
    </row>
    <row r="4" spans="1:11" ht="2.25" customHeight="1" thickTop="1" x14ac:dyDescent="0.25">
      <c r="A4" s="53"/>
    </row>
    <row r="5" spans="1:11" ht="24" customHeight="1" x14ac:dyDescent="0.25">
      <c r="A5" s="53"/>
      <c r="B5" s="54"/>
      <c r="C5" s="127" t="s">
        <v>116</v>
      </c>
      <c r="D5" s="128"/>
      <c r="E5" s="128"/>
      <c r="F5" s="129"/>
      <c r="G5" s="130" t="s">
        <v>117</v>
      </c>
      <c r="H5" s="131"/>
      <c r="I5" s="131"/>
      <c r="J5" s="131"/>
      <c r="K5" s="131"/>
    </row>
    <row r="6" spans="1:11" ht="1.5" customHeight="1" x14ac:dyDescent="0.25"/>
    <row r="7" spans="1:11" ht="24" customHeight="1" x14ac:dyDescent="0.25">
      <c r="A7" s="53"/>
      <c r="B7" s="54"/>
      <c r="E7" s="132" t="s">
        <v>118</v>
      </c>
      <c r="F7" s="132" t="s">
        <v>119</v>
      </c>
      <c r="G7" s="55"/>
      <c r="H7" s="128" t="s">
        <v>120</v>
      </c>
      <c r="I7" s="128"/>
      <c r="J7" s="128"/>
      <c r="K7" s="55"/>
    </row>
    <row r="8" spans="1:11" ht="33.950000000000003" customHeight="1" thickBot="1" x14ac:dyDescent="0.3">
      <c r="A8" s="56"/>
      <c r="B8" s="57" t="s">
        <v>121</v>
      </c>
      <c r="C8" s="57" t="s">
        <v>122</v>
      </c>
      <c r="D8" s="57" t="s">
        <v>123</v>
      </c>
      <c r="E8" s="133"/>
      <c r="F8" s="133"/>
      <c r="G8" s="57" t="s">
        <v>124</v>
      </c>
      <c r="H8" s="57" t="s">
        <v>125</v>
      </c>
      <c r="I8" s="57" t="s">
        <v>126</v>
      </c>
      <c r="J8" s="57" t="s">
        <v>127</v>
      </c>
      <c r="K8" s="58" t="s">
        <v>128</v>
      </c>
    </row>
    <row r="9" spans="1:11" ht="24" customHeight="1" thickTop="1" x14ac:dyDescent="0.25">
      <c r="A9" s="59" t="s">
        <v>129</v>
      </c>
      <c r="B9" s="60">
        <v>118.2</v>
      </c>
      <c r="C9" s="60">
        <v>44.4</v>
      </c>
      <c r="D9" s="60">
        <v>23.5</v>
      </c>
      <c r="E9" s="60">
        <v>7.2</v>
      </c>
      <c r="F9" s="60">
        <v>13.8</v>
      </c>
      <c r="G9" s="60">
        <v>26.4</v>
      </c>
      <c r="H9" s="60">
        <v>8.5</v>
      </c>
      <c r="I9" s="60">
        <v>4.2</v>
      </c>
      <c r="J9" s="60">
        <v>4.3</v>
      </c>
      <c r="K9" s="60">
        <v>17.899999999999999</v>
      </c>
    </row>
    <row r="10" spans="1:11" ht="33.950000000000003" hidden="1" customHeight="1" x14ac:dyDescent="0.25">
      <c r="A10" s="61" t="s">
        <v>130</v>
      </c>
      <c r="B10" s="62" t="s">
        <v>131</v>
      </c>
      <c r="C10" s="62" t="s">
        <v>131</v>
      </c>
      <c r="D10" s="62" t="s">
        <v>131</v>
      </c>
      <c r="E10" s="62" t="s">
        <v>131</v>
      </c>
      <c r="F10" s="62" t="s">
        <v>131</v>
      </c>
      <c r="G10" s="62" t="s">
        <v>131</v>
      </c>
      <c r="H10" s="62" t="s">
        <v>131</v>
      </c>
      <c r="I10" s="62" t="s">
        <v>131</v>
      </c>
      <c r="J10" s="62" t="s">
        <v>131</v>
      </c>
      <c r="K10" s="62" t="s">
        <v>131</v>
      </c>
    </row>
    <row r="11" spans="1:11" hidden="1" x14ac:dyDescent="0.25">
      <c r="A11" s="63" t="s">
        <v>132</v>
      </c>
      <c r="B11" s="64">
        <v>108.1</v>
      </c>
      <c r="C11" s="64">
        <v>39.700000000000003</v>
      </c>
      <c r="D11" s="64">
        <v>21.5</v>
      </c>
      <c r="E11" s="64">
        <v>6.7</v>
      </c>
      <c r="F11" s="64">
        <v>11.6</v>
      </c>
      <c r="G11" s="64">
        <v>23.7</v>
      </c>
      <c r="H11" s="64">
        <v>7.7</v>
      </c>
      <c r="I11" s="64">
        <v>3.9</v>
      </c>
      <c r="J11" s="64">
        <v>3.8</v>
      </c>
      <c r="K11" s="64">
        <v>15.9</v>
      </c>
    </row>
    <row r="12" spans="1:11" hidden="1" x14ac:dyDescent="0.25">
      <c r="A12" s="65">
        <v>1</v>
      </c>
      <c r="B12" s="64">
        <v>105.8</v>
      </c>
      <c r="C12" s="64">
        <v>39.1</v>
      </c>
      <c r="D12" s="64">
        <v>21.2</v>
      </c>
      <c r="E12" s="64">
        <v>6.4</v>
      </c>
      <c r="F12" s="64">
        <v>11.4</v>
      </c>
      <c r="G12" s="64">
        <v>23.4</v>
      </c>
      <c r="H12" s="64">
        <v>7.6</v>
      </c>
      <c r="I12" s="64">
        <v>3.9</v>
      </c>
      <c r="J12" s="64">
        <v>3.7</v>
      </c>
      <c r="K12" s="64">
        <v>15.8</v>
      </c>
    </row>
    <row r="13" spans="1:11" hidden="1" x14ac:dyDescent="0.25">
      <c r="A13" s="65" t="s">
        <v>133</v>
      </c>
      <c r="B13" s="64">
        <v>2.2999999999999998</v>
      </c>
      <c r="C13" s="64">
        <v>0.7</v>
      </c>
      <c r="D13" s="64">
        <v>0.2</v>
      </c>
      <c r="E13" s="64">
        <v>0.2</v>
      </c>
      <c r="F13" s="64" t="s">
        <v>134</v>
      </c>
      <c r="G13" s="64">
        <v>0.2</v>
      </c>
      <c r="H13" s="64" t="s">
        <v>134</v>
      </c>
      <c r="I13" s="64" t="s">
        <v>134</v>
      </c>
      <c r="J13" s="64" t="s">
        <v>134</v>
      </c>
      <c r="K13" s="64" t="s">
        <v>134</v>
      </c>
    </row>
    <row r="14" spans="1:11" hidden="1" x14ac:dyDescent="0.25">
      <c r="A14" s="63" t="s">
        <v>135</v>
      </c>
      <c r="B14" s="64">
        <v>10.1</v>
      </c>
      <c r="C14" s="64">
        <v>4.7</v>
      </c>
      <c r="D14" s="64">
        <v>2</v>
      </c>
      <c r="E14" s="64">
        <v>0.5</v>
      </c>
      <c r="F14" s="64">
        <v>2.2000000000000002</v>
      </c>
      <c r="G14" s="64">
        <v>2.7</v>
      </c>
      <c r="H14" s="64">
        <v>0.8</v>
      </c>
      <c r="I14" s="64">
        <v>0.3</v>
      </c>
      <c r="J14" s="64">
        <v>0.5</v>
      </c>
      <c r="K14" s="64">
        <v>1.9</v>
      </c>
    </row>
    <row r="15" spans="1:11" s="67" customFormat="1" ht="24" hidden="1" customHeight="1" x14ac:dyDescent="0.25">
      <c r="A15" s="66" t="s">
        <v>136</v>
      </c>
      <c r="B15" s="62" t="s">
        <v>131</v>
      </c>
      <c r="C15" s="62" t="s">
        <v>131</v>
      </c>
      <c r="D15" s="62" t="s">
        <v>131</v>
      </c>
      <c r="E15" s="62" t="s">
        <v>131</v>
      </c>
      <c r="F15" s="62" t="s">
        <v>131</v>
      </c>
      <c r="G15" s="62" t="s">
        <v>131</v>
      </c>
      <c r="H15" s="62" t="s">
        <v>131</v>
      </c>
      <c r="I15" s="62" t="s">
        <v>131</v>
      </c>
      <c r="J15" s="62" t="s">
        <v>131</v>
      </c>
      <c r="K15" s="62" t="s">
        <v>131</v>
      </c>
    </row>
    <row r="16" spans="1:11" s="67" customFormat="1" hidden="1" x14ac:dyDescent="0.25">
      <c r="A16" s="65" t="s">
        <v>137</v>
      </c>
      <c r="B16" s="64">
        <v>65.7</v>
      </c>
      <c r="C16" s="64">
        <v>29.6</v>
      </c>
      <c r="D16" s="64">
        <v>16.899999999999999</v>
      </c>
      <c r="E16" s="64">
        <v>4.9000000000000004</v>
      </c>
      <c r="F16" s="64">
        <v>7.9</v>
      </c>
      <c r="G16" s="64">
        <v>12.4</v>
      </c>
      <c r="H16" s="64">
        <v>5</v>
      </c>
      <c r="I16" s="64">
        <v>2.8</v>
      </c>
      <c r="J16" s="64">
        <v>2.2999999999999998</v>
      </c>
      <c r="K16" s="64">
        <v>7.4</v>
      </c>
    </row>
    <row r="17" spans="1:11" s="67" customFormat="1" hidden="1" x14ac:dyDescent="0.25">
      <c r="A17" s="65" t="s">
        <v>138</v>
      </c>
      <c r="B17" s="64">
        <v>35.9</v>
      </c>
      <c r="C17" s="64">
        <v>8.1</v>
      </c>
      <c r="D17" s="64">
        <v>3.6</v>
      </c>
      <c r="E17" s="64">
        <v>1.4</v>
      </c>
      <c r="F17" s="64">
        <v>3.1</v>
      </c>
      <c r="G17" s="64">
        <v>9.8000000000000007</v>
      </c>
      <c r="H17" s="64">
        <v>2.1</v>
      </c>
      <c r="I17" s="64">
        <v>0.9</v>
      </c>
      <c r="J17" s="64">
        <v>1.2</v>
      </c>
      <c r="K17" s="64">
        <v>7.7</v>
      </c>
    </row>
    <row r="18" spans="1:11" s="67" customFormat="1" hidden="1" x14ac:dyDescent="0.25">
      <c r="A18" s="65" t="s">
        <v>139</v>
      </c>
      <c r="B18" s="64">
        <v>5.4</v>
      </c>
      <c r="C18" s="64">
        <v>1.8</v>
      </c>
      <c r="D18" s="64">
        <v>0.9</v>
      </c>
      <c r="E18" s="64">
        <v>0.4</v>
      </c>
      <c r="F18" s="64">
        <v>0.5</v>
      </c>
      <c r="G18" s="64">
        <v>1</v>
      </c>
      <c r="H18" s="64">
        <v>0.4</v>
      </c>
      <c r="I18" s="64" t="s">
        <v>134</v>
      </c>
      <c r="J18" s="64">
        <v>0.3</v>
      </c>
      <c r="K18" s="64">
        <v>0.6</v>
      </c>
    </row>
    <row r="19" spans="1:11" s="67" customFormat="1" hidden="1" x14ac:dyDescent="0.25">
      <c r="A19" s="65" t="s">
        <v>140</v>
      </c>
      <c r="B19" s="64">
        <v>1</v>
      </c>
      <c r="C19" s="64">
        <v>0.2</v>
      </c>
      <c r="D19" s="64" t="s">
        <v>134</v>
      </c>
      <c r="E19" s="64" t="s">
        <v>141</v>
      </c>
      <c r="F19" s="64" t="s">
        <v>134</v>
      </c>
      <c r="G19" s="64">
        <v>0.3</v>
      </c>
      <c r="H19" s="64" t="s">
        <v>134</v>
      </c>
      <c r="I19" s="64" t="s">
        <v>134</v>
      </c>
      <c r="J19" s="64" t="s">
        <v>134</v>
      </c>
      <c r="K19" s="64">
        <v>0.2</v>
      </c>
    </row>
    <row r="20" spans="1:11" s="67" customFormat="1" hidden="1" x14ac:dyDescent="0.25">
      <c r="A20" s="65" t="s">
        <v>135</v>
      </c>
      <c r="B20" s="64">
        <v>10.1</v>
      </c>
      <c r="C20" s="64">
        <v>4.7</v>
      </c>
      <c r="D20" s="64">
        <v>2</v>
      </c>
      <c r="E20" s="64">
        <v>0.5</v>
      </c>
      <c r="F20" s="64">
        <v>2.2000000000000002</v>
      </c>
      <c r="G20" s="64">
        <v>2.7</v>
      </c>
      <c r="H20" s="64">
        <v>0.8</v>
      </c>
      <c r="I20" s="64">
        <v>0.3</v>
      </c>
      <c r="J20" s="64">
        <v>0.5</v>
      </c>
      <c r="K20" s="64">
        <v>1.9</v>
      </c>
    </row>
    <row r="21" spans="1:11" ht="33.950000000000003" hidden="1" customHeight="1" x14ac:dyDescent="0.25">
      <c r="A21" s="66" t="s">
        <v>142</v>
      </c>
      <c r="B21" s="62" t="s">
        <v>131</v>
      </c>
      <c r="C21" s="62" t="s">
        <v>131</v>
      </c>
      <c r="D21" s="62" t="s">
        <v>131</v>
      </c>
      <c r="E21" s="62" t="s">
        <v>131</v>
      </c>
      <c r="F21" s="62" t="s">
        <v>131</v>
      </c>
      <c r="G21" s="62" t="s">
        <v>131</v>
      </c>
      <c r="H21" s="62" t="s">
        <v>131</v>
      </c>
      <c r="I21" s="62" t="s">
        <v>131</v>
      </c>
      <c r="J21" s="62" t="s">
        <v>131</v>
      </c>
      <c r="K21" s="62" t="s">
        <v>131</v>
      </c>
    </row>
    <row r="22" spans="1:11" hidden="1" x14ac:dyDescent="0.25">
      <c r="A22" s="65" t="s">
        <v>143</v>
      </c>
      <c r="B22" s="64">
        <v>3.4</v>
      </c>
      <c r="C22" s="64">
        <v>1.4</v>
      </c>
      <c r="D22" s="64">
        <v>0.7</v>
      </c>
      <c r="E22" s="64">
        <v>0.3</v>
      </c>
      <c r="F22" s="64">
        <v>0.4</v>
      </c>
      <c r="G22" s="64">
        <v>0.7</v>
      </c>
      <c r="H22" s="64">
        <v>0.3</v>
      </c>
      <c r="I22" s="64" t="s">
        <v>134</v>
      </c>
      <c r="J22" s="64" t="s">
        <v>134</v>
      </c>
      <c r="K22" s="64">
        <v>0.5</v>
      </c>
    </row>
    <row r="23" spans="1:11" hidden="1" x14ac:dyDescent="0.25">
      <c r="A23" s="65" t="s">
        <v>144</v>
      </c>
      <c r="B23" s="64">
        <v>16.8</v>
      </c>
      <c r="C23" s="64">
        <v>7.1</v>
      </c>
      <c r="D23" s="64">
        <v>3.5</v>
      </c>
      <c r="E23" s="64">
        <v>1.6</v>
      </c>
      <c r="F23" s="64">
        <v>2.1</v>
      </c>
      <c r="G23" s="64">
        <v>3.5</v>
      </c>
      <c r="H23" s="64">
        <v>1.2</v>
      </c>
      <c r="I23" s="64">
        <v>0.5</v>
      </c>
      <c r="J23" s="64">
        <v>0.7</v>
      </c>
      <c r="K23" s="64">
        <v>2.4</v>
      </c>
    </row>
    <row r="24" spans="1:11" hidden="1" x14ac:dyDescent="0.25">
      <c r="A24" s="65" t="s">
        <v>145</v>
      </c>
      <c r="B24" s="64">
        <v>50.6</v>
      </c>
      <c r="C24" s="64">
        <v>19.100000000000001</v>
      </c>
      <c r="D24" s="64">
        <v>10.6</v>
      </c>
      <c r="E24" s="64">
        <v>3</v>
      </c>
      <c r="F24" s="64">
        <v>5.4</v>
      </c>
      <c r="G24" s="64">
        <v>10.199999999999999</v>
      </c>
      <c r="H24" s="64">
        <v>3.5</v>
      </c>
      <c r="I24" s="64">
        <v>1.7</v>
      </c>
      <c r="J24" s="64">
        <v>1.8</v>
      </c>
      <c r="K24" s="64">
        <v>6.7</v>
      </c>
    </row>
    <row r="25" spans="1:11" hidden="1" x14ac:dyDescent="0.25">
      <c r="A25" s="65" t="s">
        <v>146</v>
      </c>
      <c r="B25" s="64">
        <v>23.9</v>
      </c>
      <c r="C25" s="64">
        <v>7.9</v>
      </c>
      <c r="D25" s="64">
        <v>4.4000000000000004</v>
      </c>
      <c r="E25" s="64">
        <v>1.3</v>
      </c>
      <c r="F25" s="64">
        <v>2.2000000000000002</v>
      </c>
      <c r="G25" s="64">
        <v>5.9</v>
      </c>
      <c r="H25" s="64">
        <v>1.8</v>
      </c>
      <c r="I25" s="64">
        <v>1.1000000000000001</v>
      </c>
      <c r="J25" s="64">
        <v>0.7</v>
      </c>
      <c r="K25" s="64">
        <v>4.0999999999999996</v>
      </c>
    </row>
    <row r="26" spans="1:11" hidden="1" x14ac:dyDescent="0.25">
      <c r="A26" s="65" t="s">
        <v>147</v>
      </c>
      <c r="B26" s="64">
        <v>13.4</v>
      </c>
      <c r="C26" s="64">
        <v>4.2</v>
      </c>
      <c r="D26" s="64">
        <v>2.2000000000000002</v>
      </c>
      <c r="E26" s="64">
        <v>0.5</v>
      </c>
      <c r="F26" s="64">
        <v>1.5</v>
      </c>
      <c r="G26" s="64">
        <v>3.3</v>
      </c>
      <c r="H26" s="64">
        <v>0.9</v>
      </c>
      <c r="I26" s="64">
        <v>0.5</v>
      </c>
      <c r="J26" s="64">
        <v>0.4</v>
      </c>
      <c r="K26" s="64">
        <v>2.2999999999999998</v>
      </c>
    </row>
    <row r="27" spans="1:11" hidden="1" x14ac:dyDescent="0.25">
      <c r="A27" s="65" t="s">
        <v>135</v>
      </c>
      <c r="B27" s="64">
        <v>10.1</v>
      </c>
      <c r="C27" s="64">
        <v>4.7</v>
      </c>
      <c r="D27" s="64">
        <v>2</v>
      </c>
      <c r="E27" s="64">
        <v>0.5</v>
      </c>
      <c r="F27" s="64">
        <v>2.2000000000000002</v>
      </c>
      <c r="G27" s="64">
        <v>2.7</v>
      </c>
      <c r="H27" s="64">
        <v>0.8</v>
      </c>
      <c r="I27" s="64">
        <v>0.3</v>
      </c>
      <c r="J27" s="64">
        <v>0.5</v>
      </c>
      <c r="K27" s="64">
        <v>1.9</v>
      </c>
    </row>
    <row r="28" spans="1:11" ht="24" hidden="1" customHeight="1" x14ac:dyDescent="0.25">
      <c r="A28" s="66" t="s">
        <v>148</v>
      </c>
      <c r="B28" s="62" t="s">
        <v>131</v>
      </c>
      <c r="C28" s="62" t="s">
        <v>131</v>
      </c>
      <c r="D28" s="62" t="s">
        <v>131</v>
      </c>
      <c r="E28" s="62" t="s">
        <v>131</v>
      </c>
      <c r="F28" s="62" t="s">
        <v>131</v>
      </c>
      <c r="G28" s="62" t="s">
        <v>131</v>
      </c>
      <c r="H28" s="62" t="s">
        <v>131</v>
      </c>
      <c r="I28" s="62" t="s">
        <v>131</v>
      </c>
      <c r="J28" s="62" t="s">
        <v>131</v>
      </c>
      <c r="K28" s="62" t="s">
        <v>131</v>
      </c>
    </row>
    <row r="29" spans="1:11" hidden="1" x14ac:dyDescent="0.25">
      <c r="A29" s="65" t="s">
        <v>143</v>
      </c>
      <c r="B29" s="64">
        <v>18.2</v>
      </c>
      <c r="C29" s="64">
        <v>6.7</v>
      </c>
      <c r="D29" s="64">
        <v>3.3</v>
      </c>
      <c r="E29" s="64">
        <v>0.8</v>
      </c>
      <c r="F29" s="64">
        <v>2.5</v>
      </c>
      <c r="G29" s="64">
        <v>5.4</v>
      </c>
      <c r="H29" s="64">
        <v>1.5</v>
      </c>
      <c r="I29" s="64">
        <v>0.6</v>
      </c>
      <c r="J29" s="64">
        <v>0.9</v>
      </c>
      <c r="K29" s="64">
        <v>3.9</v>
      </c>
    </row>
    <row r="30" spans="1:11" hidden="1" x14ac:dyDescent="0.25">
      <c r="A30" s="65" t="s">
        <v>144</v>
      </c>
      <c r="B30" s="64">
        <v>56.8</v>
      </c>
      <c r="C30" s="64">
        <v>19.8</v>
      </c>
      <c r="D30" s="64">
        <v>11</v>
      </c>
      <c r="E30" s="64">
        <v>3.2</v>
      </c>
      <c r="F30" s="64">
        <v>5.5</v>
      </c>
      <c r="G30" s="64">
        <v>12.8</v>
      </c>
      <c r="H30" s="64">
        <v>4.5</v>
      </c>
      <c r="I30" s="64">
        <v>2.2999999999999998</v>
      </c>
      <c r="J30" s="64">
        <v>2.2000000000000002</v>
      </c>
      <c r="K30" s="64">
        <v>8.3000000000000007</v>
      </c>
    </row>
    <row r="31" spans="1:11" hidden="1" x14ac:dyDescent="0.25">
      <c r="A31" s="65" t="s">
        <v>145</v>
      </c>
      <c r="B31" s="64">
        <v>28.3</v>
      </c>
      <c r="C31" s="64">
        <v>11.1</v>
      </c>
      <c r="D31" s="64">
        <v>6.1</v>
      </c>
      <c r="E31" s="64">
        <v>2</v>
      </c>
      <c r="F31" s="64">
        <v>3</v>
      </c>
      <c r="G31" s="64">
        <v>4.8</v>
      </c>
      <c r="H31" s="64">
        <v>1.4</v>
      </c>
      <c r="I31" s="64">
        <v>0.8</v>
      </c>
      <c r="J31" s="64">
        <v>0.6</v>
      </c>
      <c r="K31" s="64">
        <v>3.3</v>
      </c>
    </row>
    <row r="32" spans="1:11" hidden="1" x14ac:dyDescent="0.25">
      <c r="A32" s="65" t="s">
        <v>146</v>
      </c>
      <c r="B32" s="64">
        <v>3.7</v>
      </c>
      <c r="C32" s="64">
        <v>1.8</v>
      </c>
      <c r="D32" s="64">
        <v>0.7</v>
      </c>
      <c r="E32" s="64">
        <v>0.5</v>
      </c>
      <c r="F32" s="64">
        <v>0.5</v>
      </c>
      <c r="G32" s="64">
        <v>0.5</v>
      </c>
      <c r="H32" s="64">
        <v>0.2</v>
      </c>
      <c r="I32" s="64" t="s">
        <v>134</v>
      </c>
      <c r="J32" s="64" t="s">
        <v>134</v>
      </c>
      <c r="K32" s="64">
        <v>0.3</v>
      </c>
    </row>
    <row r="33" spans="1:11" hidden="1" x14ac:dyDescent="0.25">
      <c r="A33" s="65" t="s">
        <v>147</v>
      </c>
      <c r="B33" s="64">
        <v>1.1000000000000001</v>
      </c>
      <c r="C33" s="64">
        <v>0.4</v>
      </c>
      <c r="D33" s="64" t="s">
        <v>134</v>
      </c>
      <c r="E33" s="64" t="s">
        <v>134</v>
      </c>
      <c r="F33" s="64" t="s">
        <v>134</v>
      </c>
      <c r="G33" s="64">
        <v>0.2</v>
      </c>
      <c r="H33" s="64" t="s">
        <v>134</v>
      </c>
      <c r="I33" s="64" t="s">
        <v>134</v>
      </c>
      <c r="J33" s="64" t="s">
        <v>134</v>
      </c>
      <c r="K33" s="64" t="s">
        <v>134</v>
      </c>
    </row>
    <row r="34" spans="1:11" hidden="1" x14ac:dyDescent="0.25">
      <c r="A34" s="65" t="s">
        <v>135</v>
      </c>
      <c r="B34" s="64">
        <v>10.1</v>
      </c>
      <c r="C34" s="64">
        <v>4.7</v>
      </c>
      <c r="D34" s="64">
        <v>2</v>
      </c>
      <c r="E34" s="64">
        <v>0.5</v>
      </c>
      <c r="F34" s="64">
        <v>2.2000000000000002</v>
      </c>
      <c r="G34" s="64">
        <v>2.7</v>
      </c>
      <c r="H34" s="64">
        <v>0.8</v>
      </c>
      <c r="I34" s="64">
        <v>0.3</v>
      </c>
      <c r="J34" s="64">
        <v>0.5</v>
      </c>
      <c r="K34" s="64">
        <v>1.9</v>
      </c>
    </row>
    <row r="35" spans="1:11" ht="24" hidden="1" customHeight="1" x14ac:dyDescent="0.25">
      <c r="A35" s="68" t="s">
        <v>149</v>
      </c>
      <c r="B35" s="62" t="s">
        <v>131</v>
      </c>
      <c r="C35" s="62" t="s">
        <v>131</v>
      </c>
      <c r="D35" s="62" t="s">
        <v>131</v>
      </c>
      <c r="E35" s="62" t="s">
        <v>131</v>
      </c>
      <c r="F35" s="62" t="s">
        <v>131</v>
      </c>
      <c r="G35" s="62" t="s">
        <v>131</v>
      </c>
      <c r="H35" s="62" t="s">
        <v>131</v>
      </c>
      <c r="I35" s="62" t="s">
        <v>131</v>
      </c>
      <c r="J35" s="62" t="s">
        <v>131</v>
      </c>
      <c r="K35" s="62" t="s">
        <v>131</v>
      </c>
    </row>
    <row r="36" spans="1:11" hidden="1" x14ac:dyDescent="0.25">
      <c r="A36" s="63" t="s">
        <v>150</v>
      </c>
      <c r="B36" s="64">
        <v>17</v>
      </c>
      <c r="C36" s="64">
        <v>7.6</v>
      </c>
      <c r="D36" s="64">
        <v>3.2</v>
      </c>
      <c r="E36" s="64">
        <v>1.2</v>
      </c>
      <c r="F36" s="64">
        <v>3.2</v>
      </c>
      <c r="G36" s="64">
        <v>4.5</v>
      </c>
      <c r="H36" s="64">
        <v>1.3</v>
      </c>
      <c r="I36" s="64">
        <v>0.5</v>
      </c>
      <c r="J36" s="64">
        <v>0.8</v>
      </c>
      <c r="K36" s="64">
        <v>3.2</v>
      </c>
    </row>
    <row r="37" spans="1:11" hidden="1" x14ac:dyDescent="0.25">
      <c r="A37" s="65">
        <v>1</v>
      </c>
      <c r="B37" s="64">
        <v>16.7</v>
      </c>
      <c r="C37" s="64">
        <v>7.4</v>
      </c>
      <c r="D37" s="64">
        <v>3.2</v>
      </c>
      <c r="E37" s="64">
        <v>1.2</v>
      </c>
      <c r="F37" s="64">
        <v>3.1</v>
      </c>
      <c r="G37" s="64">
        <v>4.5</v>
      </c>
      <c r="H37" s="64">
        <v>1.3</v>
      </c>
      <c r="I37" s="64">
        <v>0.5</v>
      </c>
      <c r="J37" s="64">
        <v>0.8</v>
      </c>
      <c r="K37" s="64">
        <v>3.1</v>
      </c>
    </row>
    <row r="38" spans="1:11" hidden="1" x14ac:dyDescent="0.25">
      <c r="A38" s="65" t="s">
        <v>133</v>
      </c>
      <c r="B38" s="64">
        <v>0.3</v>
      </c>
      <c r="C38" s="64" t="s">
        <v>134</v>
      </c>
      <c r="D38" s="64" t="s">
        <v>134</v>
      </c>
      <c r="E38" s="64" t="s">
        <v>134</v>
      </c>
      <c r="F38" s="64" t="s">
        <v>134</v>
      </c>
      <c r="G38" s="64" t="s">
        <v>134</v>
      </c>
      <c r="H38" s="64" t="s">
        <v>141</v>
      </c>
      <c r="I38" s="64" t="s">
        <v>141</v>
      </c>
      <c r="J38" s="64" t="s">
        <v>141</v>
      </c>
      <c r="K38" s="64" t="s">
        <v>134</v>
      </c>
    </row>
    <row r="39" spans="1:11" hidden="1" x14ac:dyDescent="0.25">
      <c r="A39" s="63" t="s">
        <v>151</v>
      </c>
      <c r="B39" s="64">
        <v>101.2</v>
      </c>
      <c r="C39" s="64">
        <v>36.9</v>
      </c>
      <c r="D39" s="64">
        <v>20.3</v>
      </c>
      <c r="E39" s="64">
        <v>6</v>
      </c>
      <c r="F39" s="64">
        <v>10.6</v>
      </c>
      <c r="G39" s="64">
        <v>21.9</v>
      </c>
      <c r="H39" s="64">
        <v>7.2</v>
      </c>
      <c r="I39" s="64">
        <v>3.8</v>
      </c>
      <c r="J39" s="64">
        <v>3.4</v>
      </c>
      <c r="K39" s="64">
        <v>14.7</v>
      </c>
    </row>
    <row r="40" spans="1:11" ht="24" hidden="1" customHeight="1" x14ac:dyDescent="0.25">
      <c r="A40" s="66" t="s">
        <v>152</v>
      </c>
      <c r="B40" s="62" t="s">
        <v>131</v>
      </c>
      <c r="C40" s="62" t="s">
        <v>131</v>
      </c>
      <c r="D40" s="62" t="s">
        <v>131</v>
      </c>
      <c r="E40" s="62" t="s">
        <v>131</v>
      </c>
      <c r="F40" s="62" t="s">
        <v>131</v>
      </c>
      <c r="G40" s="62" t="s">
        <v>131</v>
      </c>
      <c r="H40" s="62" t="s">
        <v>131</v>
      </c>
      <c r="I40" s="62" t="s">
        <v>131</v>
      </c>
      <c r="J40" s="62" t="s">
        <v>131</v>
      </c>
      <c r="K40" s="62" t="s">
        <v>131</v>
      </c>
    </row>
    <row r="41" spans="1:11" hidden="1" x14ac:dyDescent="0.25">
      <c r="A41" s="65" t="s">
        <v>137</v>
      </c>
      <c r="B41" s="64">
        <v>9.5</v>
      </c>
      <c r="C41" s="64">
        <v>4.9000000000000004</v>
      </c>
      <c r="D41" s="64">
        <v>2.1</v>
      </c>
      <c r="E41" s="64">
        <v>0.9</v>
      </c>
      <c r="F41" s="64">
        <v>1.9</v>
      </c>
      <c r="G41" s="64">
        <v>2</v>
      </c>
      <c r="H41" s="64">
        <v>0.8</v>
      </c>
      <c r="I41" s="64">
        <v>0.3</v>
      </c>
      <c r="J41" s="64">
        <v>0.5</v>
      </c>
      <c r="K41" s="64">
        <v>1.2</v>
      </c>
    </row>
    <row r="42" spans="1:11" hidden="1" x14ac:dyDescent="0.25">
      <c r="A42" s="65" t="s">
        <v>138</v>
      </c>
      <c r="B42" s="64">
        <v>6.5</v>
      </c>
      <c r="C42" s="64">
        <v>2.2000000000000002</v>
      </c>
      <c r="D42" s="64">
        <v>0.8</v>
      </c>
      <c r="E42" s="64">
        <v>0.3</v>
      </c>
      <c r="F42" s="64">
        <v>1.2</v>
      </c>
      <c r="G42" s="64">
        <v>2.2000000000000002</v>
      </c>
      <c r="H42" s="64">
        <v>0.4</v>
      </c>
      <c r="I42" s="64">
        <v>0.2</v>
      </c>
      <c r="J42" s="64">
        <v>0.3</v>
      </c>
      <c r="K42" s="64">
        <v>1.8</v>
      </c>
    </row>
    <row r="43" spans="1:11" hidden="1" x14ac:dyDescent="0.25">
      <c r="A43" s="65" t="s">
        <v>139</v>
      </c>
      <c r="B43" s="64">
        <v>1.1000000000000001</v>
      </c>
      <c r="C43" s="64">
        <v>0.5</v>
      </c>
      <c r="D43" s="64">
        <v>0.3</v>
      </c>
      <c r="E43" s="64" t="s">
        <v>134</v>
      </c>
      <c r="F43" s="64" t="s">
        <v>134</v>
      </c>
      <c r="G43" s="64">
        <v>0.3</v>
      </c>
      <c r="H43" s="64" t="s">
        <v>134</v>
      </c>
      <c r="I43" s="64" t="s">
        <v>134</v>
      </c>
      <c r="J43" s="64" t="s">
        <v>134</v>
      </c>
      <c r="K43" s="64">
        <v>0.2</v>
      </c>
    </row>
    <row r="44" spans="1:11" hidden="1" x14ac:dyDescent="0.25">
      <c r="A44" s="65" t="s">
        <v>151</v>
      </c>
      <c r="B44" s="64">
        <v>101.2</v>
      </c>
      <c r="C44" s="64">
        <v>36.9</v>
      </c>
      <c r="D44" s="64">
        <v>20.3</v>
      </c>
      <c r="E44" s="64">
        <v>6</v>
      </c>
      <c r="F44" s="64">
        <v>10.6</v>
      </c>
      <c r="G44" s="64">
        <v>21.9</v>
      </c>
      <c r="H44" s="64">
        <v>7.2</v>
      </c>
      <c r="I44" s="64">
        <v>3.8</v>
      </c>
      <c r="J44" s="64">
        <v>3.4</v>
      </c>
      <c r="K44" s="64">
        <v>14.7</v>
      </c>
    </row>
    <row r="45" spans="1:11" ht="33.950000000000003" hidden="1" customHeight="1" x14ac:dyDescent="0.25">
      <c r="A45" s="66" t="s">
        <v>153</v>
      </c>
      <c r="B45" s="62" t="s">
        <v>131</v>
      </c>
      <c r="C45" s="62" t="s">
        <v>131</v>
      </c>
      <c r="D45" s="62" t="s">
        <v>131</v>
      </c>
      <c r="E45" s="62" t="s">
        <v>131</v>
      </c>
      <c r="F45" s="62" t="s">
        <v>131</v>
      </c>
      <c r="G45" s="62" t="s">
        <v>131</v>
      </c>
      <c r="H45" s="62" t="s">
        <v>131</v>
      </c>
      <c r="I45" s="62" t="s">
        <v>131</v>
      </c>
      <c r="J45" s="62" t="s">
        <v>131</v>
      </c>
      <c r="K45" s="62" t="s">
        <v>131</v>
      </c>
    </row>
    <row r="46" spans="1:11" hidden="1" x14ac:dyDescent="0.25">
      <c r="A46" s="65" t="s">
        <v>143</v>
      </c>
      <c r="B46" s="64">
        <v>2.1</v>
      </c>
      <c r="C46" s="64">
        <v>0.7</v>
      </c>
      <c r="D46" s="64">
        <v>0.3</v>
      </c>
      <c r="E46" s="64" t="s">
        <v>134</v>
      </c>
      <c r="F46" s="64" t="s">
        <v>134</v>
      </c>
      <c r="G46" s="64">
        <v>0.7</v>
      </c>
      <c r="H46" s="64">
        <v>0.2</v>
      </c>
      <c r="I46" s="64" t="s">
        <v>134</v>
      </c>
      <c r="J46" s="64" t="s">
        <v>134</v>
      </c>
      <c r="K46" s="64">
        <v>0.6</v>
      </c>
    </row>
    <row r="47" spans="1:11" hidden="1" x14ac:dyDescent="0.25">
      <c r="A47" s="65" t="s">
        <v>144</v>
      </c>
      <c r="B47" s="64">
        <v>3.1</v>
      </c>
      <c r="C47" s="64">
        <v>1.3</v>
      </c>
      <c r="D47" s="64">
        <v>0.5</v>
      </c>
      <c r="E47" s="64">
        <v>0.3</v>
      </c>
      <c r="F47" s="64">
        <v>0.4</v>
      </c>
      <c r="G47" s="64">
        <v>0.8</v>
      </c>
      <c r="H47" s="64">
        <v>0.3</v>
      </c>
      <c r="I47" s="64" t="s">
        <v>134</v>
      </c>
      <c r="J47" s="64">
        <v>0.2</v>
      </c>
      <c r="K47" s="64">
        <v>0.6</v>
      </c>
    </row>
    <row r="48" spans="1:11" hidden="1" x14ac:dyDescent="0.25">
      <c r="A48" s="65" t="s">
        <v>145</v>
      </c>
      <c r="B48" s="64">
        <v>6.6</v>
      </c>
      <c r="C48" s="64">
        <v>3</v>
      </c>
      <c r="D48" s="64">
        <v>1.2</v>
      </c>
      <c r="E48" s="64">
        <v>0.4</v>
      </c>
      <c r="F48" s="64">
        <v>1.4</v>
      </c>
      <c r="G48" s="64">
        <v>1.7</v>
      </c>
      <c r="H48" s="64">
        <v>0.6</v>
      </c>
      <c r="I48" s="64">
        <v>0.2</v>
      </c>
      <c r="J48" s="64">
        <v>0.4</v>
      </c>
      <c r="K48" s="64">
        <v>1.1000000000000001</v>
      </c>
    </row>
    <row r="49" spans="1:11" hidden="1" x14ac:dyDescent="0.25">
      <c r="A49" s="65" t="s">
        <v>146</v>
      </c>
      <c r="B49" s="64">
        <v>3.4</v>
      </c>
      <c r="C49" s="64">
        <v>1.7</v>
      </c>
      <c r="D49" s="64">
        <v>0.7</v>
      </c>
      <c r="E49" s="64" t="s">
        <v>134</v>
      </c>
      <c r="F49" s="64">
        <v>0.8</v>
      </c>
      <c r="G49" s="64">
        <v>0.8</v>
      </c>
      <c r="H49" s="64">
        <v>0.2</v>
      </c>
      <c r="I49" s="64" t="s">
        <v>134</v>
      </c>
      <c r="J49" s="64" t="s">
        <v>134</v>
      </c>
      <c r="K49" s="64">
        <v>0.5</v>
      </c>
    </row>
    <row r="50" spans="1:11" hidden="1" x14ac:dyDescent="0.25">
      <c r="A50" s="65" t="s">
        <v>147</v>
      </c>
      <c r="B50" s="64">
        <v>1.9</v>
      </c>
      <c r="C50" s="64">
        <v>0.9</v>
      </c>
      <c r="D50" s="64">
        <v>0.5</v>
      </c>
      <c r="E50" s="64" t="s">
        <v>134</v>
      </c>
      <c r="F50" s="64">
        <v>0.3</v>
      </c>
      <c r="G50" s="64">
        <v>0.5</v>
      </c>
      <c r="H50" s="64" t="s">
        <v>134</v>
      </c>
      <c r="I50" s="64" t="s">
        <v>134</v>
      </c>
      <c r="J50" s="64" t="s">
        <v>134</v>
      </c>
      <c r="K50" s="64">
        <v>0.4</v>
      </c>
    </row>
    <row r="51" spans="1:11" hidden="1" x14ac:dyDescent="0.25">
      <c r="A51" s="65" t="s">
        <v>151</v>
      </c>
      <c r="B51" s="64">
        <v>101.2</v>
      </c>
      <c r="C51" s="64">
        <v>36.9</v>
      </c>
      <c r="D51" s="64">
        <v>20.3</v>
      </c>
      <c r="E51" s="64">
        <v>6</v>
      </c>
      <c r="F51" s="64">
        <v>10.6</v>
      </c>
      <c r="G51" s="64">
        <v>21.9</v>
      </c>
      <c r="H51" s="64">
        <v>7.2</v>
      </c>
      <c r="I51" s="64">
        <v>3.8</v>
      </c>
      <c r="J51" s="64">
        <v>3.4</v>
      </c>
      <c r="K51" s="64">
        <v>14.7</v>
      </c>
    </row>
    <row r="52" spans="1:11" ht="24" hidden="1" customHeight="1" x14ac:dyDescent="0.25">
      <c r="A52" s="68" t="s">
        <v>154</v>
      </c>
      <c r="B52" s="69" t="s">
        <v>131</v>
      </c>
      <c r="C52" s="69" t="s">
        <v>131</v>
      </c>
      <c r="D52" s="69" t="s">
        <v>131</v>
      </c>
      <c r="E52" s="69" t="s">
        <v>131</v>
      </c>
      <c r="F52" s="69" t="s">
        <v>131</v>
      </c>
      <c r="G52" s="69" t="s">
        <v>131</v>
      </c>
      <c r="H52" s="69" t="s">
        <v>131</v>
      </c>
      <c r="I52" s="69" t="s">
        <v>131</v>
      </c>
      <c r="J52" s="69" t="s">
        <v>131</v>
      </c>
      <c r="K52" s="69" t="s">
        <v>131</v>
      </c>
    </row>
    <row r="53" spans="1:11" hidden="1" x14ac:dyDescent="0.25">
      <c r="A53" s="63" t="s">
        <v>155</v>
      </c>
      <c r="B53" s="70">
        <v>14</v>
      </c>
      <c r="C53" s="70">
        <v>6.4</v>
      </c>
      <c r="D53" s="70">
        <v>2.6</v>
      </c>
      <c r="E53" s="70">
        <v>0.8</v>
      </c>
      <c r="F53" s="70">
        <v>3.1</v>
      </c>
      <c r="G53" s="70">
        <v>3.8</v>
      </c>
      <c r="H53" s="70">
        <v>1.1000000000000001</v>
      </c>
      <c r="I53" s="70">
        <v>0.4</v>
      </c>
      <c r="J53" s="70">
        <v>0.7</v>
      </c>
      <c r="K53" s="70">
        <v>2.7</v>
      </c>
    </row>
    <row r="54" spans="1:11" s="67" customFormat="1" hidden="1" x14ac:dyDescent="0.25">
      <c r="A54" s="65">
        <v>1</v>
      </c>
      <c r="B54" s="70">
        <v>10</v>
      </c>
      <c r="C54" s="70">
        <v>4.5999999999999996</v>
      </c>
      <c r="D54" s="70">
        <v>1.7</v>
      </c>
      <c r="E54" s="70">
        <v>0.6</v>
      </c>
      <c r="F54" s="70">
        <v>2.2000000000000002</v>
      </c>
      <c r="G54" s="70">
        <v>2.7</v>
      </c>
      <c r="H54" s="70">
        <v>0.9</v>
      </c>
      <c r="I54" s="70">
        <v>0.3</v>
      </c>
      <c r="J54" s="70">
        <v>0.6</v>
      </c>
      <c r="K54" s="70">
        <v>1.9</v>
      </c>
    </row>
    <row r="55" spans="1:11" s="67" customFormat="1" hidden="1" x14ac:dyDescent="0.25">
      <c r="A55" s="65" t="s">
        <v>133</v>
      </c>
      <c r="B55" s="70">
        <v>3.9</v>
      </c>
      <c r="C55" s="70">
        <v>1.9</v>
      </c>
      <c r="D55" s="70">
        <v>0.9</v>
      </c>
      <c r="E55" s="70" t="s">
        <v>134</v>
      </c>
      <c r="F55" s="70">
        <v>0.8</v>
      </c>
      <c r="G55" s="70">
        <v>1.1000000000000001</v>
      </c>
      <c r="H55" s="70">
        <v>0.3</v>
      </c>
      <c r="I55" s="70">
        <v>0.2</v>
      </c>
      <c r="J55" s="70" t="s">
        <v>134</v>
      </c>
      <c r="K55" s="70">
        <v>0.8</v>
      </c>
    </row>
    <row r="56" spans="1:11" hidden="1" x14ac:dyDescent="0.25">
      <c r="A56" s="71" t="s">
        <v>156</v>
      </c>
      <c r="B56" s="70">
        <v>104.2</v>
      </c>
      <c r="C56" s="70">
        <v>38</v>
      </c>
      <c r="D56" s="70">
        <v>20.9</v>
      </c>
      <c r="E56" s="70">
        <v>6.4</v>
      </c>
      <c r="F56" s="70">
        <v>10.7</v>
      </c>
      <c r="G56" s="70">
        <v>22.6</v>
      </c>
      <c r="H56" s="70">
        <v>7.4</v>
      </c>
      <c r="I56" s="70">
        <v>3.8</v>
      </c>
      <c r="J56" s="70">
        <v>3.5</v>
      </c>
      <c r="K56" s="70">
        <v>15.2</v>
      </c>
    </row>
    <row r="57" spans="1:11" ht="33.950000000000003" hidden="1" customHeight="1" x14ac:dyDescent="0.25">
      <c r="A57" s="66" t="s">
        <v>157</v>
      </c>
      <c r="B57" s="62" t="s">
        <v>131</v>
      </c>
      <c r="C57" s="62" t="s">
        <v>131</v>
      </c>
      <c r="D57" s="62" t="s">
        <v>131</v>
      </c>
      <c r="E57" s="62" t="s">
        <v>131</v>
      </c>
      <c r="F57" s="62" t="s">
        <v>131</v>
      </c>
      <c r="G57" s="62" t="s">
        <v>131</v>
      </c>
      <c r="H57" s="62" t="s">
        <v>131</v>
      </c>
      <c r="I57" s="62" t="s">
        <v>131</v>
      </c>
      <c r="J57" s="62" t="s">
        <v>131</v>
      </c>
      <c r="K57" s="62" t="s">
        <v>131</v>
      </c>
    </row>
    <row r="58" spans="1:11" hidden="1" x14ac:dyDescent="0.25">
      <c r="A58" s="65" t="s">
        <v>137</v>
      </c>
      <c r="B58" s="64">
        <v>12</v>
      </c>
      <c r="C58" s="64">
        <v>5.6</v>
      </c>
      <c r="D58" s="64">
        <v>2.4</v>
      </c>
      <c r="E58" s="64">
        <v>0.7</v>
      </c>
      <c r="F58" s="64">
        <v>2.5</v>
      </c>
      <c r="G58" s="64">
        <v>3.2</v>
      </c>
      <c r="H58" s="64">
        <v>1</v>
      </c>
      <c r="I58" s="64">
        <v>0.4</v>
      </c>
      <c r="J58" s="64">
        <v>0.7</v>
      </c>
      <c r="K58" s="64">
        <v>2.2000000000000002</v>
      </c>
    </row>
    <row r="59" spans="1:11" hidden="1" x14ac:dyDescent="0.25">
      <c r="A59" s="65" t="s">
        <v>138</v>
      </c>
      <c r="B59" s="64">
        <v>1.8</v>
      </c>
      <c r="C59" s="64">
        <v>0.7</v>
      </c>
      <c r="D59" s="64" t="s">
        <v>134</v>
      </c>
      <c r="E59" s="64" t="s">
        <v>134</v>
      </c>
      <c r="F59" s="64">
        <v>0.5</v>
      </c>
      <c r="G59" s="64">
        <v>0.6</v>
      </c>
      <c r="H59" s="64" t="s">
        <v>134</v>
      </c>
      <c r="I59" s="64" t="s">
        <v>134</v>
      </c>
      <c r="J59" s="64" t="s">
        <v>134</v>
      </c>
      <c r="K59" s="64">
        <v>0.5</v>
      </c>
    </row>
    <row r="60" spans="1:11" hidden="1" x14ac:dyDescent="0.25">
      <c r="A60" s="65" t="s">
        <v>139</v>
      </c>
      <c r="B60" s="70" t="s">
        <v>134</v>
      </c>
      <c r="C60" s="70" t="s">
        <v>134</v>
      </c>
      <c r="D60" s="70" t="s">
        <v>134</v>
      </c>
      <c r="E60" s="70" t="s">
        <v>134</v>
      </c>
      <c r="F60" s="70" t="s">
        <v>134</v>
      </c>
      <c r="G60" s="70" t="s">
        <v>134</v>
      </c>
      <c r="H60" s="70" t="s">
        <v>141</v>
      </c>
      <c r="I60" s="70" t="s">
        <v>141</v>
      </c>
      <c r="J60" s="70" t="s">
        <v>141</v>
      </c>
      <c r="K60" s="70" t="s">
        <v>134</v>
      </c>
    </row>
    <row r="61" spans="1:11" ht="15" hidden="1" customHeight="1" x14ac:dyDescent="0.25">
      <c r="A61" s="65" t="s">
        <v>156</v>
      </c>
      <c r="B61" s="70">
        <v>104.2</v>
      </c>
      <c r="C61" s="70">
        <v>38</v>
      </c>
      <c r="D61" s="70">
        <v>20.9</v>
      </c>
      <c r="E61" s="70">
        <v>6.4</v>
      </c>
      <c r="F61" s="70">
        <v>10.7</v>
      </c>
      <c r="G61" s="70">
        <v>22.6</v>
      </c>
      <c r="H61" s="70">
        <v>7.4</v>
      </c>
      <c r="I61" s="70">
        <v>3.8</v>
      </c>
      <c r="J61" s="70">
        <v>3.5</v>
      </c>
      <c r="K61" s="70">
        <v>15.2</v>
      </c>
    </row>
    <row r="62" spans="1:11" ht="33.950000000000003" hidden="1" customHeight="1" x14ac:dyDescent="0.25">
      <c r="A62" s="66" t="s">
        <v>158</v>
      </c>
      <c r="B62" s="62" t="s">
        <v>131</v>
      </c>
      <c r="C62" s="62" t="s">
        <v>131</v>
      </c>
      <c r="D62" s="62" t="s">
        <v>131</v>
      </c>
      <c r="E62" s="62" t="s">
        <v>131</v>
      </c>
      <c r="F62" s="62" t="s">
        <v>131</v>
      </c>
      <c r="G62" s="62" t="s">
        <v>131</v>
      </c>
      <c r="H62" s="62" t="s">
        <v>131</v>
      </c>
      <c r="I62" s="62" t="s">
        <v>131</v>
      </c>
      <c r="J62" s="62" t="s">
        <v>131</v>
      </c>
      <c r="K62" s="62" t="s">
        <v>131</v>
      </c>
    </row>
    <row r="63" spans="1:11" hidden="1" x14ac:dyDescent="0.25">
      <c r="A63" s="65" t="s">
        <v>143</v>
      </c>
      <c r="B63" s="64">
        <v>2</v>
      </c>
      <c r="C63" s="64">
        <v>0.8</v>
      </c>
      <c r="D63" s="64">
        <v>0.4</v>
      </c>
      <c r="E63" s="64" t="s">
        <v>134</v>
      </c>
      <c r="F63" s="64">
        <v>0.3</v>
      </c>
      <c r="G63" s="64">
        <v>0.8</v>
      </c>
      <c r="H63" s="64" t="s">
        <v>134</v>
      </c>
      <c r="I63" s="64" t="s">
        <v>134</v>
      </c>
      <c r="J63" s="64" t="s">
        <v>134</v>
      </c>
      <c r="K63" s="64">
        <v>0.6</v>
      </c>
    </row>
    <row r="64" spans="1:11" hidden="1" x14ac:dyDescent="0.25">
      <c r="A64" s="65" t="s">
        <v>144</v>
      </c>
      <c r="B64" s="64">
        <v>6.2</v>
      </c>
      <c r="C64" s="64">
        <v>2.7</v>
      </c>
      <c r="D64" s="64">
        <v>1.1000000000000001</v>
      </c>
      <c r="E64" s="64">
        <v>0.3</v>
      </c>
      <c r="F64" s="64">
        <v>1.3</v>
      </c>
      <c r="G64" s="64">
        <v>1.8</v>
      </c>
      <c r="H64" s="64">
        <v>0.6</v>
      </c>
      <c r="I64" s="64">
        <v>0.2</v>
      </c>
      <c r="J64" s="64">
        <v>0.5</v>
      </c>
      <c r="K64" s="64">
        <v>1.2</v>
      </c>
    </row>
    <row r="65" spans="1:11" hidden="1" x14ac:dyDescent="0.25">
      <c r="A65" s="65" t="s">
        <v>145</v>
      </c>
      <c r="B65" s="64">
        <v>4.5999999999999996</v>
      </c>
      <c r="C65" s="64">
        <v>2.5</v>
      </c>
      <c r="D65" s="64">
        <v>1</v>
      </c>
      <c r="E65" s="64">
        <v>0.2</v>
      </c>
      <c r="F65" s="64">
        <v>1.3</v>
      </c>
      <c r="G65" s="64">
        <v>1</v>
      </c>
      <c r="H65" s="64">
        <v>0.3</v>
      </c>
      <c r="I65" s="64">
        <v>0.2</v>
      </c>
      <c r="J65" s="64" t="s">
        <v>134</v>
      </c>
      <c r="K65" s="64">
        <v>0.6</v>
      </c>
    </row>
    <row r="66" spans="1:11" hidden="1" x14ac:dyDescent="0.25">
      <c r="A66" s="65" t="s">
        <v>146</v>
      </c>
      <c r="B66" s="64">
        <v>0.8</v>
      </c>
      <c r="C66" s="64">
        <v>0.4</v>
      </c>
      <c r="D66" s="64" t="s">
        <v>134</v>
      </c>
      <c r="E66" s="64" t="s">
        <v>134</v>
      </c>
      <c r="F66" s="64" t="s">
        <v>134</v>
      </c>
      <c r="G66" s="64">
        <v>0.1</v>
      </c>
      <c r="H66" s="64" t="s">
        <v>134</v>
      </c>
      <c r="I66" s="64" t="s">
        <v>134</v>
      </c>
      <c r="J66" s="64" t="s">
        <v>141</v>
      </c>
      <c r="K66" s="64" t="s">
        <v>134</v>
      </c>
    </row>
    <row r="67" spans="1:11" hidden="1" x14ac:dyDescent="0.25">
      <c r="A67" s="65" t="s">
        <v>147</v>
      </c>
      <c r="B67" s="64">
        <v>0.3</v>
      </c>
      <c r="C67" s="64" t="s">
        <v>134</v>
      </c>
      <c r="D67" s="64" t="s">
        <v>134</v>
      </c>
      <c r="E67" s="64" t="s">
        <v>134</v>
      </c>
      <c r="F67" s="64" t="s">
        <v>134</v>
      </c>
      <c r="G67" s="64" t="s">
        <v>134</v>
      </c>
      <c r="H67" s="64" t="s">
        <v>134</v>
      </c>
      <c r="I67" s="64" t="s">
        <v>134</v>
      </c>
      <c r="J67" s="64" t="s">
        <v>141</v>
      </c>
      <c r="K67" s="64" t="s">
        <v>134</v>
      </c>
    </row>
    <row r="68" spans="1:11" ht="15" hidden="1" customHeight="1" x14ac:dyDescent="0.25">
      <c r="A68" s="65" t="s">
        <v>156</v>
      </c>
      <c r="B68" s="64">
        <v>104.2</v>
      </c>
      <c r="C68" s="64">
        <v>38</v>
      </c>
      <c r="D68" s="64">
        <v>20.9</v>
      </c>
      <c r="E68" s="64">
        <v>6.4</v>
      </c>
      <c r="F68" s="64">
        <v>10.7</v>
      </c>
      <c r="G68" s="64">
        <v>22.6</v>
      </c>
      <c r="H68" s="64">
        <v>7.4</v>
      </c>
      <c r="I68" s="64">
        <v>3.8</v>
      </c>
      <c r="J68" s="64">
        <v>3.5</v>
      </c>
      <c r="K68" s="64">
        <v>15.2</v>
      </c>
    </row>
    <row r="69" spans="1:11" ht="24" hidden="1" customHeight="1" x14ac:dyDescent="0.25">
      <c r="A69" s="68" t="s">
        <v>159</v>
      </c>
      <c r="B69" s="62" t="s">
        <v>131</v>
      </c>
      <c r="C69" s="62" t="s">
        <v>131</v>
      </c>
      <c r="D69" s="62" t="s">
        <v>131</v>
      </c>
      <c r="E69" s="62" t="s">
        <v>131</v>
      </c>
      <c r="F69" s="62" t="s">
        <v>131</v>
      </c>
      <c r="G69" s="62" t="s">
        <v>131</v>
      </c>
      <c r="H69" s="62" t="s">
        <v>131</v>
      </c>
      <c r="I69" s="62" t="s">
        <v>131</v>
      </c>
      <c r="J69" s="62" t="s">
        <v>131</v>
      </c>
      <c r="K69" s="62" t="s">
        <v>131</v>
      </c>
    </row>
    <row r="70" spans="1:11" hidden="1" x14ac:dyDescent="0.25">
      <c r="A70" s="72" t="s">
        <v>160</v>
      </c>
      <c r="B70" s="64">
        <v>0.8</v>
      </c>
      <c r="C70" s="64">
        <v>0.3</v>
      </c>
      <c r="D70" s="64" t="s">
        <v>134</v>
      </c>
      <c r="E70" s="64" t="s">
        <v>134</v>
      </c>
      <c r="F70" s="64" t="s">
        <v>134</v>
      </c>
      <c r="G70" s="64">
        <v>0.2</v>
      </c>
      <c r="H70" s="64" t="s">
        <v>134</v>
      </c>
      <c r="I70" s="64" t="s">
        <v>134</v>
      </c>
      <c r="J70" s="64" t="s">
        <v>134</v>
      </c>
      <c r="K70" s="64" t="s">
        <v>134</v>
      </c>
    </row>
    <row r="71" spans="1:11" hidden="1" x14ac:dyDescent="0.25">
      <c r="A71" s="72" t="s">
        <v>161</v>
      </c>
      <c r="B71" s="64">
        <v>2.4</v>
      </c>
      <c r="C71" s="64">
        <v>0.9</v>
      </c>
      <c r="D71" s="64">
        <v>0.5</v>
      </c>
      <c r="E71" s="64" t="s">
        <v>134</v>
      </c>
      <c r="F71" s="64">
        <v>0.3</v>
      </c>
      <c r="G71" s="64">
        <v>0.5</v>
      </c>
      <c r="H71" s="64" t="s">
        <v>134</v>
      </c>
      <c r="I71" s="64" t="s">
        <v>134</v>
      </c>
      <c r="J71" s="64" t="s">
        <v>134</v>
      </c>
      <c r="K71" s="64">
        <v>0.4</v>
      </c>
    </row>
    <row r="72" spans="1:11" hidden="1" x14ac:dyDescent="0.25">
      <c r="A72" s="72" t="s">
        <v>162</v>
      </c>
      <c r="B72" s="64">
        <v>2.6</v>
      </c>
      <c r="C72" s="64">
        <v>1.4</v>
      </c>
      <c r="D72" s="64">
        <v>0.7</v>
      </c>
      <c r="E72" s="64">
        <v>0.4</v>
      </c>
      <c r="F72" s="64">
        <v>0.3</v>
      </c>
      <c r="G72" s="64">
        <v>0.5</v>
      </c>
      <c r="H72" s="64">
        <v>0.2</v>
      </c>
      <c r="I72" s="64" t="s">
        <v>134</v>
      </c>
      <c r="J72" s="64" t="s">
        <v>134</v>
      </c>
      <c r="K72" s="64">
        <v>0.3</v>
      </c>
    </row>
    <row r="73" spans="1:11" hidden="1" x14ac:dyDescent="0.25">
      <c r="A73" s="72" t="s">
        <v>163</v>
      </c>
      <c r="B73" s="64">
        <v>19.899999999999999</v>
      </c>
      <c r="C73" s="64">
        <v>8.6</v>
      </c>
      <c r="D73" s="64">
        <v>4.4000000000000004</v>
      </c>
      <c r="E73" s="64">
        <v>1.7</v>
      </c>
      <c r="F73" s="64">
        <v>2.4</v>
      </c>
      <c r="G73" s="64">
        <v>4.0999999999999996</v>
      </c>
      <c r="H73" s="64">
        <v>1.4</v>
      </c>
      <c r="I73" s="64">
        <v>0.6</v>
      </c>
      <c r="J73" s="64">
        <v>0.7</v>
      </c>
      <c r="K73" s="64">
        <v>2.7</v>
      </c>
    </row>
    <row r="74" spans="1:11" hidden="1" x14ac:dyDescent="0.25">
      <c r="A74" s="72" t="s">
        <v>164</v>
      </c>
      <c r="B74" s="64">
        <v>36</v>
      </c>
      <c r="C74" s="64">
        <v>12.8</v>
      </c>
      <c r="D74" s="64">
        <v>7.4</v>
      </c>
      <c r="E74" s="64">
        <v>1.6</v>
      </c>
      <c r="F74" s="64">
        <v>3.8</v>
      </c>
      <c r="G74" s="64">
        <v>7.5</v>
      </c>
      <c r="H74" s="64">
        <v>2.7</v>
      </c>
      <c r="I74" s="64">
        <v>1.3</v>
      </c>
      <c r="J74" s="64">
        <v>1.4</v>
      </c>
      <c r="K74" s="64">
        <v>4.8</v>
      </c>
    </row>
    <row r="75" spans="1:11" hidden="1" x14ac:dyDescent="0.25">
      <c r="A75" s="72" t="s">
        <v>165</v>
      </c>
      <c r="B75" s="64">
        <v>38.299999999999997</v>
      </c>
      <c r="C75" s="64">
        <v>13.7</v>
      </c>
      <c r="D75" s="64">
        <v>7.3</v>
      </c>
      <c r="E75" s="64">
        <v>2.1</v>
      </c>
      <c r="F75" s="64">
        <v>4.3</v>
      </c>
      <c r="G75" s="64">
        <v>8.8000000000000007</v>
      </c>
      <c r="H75" s="64">
        <v>2.6</v>
      </c>
      <c r="I75" s="64">
        <v>1.4</v>
      </c>
      <c r="J75" s="64">
        <v>1.2</v>
      </c>
      <c r="K75" s="64">
        <v>6.2</v>
      </c>
    </row>
    <row r="76" spans="1:11" hidden="1" x14ac:dyDescent="0.25">
      <c r="A76" s="72" t="s">
        <v>166</v>
      </c>
      <c r="B76" s="64">
        <v>18.100000000000001</v>
      </c>
      <c r="C76" s="64">
        <v>6.7</v>
      </c>
      <c r="D76" s="64">
        <v>3</v>
      </c>
      <c r="E76" s="64">
        <v>1.2</v>
      </c>
      <c r="F76" s="64">
        <v>2.4</v>
      </c>
      <c r="G76" s="64">
        <v>4.8</v>
      </c>
      <c r="H76" s="64">
        <v>1.4</v>
      </c>
      <c r="I76" s="64">
        <v>0.7</v>
      </c>
      <c r="J76" s="64">
        <v>0.7</v>
      </c>
      <c r="K76" s="64">
        <v>3.4</v>
      </c>
    </row>
    <row r="77" spans="1:11" ht="24" hidden="1" customHeight="1" x14ac:dyDescent="0.25">
      <c r="A77" s="68" t="s">
        <v>167</v>
      </c>
      <c r="B77" s="69" t="s">
        <v>131</v>
      </c>
      <c r="C77" s="69" t="s">
        <v>131</v>
      </c>
      <c r="D77" s="69" t="s">
        <v>131</v>
      </c>
      <c r="E77" s="69" t="s">
        <v>131</v>
      </c>
      <c r="F77" s="69" t="s">
        <v>131</v>
      </c>
      <c r="G77" s="69" t="s">
        <v>131</v>
      </c>
      <c r="H77" s="69" t="s">
        <v>131</v>
      </c>
      <c r="I77" s="69" t="s">
        <v>131</v>
      </c>
      <c r="J77" s="69" t="s">
        <v>131</v>
      </c>
      <c r="K77" s="69" t="s">
        <v>131</v>
      </c>
    </row>
    <row r="78" spans="1:11" hidden="1" x14ac:dyDescent="0.25">
      <c r="A78" s="63" t="s">
        <v>168</v>
      </c>
      <c r="B78" s="64">
        <v>113.6</v>
      </c>
      <c r="C78" s="64">
        <v>43</v>
      </c>
      <c r="D78" s="64">
        <v>22.8</v>
      </c>
      <c r="E78" s="64">
        <v>7</v>
      </c>
      <c r="F78" s="64">
        <v>13.2</v>
      </c>
      <c r="G78" s="64">
        <v>25.3</v>
      </c>
      <c r="H78" s="64">
        <v>8.1999999999999993</v>
      </c>
      <c r="I78" s="64">
        <v>4.0999999999999996</v>
      </c>
      <c r="J78" s="64">
        <v>4.0999999999999996</v>
      </c>
      <c r="K78" s="64">
        <v>17.100000000000001</v>
      </c>
    </row>
    <row r="79" spans="1:11" hidden="1" x14ac:dyDescent="0.25">
      <c r="A79" s="65">
        <v>1</v>
      </c>
      <c r="B79" s="64">
        <v>108.8</v>
      </c>
      <c r="C79" s="64">
        <v>41.5</v>
      </c>
      <c r="D79" s="64">
        <v>22.1</v>
      </c>
      <c r="E79" s="64">
        <v>6.5</v>
      </c>
      <c r="F79" s="64">
        <v>12.8</v>
      </c>
      <c r="G79" s="64">
        <v>24.3</v>
      </c>
      <c r="H79" s="64">
        <v>7.8</v>
      </c>
      <c r="I79" s="64">
        <v>3.8</v>
      </c>
      <c r="J79" s="64">
        <v>4</v>
      </c>
      <c r="K79" s="64">
        <v>16.5</v>
      </c>
    </row>
    <row r="80" spans="1:11" hidden="1" x14ac:dyDescent="0.25">
      <c r="A80" s="65" t="s">
        <v>133</v>
      </c>
      <c r="B80" s="64">
        <v>4.8</v>
      </c>
      <c r="C80" s="64">
        <v>1.5</v>
      </c>
      <c r="D80" s="64">
        <v>0.6</v>
      </c>
      <c r="E80" s="64">
        <v>0.5</v>
      </c>
      <c r="F80" s="64">
        <v>0.4</v>
      </c>
      <c r="G80" s="64">
        <v>1</v>
      </c>
      <c r="H80" s="64">
        <v>0.4</v>
      </c>
      <c r="I80" s="64">
        <v>0.2</v>
      </c>
      <c r="J80" s="64" t="s">
        <v>134</v>
      </c>
      <c r="K80" s="64">
        <v>0.6</v>
      </c>
    </row>
    <row r="81" spans="1:11" hidden="1" x14ac:dyDescent="0.25">
      <c r="A81" s="72" t="s">
        <v>169</v>
      </c>
      <c r="B81" s="64">
        <v>4.5999999999999996</v>
      </c>
      <c r="C81" s="64">
        <v>1.5</v>
      </c>
      <c r="D81" s="64">
        <v>0.7</v>
      </c>
      <c r="E81" s="64">
        <v>0.2</v>
      </c>
      <c r="F81" s="64">
        <v>0.5</v>
      </c>
      <c r="G81" s="64">
        <v>1</v>
      </c>
      <c r="H81" s="64">
        <v>0.3</v>
      </c>
      <c r="I81" s="64" t="s">
        <v>134</v>
      </c>
      <c r="J81" s="64" t="s">
        <v>134</v>
      </c>
      <c r="K81" s="64">
        <v>0.7</v>
      </c>
    </row>
    <row r="82" spans="1:11" ht="24" hidden="1" customHeight="1" x14ac:dyDescent="0.25">
      <c r="A82" s="66" t="s">
        <v>170</v>
      </c>
      <c r="B82" s="69" t="s">
        <v>131</v>
      </c>
      <c r="C82" s="69" t="s">
        <v>131</v>
      </c>
      <c r="D82" s="69" t="s">
        <v>131</v>
      </c>
      <c r="E82" s="69" t="s">
        <v>131</v>
      </c>
      <c r="F82" s="69" t="s">
        <v>131</v>
      </c>
      <c r="G82" s="69" t="s">
        <v>131</v>
      </c>
      <c r="H82" s="69" t="s">
        <v>131</v>
      </c>
      <c r="I82" s="69" t="s">
        <v>131</v>
      </c>
      <c r="J82" s="69" t="s">
        <v>131</v>
      </c>
      <c r="K82" s="69" t="s">
        <v>131</v>
      </c>
    </row>
    <row r="83" spans="1:11" hidden="1" x14ac:dyDescent="0.25">
      <c r="A83" s="65" t="s">
        <v>143</v>
      </c>
      <c r="B83" s="70">
        <v>1.6</v>
      </c>
      <c r="C83" s="70">
        <v>0.6</v>
      </c>
      <c r="D83" s="70">
        <v>0.3</v>
      </c>
      <c r="E83" s="70" t="s">
        <v>134</v>
      </c>
      <c r="F83" s="70" t="s">
        <v>134</v>
      </c>
      <c r="G83" s="70">
        <v>0.3</v>
      </c>
      <c r="H83" s="70" t="s">
        <v>134</v>
      </c>
      <c r="I83" s="70" t="s">
        <v>134</v>
      </c>
      <c r="J83" s="70" t="s">
        <v>134</v>
      </c>
      <c r="K83" s="70">
        <v>0.3</v>
      </c>
    </row>
    <row r="84" spans="1:11" hidden="1" x14ac:dyDescent="0.25">
      <c r="A84" s="65" t="s">
        <v>144</v>
      </c>
      <c r="B84" s="70">
        <v>10.5</v>
      </c>
      <c r="C84" s="70">
        <v>3.7</v>
      </c>
      <c r="D84" s="70">
        <v>2</v>
      </c>
      <c r="E84" s="70">
        <v>0.6</v>
      </c>
      <c r="F84" s="70">
        <v>1.1000000000000001</v>
      </c>
      <c r="G84" s="70">
        <v>2.8</v>
      </c>
      <c r="H84" s="70">
        <v>0.9</v>
      </c>
      <c r="I84" s="70">
        <v>0.5</v>
      </c>
      <c r="J84" s="70">
        <v>0.4</v>
      </c>
      <c r="K84" s="70">
        <v>1.9</v>
      </c>
    </row>
    <row r="85" spans="1:11" hidden="1" x14ac:dyDescent="0.25">
      <c r="A85" s="65" t="s">
        <v>145</v>
      </c>
      <c r="B85" s="70">
        <v>38.799999999999997</v>
      </c>
      <c r="C85" s="70">
        <v>15.2</v>
      </c>
      <c r="D85" s="70">
        <v>7.8</v>
      </c>
      <c r="E85" s="70">
        <v>2.8</v>
      </c>
      <c r="F85" s="70">
        <v>4.5</v>
      </c>
      <c r="G85" s="70">
        <v>8.4</v>
      </c>
      <c r="H85" s="70">
        <v>3</v>
      </c>
      <c r="I85" s="70">
        <v>1.2</v>
      </c>
      <c r="J85" s="70">
        <v>1.7</v>
      </c>
      <c r="K85" s="70">
        <v>5.5</v>
      </c>
    </row>
    <row r="86" spans="1:11" hidden="1" x14ac:dyDescent="0.25">
      <c r="A86" s="65" t="s">
        <v>146</v>
      </c>
      <c r="B86" s="70">
        <v>27.8</v>
      </c>
      <c r="C86" s="70">
        <v>10.4</v>
      </c>
      <c r="D86" s="70">
        <v>5.6</v>
      </c>
      <c r="E86" s="70">
        <v>1.8</v>
      </c>
      <c r="F86" s="70">
        <v>2.9</v>
      </c>
      <c r="G86" s="70">
        <v>6.2</v>
      </c>
      <c r="H86" s="70">
        <v>2.1</v>
      </c>
      <c r="I86" s="70">
        <v>1.1000000000000001</v>
      </c>
      <c r="J86" s="70">
        <v>1</v>
      </c>
      <c r="K86" s="70">
        <v>4.0999999999999996</v>
      </c>
    </row>
    <row r="87" spans="1:11" hidden="1" x14ac:dyDescent="0.25">
      <c r="A87" s="65" t="s">
        <v>147</v>
      </c>
      <c r="B87" s="70">
        <v>34.799999999999997</v>
      </c>
      <c r="C87" s="70">
        <v>13.1</v>
      </c>
      <c r="D87" s="70">
        <v>7.1</v>
      </c>
      <c r="E87" s="70">
        <v>1.5</v>
      </c>
      <c r="F87" s="70">
        <v>4.5</v>
      </c>
      <c r="G87" s="70">
        <v>7.6</v>
      </c>
      <c r="H87" s="70">
        <v>2.2000000000000002</v>
      </c>
      <c r="I87" s="70">
        <v>1.2</v>
      </c>
      <c r="J87" s="70">
        <v>1</v>
      </c>
      <c r="K87" s="70">
        <v>5.4</v>
      </c>
    </row>
    <row r="88" spans="1:11" hidden="1" x14ac:dyDescent="0.25">
      <c r="A88" s="65" t="s">
        <v>169</v>
      </c>
      <c r="B88" s="70">
        <v>4.5999999999999996</v>
      </c>
      <c r="C88" s="70">
        <v>1.5</v>
      </c>
      <c r="D88" s="70">
        <v>0.7</v>
      </c>
      <c r="E88" s="70">
        <v>0.2</v>
      </c>
      <c r="F88" s="70">
        <v>0.5</v>
      </c>
      <c r="G88" s="70">
        <v>1</v>
      </c>
      <c r="H88" s="70">
        <v>0.3</v>
      </c>
      <c r="I88" s="70" t="s">
        <v>134</v>
      </c>
      <c r="J88" s="70" t="s">
        <v>134</v>
      </c>
      <c r="K88" s="70">
        <v>0.7</v>
      </c>
    </row>
    <row r="89" spans="1:11" ht="24" hidden="1" customHeight="1" x14ac:dyDescent="0.25">
      <c r="A89" s="68" t="s">
        <v>171</v>
      </c>
      <c r="B89" s="69" t="s">
        <v>131</v>
      </c>
      <c r="C89" s="69" t="s">
        <v>131</v>
      </c>
      <c r="D89" s="69" t="s">
        <v>131</v>
      </c>
      <c r="E89" s="69" t="s">
        <v>131</v>
      </c>
      <c r="F89" s="69" t="s">
        <v>131</v>
      </c>
      <c r="G89" s="69" t="s">
        <v>131</v>
      </c>
      <c r="H89" s="69" t="s">
        <v>131</v>
      </c>
      <c r="I89" s="69" t="s">
        <v>131</v>
      </c>
      <c r="J89" s="69" t="s">
        <v>131</v>
      </c>
      <c r="K89" s="69" t="s">
        <v>131</v>
      </c>
    </row>
    <row r="90" spans="1:11" hidden="1" x14ac:dyDescent="0.25">
      <c r="A90" s="71" t="s">
        <v>172</v>
      </c>
      <c r="B90" s="70">
        <v>69.400000000000006</v>
      </c>
      <c r="C90" s="70">
        <v>25</v>
      </c>
      <c r="D90" s="70">
        <v>13.3</v>
      </c>
      <c r="E90" s="70">
        <v>4</v>
      </c>
      <c r="F90" s="70">
        <v>7.7</v>
      </c>
      <c r="G90" s="70">
        <v>15.3</v>
      </c>
      <c r="H90" s="70">
        <v>5.5</v>
      </c>
      <c r="I90" s="70">
        <v>2.8</v>
      </c>
      <c r="J90" s="70">
        <v>2.7</v>
      </c>
      <c r="K90" s="70">
        <v>9.8000000000000007</v>
      </c>
    </row>
    <row r="91" spans="1:11" hidden="1" x14ac:dyDescent="0.25">
      <c r="A91" s="65" t="s">
        <v>138</v>
      </c>
      <c r="B91" s="70">
        <v>4.2</v>
      </c>
      <c r="C91" s="70">
        <v>1</v>
      </c>
      <c r="D91" s="70">
        <v>0.6</v>
      </c>
      <c r="E91" s="70" t="s">
        <v>134</v>
      </c>
      <c r="F91" s="70">
        <v>0.4</v>
      </c>
      <c r="G91" s="70">
        <v>1.2</v>
      </c>
      <c r="H91" s="70">
        <v>0.4</v>
      </c>
      <c r="I91" s="70">
        <v>0.2</v>
      </c>
      <c r="J91" s="70">
        <v>0.2</v>
      </c>
      <c r="K91" s="70">
        <v>0.8</v>
      </c>
    </row>
    <row r="92" spans="1:11" hidden="1" x14ac:dyDescent="0.25">
      <c r="A92" s="65" t="s">
        <v>139</v>
      </c>
      <c r="B92" s="70">
        <v>42.3</v>
      </c>
      <c r="C92" s="70">
        <v>12.9</v>
      </c>
      <c r="D92" s="70">
        <v>7.9</v>
      </c>
      <c r="E92" s="70">
        <v>1.5</v>
      </c>
      <c r="F92" s="70">
        <v>3.4</v>
      </c>
      <c r="G92" s="70">
        <v>10</v>
      </c>
      <c r="H92" s="70">
        <v>4</v>
      </c>
      <c r="I92" s="70">
        <v>2.1</v>
      </c>
      <c r="J92" s="70">
        <v>2</v>
      </c>
      <c r="K92" s="70">
        <v>6</v>
      </c>
    </row>
    <row r="93" spans="1:11" hidden="1" x14ac:dyDescent="0.25">
      <c r="A93" s="65" t="s">
        <v>173</v>
      </c>
      <c r="B93" s="70">
        <v>22.2</v>
      </c>
      <c r="C93" s="70">
        <v>10.9</v>
      </c>
      <c r="D93" s="70">
        <v>4.8</v>
      </c>
      <c r="E93" s="70">
        <v>2.4</v>
      </c>
      <c r="F93" s="70">
        <v>3.8</v>
      </c>
      <c r="G93" s="70">
        <v>3.9</v>
      </c>
      <c r="H93" s="70">
        <v>1</v>
      </c>
      <c r="I93" s="70">
        <v>0.5</v>
      </c>
      <c r="J93" s="70">
        <v>0.5</v>
      </c>
      <c r="K93" s="70">
        <v>2.9</v>
      </c>
    </row>
    <row r="94" spans="1:11" hidden="1" x14ac:dyDescent="0.25">
      <c r="A94" s="65" t="s">
        <v>174</v>
      </c>
      <c r="B94" s="70">
        <v>0.7</v>
      </c>
      <c r="C94" s="70">
        <v>0.2</v>
      </c>
      <c r="D94" s="70" t="s">
        <v>134</v>
      </c>
      <c r="E94" s="70" t="s">
        <v>134</v>
      </c>
      <c r="F94" s="70" t="s">
        <v>134</v>
      </c>
      <c r="G94" s="70">
        <v>0.1</v>
      </c>
      <c r="H94" s="70" t="s">
        <v>134</v>
      </c>
      <c r="I94" s="70" t="s">
        <v>134</v>
      </c>
      <c r="J94" s="70" t="s">
        <v>141</v>
      </c>
      <c r="K94" s="70" t="s">
        <v>134</v>
      </c>
    </row>
    <row r="95" spans="1:11" hidden="1" x14ac:dyDescent="0.25">
      <c r="A95" s="71" t="s">
        <v>175</v>
      </c>
      <c r="B95" s="70">
        <v>48.8</v>
      </c>
      <c r="C95" s="70">
        <v>19.399999999999999</v>
      </c>
      <c r="D95" s="70">
        <v>10.1</v>
      </c>
      <c r="E95" s="70">
        <v>3.2</v>
      </c>
      <c r="F95" s="70">
        <v>6.1</v>
      </c>
      <c r="G95" s="70">
        <v>11.1</v>
      </c>
      <c r="H95" s="70">
        <v>3</v>
      </c>
      <c r="I95" s="70">
        <v>1.4</v>
      </c>
      <c r="J95" s="70">
        <v>1.6</v>
      </c>
      <c r="K95" s="70">
        <v>8.1</v>
      </c>
    </row>
    <row r="96" spans="1:11" ht="48" hidden="1" customHeight="1" x14ac:dyDescent="0.25">
      <c r="A96" s="68" t="s">
        <v>176</v>
      </c>
      <c r="B96" s="69" t="s">
        <v>131</v>
      </c>
      <c r="C96" s="69" t="s">
        <v>131</v>
      </c>
      <c r="D96" s="69" t="s">
        <v>131</v>
      </c>
      <c r="E96" s="69" t="s">
        <v>131</v>
      </c>
      <c r="F96" s="69" t="s">
        <v>131</v>
      </c>
      <c r="G96" s="69" t="s">
        <v>131</v>
      </c>
      <c r="H96" s="69" t="s">
        <v>131</v>
      </c>
      <c r="I96" s="69" t="s">
        <v>131</v>
      </c>
      <c r="J96" s="69" t="s">
        <v>131</v>
      </c>
      <c r="K96" s="69" t="s">
        <v>131</v>
      </c>
    </row>
    <row r="97" spans="1:11" hidden="1" x14ac:dyDescent="0.25">
      <c r="A97" s="71" t="s">
        <v>177</v>
      </c>
      <c r="B97" s="70">
        <v>74.2</v>
      </c>
      <c r="C97" s="70">
        <v>26.1</v>
      </c>
      <c r="D97" s="70">
        <v>13.7</v>
      </c>
      <c r="E97" s="70">
        <v>4.0999999999999996</v>
      </c>
      <c r="F97" s="70">
        <v>8.4</v>
      </c>
      <c r="G97" s="70">
        <v>16.5</v>
      </c>
      <c r="H97" s="70">
        <v>5.6</v>
      </c>
      <c r="I97" s="70">
        <v>3</v>
      </c>
      <c r="J97" s="70">
        <v>2.6</v>
      </c>
      <c r="K97" s="70">
        <v>10.9</v>
      </c>
    </row>
    <row r="98" spans="1:11" hidden="1" x14ac:dyDescent="0.25">
      <c r="A98" s="71" t="s">
        <v>178</v>
      </c>
      <c r="B98" s="70">
        <v>28.9</v>
      </c>
      <c r="C98" s="70">
        <v>11.6</v>
      </c>
      <c r="D98" s="70">
        <v>6.4</v>
      </c>
      <c r="E98" s="70">
        <v>1.8</v>
      </c>
      <c r="F98" s="70">
        <v>3.3</v>
      </c>
      <c r="G98" s="70">
        <v>6</v>
      </c>
      <c r="H98" s="70">
        <v>1.7</v>
      </c>
      <c r="I98" s="70">
        <v>0.6</v>
      </c>
      <c r="J98" s="70">
        <v>1.1000000000000001</v>
      </c>
      <c r="K98" s="70">
        <v>4.3</v>
      </c>
    </row>
    <row r="99" spans="1:11" hidden="1" x14ac:dyDescent="0.25">
      <c r="A99" s="71" t="s">
        <v>179</v>
      </c>
      <c r="B99" s="70">
        <v>76.099999999999994</v>
      </c>
      <c r="C99" s="70">
        <v>29.1</v>
      </c>
      <c r="D99" s="70">
        <v>15.8</v>
      </c>
      <c r="E99" s="70">
        <v>4.3</v>
      </c>
      <c r="F99" s="70">
        <v>8.9</v>
      </c>
      <c r="G99" s="70">
        <v>15.9</v>
      </c>
      <c r="H99" s="70">
        <v>5.2</v>
      </c>
      <c r="I99" s="70">
        <v>2.2000000000000002</v>
      </c>
      <c r="J99" s="70">
        <v>3</v>
      </c>
      <c r="K99" s="70">
        <v>10.7</v>
      </c>
    </row>
    <row r="100" spans="1:11" hidden="1" x14ac:dyDescent="0.25">
      <c r="A100" s="71" t="s">
        <v>180</v>
      </c>
      <c r="B100" s="70">
        <v>33.5</v>
      </c>
      <c r="C100" s="70">
        <v>12.9</v>
      </c>
      <c r="D100" s="70">
        <v>6.5</v>
      </c>
      <c r="E100" s="70">
        <v>2.5</v>
      </c>
      <c r="F100" s="70">
        <v>3.9</v>
      </c>
      <c r="G100" s="70">
        <v>7</v>
      </c>
      <c r="H100" s="70">
        <v>2.9</v>
      </c>
      <c r="I100" s="70">
        <v>1.7</v>
      </c>
      <c r="J100" s="70">
        <v>1.2</v>
      </c>
      <c r="K100" s="70">
        <v>4.0999999999999996</v>
      </c>
    </row>
    <row r="101" spans="1:11" hidden="1" x14ac:dyDescent="0.25">
      <c r="A101" s="71" t="s">
        <v>181</v>
      </c>
      <c r="B101" s="70">
        <v>12.4</v>
      </c>
      <c r="C101" s="70">
        <v>4.7</v>
      </c>
      <c r="D101" s="70">
        <v>2.6</v>
      </c>
      <c r="E101" s="70">
        <v>0.5</v>
      </c>
      <c r="F101" s="70">
        <v>1.6</v>
      </c>
      <c r="G101" s="70">
        <v>3.1</v>
      </c>
      <c r="H101" s="70">
        <v>1.1000000000000001</v>
      </c>
      <c r="I101" s="70">
        <v>0.7</v>
      </c>
      <c r="J101" s="70">
        <v>0.4</v>
      </c>
      <c r="K101" s="70">
        <v>2</v>
      </c>
    </row>
    <row r="102" spans="1:11" hidden="1" x14ac:dyDescent="0.25">
      <c r="A102" s="71" t="s">
        <v>182</v>
      </c>
      <c r="B102" s="70">
        <v>14.4</v>
      </c>
      <c r="C102" s="70">
        <v>4.7</v>
      </c>
      <c r="D102" s="70">
        <v>2.4</v>
      </c>
      <c r="E102" s="70">
        <v>0.5</v>
      </c>
      <c r="F102" s="70">
        <v>1.8</v>
      </c>
      <c r="G102" s="70">
        <v>5.2</v>
      </c>
      <c r="H102" s="70">
        <v>1.3</v>
      </c>
      <c r="I102" s="70">
        <v>0.6</v>
      </c>
      <c r="J102" s="70">
        <v>0.7</v>
      </c>
      <c r="K102" s="70">
        <v>3.9</v>
      </c>
    </row>
    <row r="103" spans="1:11" hidden="1" x14ac:dyDescent="0.25">
      <c r="A103" s="71" t="s">
        <v>183</v>
      </c>
      <c r="B103" s="70">
        <v>30.8</v>
      </c>
      <c r="C103" s="70">
        <v>10</v>
      </c>
      <c r="D103" s="70">
        <v>5.4</v>
      </c>
      <c r="E103" s="70">
        <v>1.3</v>
      </c>
      <c r="F103" s="70">
        <v>3.2</v>
      </c>
      <c r="G103" s="70">
        <v>9.6</v>
      </c>
      <c r="H103" s="70">
        <v>2.9</v>
      </c>
      <c r="I103" s="70">
        <v>1.6</v>
      </c>
      <c r="J103" s="70">
        <v>1.2</v>
      </c>
      <c r="K103" s="70">
        <v>6.7</v>
      </c>
    </row>
    <row r="104" spans="1:11" ht="28.5" hidden="1" customHeight="1" x14ac:dyDescent="0.25">
      <c r="A104" s="71" t="s">
        <v>184</v>
      </c>
      <c r="B104" s="70">
        <v>12.4</v>
      </c>
      <c r="C104" s="70">
        <v>4.4000000000000004</v>
      </c>
      <c r="D104" s="70">
        <v>2.4</v>
      </c>
      <c r="E104" s="70">
        <v>0.7</v>
      </c>
      <c r="F104" s="70">
        <v>1.3</v>
      </c>
      <c r="G104" s="70">
        <v>2.9</v>
      </c>
      <c r="H104" s="70">
        <v>1</v>
      </c>
      <c r="I104" s="70">
        <v>0.7</v>
      </c>
      <c r="J104" s="70">
        <v>0.4</v>
      </c>
      <c r="K104" s="70">
        <v>1.9</v>
      </c>
    </row>
    <row r="105" spans="1:11" ht="24" hidden="1" customHeight="1" x14ac:dyDescent="0.25">
      <c r="A105" s="68" t="s">
        <v>185</v>
      </c>
      <c r="B105" s="69" t="s">
        <v>131</v>
      </c>
      <c r="C105" s="69" t="s">
        <v>131</v>
      </c>
      <c r="D105" s="69" t="s">
        <v>131</v>
      </c>
      <c r="E105" s="69" t="s">
        <v>131</v>
      </c>
      <c r="F105" s="69" t="s">
        <v>131</v>
      </c>
      <c r="G105" s="69" t="s">
        <v>131</v>
      </c>
      <c r="H105" s="69" t="s">
        <v>131</v>
      </c>
      <c r="I105" s="69" t="s">
        <v>131</v>
      </c>
      <c r="J105" s="69" t="s">
        <v>131</v>
      </c>
      <c r="K105" s="69" t="s">
        <v>131</v>
      </c>
    </row>
    <row r="106" spans="1:11" hidden="1" x14ac:dyDescent="0.25">
      <c r="A106" s="71" t="s">
        <v>186</v>
      </c>
      <c r="B106" s="70">
        <v>117.4</v>
      </c>
      <c r="C106" s="70">
        <v>44</v>
      </c>
      <c r="D106" s="70">
        <v>23.3</v>
      </c>
      <c r="E106" s="70">
        <v>7.1</v>
      </c>
      <c r="F106" s="70">
        <v>13.5</v>
      </c>
      <c r="G106" s="70">
        <v>26.3</v>
      </c>
      <c r="H106" s="70">
        <v>8.5</v>
      </c>
      <c r="I106" s="70">
        <v>4.2</v>
      </c>
      <c r="J106" s="70">
        <v>4.3</v>
      </c>
      <c r="K106" s="70">
        <v>17.8</v>
      </c>
    </row>
    <row r="107" spans="1:11" hidden="1" x14ac:dyDescent="0.25">
      <c r="A107" s="65">
        <v>1</v>
      </c>
      <c r="B107" s="70">
        <v>82</v>
      </c>
      <c r="C107" s="70">
        <v>31.9</v>
      </c>
      <c r="D107" s="70">
        <v>17.100000000000001</v>
      </c>
      <c r="E107" s="70">
        <v>5.3</v>
      </c>
      <c r="F107" s="70">
        <v>9.5</v>
      </c>
      <c r="G107" s="70">
        <v>18.600000000000001</v>
      </c>
      <c r="H107" s="70">
        <v>5.9</v>
      </c>
      <c r="I107" s="70">
        <v>2.8</v>
      </c>
      <c r="J107" s="70">
        <v>3.2</v>
      </c>
      <c r="K107" s="70">
        <v>12.7</v>
      </c>
    </row>
    <row r="108" spans="1:11" hidden="1" x14ac:dyDescent="0.25">
      <c r="A108" s="65" t="s">
        <v>133</v>
      </c>
      <c r="B108" s="70">
        <v>35.4</v>
      </c>
      <c r="C108" s="70">
        <v>12.1</v>
      </c>
      <c r="D108" s="70">
        <v>6.3</v>
      </c>
      <c r="E108" s="70">
        <v>1.8</v>
      </c>
      <c r="F108" s="70">
        <v>4</v>
      </c>
      <c r="G108" s="70">
        <v>7.7</v>
      </c>
      <c r="H108" s="70">
        <v>2.6</v>
      </c>
      <c r="I108" s="70">
        <v>1.5</v>
      </c>
      <c r="J108" s="70">
        <v>1.1000000000000001</v>
      </c>
      <c r="K108" s="70">
        <v>5.0999999999999996</v>
      </c>
    </row>
    <row r="109" spans="1:11" hidden="1" x14ac:dyDescent="0.25">
      <c r="A109" s="71" t="s">
        <v>187</v>
      </c>
      <c r="B109" s="70">
        <v>0.8</v>
      </c>
      <c r="C109" s="70">
        <v>0.5</v>
      </c>
      <c r="D109" s="70" t="s">
        <v>134</v>
      </c>
      <c r="E109" s="70" t="s">
        <v>134</v>
      </c>
      <c r="F109" s="70" t="s">
        <v>134</v>
      </c>
      <c r="G109" s="70" t="s">
        <v>134</v>
      </c>
      <c r="H109" s="70" t="s">
        <v>141</v>
      </c>
      <c r="I109" s="70" t="s">
        <v>141</v>
      </c>
      <c r="J109" s="70" t="s">
        <v>141</v>
      </c>
      <c r="K109" s="70" t="s">
        <v>134</v>
      </c>
    </row>
    <row r="110" spans="1:11" ht="24" hidden="1" customHeight="1" x14ac:dyDescent="0.25">
      <c r="A110" s="66" t="s">
        <v>188</v>
      </c>
      <c r="B110" s="69" t="s">
        <v>131</v>
      </c>
      <c r="C110" s="69" t="s">
        <v>131</v>
      </c>
      <c r="D110" s="69" t="s">
        <v>131</v>
      </c>
      <c r="E110" s="69" t="s">
        <v>131</v>
      </c>
      <c r="F110" s="69" t="s">
        <v>131</v>
      </c>
      <c r="G110" s="69" t="s">
        <v>131</v>
      </c>
      <c r="H110" s="69" t="s">
        <v>131</v>
      </c>
      <c r="I110" s="69" t="s">
        <v>131</v>
      </c>
      <c r="J110" s="69" t="s">
        <v>131</v>
      </c>
      <c r="K110" s="69" t="s">
        <v>131</v>
      </c>
    </row>
    <row r="111" spans="1:11" hidden="1" x14ac:dyDescent="0.25">
      <c r="A111" s="65" t="s">
        <v>189</v>
      </c>
      <c r="B111" s="70">
        <v>0.9</v>
      </c>
      <c r="C111" s="70">
        <v>0.4</v>
      </c>
      <c r="D111" s="70" t="s">
        <v>134</v>
      </c>
      <c r="E111" s="70" t="s">
        <v>134</v>
      </c>
      <c r="F111" s="70" t="s">
        <v>134</v>
      </c>
      <c r="G111" s="70">
        <v>0.2</v>
      </c>
      <c r="H111" s="70" t="s">
        <v>141</v>
      </c>
      <c r="I111" s="70" t="s">
        <v>141</v>
      </c>
      <c r="J111" s="70" t="s">
        <v>141</v>
      </c>
      <c r="K111" s="70">
        <v>0.2</v>
      </c>
    </row>
    <row r="112" spans="1:11" hidden="1" x14ac:dyDescent="0.25">
      <c r="A112" s="65" t="s">
        <v>190</v>
      </c>
      <c r="B112" s="70">
        <v>6.7</v>
      </c>
      <c r="C112" s="70">
        <v>2.2000000000000002</v>
      </c>
      <c r="D112" s="70">
        <v>1</v>
      </c>
      <c r="E112" s="70">
        <v>0.4</v>
      </c>
      <c r="F112" s="70">
        <v>0.8</v>
      </c>
      <c r="G112" s="70">
        <v>1.7</v>
      </c>
      <c r="H112" s="70">
        <v>0.5</v>
      </c>
      <c r="I112" s="70">
        <v>0.3</v>
      </c>
      <c r="J112" s="70">
        <v>0.2</v>
      </c>
      <c r="K112" s="70">
        <v>1.2</v>
      </c>
    </row>
    <row r="113" spans="1:11" hidden="1" x14ac:dyDescent="0.25">
      <c r="A113" s="65" t="s">
        <v>191</v>
      </c>
      <c r="B113" s="70">
        <v>59.2</v>
      </c>
      <c r="C113" s="70">
        <v>21</v>
      </c>
      <c r="D113" s="70">
        <v>10.9</v>
      </c>
      <c r="E113" s="70">
        <v>3.8</v>
      </c>
      <c r="F113" s="70">
        <v>6.3</v>
      </c>
      <c r="G113" s="70">
        <v>13.7</v>
      </c>
      <c r="H113" s="70">
        <v>4.4000000000000004</v>
      </c>
      <c r="I113" s="70">
        <v>2.1</v>
      </c>
      <c r="J113" s="70">
        <v>2.2999999999999998</v>
      </c>
      <c r="K113" s="70">
        <v>9.3000000000000007</v>
      </c>
    </row>
    <row r="114" spans="1:11" hidden="1" x14ac:dyDescent="0.25">
      <c r="A114" s="65" t="s">
        <v>192</v>
      </c>
      <c r="B114" s="70">
        <v>48.8</v>
      </c>
      <c r="C114" s="70">
        <v>19.600000000000001</v>
      </c>
      <c r="D114" s="70">
        <v>10.9</v>
      </c>
      <c r="E114" s="70">
        <v>2.8</v>
      </c>
      <c r="F114" s="70">
        <v>5.9</v>
      </c>
      <c r="G114" s="70">
        <v>10.199999999999999</v>
      </c>
      <c r="H114" s="70">
        <v>3.5</v>
      </c>
      <c r="I114" s="70">
        <v>1.8</v>
      </c>
      <c r="J114" s="70">
        <v>1.7</v>
      </c>
      <c r="K114" s="70">
        <v>6.7</v>
      </c>
    </row>
    <row r="115" spans="1:11" ht="26.25" hidden="1" customHeight="1" x14ac:dyDescent="0.25">
      <c r="A115" s="65" t="s">
        <v>193</v>
      </c>
      <c r="B115" s="70">
        <v>1.8</v>
      </c>
      <c r="C115" s="70">
        <v>0.8</v>
      </c>
      <c r="D115" s="70">
        <v>0.4</v>
      </c>
      <c r="E115" s="70" t="s">
        <v>134</v>
      </c>
      <c r="F115" s="70">
        <v>0.3</v>
      </c>
      <c r="G115" s="70">
        <v>0.5</v>
      </c>
      <c r="H115" s="70">
        <v>0.1</v>
      </c>
      <c r="I115" s="70" t="s">
        <v>134</v>
      </c>
      <c r="J115" s="70" t="s">
        <v>134</v>
      </c>
      <c r="K115" s="70">
        <v>0.4</v>
      </c>
    </row>
    <row r="116" spans="1:11" hidden="1" x14ac:dyDescent="0.25">
      <c r="A116" s="65" t="s">
        <v>187</v>
      </c>
      <c r="B116" s="70">
        <v>0.8</v>
      </c>
      <c r="C116" s="70">
        <v>0.5</v>
      </c>
      <c r="D116" s="70" t="s">
        <v>134</v>
      </c>
      <c r="E116" s="70" t="s">
        <v>134</v>
      </c>
      <c r="F116" s="70" t="s">
        <v>134</v>
      </c>
      <c r="G116" s="70" t="s">
        <v>134</v>
      </c>
      <c r="H116" s="70" t="s">
        <v>141</v>
      </c>
      <c r="I116" s="70" t="s">
        <v>141</v>
      </c>
      <c r="J116" s="70" t="s">
        <v>141</v>
      </c>
      <c r="K116" s="70" t="s">
        <v>134</v>
      </c>
    </row>
    <row r="117" spans="1:11" ht="24" hidden="1" customHeight="1" x14ac:dyDescent="0.25">
      <c r="A117" s="66" t="s">
        <v>194</v>
      </c>
      <c r="B117" s="69" t="s">
        <v>131</v>
      </c>
      <c r="C117" s="69" t="s">
        <v>131</v>
      </c>
      <c r="D117" s="69" t="s">
        <v>131</v>
      </c>
      <c r="E117" s="69" t="s">
        <v>131</v>
      </c>
      <c r="F117" s="69" t="s">
        <v>131</v>
      </c>
      <c r="G117" s="69" t="s">
        <v>131</v>
      </c>
      <c r="H117" s="69" t="s">
        <v>131</v>
      </c>
      <c r="I117" s="69" t="s">
        <v>131</v>
      </c>
      <c r="J117" s="69" t="s">
        <v>131</v>
      </c>
      <c r="K117" s="69" t="s">
        <v>131</v>
      </c>
    </row>
    <row r="118" spans="1:11" hidden="1" x14ac:dyDescent="0.25">
      <c r="A118" s="65" t="s">
        <v>195</v>
      </c>
      <c r="B118" s="70">
        <v>0.9</v>
      </c>
      <c r="C118" s="70">
        <v>0.4</v>
      </c>
      <c r="D118" s="70" t="s">
        <v>134</v>
      </c>
      <c r="E118" s="70" t="s">
        <v>134</v>
      </c>
      <c r="F118" s="70" t="s">
        <v>134</v>
      </c>
      <c r="G118" s="70">
        <v>0.2</v>
      </c>
      <c r="H118" s="70" t="s">
        <v>141</v>
      </c>
      <c r="I118" s="70" t="s">
        <v>141</v>
      </c>
      <c r="J118" s="70" t="s">
        <v>141</v>
      </c>
      <c r="K118" s="70">
        <v>0.2</v>
      </c>
    </row>
    <row r="119" spans="1:11" hidden="1" x14ac:dyDescent="0.25">
      <c r="A119" s="65" t="s">
        <v>196</v>
      </c>
      <c r="B119" s="70">
        <v>9.4</v>
      </c>
      <c r="C119" s="70">
        <v>3.4</v>
      </c>
      <c r="D119" s="70">
        <v>1.6</v>
      </c>
      <c r="E119" s="70">
        <v>1</v>
      </c>
      <c r="F119" s="70">
        <v>0.8</v>
      </c>
      <c r="G119" s="70">
        <v>2</v>
      </c>
      <c r="H119" s="70">
        <v>0.6</v>
      </c>
      <c r="I119" s="70">
        <v>0.3</v>
      </c>
      <c r="J119" s="70">
        <v>0.4</v>
      </c>
      <c r="K119" s="70">
        <v>1.4</v>
      </c>
    </row>
    <row r="120" spans="1:11" hidden="1" x14ac:dyDescent="0.25">
      <c r="A120" s="65" t="s">
        <v>197</v>
      </c>
      <c r="B120" s="70">
        <v>51.5</v>
      </c>
      <c r="C120" s="70">
        <v>18.399999999999999</v>
      </c>
      <c r="D120" s="70">
        <v>10</v>
      </c>
      <c r="E120" s="70">
        <v>2.9</v>
      </c>
      <c r="F120" s="70">
        <v>5.6</v>
      </c>
      <c r="G120" s="70">
        <v>10.3</v>
      </c>
      <c r="H120" s="70">
        <v>3.1</v>
      </c>
      <c r="I120" s="70">
        <v>1.7</v>
      </c>
      <c r="J120" s="70">
        <v>1.4</v>
      </c>
      <c r="K120" s="70">
        <v>7.3</v>
      </c>
    </row>
    <row r="121" spans="1:11" hidden="1" x14ac:dyDescent="0.25">
      <c r="A121" s="65" t="s">
        <v>198</v>
      </c>
      <c r="B121" s="70">
        <v>15.5</v>
      </c>
      <c r="C121" s="70">
        <v>4.4000000000000004</v>
      </c>
      <c r="D121" s="70">
        <v>2.6</v>
      </c>
      <c r="E121" s="70">
        <v>0.5</v>
      </c>
      <c r="F121" s="70">
        <v>1.3</v>
      </c>
      <c r="G121" s="70">
        <v>4.0999999999999996</v>
      </c>
      <c r="H121" s="70">
        <v>1.5</v>
      </c>
      <c r="I121" s="70">
        <v>0.7</v>
      </c>
      <c r="J121" s="70">
        <v>0.8</v>
      </c>
      <c r="K121" s="70">
        <v>2.6</v>
      </c>
    </row>
    <row r="122" spans="1:11" hidden="1" x14ac:dyDescent="0.25">
      <c r="A122" s="65" t="s">
        <v>199</v>
      </c>
      <c r="B122" s="70">
        <v>37.200000000000003</v>
      </c>
      <c r="C122" s="70">
        <v>16.100000000000001</v>
      </c>
      <c r="D122" s="70">
        <v>8.3000000000000007</v>
      </c>
      <c r="E122" s="70">
        <v>2.6</v>
      </c>
      <c r="F122" s="70">
        <v>5.2</v>
      </c>
      <c r="G122" s="70">
        <v>8.9</v>
      </c>
      <c r="H122" s="70">
        <v>3</v>
      </c>
      <c r="I122" s="70">
        <v>1.4</v>
      </c>
      <c r="J122" s="70">
        <v>1.6</v>
      </c>
      <c r="K122" s="70">
        <v>5.9</v>
      </c>
    </row>
    <row r="123" spans="1:11" hidden="1" x14ac:dyDescent="0.25">
      <c r="A123" s="65" t="s">
        <v>200</v>
      </c>
      <c r="B123" s="70">
        <v>2.9</v>
      </c>
      <c r="C123" s="70">
        <v>1.3</v>
      </c>
      <c r="D123" s="70">
        <v>0.7</v>
      </c>
      <c r="E123" s="70" t="s">
        <v>134</v>
      </c>
      <c r="F123" s="70">
        <v>0.5</v>
      </c>
      <c r="G123" s="70">
        <v>0.7</v>
      </c>
      <c r="H123" s="70">
        <v>0.3</v>
      </c>
      <c r="I123" s="70" t="s">
        <v>134</v>
      </c>
      <c r="J123" s="70" t="s">
        <v>134</v>
      </c>
      <c r="K123" s="70">
        <v>0.4</v>
      </c>
    </row>
    <row r="124" spans="1:11" hidden="1" x14ac:dyDescent="0.25">
      <c r="A124" s="65" t="s">
        <v>187</v>
      </c>
      <c r="B124" s="70">
        <v>0.8</v>
      </c>
      <c r="C124" s="70">
        <v>0.5</v>
      </c>
      <c r="D124" s="70" t="s">
        <v>134</v>
      </c>
      <c r="E124" s="70" t="s">
        <v>134</v>
      </c>
      <c r="F124" s="70" t="s">
        <v>134</v>
      </c>
      <c r="G124" s="70" t="s">
        <v>134</v>
      </c>
      <c r="H124" s="70" t="s">
        <v>141</v>
      </c>
      <c r="I124" s="70" t="s">
        <v>141</v>
      </c>
      <c r="J124" s="70" t="s">
        <v>141</v>
      </c>
      <c r="K124" s="70" t="s">
        <v>134</v>
      </c>
    </row>
    <row r="125" spans="1:11" ht="24" hidden="1" customHeight="1" x14ac:dyDescent="0.25">
      <c r="A125" s="66" t="s">
        <v>201</v>
      </c>
      <c r="B125" s="69" t="s">
        <v>131</v>
      </c>
      <c r="C125" s="69" t="s">
        <v>131</v>
      </c>
      <c r="D125" s="69" t="s">
        <v>131</v>
      </c>
      <c r="E125" s="69" t="s">
        <v>131</v>
      </c>
      <c r="F125" s="69" t="s">
        <v>131</v>
      </c>
      <c r="G125" s="69" t="s">
        <v>131</v>
      </c>
      <c r="H125" s="69" t="s">
        <v>131</v>
      </c>
      <c r="I125" s="69" t="s">
        <v>131</v>
      </c>
      <c r="J125" s="69" t="s">
        <v>131</v>
      </c>
      <c r="K125" s="69" t="s">
        <v>131</v>
      </c>
    </row>
    <row r="126" spans="1:11" hidden="1" x14ac:dyDescent="0.25">
      <c r="A126" s="65" t="s">
        <v>202</v>
      </c>
      <c r="B126" s="70">
        <v>15.8</v>
      </c>
      <c r="C126" s="70">
        <v>6.1</v>
      </c>
      <c r="D126" s="70">
        <v>3.3</v>
      </c>
      <c r="E126" s="70">
        <v>1</v>
      </c>
      <c r="F126" s="70">
        <v>1.9</v>
      </c>
      <c r="G126" s="70">
        <v>3.5</v>
      </c>
      <c r="H126" s="70">
        <v>1.2</v>
      </c>
      <c r="I126" s="70">
        <v>0.7</v>
      </c>
      <c r="J126" s="70">
        <v>0.5</v>
      </c>
      <c r="K126" s="70">
        <v>2.2999999999999998</v>
      </c>
    </row>
    <row r="127" spans="1:11" hidden="1" x14ac:dyDescent="0.25">
      <c r="A127" s="65" t="s">
        <v>203</v>
      </c>
      <c r="B127" s="70">
        <v>26.2</v>
      </c>
      <c r="C127" s="70">
        <v>10.7</v>
      </c>
      <c r="D127" s="70">
        <v>5.0999999999999996</v>
      </c>
      <c r="E127" s="70">
        <v>1.8</v>
      </c>
      <c r="F127" s="70">
        <v>3.7</v>
      </c>
      <c r="G127" s="70">
        <v>5.9</v>
      </c>
      <c r="H127" s="70">
        <v>2</v>
      </c>
      <c r="I127" s="70">
        <v>0.9</v>
      </c>
      <c r="J127" s="70">
        <v>1.1000000000000001</v>
      </c>
      <c r="K127" s="70">
        <v>3.9</v>
      </c>
    </row>
    <row r="128" spans="1:11" hidden="1" x14ac:dyDescent="0.25">
      <c r="A128" s="65" t="s">
        <v>204</v>
      </c>
      <c r="B128" s="70">
        <v>41</v>
      </c>
      <c r="C128" s="70">
        <v>14.8</v>
      </c>
      <c r="D128" s="70">
        <v>8.4</v>
      </c>
      <c r="E128" s="70">
        <v>2.2999999999999998</v>
      </c>
      <c r="F128" s="70">
        <v>4.2</v>
      </c>
      <c r="G128" s="70">
        <v>9.9</v>
      </c>
      <c r="H128" s="70">
        <v>3.2</v>
      </c>
      <c r="I128" s="70">
        <v>1.6</v>
      </c>
      <c r="J128" s="70">
        <v>1.6</v>
      </c>
      <c r="K128" s="70">
        <v>6.7</v>
      </c>
    </row>
    <row r="129" spans="1:11" hidden="1" x14ac:dyDescent="0.25">
      <c r="A129" s="65" t="s">
        <v>205</v>
      </c>
      <c r="B129" s="70">
        <v>22.2</v>
      </c>
      <c r="C129" s="70">
        <v>8.1999999999999993</v>
      </c>
      <c r="D129" s="70">
        <v>4.4000000000000004</v>
      </c>
      <c r="E129" s="70">
        <v>1.4</v>
      </c>
      <c r="F129" s="70">
        <v>2.2999999999999998</v>
      </c>
      <c r="G129" s="70">
        <v>4.5999999999999996</v>
      </c>
      <c r="H129" s="70">
        <v>1.3</v>
      </c>
      <c r="I129" s="70">
        <v>0.7</v>
      </c>
      <c r="J129" s="70">
        <v>0.6</v>
      </c>
      <c r="K129" s="70">
        <v>3.3</v>
      </c>
    </row>
    <row r="130" spans="1:11" hidden="1" x14ac:dyDescent="0.25">
      <c r="A130" s="65" t="s">
        <v>206</v>
      </c>
      <c r="B130" s="70">
        <v>7.4</v>
      </c>
      <c r="C130" s="70">
        <v>2.5</v>
      </c>
      <c r="D130" s="70">
        <v>1.2</v>
      </c>
      <c r="E130" s="70">
        <v>0.4</v>
      </c>
      <c r="F130" s="70">
        <v>0.9</v>
      </c>
      <c r="G130" s="70">
        <v>1.6</v>
      </c>
      <c r="H130" s="70">
        <v>0.6</v>
      </c>
      <c r="I130" s="70">
        <v>0.3</v>
      </c>
      <c r="J130" s="70">
        <v>0.3</v>
      </c>
      <c r="K130" s="70">
        <v>1</v>
      </c>
    </row>
    <row r="131" spans="1:11" hidden="1" x14ac:dyDescent="0.25">
      <c r="A131" s="65" t="s">
        <v>207</v>
      </c>
      <c r="B131" s="70">
        <v>4.7</v>
      </c>
      <c r="C131" s="70">
        <v>1.6</v>
      </c>
      <c r="D131" s="70">
        <v>0.9</v>
      </c>
      <c r="E131" s="70">
        <v>0.2</v>
      </c>
      <c r="F131" s="70">
        <v>0.5</v>
      </c>
      <c r="G131" s="70">
        <v>1</v>
      </c>
      <c r="H131" s="70">
        <v>0.3</v>
      </c>
      <c r="I131" s="70">
        <v>0.2</v>
      </c>
      <c r="J131" s="70" t="s">
        <v>134</v>
      </c>
      <c r="K131" s="70">
        <v>0.7</v>
      </c>
    </row>
    <row r="132" spans="1:11" hidden="1" x14ac:dyDescent="0.25">
      <c r="A132" s="65" t="s">
        <v>187</v>
      </c>
      <c r="B132" s="70">
        <v>0.8</v>
      </c>
      <c r="C132" s="70">
        <v>0.5</v>
      </c>
      <c r="D132" s="70" t="s">
        <v>134</v>
      </c>
      <c r="E132" s="70" t="s">
        <v>134</v>
      </c>
      <c r="F132" s="70" t="s">
        <v>134</v>
      </c>
      <c r="G132" s="70" t="s">
        <v>134</v>
      </c>
      <c r="H132" s="70" t="s">
        <v>141</v>
      </c>
      <c r="I132" s="70" t="s">
        <v>141</v>
      </c>
      <c r="J132" s="70" t="s">
        <v>141</v>
      </c>
      <c r="K132" s="70" t="s">
        <v>134</v>
      </c>
    </row>
    <row r="133" spans="1:11" ht="33.950000000000003" hidden="1" customHeight="1" x14ac:dyDescent="0.25">
      <c r="A133" s="66" t="s">
        <v>208</v>
      </c>
      <c r="B133" s="69" t="s">
        <v>131</v>
      </c>
      <c r="C133" s="69" t="s">
        <v>131</v>
      </c>
      <c r="D133" s="69" t="s">
        <v>131</v>
      </c>
      <c r="E133" s="69" t="s">
        <v>131</v>
      </c>
      <c r="F133" s="69" t="s">
        <v>131</v>
      </c>
      <c r="G133" s="69" t="s">
        <v>131</v>
      </c>
      <c r="H133" s="69" t="s">
        <v>131</v>
      </c>
      <c r="I133" s="69" t="s">
        <v>131</v>
      </c>
      <c r="J133" s="69" t="s">
        <v>131</v>
      </c>
      <c r="K133" s="69" t="s">
        <v>131</v>
      </c>
    </row>
    <row r="134" spans="1:11" hidden="1" x14ac:dyDescent="0.25">
      <c r="A134" s="65" t="s">
        <v>209</v>
      </c>
      <c r="B134" s="70">
        <v>41.8</v>
      </c>
      <c r="C134" s="70">
        <v>18.2</v>
      </c>
      <c r="D134" s="70">
        <v>9.6999999999999993</v>
      </c>
      <c r="E134" s="70">
        <v>2.5</v>
      </c>
      <c r="F134" s="70">
        <v>6</v>
      </c>
      <c r="G134" s="70">
        <v>10</v>
      </c>
      <c r="H134" s="70">
        <v>3.9</v>
      </c>
      <c r="I134" s="70">
        <v>1.7</v>
      </c>
      <c r="J134" s="70">
        <v>2.2000000000000002</v>
      </c>
      <c r="K134" s="70">
        <v>6.1</v>
      </c>
    </row>
    <row r="135" spans="1:11" hidden="1" x14ac:dyDescent="0.25">
      <c r="A135" s="65" t="s">
        <v>210</v>
      </c>
      <c r="B135" s="70">
        <v>75.599999999999994</v>
      </c>
      <c r="C135" s="70">
        <v>25.8</v>
      </c>
      <c r="D135" s="70">
        <v>13.6</v>
      </c>
      <c r="E135" s="70">
        <v>4.5999999999999996</v>
      </c>
      <c r="F135" s="70">
        <v>7.5</v>
      </c>
      <c r="G135" s="70">
        <v>16.3</v>
      </c>
      <c r="H135" s="70">
        <v>4.5999999999999996</v>
      </c>
      <c r="I135" s="70">
        <v>2.5</v>
      </c>
      <c r="J135" s="70">
        <v>2.1</v>
      </c>
      <c r="K135" s="70">
        <v>11.7</v>
      </c>
    </row>
    <row r="136" spans="1:11" hidden="1" x14ac:dyDescent="0.25">
      <c r="A136" s="65" t="s">
        <v>187</v>
      </c>
      <c r="B136" s="70">
        <v>0.8</v>
      </c>
      <c r="C136" s="70">
        <v>0.5</v>
      </c>
      <c r="D136" s="70" t="s">
        <v>134</v>
      </c>
      <c r="E136" s="70" t="s">
        <v>134</v>
      </c>
      <c r="F136" s="70" t="s">
        <v>134</v>
      </c>
      <c r="G136" s="70" t="s">
        <v>134</v>
      </c>
      <c r="H136" s="70" t="s">
        <v>141</v>
      </c>
      <c r="I136" s="70" t="s">
        <v>141</v>
      </c>
      <c r="J136" s="70" t="s">
        <v>141</v>
      </c>
      <c r="K136" s="70" t="s">
        <v>134</v>
      </c>
    </row>
    <row r="137" spans="1:11" ht="24" hidden="1" customHeight="1" x14ac:dyDescent="0.25">
      <c r="A137" s="73" t="s">
        <v>211</v>
      </c>
      <c r="B137" s="69" t="s">
        <v>131</v>
      </c>
      <c r="C137" s="69" t="s">
        <v>131</v>
      </c>
      <c r="D137" s="69" t="s">
        <v>131</v>
      </c>
      <c r="E137" s="69" t="s">
        <v>131</v>
      </c>
      <c r="F137" s="69" t="s">
        <v>131</v>
      </c>
      <c r="G137" s="69" t="s">
        <v>131</v>
      </c>
      <c r="H137" s="69" t="s">
        <v>131</v>
      </c>
      <c r="I137" s="69" t="s">
        <v>131</v>
      </c>
      <c r="J137" s="69" t="s">
        <v>131</v>
      </c>
      <c r="K137" s="69" t="s">
        <v>131</v>
      </c>
    </row>
    <row r="138" spans="1:11" hidden="1" x14ac:dyDescent="0.25">
      <c r="A138" s="71" t="s">
        <v>212</v>
      </c>
      <c r="B138" s="70">
        <v>35.4</v>
      </c>
      <c r="C138" s="70">
        <v>12.1</v>
      </c>
      <c r="D138" s="70">
        <v>6.3</v>
      </c>
      <c r="E138" s="70">
        <v>1.8</v>
      </c>
      <c r="F138" s="70">
        <v>4</v>
      </c>
      <c r="G138" s="70">
        <v>7.7</v>
      </c>
      <c r="H138" s="70">
        <v>2.6</v>
      </c>
      <c r="I138" s="70">
        <v>1.5</v>
      </c>
      <c r="J138" s="70">
        <v>1.1000000000000001</v>
      </c>
      <c r="K138" s="70">
        <v>5.0999999999999996</v>
      </c>
    </row>
    <row r="139" spans="1:11" hidden="1" x14ac:dyDescent="0.25">
      <c r="A139" s="72" t="s">
        <v>213</v>
      </c>
      <c r="B139" s="70">
        <v>82.8</v>
      </c>
      <c r="C139" s="70">
        <v>32.299999999999997</v>
      </c>
      <c r="D139" s="70">
        <v>17.2</v>
      </c>
      <c r="E139" s="70">
        <v>5.4</v>
      </c>
      <c r="F139" s="70">
        <v>9.6999999999999993</v>
      </c>
      <c r="G139" s="70">
        <v>18.7</v>
      </c>
      <c r="H139" s="70">
        <v>5.9</v>
      </c>
      <c r="I139" s="70">
        <v>2.8</v>
      </c>
      <c r="J139" s="70">
        <v>3.2</v>
      </c>
      <c r="K139" s="70">
        <v>12.7</v>
      </c>
    </row>
    <row r="140" spans="1:11" ht="24" hidden="1" customHeight="1" x14ac:dyDescent="0.25">
      <c r="A140" s="66" t="s">
        <v>214</v>
      </c>
      <c r="B140" s="69" t="s">
        <v>131</v>
      </c>
      <c r="C140" s="69" t="s">
        <v>131</v>
      </c>
      <c r="D140" s="69" t="s">
        <v>131</v>
      </c>
      <c r="E140" s="69" t="s">
        <v>131</v>
      </c>
      <c r="F140" s="69" t="s">
        <v>131</v>
      </c>
      <c r="G140" s="69" t="s">
        <v>131</v>
      </c>
      <c r="H140" s="69" t="s">
        <v>131</v>
      </c>
      <c r="I140" s="69" t="s">
        <v>131</v>
      </c>
      <c r="J140" s="69" t="s">
        <v>131</v>
      </c>
      <c r="K140" s="69" t="s">
        <v>131</v>
      </c>
    </row>
    <row r="141" spans="1:11" hidden="1" x14ac:dyDescent="0.25">
      <c r="A141" s="65" t="s">
        <v>189</v>
      </c>
      <c r="B141" s="70">
        <v>8.1999999999999993</v>
      </c>
      <c r="C141" s="70">
        <v>3</v>
      </c>
      <c r="D141" s="70">
        <v>1.5</v>
      </c>
      <c r="E141" s="70">
        <v>0.5</v>
      </c>
      <c r="F141" s="70">
        <v>1</v>
      </c>
      <c r="G141" s="70">
        <v>1.8</v>
      </c>
      <c r="H141" s="70">
        <v>0.6</v>
      </c>
      <c r="I141" s="70" t="s">
        <v>134</v>
      </c>
      <c r="J141" s="70">
        <v>0.3</v>
      </c>
      <c r="K141" s="70">
        <v>1.2</v>
      </c>
    </row>
    <row r="142" spans="1:11" hidden="1" x14ac:dyDescent="0.25">
      <c r="A142" s="65" t="s">
        <v>190</v>
      </c>
      <c r="B142" s="70">
        <v>5.5</v>
      </c>
      <c r="C142" s="70">
        <v>1.7</v>
      </c>
      <c r="D142" s="70">
        <v>1</v>
      </c>
      <c r="E142" s="70">
        <v>0.2</v>
      </c>
      <c r="F142" s="70">
        <v>0.5</v>
      </c>
      <c r="G142" s="70">
        <v>1.5</v>
      </c>
      <c r="H142" s="70">
        <v>0.4</v>
      </c>
      <c r="I142" s="70">
        <v>0.1</v>
      </c>
      <c r="J142" s="70">
        <v>0.2</v>
      </c>
      <c r="K142" s="70">
        <v>1.2</v>
      </c>
    </row>
    <row r="143" spans="1:11" hidden="1" x14ac:dyDescent="0.25">
      <c r="A143" s="65" t="s">
        <v>191</v>
      </c>
      <c r="B143" s="70">
        <v>14.6</v>
      </c>
      <c r="C143" s="70">
        <v>4.7</v>
      </c>
      <c r="D143" s="70">
        <v>2.2999999999999998</v>
      </c>
      <c r="E143" s="70">
        <v>0.8</v>
      </c>
      <c r="F143" s="70">
        <v>1.7</v>
      </c>
      <c r="G143" s="70">
        <v>3.1</v>
      </c>
      <c r="H143" s="70">
        <v>1.1000000000000001</v>
      </c>
      <c r="I143" s="70">
        <v>0.8</v>
      </c>
      <c r="J143" s="70">
        <v>0.4</v>
      </c>
      <c r="K143" s="70">
        <v>2</v>
      </c>
    </row>
    <row r="144" spans="1:11" hidden="1" x14ac:dyDescent="0.25">
      <c r="A144" s="65" t="s">
        <v>192</v>
      </c>
      <c r="B144" s="70">
        <v>6.9</v>
      </c>
      <c r="C144" s="70">
        <v>2.6</v>
      </c>
      <c r="D144" s="70">
        <v>1.4</v>
      </c>
      <c r="E144" s="70">
        <v>0.3</v>
      </c>
      <c r="F144" s="70">
        <v>0.9</v>
      </c>
      <c r="G144" s="70">
        <v>1.2</v>
      </c>
      <c r="H144" s="70">
        <v>0.5</v>
      </c>
      <c r="I144" s="70">
        <v>0.2</v>
      </c>
      <c r="J144" s="70">
        <v>0.2</v>
      </c>
      <c r="K144" s="70">
        <v>0.7</v>
      </c>
    </row>
    <row r="145" spans="1:11" ht="26.25" hidden="1" x14ac:dyDescent="0.25">
      <c r="A145" s="65" t="s">
        <v>193</v>
      </c>
      <c r="B145" s="70">
        <v>0.2</v>
      </c>
      <c r="C145" s="70" t="s">
        <v>134</v>
      </c>
      <c r="D145" s="70" t="s">
        <v>134</v>
      </c>
      <c r="E145" s="70" t="s">
        <v>134</v>
      </c>
      <c r="F145" s="70" t="s">
        <v>141</v>
      </c>
      <c r="G145" s="70" t="s">
        <v>134</v>
      </c>
      <c r="H145" s="70" t="s">
        <v>134</v>
      </c>
      <c r="I145" s="70" t="s">
        <v>134</v>
      </c>
      <c r="J145" s="70" t="s">
        <v>141</v>
      </c>
      <c r="K145" s="70" t="s">
        <v>134</v>
      </c>
    </row>
    <row r="146" spans="1:11" hidden="1" x14ac:dyDescent="0.25">
      <c r="A146" s="65" t="s">
        <v>213</v>
      </c>
      <c r="B146" s="70">
        <v>82.8</v>
      </c>
      <c r="C146" s="70">
        <v>32.299999999999997</v>
      </c>
      <c r="D146" s="70">
        <v>17.2</v>
      </c>
      <c r="E146" s="70">
        <v>5.4</v>
      </c>
      <c r="F146" s="70">
        <v>9.6999999999999993</v>
      </c>
      <c r="G146" s="70">
        <v>18.7</v>
      </c>
      <c r="H146" s="70">
        <v>5.9</v>
      </c>
      <c r="I146" s="70">
        <v>2.8</v>
      </c>
      <c r="J146" s="70">
        <v>3.2</v>
      </c>
      <c r="K146" s="70">
        <v>12.7</v>
      </c>
    </row>
    <row r="147" spans="1:11" ht="24" hidden="1" customHeight="1" x14ac:dyDescent="0.25">
      <c r="A147" s="66" t="s">
        <v>215</v>
      </c>
      <c r="B147" s="69" t="s">
        <v>131</v>
      </c>
      <c r="C147" s="69" t="s">
        <v>131</v>
      </c>
      <c r="D147" s="69" t="s">
        <v>131</v>
      </c>
      <c r="E147" s="69" t="s">
        <v>131</v>
      </c>
      <c r="F147" s="69" t="s">
        <v>131</v>
      </c>
      <c r="G147" s="69" t="s">
        <v>131</v>
      </c>
      <c r="H147" s="69" t="s">
        <v>131</v>
      </c>
      <c r="I147" s="69" t="s">
        <v>131</v>
      </c>
      <c r="J147" s="69" t="s">
        <v>131</v>
      </c>
      <c r="K147" s="69" t="s">
        <v>131</v>
      </c>
    </row>
    <row r="148" spans="1:11" hidden="1" x14ac:dyDescent="0.25">
      <c r="A148" s="65" t="s">
        <v>189</v>
      </c>
      <c r="B148" s="70">
        <v>8.1999999999999993</v>
      </c>
      <c r="C148" s="70">
        <v>3</v>
      </c>
      <c r="D148" s="70">
        <v>1.5</v>
      </c>
      <c r="E148" s="70">
        <v>0.5</v>
      </c>
      <c r="F148" s="70">
        <v>1</v>
      </c>
      <c r="G148" s="70">
        <v>1.8</v>
      </c>
      <c r="H148" s="70">
        <v>0.6</v>
      </c>
      <c r="I148" s="70" t="s">
        <v>134</v>
      </c>
      <c r="J148" s="70">
        <v>0.3</v>
      </c>
      <c r="K148" s="70">
        <v>1.2</v>
      </c>
    </row>
    <row r="149" spans="1:11" hidden="1" x14ac:dyDescent="0.25">
      <c r="A149" s="65" t="s">
        <v>196</v>
      </c>
      <c r="B149" s="70">
        <v>5.8</v>
      </c>
      <c r="C149" s="70">
        <v>2</v>
      </c>
      <c r="D149" s="70">
        <v>1</v>
      </c>
      <c r="E149" s="70">
        <v>0.5</v>
      </c>
      <c r="F149" s="70">
        <v>0.5</v>
      </c>
      <c r="G149" s="70">
        <v>1.7</v>
      </c>
      <c r="H149" s="70">
        <v>0.5</v>
      </c>
      <c r="I149" s="70">
        <v>0.2</v>
      </c>
      <c r="J149" s="70">
        <v>0.2</v>
      </c>
      <c r="K149" s="70">
        <v>1.2</v>
      </c>
    </row>
    <row r="150" spans="1:11" hidden="1" x14ac:dyDescent="0.25">
      <c r="A150" s="65" t="s">
        <v>197</v>
      </c>
      <c r="B150" s="70">
        <v>14.4</v>
      </c>
      <c r="C150" s="70">
        <v>4.3</v>
      </c>
      <c r="D150" s="70">
        <v>2.4</v>
      </c>
      <c r="E150" s="70">
        <v>0.4</v>
      </c>
      <c r="F150" s="70">
        <v>1.5</v>
      </c>
      <c r="G150" s="70">
        <v>2.8</v>
      </c>
      <c r="H150" s="70">
        <v>1</v>
      </c>
      <c r="I150" s="70">
        <v>0.6</v>
      </c>
      <c r="J150" s="70">
        <v>0.3</v>
      </c>
      <c r="K150" s="70">
        <v>1.8</v>
      </c>
    </row>
    <row r="151" spans="1:11" hidden="1" x14ac:dyDescent="0.25">
      <c r="A151" s="65" t="s">
        <v>198</v>
      </c>
      <c r="B151" s="70">
        <v>1.1000000000000001</v>
      </c>
      <c r="C151" s="70">
        <v>0.3</v>
      </c>
      <c r="D151" s="70" t="s">
        <v>134</v>
      </c>
      <c r="E151" s="70" t="s">
        <v>134</v>
      </c>
      <c r="F151" s="70">
        <v>0.3</v>
      </c>
      <c r="G151" s="70">
        <v>0.3</v>
      </c>
      <c r="H151" s="70" t="s">
        <v>134</v>
      </c>
      <c r="I151" s="70" t="s">
        <v>134</v>
      </c>
      <c r="J151" s="70" t="s">
        <v>134</v>
      </c>
      <c r="K151" s="70">
        <v>0.2</v>
      </c>
    </row>
    <row r="152" spans="1:11" hidden="1" x14ac:dyDescent="0.25">
      <c r="A152" s="65" t="s">
        <v>199</v>
      </c>
      <c r="B152" s="70">
        <v>5.7</v>
      </c>
      <c r="C152" s="70">
        <v>2.4</v>
      </c>
      <c r="D152" s="70">
        <v>1.2</v>
      </c>
      <c r="E152" s="70">
        <v>0.4</v>
      </c>
      <c r="F152" s="70">
        <v>0.8</v>
      </c>
      <c r="G152" s="70">
        <v>1.2</v>
      </c>
      <c r="H152" s="70">
        <v>0.5</v>
      </c>
      <c r="I152" s="70">
        <v>0.3</v>
      </c>
      <c r="J152" s="70">
        <v>0.1</v>
      </c>
      <c r="K152" s="70">
        <v>0.7</v>
      </c>
    </row>
    <row r="153" spans="1:11" hidden="1" x14ac:dyDescent="0.25">
      <c r="A153" s="65" t="s">
        <v>200</v>
      </c>
      <c r="B153" s="70" t="s">
        <v>134</v>
      </c>
      <c r="C153" s="70" t="s">
        <v>134</v>
      </c>
      <c r="D153" s="70" t="s">
        <v>134</v>
      </c>
      <c r="E153" s="70" t="s">
        <v>141</v>
      </c>
      <c r="F153" s="70" t="s">
        <v>134</v>
      </c>
      <c r="G153" s="70" t="s">
        <v>134</v>
      </c>
      <c r="H153" s="70" t="s">
        <v>134</v>
      </c>
      <c r="I153" s="70" t="s">
        <v>134</v>
      </c>
      <c r="J153" s="70" t="s">
        <v>141</v>
      </c>
      <c r="K153" s="70" t="s">
        <v>134</v>
      </c>
    </row>
    <row r="154" spans="1:11" hidden="1" x14ac:dyDescent="0.25">
      <c r="A154" s="65" t="s">
        <v>213</v>
      </c>
      <c r="B154" s="70">
        <v>82.8</v>
      </c>
      <c r="C154" s="70">
        <v>32.299999999999997</v>
      </c>
      <c r="D154" s="70">
        <v>17.2</v>
      </c>
      <c r="E154" s="70">
        <v>5.4</v>
      </c>
      <c r="F154" s="70">
        <v>9.6999999999999993</v>
      </c>
      <c r="G154" s="70">
        <v>18.7</v>
      </c>
      <c r="H154" s="70">
        <v>5.9</v>
      </c>
      <c r="I154" s="70">
        <v>2.8</v>
      </c>
      <c r="J154" s="70">
        <v>3.2</v>
      </c>
      <c r="K154" s="70">
        <v>12.7</v>
      </c>
    </row>
    <row r="155" spans="1:11" ht="24" hidden="1" customHeight="1" x14ac:dyDescent="0.25">
      <c r="A155" s="66" t="s">
        <v>216</v>
      </c>
      <c r="B155" s="69" t="s">
        <v>131</v>
      </c>
      <c r="C155" s="69" t="s">
        <v>131</v>
      </c>
      <c r="D155" s="69" t="s">
        <v>131</v>
      </c>
      <c r="E155" s="69" t="s">
        <v>131</v>
      </c>
      <c r="F155" s="69" t="s">
        <v>131</v>
      </c>
      <c r="G155" s="69" t="s">
        <v>131</v>
      </c>
      <c r="H155" s="69" t="s">
        <v>131</v>
      </c>
      <c r="I155" s="69" t="s">
        <v>131</v>
      </c>
      <c r="J155" s="69" t="s">
        <v>131</v>
      </c>
      <c r="K155" s="69" t="s">
        <v>131</v>
      </c>
    </row>
    <row r="156" spans="1:11" hidden="1" x14ac:dyDescent="0.25">
      <c r="A156" s="65" t="s">
        <v>202</v>
      </c>
      <c r="B156" s="70">
        <v>2.8</v>
      </c>
      <c r="C156" s="70">
        <v>1</v>
      </c>
      <c r="D156" s="70">
        <v>0.6</v>
      </c>
      <c r="E156" s="70" t="s">
        <v>134</v>
      </c>
      <c r="F156" s="70">
        <v>0.3</v>
      </c>
      <c r="G156" s="70">
        <v>0.8</v>
      </c>
      <c r="H156" s="70">
        <v>0.3</v>
      </c>
      <c r="I156" s="70" t="s">
        <v>134</v>
      </c>
      <c r="J156" s="70" t="s">
        <v>134</v>
      </c>
      <c r="K156" s="70">
        <v>0.5</v>
      </c>
    </row>
    <row r="157" spans="1:11" hidden="1" x14ac:dyDescent="0.25">
      <c r="A157" s="65" t="s">
        <v>203</v>
      </c>
      <c r="B157" s="70">
        <v>5.0999999999999996</v>
      </c>
      <c r="C157" s="70">
        <v>1.9</v>
      </c>
      <c r="D157" s="70">
        <v>0.7</v>
      </c>
      <c r="E157" s="70">
        <v>0.3</v>
      </c>
      <c r="F157" s="70">
        <v>0.9</v>
      </c>
      <c r="G157" s="70">
        <v>1</v>
      </c>
      <c r="H157" s="70">
        <v>0.3</v>
      </c>
      <c r="I157" s="70" t="s">
        <v>134</v>
      </c>
      <c r="J157" s="70" t="s">
        <v>134</v>
      </c>
      <c r="K157" s="70">
        <v>0.7</v>
      </c>
    </row>
    <row r="158" spans="1:11" hidden="1" x14ac:dyDescent="0.25">
      <c r="A158" s="65" t="s">
        <v>204</v>
      </c>
      <c r="B158" s="70">
        <v>9.8000000000000007</v>
      </c>
      <c r="C158" s="70">
        <v>3.3</v>
      </c>
      <c r="D158" s="70">
        <v>1.7</v>
      </c>
      <c r="E158" s="70">
        <v>0.5</v>
      </c>
      <c r="F158" s="70">
        <v>1</v>
      </c>
      <c r="G158" s="70">
        <v>2.5</v>
      </c>
      <c r="H158" s="70">
        <v>0.8</v>
      </c>
      <c r="I158" s="70">
        <v>0.5</v>
      </c>
      <c r="J158" s="70">
        <v>0.3</v>
      </c>
      <c r="K158" s="70">
        <v>1.7</v>
      </c>
    </row>
    <row r="159" spans="1:11" hidden="1" x14ac:dyDescent="0.25">
      <c r="A159" s="65" t="s">
        <v>205</v>
      </c>
      <c r="B159" s="70">
        <v>9.3000000000000007</v>
      </c>
      <c r="C159" s="70">
        <v>3.1</v>
      </c>
      <c r="D159" s="70">
        <v>1.6</v>
      </c>
      <c r="E159" s="70">
        <v>0.4</v>
      </c>
      <c r="F159" s="70">
        <v>1.1000000000000001</v>
      </c>
      <c r="G159" s="70">
        <v>2</v>
      </c>
      <c r="H159" s="70">
        <v>0.6</v>
      </c>
      <c r="I159" s="70">
        <v>0.4</v>
      </c>
      <c r="J159" s="70">
        <v>0.3</v>
      </c>
      <c r="K159" s="70">
        <v>1.3</v>
      </c>
    </row>
    <row r="160" spans="1:11" hidden="1" x14ac:dyDescent="0.25">
      <c r="A160" s="65" t="s">
        <v>206</v>
      </c>
      <c r="B160" s="70">
        <v>4.8</v>
      </c>
      <c r="C160" s="70">
        <v>1.7</v>
      </c>
      <c r="D160" s="70">
        <v>0.9</v>
      </c>
      <c r="E160" s="70">
        <v>0.2</v>
      </c>
      <c r="F160" s="70">
        <v>0.5</v>
      </c>
      <c r="G160" s="70">
        <v>0.9</v>
      </c>
      <c r="H160" s="70">
        <v>0.3</v>
      </c>
      <c r="I160" s="70">
        <v>0.2</v>
      </c>
      <c r="J160" s="70" t="s">
        <v>134</v>
      </c>
      <c r="K160" s="70">
        <v>0.6</v>
      </c>
    </row>
    <row r="161" spans="1:11" hidden="1" x14ac:dyDescent="0.25">
      <c r="A161" s="65" t="s">
        <v>207</v>
      </c>
      <c r="B161" s="70">
        <v>3.6</v>
      </c>
      <c r="C161" s="70">
        <v>1.2</v>
      </c>
      <c r="D161" s="70">
        <v>0.7</v>
      </c>
      <c r="E161" s="70">
        <v>0.2</v>
      </c>
      <c r="F161" s="70">
        <v>0.3</v>
      </c>
      <c r="G161" s="70">
        <v>0.6</v>
      </c>
      <c r="H161" s="70">
        <v>0.3</v>
      </c>
      <c r="I161" s="70">
        <v>0.2</v>
      </c>
      <c r="J161" s="70" t="s">
        <v>134</v>
      </c>
      <c r="K161" s="70">
        <v>0.3</v>
      </c>
    </row>
    <row r="162" spans="1:11" hidden="1" x14ac:dyDescent="0.25">
      <c r="A162" s="65" t="s">
        <v>213</v>
      </c>
      <c r="B162" s="70">
        <v>82.8</v>
      </c>
      <c r="C162" s="70">
        <v>32.299999999999997</v>
      </c>
      <c r="D162" s="70">
        <v>17.2</v>
      </c>
      <c r="E162" s="70">
        <v>5.4</v>
      </c>
      <c r="F162" s="70">
        <v>9.6999999999999993</v>
      </c>
      <c r="G162" s="70">
        <v>18.7</v>
      </c>
      <c r="H162" s="70">
        <v>5.9</v>
      </c>
      <c r="I162" s="70">
        <v>2.8</v>
      </c>
      <c r="J162" s="70">
        <v>3.2</v>
      </c>
      <c r="K162" s="70">
        <v>12.7</v>
      </c>
    </row>
    <row r="163" spans="1:11" ht="24" hidden="1" customHeight="1" x14ac:dyDescent="0.25">
      <c r="A163" s="66" t="s">
        <v>217</v>
      </c>
      <c r="B163" s="69" t="s">
        <v>131</v>
      </c>
      <c r="C163" s="69" t="s">
        <v>131</v>
      </c>
      <c r="D163" s="69" t="s">
        <v>131</v>
      </c>
      <c r="E163" s="69" t="s">
        <v>131</v>
      </c>
      <c r="F163" s="69" t="s">
        <v>131</v>
      </c>
      <c r="G163" s="69" t="s">
        <v>131</v>
      </c>
      <c r="H163" s="69" t="s">
        <v>131</v>
      </c>
      <c r="I163" s="69" t="s">
        <v>131</v>
      </c>
      <c r="J163" s="69" t="s">
        <v>131</v>
      </c>
      <c r="K163" s="69" t="s">
        <v>131</v>
      </c>
    </row>
    <row r="164" spans="1:11" hidden="1" x14ac:dyDescent="0.25">
      <c r="A164" s="65" t="s">
        <v>218</v>
      </c>
      <c r="B164" s="70">
        <v>6.8</v>
      </c>
      <c r="C164" s="70">
        <v>1.1000000000000001</v>
      </c>
      <c r="D164" s="70">
        <v>0.9</v>
      </c>
      <c r="E164" s="70">
        <v>0.2</v>
      </c>
      <c r="F164" s="70" t="s">
        <v>141</v>
      </c>
      <c r="G164" s="70">
        <v>0.5</v>
      </c>
      <c r="H164" s="70">
        <v>0.2</v>
      </c>
      <c r="I164" s="70">
        <v>0.2</v>
      </c>
      <c r="J164" s="70" t="s">
        <v>141</v>
      </c>
      <c r="K164" s="70">
        <v>0.2</v>
      </c>
    </row>
    <row r="165" spans="1:11" hidden="1" x14ac:dyDescent="0.25">
      <c r="A165" s="65" t="s">
        <v>219</v>
      </c>
      <c r="B165" s="70">
        <v>16.100000000000001</v>
      </c>
      <c r="C165" s="70">
        <v>5.3</v>
      </c>
      <c r="D165" s="70">
        <v>3</v>
      </c>
      <c r="E165" s="70">
        <v>0.5</v>
      </c>
      <c r="F165" s="70">
        <v>1.8</v>
      </c>
      <c r="G165" s="70">
        <v>4.5</v>
      </c>
      <c r="H165" s="70">
        <v>1.5</v>
      </c>
      <c r="I165" s="70">
        <v>0.9</v>
      </c>
      <c r="J165" s="70">
        <v>0.6</v>
      </c>
      <c r="K165" s="70">
        <v>3.1</v>
      </c>
    </row>
    <row r="166" spans="1:11" hidden="1" x14ac:dyDescent="0.25">
      <c r="A166" s="65" t="s">
        <v>220</v>
      </c>
      <c r="B166" s="70">
        <v>1.8</v>
      </c>
      <c r="C166" s="70">
        <v>1</v>
      </c>
      <c r="D166" s="70">
        <v>0.4</v>
      </c>
      <c r="E166" s="70">
        <v>0.3</v>
      </c>
      <c r="F166" s="70">
        <v>0.4</v>
      </c>
      <c r="G166" s="70">
        <v>0.4</v>
      </c>
      <c r="H166" s="70" t="s">
        <v>134</v>
      </c>
      <c r="I166" s="70" t="s">
        <v>141</v>
      </c>
      <c r="J166" s="70" t="s">
        <v>134</v>
      </c>
      <c r="K166" s="70">
        <v>0.4</v>
      </c>
    </row>
    <row r="167" spans="1:11" hidden="1" x14ac:dyDescent="0.25">
      <c r="A167" s="65" t="s">
        <v>221</v>
      </c>
      <c r="B167" s="70">
        <v>8.9</v>
      </c>
      <c r="C167" s="70">
        <v>4.2</v>
      </c>
      <c r="D167" s="70">
        <v>1.8</v>
      </c>
      <c r="E167" s="70">
        <v>0.8</v>
      </c>
      <c r="F167" s="70">
        <v>1.7</v>
      </c>
      <c r="G167" s="70">
        <v>2</v>
      </c>
      <c r="H167" s="70">
        <v>0.7</v>
      </c>
      <c r="I167" s="70">
        <v>0.3</v>
      </c>
      <c r="J167" s="70">
        <v>0.4</v>
      </c>
      <c r="K167" s="70">
        <v>1.3</v>
      </c>
    </row>
    <row r="168" spans="1:11" hidden="1" x14ac:dyDescent="0.25">
      <c r="A168" s="65" t="s">
        <v>222</v>
      </c>
      <c r="B168" s="70">
        <v>1.7</v>
      </c>
      <c r="C168" s="70">
        <v>0.5</v>
      </c>
      <c r="D168" s="70">
        <v>0.2</v>
      </c>
      <c r="E168" s="70" t="s">
        <v>134</v>
      </c>
      <c r="F168" s="70">
        <v>0.2</v>
      </c>
      <c r="G168" s="70">
        <v>0.3</v>
      </c>
      <c r="H168" s="70" t="s">
        <v>134</v>
      </c>
      <c r="I168" s="70" t="s">
        <v>134</v>
      </c>
      <c r="J168" s="70" t="s">
        <v>134</v>
      </c>
      <c r="K168" s="70" t="s">
        <v>134</v>
      </c>
    </row>
    <row r="169" spans="1:11" hidden="1" x14ac:dyDescent="0.25">
      <c r="A169" s="65" t="s">
        <v>213</v>
      </c>
      <c r="B169" s="70">
        <v>82.8</v>
      </c>
      <c r="C169" s="70">
        <v>32.299999999999997</v>
      </c>
      <c r="D169" s="70">
        <v>17.2</v>
      </c>
      <c r="E169" s="70">
        <v>5.4</v>
      </c>
      <c r="F169" s="70">
        <v>9.6999999999999993</v>
      </c>
      <c r="G169" s="70">
        <v>18.7</v>
      </c>
      <c r="H169" s="70">
        <v>5.9</v>
      </c>
      <c r="I169" s="70">
        <v>2.8</v>
      </c>
      <c r="J169" s="70">
        <v>3.2</v>
      </c>
      <c r="K169" s="70">
        <v>12.7</v>
      </c>
    </row>
    <row r="170" spans="1:11" ht="24" hidden="1" customHeight="1" x14ac:dyDescent="0.25">
      <c r="A170" s="73" t="s">
        <v>223</v>
      </c>
      <c r="B170" s="69" t="s">
        <v>131</v>
      </c>
      <c r="C170" s="69" t="s">
        <v>131</v>
      </c>
      <c r="D170" s="69" t="s">
        <v>131</v>
      </c>
      <c r="E170" s="69" t="s">
        <v>131</v>
      </c>
      <c r="F170" s="69" t="s">
        <v>131</v>
      </c>
      <c r="G170" s="69" t="s">
        <v>131</v>
      </c>
      <c r="H170" s="69" t="s">
        <v>131</v>
      </c>
      <c r="I170" s="69" t="s">
        <v>131</v>
      </c>
      <c r="J170" s="69" t="s">
        <v>131</v>
      </c>
      <c r="K170" s="69" t="s">
        <v>131</v>
      </c>
    </row>
    <row r="171" spans="1:11" hidden="1" x14ac:dyDescent="0.25">
      <c r="A171" s="71" t="s">
        <v>224</v>
      </c>
      <c r="B171" s="70">
        <v>38.1</v>
      </c>
      <c r="C171" s="70">
        <v>14.4</v>
      </c>
      <c r="D171" s="70">
        <v>6.6</v>
      </c>
      <c r="E171" s="70">
        <v>3</v>
      </c>
      <c r="F171" s="70">
        <v>4.7</v>
      </c>
      <c r="G171" s="70">
        <v>7.3</v>
      </c>
      <c r="H171" s="70">
        <v>3.2</v>
      </c>
      <c r="I171" s="70">
        <v>1.8</v>
      </c>
      <c r="J171" s="70">
        <v>1.4</v>
      </c>
      <c r="K171" s="70">
        <v>4.2</v>
      </c>
    </row>
    <row r="172" spans="1:11" hidden="1" x14ac:dyDescent="0.25">
      <c r="A172" s="65">
        <v>1</v>
      </c>
      <c r="B172" s="70">
        <v>34.299999999999997</v>
      </c>
      <c r="C172" s="70">
        <v>12.9</v>
      </c>
      <c r="D172" s="70">
        <v>6.1</v>
      </c>
      <c r="E172" s="70">
        <v>2.7</v>
      </c>
      <c r="F172" s="70">
        <v>4</v>
      </c>
      <c r="G172" s="70">
        <v>6.7</v>
      </c>
      <c r="H172" s="70">
        <v>3</v>
      </c>
      <c r="I172" s="70">
        <v>1.7</v>
      </c>
      <c r="J172" s="70">
        <v>1.3</v>
      </c>
      <c r="K172" s="70">
        <v>3.7</v>
      </c>
    </row>
    <row r="173" spans="1:11" hidden="1" x14ac:dyDescent="0.25">
      <c r="A173" s="65" t="s">
        <v>133</v>
      </c>
      <c r="B173" s="70">
        <v>3.8</v>
      </c>
      <c r="C173" s="70">
        <v>1.5</v>
      </c>
      <c r="D173" s="70">
        <v>0.5</v>
      </c>
      <c r="E173" s="70">
        <v>0.3</v>
      </c>
      <c r="F173" s="70">
        <v>0.7</v>
      </c>
      <c r="G173" s="70">
        <v>0.6</v>
      </c>
      <c r="H173" s="70">
        <v>0.1</v>
      </c>
      <c r="I173" s="70" t="s">
        <v>134</v>
      </c>
      <c r="J173" s="70" t="s">
        <v>134</v>
      </c>
      <c r="K173" s="70">
        <v>0.5</v>
      </c>
    </row>
    <row r="174" spans="1:11" hidden="1" x14ac:dyDescent="0.25">
      <c r="A174" s="71" t="s">
        <v>225</v>
      </c>
      <c r="B174" s="70">
        <v>80.099999999999994</v>
      </c>
      <c r="C174" s="70">
        <v>30.1</v>
      </c>
      <c r="D174" s="70">
        <v>16.8</v>
      </c>
      <c r="E174" s="70">
        <v>4.2</v>
      </c>
      <c r="F174" s="70">
        <v>9.1</v>
      </c>
      <c r="G174" s="70">
        <v>19.100000000000001</v>
      </c>
      <c r="H174" s="70">
        <v>5.4</v>
      </c>
      <c r="I174" s="70">
        <v>2.4</v>
      </c>
      <c r="J174" s="70">
        <v>2.9</v>
      </c>
      <c r="K174" s="70">
        <v>13.7</v>
      </c>
    </row>
    <row r="175" spans="1:11" ht="24" hidden="1" customHeight="1" x14ac:dyDescent="0.25">
      <c r="A175" s="66" t="s">
        <v>226</v>
      </c>
      <c r="B175" s="69" t="s">
        <v>131</v>
      </c>
      <c r="C175" s="69" t="s">
        <v>131</v>
      </c>
      <c r="D175" s="69" t="s">
        <v>131</v>
      </c>
      <c r="E175" s="69" t="s">
        <v>131</v>
      </c>
      <c r="F175" s="69" t="s">
        <v>131</v>
      </c>
      <c r="G175" s="69" t="s">
        <v>131</v>
      </c>
      <c r="H175" s="69" t="s">
        <v>131</v>
      </c>
      <c r="I175" s="69" t="s">
        <v>131</v>
      </c>
      <c r="J175" s="69" t="s">
        <v>131</v>
      </c>
      <c r="K175" s="69" t="s">
        <v>131</v>
      </c>
    </row>
    <row r="176" spans="1:11" hidden="1" x14ac:dyDescent="0.25">
      <c r="A176" s="65" t="s">
        <v>189</v>
      </c>
      <c r="B176" s="70">
        <v>3.2</v>
      </c>
      <c r="C176" s="70">
        <v>1</v>
      </c>
      <c r="D176" s="70">
        <v>0.5</v>
      </c>
      <c r="E176" s="70">
        <v>0.2</v>
      </c>
      <c r="F176" s="70">
        <v>0.3</v>
      </c>
      <c r="G176" s="70">
        <v>0.8</v>
      </c>
      <c r="H176" s="70">
        <v>0.4</v>
      </c>
      <c r="I176" s="70" t="s">
        <v>134</v>
      </c>
      <c r="J176" s="70" t="s">
        <v>134</v>
      </c>
      <c r="K176" s="70">
        <v>0.4</v>
      </c>
    </row>
    <row r="177" spans="1:11" hidden="1" x14ac:dyDescent="0.25">
      <c r="A177" s="65" t="s">
        <v>190</v>
      </c>
      <c r="B177" s="70">
        <v>11.9</v>
      </c>
      <c r="C177" s="70">
        <v>4.8</v>
      </c>
      <c r="D177" s="70">
        <v>2.4</v>
      </c>
      <c r="E177" s="70">
        <v>1.2</v>
      </c>
      <c r="F177" s="70">
        <v>1.3</v>
      </c>
      <c r="G177" s="70">
        <v>2.2000000000000002</v>
      </c>
      <c r="H177" s="70">
        <v>1.1000000000000001</v>
      </c>
      <c r="I177" s="70">
        <v>0.5</v>
      </c>
      <c r="J177" s="70">
        <v>0.5</v>
      </c>
      <c r="K177" s="70">
        <v>1.1000000000000001</v>
      </c>
    </row>
    <row r="178" spans="1:11" hidden="1" x14ac:dyDescent="0.25">
      <c r="A178" s="65" t="s">
        <v>191</v>
      </c>
      <c r="B178" s="70">
        <v>15.2</v>
      </c>
      <c r="C178" s="70">
        <v>5.8</v>
      </c>
      <c r="D178" s="70">
        <v>2.4</v>
      </c>
      <c r="E178" s="70">
        <v>1.2</v>
      </c>
      <c r="F178" s="70">
        <v>2.2000000000000002</v>
      </c>
      <c r="G178" s="70">
        <v>3.1</v>
      </c>
      <c r="H178" s="70">
        <v>1.3</v>
      </c>
      <c r="I178" s="70">
        <v>0.9</v>
      </c>
      <c r="J178" s="70">
        <v>0.5</v>
      </c>
      <c r="K178" s="70">
        <v>1.7</v>
      </c>
    </row>
    <row r="179" spans="1:11" hidden="1" x14ac:dyDescent="0.25">
      <c r="A179" s="65" t="s">
        <v>192</v>
      </c>
      <c r="B179" s="70">
        <v>7.2</v>
      </c>
      <c r="C179" s="70">
        <v>2.5</v>
      </c>
      <c r="D179" s="70">
        <v>1.2</v>
      </c>
      <c r="E179" s="70">
        <v>0.4</v>
      </c>
      <c r="F179" s="70">
        <v>0.9</v>
      </c>
      <c r="G179" s="70">
        <v>1.2</v>
      </c>
      <c r="H179" s="70">
        <v>0.3</v>
      </c>
      <c r="I179" s="70">
        <v>0.3</v>
      </c>
      <c r="J179" s="70" t="s">
        <v>134</v>
      </c>
      <c r="K179" s="70">
        <v>0.8</v>
      </c>
    </row>
    <row r="180" spans="1:11" ht="26.25" hidden="1" x14ac:dyDescent="0.25">
      <c r="A180" s="65" t="s">
        <v>193</v>
      </c>
      <c r="B180" s="70">
        <v>0.5</v>
      </c>
      <c r="C180" s="70" t="s">
        <v>134</v>
      </c>
      <c r="D180" s="70" t="s">
        <v>134</v>
      </c>
      <c r="E180" s="70" t="s">
        <v>134</v>
      </c>
      <c r="F180" s="70" t="s">
        <v>134</v>
      </c>
      <c r="G180" s="70" t="s">
        <v>134</v>
      </c>
      <c r="H180" s="70" t="s">
        <v>134</v>
      </c>
      <c r="I180" s="70" t="s">
        <v>134</v>
      </c>
      <c r="J180" s="70" t="s">
        <v>134</v>
      </c>
      <c r="K180" s="70" t="s">
        <v>134</v>
      </c>
    </row>
    <row r="181" spans="1:11" hidden="1" x14ac:dyDescent="0.25">
      <c r="A181" s="65" t="s">
        <v>225</v>
      </c>
      <c r="B181" s="64">
        <v>80.099999999999994</v>
      </c>
      <c r="C181" s="64">
        <v>30.1</v>
      </c>
      <c r="D181" s="64">
        <v>16.8</v>
      </c>
      <c r="E181" s="64">
        <v>4.2</v>
      </c>
      <c r="F181" s="64">
        <v>9.1</v>
      </c>
      <c r="G181" s="64">
        <v>19.100000000000001</v>
      </c>
      <c r="H181" s="64">
        <v>5.4</v>
      </c>
      <c r="I181" s="64">
        <v>2.4</v>
      </c>
      <c r="J181" s="64">
        <v>2.9</v>
      </c>
      <c r="K181" s="64">
        <v>13.7</v>
      </c>
    </row>
    <row r="182" spans="1:11" ht="24" hidden="1" customHeight="1" x14ac:dyDescent="0.25">
      <c r="A182" s="66" t="s">
        <v>227</v>
      </c>
      <c r="B182" s="69" t="s">
        <v>131</v>
      </c>
      <c r="C182" s="69" t="s">
        <v>131</v>
      </c>
      <c r="D182" s="69" t="s">
        <v>131</v>
      </c>
      <c r="E182" s="69" t="s">
        <v>131</v>
      </c>
      <c r="F182" s="69" t="s">
        <v>131</v>
      </c>
      <c r="G182" s="69" t="s">
        <v>131</v>
      </c>
      <c r="H182" s="69" t="s">
        <v>131</v>
      </c>
      <c r="I182" s="69" t="s">
        <v>131</v>
      </c>
      <c r="J182" s="69" t="s">
        <v>131</v>
      </c>
      <c r="K182" s="69" t="s">
        <v>131</v>
      </c>
    </row>
    <row r="183" spans="1:11" hidden="1" x14ac:dyDescent="0.25">
      <c r="A183" s="65" t="s">
        <v>228</v>
      </c>
      <c r="B183" s="70">
        <v>17.8</v>
      </c>
      <c r="C183" s="70">
        <v>6.3</v>
      </c>
      <c r="D183" s="70">
        <v>2.7</v>
      </c>
      <c r="E183" s="70">
        <v>1.1000000000000001</v>
      </c>
      <c r="F183" s="70">
        <v>2.5</v>
      </c>
      <c r="G183" s="70">
        <v>4.2</v>
      </c>
      <c r="H183" s="70">
        <v>1.7</v>
      </c>
      <c r="I183" s="70">
        <v>1</v>
      </c>
      <c r="J183" s="70">
        <v>0.8</v>
      </c>
      <c r="K183" s="70">
        <v>2.5</v>
      </c>
    </row>
    <row r="184" spans="1:11" hidden="1" x14ac:dyDescent="0.25">
      <c r="A184" s="65" t="s">
        <v>229</v>
      </c>
      <c r="B184" s="70">
        <v>20.3</v>
      </c>
      <c r="C184" s="70">
        <v>8.1</v>
      </c>
      <c r="D184" s="70">
        <v>3.9</v>
      </c>
      <c r="E184" s="70">
        <v>2</v>
      </c>
      <c r="F184" s="70">
        <v>2.2000000000000002</v>
      </c>
      <c r="G184" s="70">
        <v>3.1</v>
      </c>
      <c r="H184" s="70">
        <v>1.4</v>
      </c>
      <c r="I184" s="70">
        <v>0.8</v>
      </c>
      <c r="J184" s="70">
        <v>0.6</v>
      </c>
      <c r="K184" s="70">
        <v>1.7</v>
      </c>
    </row>
    <row r="185" spans="1:11" hidden="1" x14ac:dyDescent="0.25">
      <c r="A185" s="65" t="s">
        <v>225</v>
      </c>
      <c r="B185" s="70">
        <v>80.099999999999994</v>
      </c>
      <c r="C185" s="70">
        <v>30.1</v>
      </c>
      <c r="D185" s="70">
        <v>16.8</v>
      </c>
      <c r="E185" s="70">
        <v>4.2</v>
      </c>
      <c r="F185" s="70">
        <v>9.1</v>
      </c>
      <c r="G185" s="70">
        <v>19.100000000000001</v>
      </c>
      <c r="H185" s="70">
        <v>5.4</v>
      </c>
      <c r="I185" s="70">
        <v>2.4</v>
      </c>
      <c r="J185" s="70">
        <v>2.9</v>
      </c>
      <c r="K185" s="70">
        <v>13.7</v>
      </c>
    </row>
    <row r="186" spans="1:11" ht="24" hidden="1" customHeight="1" x14ac:dyDescent="0.25">
      <c r="A186" s="66" t="s">
        <v>230</v>
      </c>
      <c r="B186" s="69" t="s">
        <v>131</v>
      </c>
      <c r="C186" s="69" t="s">
        <v>131</v>
      </c>
      <c r="D186" s="69" t="s">
        <v>131</v>
      </c>
      <c r="E186" s="69" t="s">
        <v>131</v>
      </c>
      <c r="F186" s="69" t="s">
        <v>131</v>
      </c>
      <c r="G186" s="69" t="s">
        <v>131</v>
      </c>
      <c r="H186" s="69" t="s">
        <v>131</v>
      </c>
      <c r="I186" s="69" t="s">
        <v>131</v>
      </c>
      <c r="J186" s="69" t="s">
        <v>131</v>
      </c>
      <c r="K186" s="69" t="s">
        <v>131</v>
      </c>
    </row>
    <row r="187" spans="1:11" hidden="1" x14ac:dyDescent="0.25">
      <c r="A187" s="65" t="s">
        <v>202</v>
      </c>
      <c r="B187" s="70">
        <v>3.7</v>
      </c>
      <c r="C187" s="70">
        <v>1.4</v>
      </c>
      <c r="D187" s="70">
        <v>0.6</v>
      </c>
      <c r="E187" s="70">
        <v>0.3</v>
      </c>
      <c r="F187" s="70">
        <v>0.5</v>
      </c>
      <c r="G187" s="70">
        <v>0.8</v>
      </c>
      <c r="H187" s="70">
        <v>0.4</v>
      </c>
      <c r="I187" s="70" t="s">
        <v>134</v>
      </c>
      <c r="J187" s="70">
        <v>0.2</v>
      </c>
      <c r="K187" s="70">
        <v>0.4</v>
      </c>
    </row>
    <row r="188" spans="1:11" hidden="1" x14ac:dyDescent="0.25">
      <c r="A188" s="65" t="s">
        <v>203</v>
      </c>
      <c r="B188" s="70">
        <v>6.1</v>
      </c>
      <c r="C188" s="70">
        <v>2.8</v>
      </c>
      <c r="D188" s="70">
        <v>1.1000000000000001</v>
      </c>
      <c r="E188" s="70">
        <v>0.6</v>
      </c>
      <c r="F188" s="70">
        <v>1</v>
      </c>
      <c r="G188" s="70">
        <v>1.2</v>
      </c>
      <c r="H188" s="70">
        <v>0.5</v>
      </c>
      <c r="I188" s="70">
        <v>0.3</v>
      </c>
      <c r="J188" s="70" t="s">
        <v>134</v>
      </c>
      <c r="K188" s="70">
        <v>0.7</v>
      </c>
    </row>
    <row r="189" spans="1:11" hidden="1" x14ac:dyDescent="0.25">
      <c r="A189" s="65" t="s">
        <v>204</v>
      </c>
      <c r="B189" s="70">
        <v>11.1</v>
      </c>
      <c r="C189" s="70">
        <v>3.9</v>
      </c>
      <c r="D189" s="70">
        <v>1.9</v>
      </c>
      <c r="E189" s="70">
        <v>0.7</v>
      </c>
      <c r="F189" s="70">
        <v>1.2</v>
      </c>
      <c r="G189" s="70">
        <v>2.4</v>
      </c>
      <c r="H189" s="70">
        <v>1</v>
      </c>
      <c r="I189" s="70">
        <v>0.5</v>
      </c>
      <c r="J189" s="70">
        <v>0.5</v>
      </c>
      <c r="K189" s="70">
        <v>1.4</v>
      </c>
    </row>
    <row r="190" spans="1:11" hidden="1" x14ac:dyDescent="0.25">
      <c r="A190" s="65" t="s">
        <v>205</v>
      </c>
      <c r="B190" s="70">
        <v>8.1999999999999993</v>
      </c>
      <c r="C190" s="70">
        <v>3.3</v>
      </c>
      <c r="D190" s="70">
        <v>1.6</v>
      </c>
      <c r="E190" s="70">
        <v>0.8</v>
      </c>
      <c r="F190" s="70">
        <v>0.9</v>
      </c>
      <c r="G190" s="70">
        <v>1.5</v>
      </c>
      <c r="H190" s="70">
        <v>0.6</v>
      </c>
      <c r="I190" s="70">
        <v>0.3</v>
      </c>
      <c r="J190" s="70">
        <v>0.3</v>
      </c>
      <c r="K190" s="70">
        <v>0.8</v>
      </c>
    </row>
    <row r="191" spans="1:11" hidden="1" x14ac:dyDescent="0.25">
      <c r="A191" s="65" t="s">
        <v>206</v>
      </c>
      <c r="B191" s="70">
        <v>4.0999999999999996</v>
      </c>
      <c r="C191" s="70">
        <v>1.5</v>
      </c>
      <c r="D191" s="70">
        <v>0.7</v>
      </c>
      <c r="E191" s="70">
        <v>0.3</v>
      </c>
      <c r="F191" s="70">
        <v>0.6</v>
      </c>
      <c r="G191" s="70">
        <v>0.7</v>
      </c>
      <c r="H191" s="70">
        <v>0.4</v>
      </c>
      <c r="I191" s="70">
        <v>0.2</v>
      </c>
      <c r="J191" s="70" t="s">
        <v>134</v>
      </c>
      <c r="K191" s="70">
        <v>0.3</v>
      </c>
    </row>
    <row r="192" spans="1:11" hidden="1" x14ac:dyDescent="0.25">
      <c r="A192" s="65" t="s">
        <v>207</v>
      </c>
      <c r="B192" s="70">
        <v>4.9000000000000004</v>
      </c>
      <c r="C192" s="70">
        <v>1.5</v>
      </c>
      <c r="D192" s="70">
        <v>0.7</v>
      </c>
      <c r="E192" s="70">
        <v>0.4</v>
      </c>
      <c r="F192" s="70">
        <v>0.4</v>
      </c>
      <c r="G192" s="70">
        <v>0.8</v>
      </c>
      <c r="H192" s="70">
        <v>0.4</v>
      </c>
      <c r="I192" s="70">
        <v>0.3</v>
      </c>
      <c r="J192" s="70" t="s">
        <v>134</v>
      </c>
      <c r="K192" s="70">
        <v>0.4</v>
      </c>
    </row>
    <row r="193" spans="1:11" hidden="1" x14ac:dyDescent="0.25">
      <c r="A193" s="65" t="s">
        <v>225</v>
      </c>
      <c r="B193" s="70">
        <v>80.099999999999994</v>
      </c>
      <c r="C193" s="70">
        <v>30.1</v>
      </c>
      <c r="D193" s="70">
        <v>16.8</v>
      </c>
      <c r="E193" s="70">
        <v>4.2</v>
      </c>
      <c r="F193" s="70">
        <v>9.1</v>
      </c>
      <c r="G193" s="70">
        <v>19.100000000000001</v>
      </c>
      <c r="H193" s="70">
        <v>5.4</v>
      </c>
      <c r="I193" s="70">
        <v>2.4</v>
      </c>
      <c r="J193" s="70">
        <v>2.9</v>
      </c>
      <c r="K193" s="70">
        <v>13.7</v>
      </c>
    </row>
    <row r="194" spans="1:11" ht="24" hidden="1" customHeight="1" x14ac:dyDescent="0.25">
      <c r="A194" s="68" t="s">
        <v>231</v>
      </c>
      <c r="B194" s="69" t="s">
        <v>131</v>
      </c>
      <c r="C194" s="69" t="s">
        <v>131</v>
      </c>
      <c r="D194" s="69" t="s">
        <v>131</v>
      </c>
      <c r="E194" s="69" t="s">
        <v>131</v>
      </c>
      <c r="F194" s="69" t="s">
        <v>131</v>
      </c>
      <c r="G194" s="69" t="s">
        <v>131</v>
      </c>
      <c r="H194" s="69" t="s">
        <v>131</v>
      </c>
      <c r="I194" s="69" t="s">
        <v>131</v>
      </c>
      <c r="J194" s="69" t="s">
        <v>131</v>
      </c>
      <c r="K194" s="69" t="s">
        <v>131</v>
      </c>
    </row>
    <row r="195" spans="1:11" hidden="1" x14ac:dyDescent="0.25">
      <c r="A195" s="63" t="s">
        <v>232</v>
      </c>
      <c r="B195" s="70">
        <v>80.099999999999994</v>
      </c>
      <c r="C195" s="70">
        <v>31.1</v>
      </c>
      <c r="D195" s="70">
        <v>16.8</v>
      </c>
      <c r="E195" s="70">
        <v>4.3</v>
      </c>
      <c r="F195" s="70">
        <v>10</v>
      </c>
      <c r="G195" s="70">
        <v>19.899999999999999</v>
      </c>
      <c r="H195" s="70">
        <v>6.7</v>
      </c>
      <c r="I195" s="70">
        <v>3.4</v>
      </c>
      <c r="J195" s="70">
        <v>3.4</v>
      </c>
      <c r="K195" s="70">
        <v>13.1</v>
      </c>
    </row>
    <row r="196" spans="1:11" hidden="1" x14ac:dyDescent="0.25">
      <c r="A196" s="65" t="s">
        <v>233</v>
      </c>
      <c r="B196" s="70">
        <v>15.9</v>
      </c>
      <c r="C196" s="70">
        <v>6.9</v>
      </c>
      <c r="D196" s="70">
        <v>3.6</v>
      </c>
      <c r="E196" s="70">
        <v>0.9</v>
      </c>
      <c r="F196" s="70">
        <v>2.4</v>
      </c>
      <c r="G196" s="70">
        <v>4.5999999999999996</v>
      </c>
      <c r="H196" s="70">
        <v>1.3</v>
      </c>
      <c r="I196" s="70">
        <v>0.5</v>
      </c>
      <c r="J196" s="70">
        <v>0.8</v>
      </c>
      <c r="K196" s="70">
        <v>3.3</v>
      </c>
    </row>
    <row r="197" spans="1:11" hidden="1" x14ac:dyDescent="0.25">
      <c r="A197" s="65" t="s">
        <v>234</v>
      </c>
      <c r="B197" s="70">
        <v>13.6</v>
      </c>
      <c r="C197" s="70">
        <v>5.0999999999999996</v>
      </c>
      <c r="D197" s="70">
        <v>2.9</v>
      </c>
      <c r="E197" s="70">
        <v>0.7</v>
      </c>
      <c r="F197" s="70">
        <v>1.5</v>
      </c>
      <c r="G197" s="70">
        <v>3.5</v>
      </c>
      <c r="H197" s="70">
        <v>1.5</v>
      </c>
      <c r="I197" s="70">
        <v>0.7</v>
      </c>
      <c r="J197" s="70">
        <v>0.8</v>
      </c>
      <c r="K197" s="70">
        <v>2</v>
      </c>
    </row>
    <row r="198" spans="1:11" hidden="1" x14ac:dyDescent="0.25">
      <c r="A198" s="65" t="s">
        <v>235</v>
      </c>
      <c r="B198" s="70">
        <v>25.8</v>
      </c>
      <c r="C198" s="70">
        <v>9.5</v>
      </c>
      <c r="D198" s="70">
        <v>5.4</v>
      </c>
      <c r="E198" s="70">
        <v>1.3</v>
      </c>
      <c r="F198" s="70">
        <v>2.8</v>
      </c>
      <c r="G198" s="70">
        <v>6.3</v>
      </c>
      <c r="H198" s="70">
        <v>2.2000000000000002</v>
      </c>
      <c r="I198" s="70">
        <v>1.2</v>
      </c>
      <c r="J198" s="70">
        <v>1</v>
      </c>
      <c r="K198" s="70">
        <v>4.0999999999999996</v>
      </c>
    </row>
    <row r="199" spans="1:11" hidden="1" x14ac:dyDescent="0.25">
      <c r="A199" s="65" t="s">
        <v>236</v>
      </c>
      <c r="B199" s="70">
        <v>15.4</v>
      </c>
      <c r="C199" s="70">
        <v>5.8</v>
      </c>
      <c r="D199" s="70">
        <v>3</v>
      </c>
      <c r="E199" s="70">
        <v>0.9</v>
      </c>
      <c r="F199" s="70">
        <v>1.9</v>
      </c>
      <c r="G199" s="70">
        <v>3.1</v>
      </c>
      <c r="H199" s="70">
        <v>1.1000000000000001</v>
      </c>
      <c r="I199" s="70">
        <v>0.5</v>
      </c>
      <c r="J199" s="70">
        <v>0.7</v>
      </c>
      <c r="K199" s="70">
        <v>2</v>
      </c>
    </row>
    <row r="200" spans="1:11" hidden="1" x14ac:dyDescent="0.25">
      <c r="A200" s="65" t="s">
        <v>237</v>
      </c>
      <c r="B200" s="70">
        <v>9.4</v>
      </c>
      <c r="C200" s="70">
        <v>3.7</v>
      </c>
      <c r="D200" s="70">
        <v>1.9</v>
      </c>
      <c r="E200" s="70">
        <v>0.5</v>
      </c>
      <c r="F200" s="70">
        <v>1.3</v>
      </c>
      <c r="G200" s="70">
        <v>2.4</v>
      </c>
      <c r="H200" s="70">
        <v>0.7</v>
      </c>
      <c r="I200" s="70">
        <v>0.5</v>
      </c>
      <c r="J200" s="70" t="s">
        <v>134</v>
      </c>
      <c r="K200" s="70">
        <v>1.7</v>
      </c>
    </row>
    <row r="201" spans="1:11" hidden="1" x14ac:dyDescent="0.25">
      <c r="A201" s="72" t="s">
        <v>238</v>
      </c>
      <c r="B201" s="70">
        <v>38.1</v>
      </c>
      <c r="C201" s="70">
        <v>13.4</v>
      </c>
      <c r="D201" s="70">
        <v>6.6</v>
      </c>
      <c r="E201" s="70">
        <v>2.9</v>
      </c>
      <c r="F201" s="70">
        <v>3.8</v>
      </c>
      <c r="G201" s="70">
        <v>6.5</v>
      </c>
      <c r="H201" s="70">
        <v>1.8</v>
      </c>
      <c r="I201" s="70">
        <v>0.9</v>
      </c>
      <c r="J201" s="70">
        <v>0.9</v>
      </c>
      <c r="K201" s="70">
        <v>4.7</v>
      </c>
    </row>
    <row r="202" spans="1:11" ht="24" hidden="1" customHeight="1" x14ac:dyDescent="0.25">
      <c r="A202" s="66" t="s">
        <v>239</v>
      </c>
      <c r="B202" s="69" t="s">
        <v>131</v>
      </c>
      <c r="C202" s="69" t="s">
        <v>131</v>
      </c>
      <c r="D202" s="69" t="s">
        <v>131</v>
      </c>
      <c r="E202" s="69" t="s">
        <v>131</v>
      </c>
      <c r="F202" s="69" t="s">
        <v>131</v>
      </c>
      <c r="G202" s="69" t="s">
        <v>131</v>
      </c>
      <c r="H202" s="69" t="s">
        <v>131</v>
      </c>
      <c r="I202" s="69" t="s">
        <v>131</v>
      </c>
      <c r="J202" s="69" t="s">
        <v>131</v>
      </c>
      <c r="K202" s="69" t="s">
        <v>131</v>
      </c>
    </row>
    <row r="203" spans="1:11" hidden="1" x14ac:dyDescent="0.25">
      <c r="A203" s="65" t="s">
        <v>202</v>
      </c>
      <c r="B203" s="70">
        <v>11.3</v>
      </c>
      <c r="C203" s="70">
        <v>4.4000000000000004</v>
      </c>
      <c r="D203" s="70">
        <v>2.5</v>
      </c>
      <c r="E203" s="70">
        <v>0.5</v>
      </c>
      <c r="F203" s="70">
        <v>1.4</v>
      </c>
      <c r="G203" s="70">
        <v>3</v>
      </c>
      <c r="H203" s="70">
        <v>1.2</v>
      </c>
      <c r="I203" s="70">
        <v>0.6</v>
      </c>
      <c r="J203" s="70">
        <v>0.6</v>
      </c>
      <c r="K203" s="70">
        <v>1.8</v>
      </c>
    </row>
    <row r="204" spans="1:11" hidden="1" x14ac:dyDescent="0.25">
      <c r="A204" s="65" t="s">
        <v>203</v>
      </c>
      <c r="B204" s="70">
        <v>16.3</v>
      </c>
      <c r="C204" s="70">
        <v>6.9</v>
      </c>
      <c r="D204" s="70">
        <v>3.5</v>
      </c>
      <c r="E204" s="70">
        <v>1.1000000000000001</v>
      </c>
      <c r="F204" s="70">
        <v>2.2999999999999998</v>
      </c>
      <c r="G204" s="70">
        <v>3.9</v>
      </c>
      <c r="H204" s="70">
        <v>1.3</v>
      </c>
      <c r="I204" s="70">
        <v>0.5</v>
      </c>
      <c r="J204" s="70">
        <v>0.8</v>
      </c>
      <c r="K204" s="70">
        <v>2.6</v>
      </c>
    </row>
    <row r="205" spans="1:11" hidden="1" x14ac:dyDescent="0.25">
      <c r="A205" s="65" t="s">
        <v>204</v>
      </c>
      <c r="B205" s="70">
        <v>27</v>
      </c>
      <c r="C205" s="70">
        <v>10</v>
      </c>
      <c r="D205" s="70">
        <v>5.6</v>
      </c>
      <c r="E205" s="70">
        <v>1.3</v>
      </c>
      <c r="F205" s="70">
        <v>3.1</v>
      </c>
      <c r="G205" s="70">
        <v>7.1</v>
      </c>
      <c r="H205" s="70">
        <v>2.4</v>
      </c>
      <c r="I205" s="70">
        <v>1.2</v>
      </c>
      <c r="J205" s="70">
        <v>1.2</v>
      </c>
      <c r="K205" s="70">
        <v>4.7</v>
      </c>
    </row>
    <row r="206" spans="1:11" hidden="1" x14ac:dyDescent="0.25">
      <c r="A206" s="65" t="s">
        <v>205</v>
      </c>
      <c r="B206" s="70">
        <v>16.600000000000001</v>
      </c>
      <c r="C206" s="70">
        <v>6.3</v>
      </c>
      <c r="D206" s="70">
        <v>3.5</v>
      </c>
      <c r="E206" s="70">
        <v>0.9</v>
      </c>
      <c r="F206" s="70">
        <v>1.9</v>
      </c>
      <c r="G206" s="70">
        <v>3.8</v>
      </c>
      <c r="H206" s="70">
        <v>1.1000000000000001</v>
      </c>
      <c r="I206" s="70">
        <v>0.7</v>
      </c>
      <c r="J206" s="70">
        <v>0.5</v>
      </c>
      <c r="K206" s="70">
        <v>2.7</v>
      </c>
    </row>
    <row r="207" spans="1:11" hidden="1" x14ac:dyDescent="0.25">
      <c r="A207" s="65" t="s">
        <v>206</v>
      </c>
      <c r="B207" s="70">
        <v>5.0999999999999996</v>
      </c>
      <c r="C207" s="70">
        <v>1.9</v>
      </c>
      <c r="D207" s="70">
        <v>1.1000000000000001</v>
      </c>
      <c r="E207" s="70">
        <v>0.2</v>
      </c>
      <c r="F207" s="70">
        <v>0.6</v>
      </c>
      <c r="G207" s="70">
        <v>1.2</v>
      </c>
      <c r="H207" s="70">
        <v>0.4</v>
      </c>
      <c r="I207" s="70" t="s">
        <v>134</v>
      </c>
      <c r="J207" s="70">
        <v>0.2</v>
      </c>
      <c r="K207" s="70">
        <v>0.8</v>
      </c>
    </row>
    <row r="208" spans="1:11" hidden="1" x14ac:dyDescent="0.25">
      <c r="A208" s="65" t="s">
        <v>207</v>
      </c>
      <c r="B208" s="70">
        <v>3.9</v>
      </c>
      <c r="C208" s="70">
        <v>1.5</v>
      </c>
      <c r="D208" s="70">
        <v>0.7</v>
      </c>
      <c r="E208" s="70">
        <v>0.2</v>
      </c>
      <c r="F208" s="70">
        <v>0.6</v>
      </c>
      <c r="G208" s="70">
        <v>0.9</v>
      </c>
      <c r="H208" s="70">
        <v>0.3</v>
      </c>
      <c r="I208" s="70" t="s">
        <v>134</v>
      </c>
      <c r="J208" s="70" t="s">
        <v>134</v>
      </c>
      <c r="K208" s="70">
        <v>0.7</v>
      </c>
    </row>
    <row r="209" spans="1:14" hidden="1" x14ac:dyDescent="0.25">
      <c r="A209" s="65" t="s">
        <v>238</v>
      </c>
      <c r="B209" s="70">
        <v>38.1</v>
      </c>
      <c r="C209" s="70">
        <v>13.4</v>
      </c>
      <c r="D209" s="70">
        <v>6.6</v>
      </c>
      <c r="E209" s="70">
        <v>2.9</v>
      </c>
      <c r="F209" s="70">
        <v>3.8</v>
      </c>
      <c r="G209" s="70">
        <v>6.5</v>
      </c>
      <c r="H209" s="70">
        <v>1.8</v>
      </c>
      <c r="I209" s="70">
        <v>0.9</v>
      </c>
      <c r="J209" s="70">
        <v>0.9</v>
      </c>
      <c r="K209" s="70">
        <v>4.7</v>
      </c>
    </row>
    <row r="210" spans="1:14" ht="24" hidden="1" customHeight="1" x14ac:dyDescent="0.25">
      <c r="A210" s="66" t="s">
        <v>240</v>
      </c>
      <c r="B210" s="69" t="s">
        <v>131</v>
      </c>
      <c r="C210" s="69" t="s">
        <v>131</v>
      </c>
      <c r="D210" s="69" t="s">
        <v>131</v>
      </c>
      <c r="E210" s="69" t="s">
        <v>131</v>
      </c>
      <c r="F210" s="69" t="s">
        <v>131</v>
      </c>
      <c r="G210" s="69" t="s">
        <v>131</v>
      </c>
      <c r="H210" s="69" t="s">
        <v>131</v>
      </c>
      <c r="I210" s="69" t="s">
        <v>131</v>
      </c>
      <c r="J210" s="69" t="s">
        <v>131</v>
      </c>
      <c r="K210" s="69" t="s">
        <v>131</v>
      </c>
    </row>
    <row r="211" spans="1:14" ht="26.25" hidden="1" x14ac:dyDescent="0.25">
      <c r="A211" s="65" t="s">
        <v>241</v>
      </c>
      <c r="B211" s="70">
        <v>14.6</v>
      </c>
      <c r="C211" s="70">
        <v>5.5</v>
      </c>
      <c r="D211" s="70">
        <v>3</v>
      </c>
      <c r="E211" s="70">
        <v>0.7</v>
      </c>
      <c r="F211" s="70">
        <v>1.9</v>
      </c>
      <c r="G211" s="70">
        <v>3.6</v>
      </c>
      <c r="H211" s="70">
        <v>1.2</v>
      </c>
      <c r="I211" s="70">
        <v>0.6</v>
      </c>
      <c r="J211" s="70">
        <v>0.6</v>
      </c>
      <c r="K211" s="70">
        <v>2.4</v>
      </c>
    </row>
    <row r="212" spans="1:14" ht="26.25" hidden="1" x14ac:dyDescent="0.25">
      <c r="A212" s="65" t="s">
        <v>242</v>
      </c>
      <c r="B212" s="70">
        <v>37.299999999999997</v>
      </c>
      <c r="C212" s="70">
        <v>14.3</v>
      </c>
      <c r="D212" s="70">
        <v>8.1999999999999993</v>
      </c>
      <c r="E212" s="70">
        <v>1.9</v>
      </c>
      <c r="F212" s="70">
        <v>4.2</v>
      </c>
      <c r="G212" s="70">
        <v>8.6</v>
      </c>
      <c r="H212" s="70">
        <v>3.1</v>
      </c>
      <c r="I212" s="70">
        <v>1.9</v>
      </c>
      <c r="J212" s="70">
        <v>1.3</v>
      </c>
      <c r="K212" s="70">
        <v>5.5</v>
      </c>
    </row>
    <row r="213" spans="1:14" hidden="1" x14ac:dyDescent="0.25">
      <c r="A213" s="65" t="s">
        <v>243</v>
      </c>
      <c r="B213" s="70">
        <v>5.0999999999999996</v>
      </c>
      <c r="C213" s="70">
        <v>2.2000000000000002</v>
      </c>
      <c r="D213" s="70">
        <v>0.8</v>
      </c>
      <c r="E213" s="70">
        <v>0.5</v>
      </c>
      <c r="F213" s="70">
        <v>0.9</v>
      </c>
      <c r="G213" s="70">
        <v>0.9</v>
      </c>
      <c r="H213" s="70">
        <v>0.3</v>
      </c>
      <c r="I213" s="70">
        <v>0.1</v>
      </c>
      <c r="J213" s="70" t="s">
        <v>134</v>
      </c>
      <c r="K213" s="70">
        <v>0.6</v>
      </c>
    </row>
    <row r="214" spans="1:14" hidden="1" x14ac:dyDescent="0.25">
      <c r="A214" s="65" t="s">
        <v>244</v>
      </c>
      <c r="B214" s="70">
        <v>1.8</v>
      </c>
      <c r="C214" s="70">
        <v>0.6</v>
      </c>
      <c r="D214" s="70">
        <v>0.3</v>
      </c>
      <c r="E214" s="70" t="s">
        <v>134</v>
      </c>
      <c r="F214" s="70" t="s">
        <v>134</v>
      </c>
      <c r="G214" s="70">
        <v>0.6</v>
      </c>
      <c r="H214" s="70">
        <v>0.2</v>
      </c>
      <c r="I214" s="70" t="s">
        <v>134</v>
      </c>
      <c r="J214" s="70" t="s">
        <v>134</v>
      </c>
      <c r="K214" s="70">
        <v>0.4</v>
      </c>
    </row>
    <row r="215" spans="1:14" hidden="1" x14ac:dyDescent="0.25">
      <c r="A215" s="65" t="s">
        <v>245</v>
      </c>
      <c r="B215" s="70">
        <v>5.4</v>
      </c>
      <c r="C215" s="70">
        <v>1.6</v>
      </c>
      <c r="D215" s="70">
        <v>1</v>
      </c>
      <c r="E215" s="70">
        <v>0.2</v>
      </c>
      <c r="F215" s="70">
        <v>0.4</v>
      </c>
      <c r="G215" s="70">
        <v>1.5</v>
      </c>
      <c r="H215" s="70">
        <v>0.6</v>
      </c>
      <c r="I215" s="70" t="s">
        <v>134</v>
      </c>
      <c r="J215" s="70">
        <v>0.4</v>
      </c>
      <c r="K215" s="70">
        <v>0.9</v>
      </c>
    </row>
    <row r="216" spans="1:14" hidden="1" x14ac:dyDescent="0.25">
      <c r="A216" s="65" t="s">
        <v>246</v>
      </c>
      <c r="B216" s="70">
        <v>54</v>
      </c>
      <c r="C216" s="70">
        <v>20.3</v>
      </c>
      <c r="D216" s="70">
        <v>10.3</v>
      </c>
      <c r="E216" s="70">
        <v>3.8</v>
      </c>
      <c r="F216" s="70">
        <v>6.2</v>
      </c>
      <c r="G216" s="70">
        <v>11.1</v>
      </c>
      <c r="H216" s="70">
        <v>3.1</v>
      </c>
      <c r="I216" s="70">
        <v>1.4</v>
      </c>
      <c r="J216" s="70">
        <v>1.7</v>
      </c>
      <c r="K216" s="70">
        <v>8</v>
      </c>
    </row>
    <row r="217" spans="1:14" ht="24" customHeight="1" x14ac:dyDescent="0.25">
      <c r="A217" s="68" t="s">
        <v>247</v>
      </c>
      <c r="B217" s="69" t="s">
        <v>131</v>
      </c>
      <c r="C217" s="69" t="s">
        <v>131</v>
      </c>
      <c r="D217" s="69" t="s">
        <v>131</v>
      </c>
      <c r="E217" s="69" t="s">
        <v>131</v>
      </c>
      <c r="F217" s="69" t="s">
        <v>131</v>
      </c>
      <c r="G217" s="69" t="s">
        <v>131</v>
      </c>
      <c r="H217" s="69" t="s">
        <v>131</v>
      </c>
      <c r="I217" s="69" t="s">
        <v>131</v>
      </c>
      <c r="J217" s="69" t="s">
        <v>131</v>
      </c>
      <c r="K217" s="69" t="s">
        <v>131</v>
      </c>
    </row>
    <row r="218" spans="1:14" x14ac:dyDescent="0.25">
      <c r="A218" s="63" t="s">
        <v>248</v>
      </c>
      <c r="B218" s="70">
        <v>97.6</v>
      </c>
      <c r="C218" s="70">
        <v>39.299999999999997</v>
      </c>
      <c r="D218" s="70">
        <v>21</v>
      </c>
      <c r="E218" s="70">
        <v>6.1</v>
      </c>
      <c r="F218" s="70">
        <v>12.2</v>
      </c>
      <c r="G218" s="70">
        <v>21.4</v>
      </c>
      <c r="H218" s="70">
        <v>7.6</v>
      </c>
      <c r="I218" s="70">
        <v>3.9</v>
      </c>
      <c r="J218" s="70">
        <v>3.8</v>
      </c>
      <c r="K218" s="70">
        <v>13.7</v>
      </c>
    </row>
    <row r="219" spans="1:14" x14ac:dyDescent="0.25">
      <c r="A219" s="65" t="s">
        <v>249</v>
      </c>
      <c r="B219" s="70">
        <v>73.8</v>
      </c>
      <c r="C219" s="70">
        <v>31.2</v>
      </c>
      <c r="D219" s="70">
        <v>16.399999999999999</v>
      </c>
      <c r="E219" s="70">
        <v>5.0999999999999996</v>
      </c>
      <c r="F219" s="70">
        <v>9.6999999999999993</v>
      </c>
      <c r="G219" s="70">
        <v>14.6</v>
      </c>
      <c r="H219" s="70">
        <v>5.2</v>
      </c>
      <c r="I219" s="70">
        <v>2.5</v>
      </c>
      <c r="J219" s="70">
        <v>2.7</v>
      </c>
      <c r="K219" s="70">
        <v>9.4</v>
      </c>
      <c r="M219">
        <f>B219/B218</f>
        <v>0.75614754098360659</v>
      </c>
      <c r="N219">
        <f>C219/C218</f>
        <v>0.79389312977099236</v>
      </c>
    </row>
    <row r="220" spans="1:14" x14ac:dyDescent="0.25">
      <c r="A220" s="65" t="s">
        <v>250</v>
      </c>
      <c r="B220" s="70">
        <v>23.9</v>
      </c>
      <c r="C220" s="70">
        <v>8.1</v>
      </c>
      <c r="D220" s="70">
        <v>4.5999999999999996</v>
      </c>
      <c r="E220" s="70">
        <v>0.9</v>
      </c>
      <c r="F220" s="70">
        <v>2.6</v>
      </c>
      <c r="G220" s="70">
        <v>6.8</v>
      </c>
      <c r="H220" s="70">
        <v>2.5</v>
      </c>
      <c r="I220" s="70">
        <v>1.4</v>
      </c>
      <c r="J220" s="70">
        <v>1.1000000000000001</v>
      </c>
      <c r="K220" s="70">
        <v>4.3</v>
      </c>
      <c r="M220">
        <f>B220/B218</f>
        <v>0.24487704918032788</v>
      </c>
      <c r="N220">
        <f>C220/C218</f>
        <v>0.20610687022900764</v>
      </c>
    </row>
    <row r="221" spans="1:14" ht="26.25" x14ac:dyDescent="0.25">
      <c r="A221" s="74" t="s">
        <v>251</v>
      </c>
      <c r="B221" s="70">
        <v>20.6</v>
      </c>
      <c r="C221" s="70">
        <v>5.2</v>
      </c>
      <c r="D221" s="70">
        <v>2.5</v>
      </c>
      <c r="E221" s="70">
        <v>1.1000000000000001</v>
      </c>
      <c r="F221" s="70">
        <v>1.5</v>
      </c>
      <c r="G221" s="70">
        <v>5</v>
      </c>
      <c r="H221" s="70">
        <v>0.9</v>
      </c>
      <c r="I221" s="70">
        <v>0.4</v>
      </c>
      <c r="J221" s="70">
        <v>0.5</v>
      </c>
      <c r="K221" s="70">
        <v>4.0999999999999996</v>
      </c>
    </row>
    <row r="222" spans="1:14" s="6" customFormat="1" ht="24" customHeight="1" x14ac:dyDescent="0.25">
      <c r="A222" s="66" t="s">
        <v>252</v>
      </c>
      <c r="B222" s="69">
        <f>SUM(B223:B228)</f>
        <v>97.7</v>
      </c>
      <c r="C222" s="69" t="s">
        <v>131</v>
      </c>
      <c r="D222" s="69" t="s">
        <v>131</v>
      </c>
      <c r="E222" s="69" t="s">
        <v>131</v>
      </c>
      <c r="F222" s="69" t="s">
        <v>131</v>
      </c>
      <c r="G222" s="69" t="s">
        <v>131</v>
      </c>
      <c r="H222" s="69" t="s">
        <v>131</v>
      </c>
      <c r="I222" s="69" t="s">
        <v>131</v>
      </c>
      <c r="J222" s="69" t="s">
        <v>131</v>
      </c>
      <c r="K222" s="69" t="s">
        <v>131</v>
      </c>
    </row>
    <row r="223" spans="1:14" x14ac:dyDescent="0.25">
      <c r="A223" s="65" t="s">
        <v>202</v>
      </c>
      <c r="B223" s="64">
        <v>15.1</v>
      </c>
      <c r="C223" s="64">
        <v>6.5</v>
      </c>
      <c r="D223" s="64">
        <v>3.4</v>
      </c>
      <c r="E223" s="64">
        <v>0.9</v>
      </c>
      <c r="F223" s="64">
        <v>2.2000000000000002</v>
      </c>
      <c r="G223" s="64">
        <v>2.9</v>
      </c>
      <c r="H223" s="64">
        <v>1.2</v>
      </c>
      <c r="I223" s="64">
        <v>0.8</v>
      </c>
      <c r="J223" s="64">
        <v>0.4</v>
      </c>
      <c r="K223" s="64">
        <v>1.8</v>
      </c>
      <c r="L223" s="13">
        <f>B223/$B$222</f>
        <v>0.15455475946775843</v>
      </c>
    </row>
    <row r="224" spans="1:14" x14ac:dyDescent="0.25">
      <c r="A224" s="65" t="s">
        <v>203</v>
      </c>
      <c r="B224" s="64">
        <v>22.1</v>
      </c>
      <c r="C224" s="64">
        <v>9.5</v>
      </c>
      <c r="D224" s="64">
        <v>4.5</v>
      </c>
      <c r="E224" s="64">
        <v>1.9</v>
      </c>
      <c r="F224" s="64">
        <v>3.1</v>
      </c>
      <c r="G224" s="64">
        <v>4.9000000000000004</v>
      </c>
      <c r="H224" s="64">
        <v>1.9</v>
      </c>
      <c r="I224" s="64">
        <v>0.9</v>
      </c>
      <c r="J224" s="64">
        <v>1</v>
      </c>
      <c r="K224" s="64">
        <v>3</v>
      </c>
      <c r="L224" s="13">
        <f t="shared" ref="L224:L228" si="0">B224/$B$222</f>
        <v>0.22620266120777893</v>
      </c>
    </row>
    <row r="225" spans="1:13" x14ac:dyDescent="0.25">
      <c r="A225" s="65" t="s">
        <v>204</v>
      </c>
      <c r="B225" s="64">
        <v>34.799999999999997</v>
      </c>
      <c r="C225" s="64">
        <v>14.2</v>
      </c>
      <c r="D225" s="64">
        <v>8</v>
      </c>
      <c r="E225" s="64">
        <v>1.9</v>
      </c>
      <c r="F225" s="64">
        <v>4.4000000000000004</v>
      </c>
      <c r="G225" s="64">
        <v>7.9</v>
      </c>
      <c r="H225" s="64">
        <v>2.8</v>
      </c>
      <c r="I225" s="64">
        <v>1.3</v>
      </c>
      <c r="J225" s="64">
        <v>1.5</v>
      </c>
      <c r="K225" s="64">
        <v>5.0999999999999996</v>
      </c>
      <c r="L225" s="13">
        <f t="shared" si="0"/>
        <v>0.35619242579324456</v>
      </c>
    </row>
    <row r="226" spans="1:13" x14ac:dyDescent="0.25">
      <c r="A226" s="65" t="s">
        <v>205</v>
      </c>
      <c r="B226" s="64">
        <v>17.2</v>
      </c>
      <c r="C226" s="64">
        <v>6</v>
      </c>
      <c r="D226" s="64">
        <v>3.4</v>
      </c>
      <c r="E226" s="64">
        <v>0.9</v>
      </c>
      <c r="F226" s="64">
        <v>1.6</v>
      </c>
      <c r="G226" s="64">
        <v>3.8</v>
      </c>
      <c r="H226" s="64">
        <v>1.1000000000000001</v>
      </c>
      <c r="I226" s="64">
        <v>0.6</v>
      </c>
      <c r="J226" s="64">
        <v>0.6</v>
      </c>
      <c r="K226" s="64">
        <v>2.6</v>
      </c>
      <c r="L226" s="13">
        <f t="shared" si="0"/>
        <v>0.17604912998976457</v>
      </c>
    </row>
    <row r="227" spans="1:13" x14ac:dyDescent="0.25">
      <c r="A227" s="65" t="s">
        <v>206</v>
      </c>
      <c r="B227" s="64">
        <v>5.5</v>
      </c>
      <c r="C227" s="64">
        <v>1.9</v>
      </c>
      <c r="D227" s="64">
        <v>1.1000000000000001</v>
      </c>
      <c r="E227" s="64">
        <v>0.2</v>
      </c>
      <c r="F227" s="64">
        <v>0.6</v>
      </c>
      <c r="G227" s="64">
        <v>1.1000000000000001</v>
      </c>
      <c r="H227" s="64">
        <v>0.4</v>
      </c>
      <c r="I227" s="64">
        <v>0.2</v>
      </c>
      <c r="J227" s="64">
        <v>0.2</v>
      </c>
      <c r="K227" s="64">
        <v>0.7</v>
      </c>
      <c r="L227" s="13">
        <f t="shared" si="0"/>
        <v>5.6294779938587509E-2</v>
      </c>
    </row>
    <row r="228" spans="1:13" x14ac:dyDescent="0.25">
      <c r="A228" s="65" t="s">
        <v>207</v>
      </c>
      <c r="B228" s="64">
        <v>3</v>
      </c>
      <c r="C228" s="64">
        <v>1.1000000000000001</v>
      </c>
      <c r="D228" s="64">
        <v>0.5</v>
      </c>
      <c r="E228" s="64">
        <v>0.3</v>
      </c>
      <c r="F228" s="64">
        <v>0.3</v>
      </c>
      <c r="G228" s="64">
        <v>0.6</v>
      </c>
      <c r="H228" s="64">
        <v>0.2</v>
      </c>
      <c r="I228" s="64" t="s">
        <v>134</v>
      </c>
      <c r="J228" s="64" t="s">
        <v>134</v>
      </c>
      <c r="K228" s="64">
        <v>0.5</v>
      </c>
      <c r="L228" s="13">
        <f t="shared" si="0"/>
        <v>3.0706243602865915E-2</v>
      </c>
    </row>
    <row r="229" spans="1:13" ht="26.25" x14ac:dyDescent="0.25">
      <c r="A229" s="65" t="s">
        <v>251</v>
      </c>
      <c r="B229" s="64">
        <v>20.6</v>
      </c>
      <c r="C229" s="64">
        <v>5.2</v>
      </c>
      <c r="D229" s="64">
        <v>2.5</v>
      </c>
      <c r="E229" s="64">
        <v>1.1000000000000001</v>
      </c>
      <c r="F229" s="64">
        <v>1.5</v>
      </c>
      <c r="G229" s="64">
        <v>5</v>
      </c>
      <c r="H229" s="64">
        <v>0.9</v>
      </c>
      <c r="I229" s="64">
        <v>0.4</v>
      </c>
      <c r="J229" s="64">
        <v>0.5</v>
      </c>
      <c r="K229" s="64">
        <v>4.0999999999999996</v>
      </c>
    </row>
    <row r="230" spans="1:13" s="6" customFormat="1" ht="24" customHeight="1" x14ac:dyDescent="0.25">
      <c r="A230" s="66" t="s">
        <v>253</v>
      </c>
      <c r="B230" s="69" t="s">
        <v>131</v>
      </c>
      <c r="C230" s="69" t="s">
        <v>131</v>
      </c>
      <c r="D230" s="69" t="s">
        <v>131</v>
      </c>
      <c r="E230" s="69" t="s">
        <v>131</v>
      </c>
      <c r="F230" s="69" t="s">
        <v>131</v>
      </c>
      <c r="G230" s="69" t="s">
        <v>131</v>
      </c>
      <c r="H230" s="69" t="s">
        <v>131</v>
      </c>
      <c r="I230" s="69" t="s">
        <v>131</v>
      </c>
      <c r="J230" s="69" t="s">
        <v>131</v>
      </c>
      <c r="K230" s="69" t="s">
        <v>131</v>
      </c>
    </row>
    <row r="231" spans="1:13" x14ac:dyDescent="0.25">
      <c r="A231" s="65" t="s">
        <v>254</v>
      </c>
      <c r="B231" s="64">
        <v>1.2</v>
      </c>
      <c r="C231" s="64">
        <v>0.5</v>
      </c>
      <c r="D231" s="64">
        <v>0.2</v>
      </c>
      <c r="E231" s="64" t="s">
        <v>134</v>
      </c>
      <c r="F231" s="64" t="s">
        <v>134</v>
      </c>
      <c r="G231" s="64">
        <v>0.3</v>
      </c>
      <c r="H231" s="64" t="s">
        <v>134</v>
      </c>
      <c r="I231" s="64" t="s">
        <v>134</v>
      </c>
      <c r="J231" s="64" t="s">
        <v>134</v>
      </c>
      <c r="K231" s="64" t="s">
        <v>134</v>
      </c>
    </row>
    <row r="232" spans="1:13" x14ac:dyDescent="0.25">
      <c r="A232" s="65" t="s">
        <v>255</v>
      </c>
      <c r="B232" s="64">
        <v>59.8</v>
      </c>
      <c r="C232" s="64">
        <v>24.3</v>
      </c>
      <c r="D232" s="64">
        <v>13.5</v>
      </c>
      <c r="E232" s="64">
        <v>3.4</v>
      </c>
      <c r="F232" s="64">
        <v>7.3</v>
      </c>
      <c r="G232" s="64">
        <v>13.7</v>
      </c>
      <c r="H232" s="64">
        <v>5</v>
      </c>
      <c r="I232" s="64">
        <v>2.2999999999999998</v>
      </c>
      <c r="J232" s="64">
        <v>2.7</v>
      </c>
      <c r="K232" s="79">
        <v>8.6999999999999993</v>
      </c>
    </row>
    <row r="233" spans="1:13" x14ac:dyDescent="0.25">
      <c r="A233" s="65" t="s">
        <v>256</v>
      </c>
      <c r="B233" s="64">
        <v>27.3</v>
      </c>
      <c r="C233" s="64">
        <v>10.8</v>
      </c>
      <c r="D233" s="64">
        <v>5.5</v>
      </c>
      <c r="E233" s="64">
        <v>1.8</v>
      </c>
      <c r="F233" s="64">
        <v>3.5</v>
      </c>
      <c r="G233" s="64">
        <v>5.5</v>
      </c>
      <c r="H233" s="64">
        <v>1.7</v>
      </c>
      <c r="I233" s="64">
        <v>1.1000000000000001</v>
      </c>
      <c r="J233" s="64">
        <v>0.6</v>
      </c>
      <c r="K233" s="79">
        <v>3.8</v>
      </c>
    </row>
    <row r="234" spans="1:13" x14ac:dyDescent="0.25">
      <c r="A234" s="65" t="s">
        <v>257</v>
      </c>
      <c r="B234" s="64">
        <v>8</v>
      </c>
      <c r="C234" s="64">
        <v>3.1</v>
      </c>
      <c r="D234" s="64">
        <v>1.4</v>
      </c>
      <c r="E234" s="64">
        <v>0.6</v>
      </c>
      <c r="F234" s="64">
        <v>1.1000000000000001</v>
      </c>
      <c r="G234" s="64">
        <v>1.7</v>
      </c>
      <c r="H234" s="64">
        <v>0.6</v>
      </c>
      <c r="I234" s="64">
        <v>0.4</v>
      </c>
      <c r="J234" s="64">
        <v>0.2</v>
      </c>
      <c r="K234" s="79">
        <v>1</v>
      </c>
    </row>
    <row r="235" spans="1:13" x14ac:dyDescent="0.25">
      <c r="A235" s="65" t="s">
        <v>258</v>
      </c>
      <c r="B235" s="64">
        <v>1.3</v>
      </c>
      <c r="C235" s="64">
        <v>0.6</v>
      </c>
      <c r="D235" s="64">
        <v>0.3</v>
      </c>
      <c r="E235" s="64" t="s">
        <v>134</v>
      </c>
      <c r="F235" s="64" t="s">
        <v>134</v>
      </c>
      <c r="G235" s="64">
        <v>0.2</v>
      </c>
      <c r="H235" s="64" t="s">
        <v>134</v>
      </c>
      <c r="I235" s="64" t="s">
        <v>134</v>
      </c>
      <c r="J235" s="64" t="s">
        <v>134</v>
      </c>
      <c r="K235" s="64" t="s">
        <v>134</v>
      </c>
    </row>
    <row r="236" spans="1:13" ht="26.25" x14ac:dyDescent="0.25">
      <c r="A236" s="65" t="s">
        <v>251</v>
      </c>
      <c r="B236" s="64">
        <v>20.6</v>
      </c>
      <c r="C236" s="64">
        <v>5.2</v>
      </c>
      <c r="D236" s="64">
        <v>2.5</v>
      </c>
      <c r="E236" s="64">
        <v>1.1000000000000001</v>
      </c>
      <c r="F236" s="64">
        <v>1.5</v>
      </c>
      <c r="G236" s="64">
        <v>5</v>
      </c>
      <c r="H236" s="64">
        <v>0.9</v>
      </c>
      <c r="I236" s="64">
        <v>0.4</v>
      </c>
      <c r="J236" s="64">
        <v>0.5</v>
      </c>
      <c r="K236" s="64">
        <v>4.0999999999999996</v>
      </c>
    </row>
    <row r="237" spans="1:13" ht="33.950000000000003" customHeight="1" x14ac:dyDescent="0.25">
      <c r="A237" s="66" t="s">
        <v>259</v>
      </c>
      <c r="B237" s="69">
        <f>SUM(B238:B240)</f>
        <v>96.4</v>
      </c>
      <c r="C237" s="69" t="s">
        <v>131</v>
      </c>
      <c r="D237" s="69" t="s">
        <v>131</v>
      </c>
      <c r="E237" s="69" t="s">
        <v>131</v>
      </c>
      <c r="F237" s="69" t="s">
        <v>131</v>
      </c>
      <c r="G237" s="69" t="s">
        <v>131</v>
      </c>
      <c r="H237" s="69" t="s">
        <v>131</v>
      </c>
      <c r="I237" s="69" t="s">
        <v>131</v>
      </c>
      <c r="J237" s="69" t="s">
        <v>131</v>
      </c>
      <c r="K237" s="69">
        <f>SUM(K238:K240)</f>
        <v>13.6</v>
      </c>
      <c r="L237" t="s">
        <v>128</v>
      </c>
      <c r="M237" t="s">
        <v>311</v>
      </c>
    </row>
    <row r="238" spans="1:13" x14ac:dyDescent="0.25">
      <c r="A238" s="65" t="s">
        <v>260</v>
      </c>
      <c r="B238" s="70">
        <v>6.5</v>
      </c>
      <c r="C238" s="70">
        <v>2.9</v>
      </c>
      <c r="D238" s="70">
        <v>1.4</v>
      </c>
      <c r="E238" s="70">
        <v>0.6</v>
      </c>
      <c r="F238" s="70">
        <v>0.9</v>
      </c>
      <c r="G238" s="70">
        <v>1.4</v>
      </c>
      <c r="H238" s="70">
        <v>0.6</v>
      </c>
      <c r="I238" s="70">
        <v>0.3</v>
      </c>
      <c r="J238" s="70">
        <v>0.3</v>
      </c>
      <c r="K238" s="70">
        <v>0.8</v>
      </c>
      <c r="L238">
        <f>K238/$K$237</f>
        <v>5.8823529411764712E-2</v>
      </c>
      <c r="M238">
        <f>B238/$B$237</f>
        <v>6.7427385892116179E-2</v>
      </c>
    </row>
    <row r="239" spans="1:13" x14ac:dyDescent="0.25">
      <c r="A239" s="65" t="s">
        <v>261</v>
      </c>
      <c r="B239" s="70">
        <v>47.8</v>
      </c>
      <c r="C239" s="70">
        <v>17.5</v>
      </c>
      <c r="D239" s="70">
        <v>9</v>
      </c>
      <c r="E239" s="70">
        <v>2.6</v>
      </c>
      <c r="F239" s="70">
        <v>5.9</v>
      </c>
      <c r="G239" s="70">
        <v>11.1</v>
      </c>
      <c r="H239" s="70">
        <v>3.8</v>
      </c>
      <c r="I239" s="70">
        <v>2.1</v>
      </c>
      <c r="J239" s="70">
        <v>1.7</v>
      </c>
      <c r="K239" s="70">
        <v>7.3</v>
      </c>
      <c r="L239">
        <f t="shared" ref="L239:L240" si="1">K239/$K$237</f>
        <v>0.53676470588235292</v>
      </c>
      <c r="M239">
        <f t="shared" ref="M239:M240" si="2">B239/$B$237</f>
        <v>0.49585062240663896</v>
      </c>
    </row>
    <row r="240" spans="1:13" x14ac:dyDescent="0.25">
      <c r="A240" s="65" t="s">
        <v>262</v>
      </c>
      <c r="B240" s="70">
        <v>42.1</v>
      </c>
      <c r="C240" s="70">
        <v>18.399999999999999</v>
      </c>
      <c r="D240" s="70">
        <v>10.3</v>
      </c>
      <c r="E240" s="70">
        <v>2.8</v>
      </c>
      <c r="F240" s="70">
        <v>5.3</v>
      </c>
      <c r="G240" s="70">
        <v>8.6</v>
      </c>
      <c r="H240" s="70">
        <v>3.1</v>
      </c>
      <c r="I240" s="70">
        <v>1.4</v>
      </c>
      <c r="J240" s="70">
        <v>1.7</v>
      </c>
      <c r="K240" s="70">
        <v>5.5</v>
      </c>
      <c r="L240">
        <f t="shared" si="1"/>
        <v>0.40441176470588236</v>
      </c>
      <c r="M240">
        <f t="shared" si="2"/>
        <v>0.43672199170124482</v>
      </c>
    </row>
    <row r="241" spans="1:12" ht="26.25" x14ac:dyDescent="0.25">
      <c r="A241" s="75" t="s">
        <v>263</v>
      </c>
      <c r="B241" s="70">
        <v>21.7</v>
      </c>
      <c r="C241" s="70">
        <v>5.7</v>
      </c>
      <c r="D241" s="70">
        <v>2.8</v>
      </c>
      <c r="E241" s="70">
        <v>1.2</v>
      </c>
      <c r="F241" s="70">
        <v>1.7</v>
      </c>
      <c r="G241" s="70">
        <v>5.3</v>
      </c>
      <c r="H241" s="70">
        <v>1</v>
      </c>
      <c r="I241" s="70">
        <v>0.4</v>
      </c>
      <c r="J241" s="70">
        <v>0.6</v>
      </c>
      <c r="K241" s="70">
        <v>4.3</v>
      </c>
    </row>
    <row r="242" spans="1:12" s="67" customFormat="1" ht="33.950000000000003" customHeight="1" x14ac:dyDescent="0.25">
      <c r="A242" s="66" t="s">
        <v>264</v>
      </c>
      <c r="B242" s="69" t="s">
        <v>131</v>
      </c>
      <c r="C242" s="69" t="s">
        <v>131</v>
      </c>
      <c r="D242" s="69" t="s">
        <v>131</v>
      </c>
      <c r="E242" s="69" t="s">
        <v>131</v>
      </c>
      <c r="F242" s="69" t="s">
        <v>131</v>
      </c>
      <c r="G242" s="69" t="s">
        <v>131</v>
      </c>
      <c r="H242" s="69" t="s">
        <v>131</v>
      </c>
      <c r="I242" s="69" t="s">
        <v>131</v>
      </c>
      <c r="J242" s="69" t="s">
        <v>131</v>
      </c>
      <c r="K242" s="69" t="s">
        <v>131</v>
      </c>
    </row>
    <row r="243" spans="1:12" x14ac:dyDescent="0.25">
      <c r="A243" s="65" t="s">
        <v>260</v>
      </c>
      <c r="B243" s="70">
        <v>2.2999999999999998</v>
      </c>
      <c r="C243" s="70">
        <v>1.2</v>
      </c>
      <c r="D243" s="70">
        <v>0.7</v>
      </c>
      <c r="E243" s="70">
        <v>0.3</v>
      </c>
      <c r="F243" s="70">
        <v>0.2</v>
      </c>
      <c r="G243" s="70">
        <v>0.5</v>
      </c>
      <c r="H243" s="70" t="s">
        <v>134</v>
      </c>
      <c r="I243" s="70" t="s">
        <v>134</v>
      </c>
      <c r="J243" s="70" t="s">
        <v>134</v>
      </c>
      <c r="K243" s="70">
        <v>0.3</v>
      </c>
    </row>
    <row r="244" spans="1:12" x14ac:dyDescent="0.25">
      <c r="A244" s="65" t="s">
        <v>261</v>
      </c>
      <c r="B244" s="64">
        <v>23.2</v>
      </c>
      <c r="C244" s="64">
        <v>9.1</v>
      </c>
      <c r="D244" s="64">
        <v>4.5</v>
      </c>
      <c r="E244" s="64">
        <v>1.4</v>
      </c>
      <c r="F244" s="64">
        <v>3.2</v>
      </c>
      <c r="G244" s="64">
        <v>5.6</v>
      </c>
      <c r="H244" s="64">
        <v>2</v>
      </c>
      <c r="I244" s="64">
        <v>1</v>
      </c>
      <c r="J244" s="64">
        <v>1</v>
      </c>
      <c r="K244" s="64">
        <v>3.5</v>
      </c>
    </row>
    <row r="245" spans="1:12" x14ac:dyDescent="0.25">
      <c r="A245" s="65" t="s">
        <v>262</v>
      </c>
      <c r="B245" s="64">
        <v>71</v>
      </c>
      <c r="C245" s="64">
        <v>28.4</v>
      </c>
      <c r="D245" s="64">
        <v>15.5</v>
      </c>
      <c r="E245" s="64">
        <v>4.3</v>
      </c>
      <c r="F245" s="64">
        <v>8.6999999999999993</v>
      </c>
      <c r="G245" s="64">
        <v>15</v>
      </c>
      <c r="H245" s="64">
        <v>5.2</v>
      </c>
      <c r="I245" s="64">
        <v>2.7</v>
      </c>
      <c r="J245" s="64">
        <v>2.6</v>
      </c>
      <c r="K245" s="64">
        <v>9.8000000000000007</v>
      </c>
    </row>
    <row r="246" spans="1:12" ht="26.25" x14ac:dyDescent="0.25">
      <c r="A246" s="75" t="s">
        <v>263</v>
      </c>
      <c r="B246" s="64">
        <v>21.7</v>
      </c>
      <c r="C246" s="64">
        <v>5.7</v>
      </c>
      <c r="D246" s="64">
        <v>2.8</v>
      </c>
      <c r="E246" s="64">
        <v>1.2</v>
      </c>
      <c r="F246" s="64">
        <v>1.7</v>
      </c>
      <c r="G246" s="64">
        <v>5.3</v>
      </c>
      <c r="H246" s="64">
        <v>1</v>
      </c>
      <c r="I246" s="64">
        <v>0.4</v>
      </c>
      <c r="J246" s="64">
        <v>0.6</v>
      </c>
      <c r="K246" s="64">
        <v>4.3</v>
      </c>
    </row>
    <row r="247" spans="1:12" ht="24" customHeight="1" x14ac:dyDescent="0.25">
      <c r="A247" s="68" t="s">
        <v>265</v>
      </c>
      <c r="B247" s="69" t="s">
        <v>131</v>
      </c>
      <c r="C247" s="69" t="s">
        <v>131</v>
      </c>
      <c r="D247" s="69" t="s">
        <v>131</v>
      </c>
      <c r="E247" s="69" t="s">
        <v>131</v>
      </c>
      <c r="F247" s="69" t="s">
        <v>131</v>
      </c>
      <c r="G247" s="69" t="s">
        <v>131</v>
      </c>
      <c r="H247" s="69" t="s">
        <v>131</v>
      </c>
      <c r="I247" s="69" t="s">
        <v>131</v>
      </c>
      <c r="J247" s="69" t="s">
        <v>131</v>
      </c>
      <c r="K247" s="69" t="s">
        <v>131</v>
      </c>
    </row>
    <row r="248" spans="1:12" x14ac:dyDescent="0.25">
      <c r="A248" s="63" t="s">
        <v>266</v>
      </c>
      <c r="B248" s="70">
        <v>95.3</v>
      </c>
      <c r="C248" s="70">
        <v>38</v>
      </c>
      <c r="D248" s="70">
        <v>20.100000000000001</v>
      </c>
      <c r="E248" s="70">
        <v>5.9</v>
      </c>
      <c r="F248" s="70">
        <v>12</v>
      </c>
      <c r="G248" s="70">
        <v>21.1</v>
      </c>
      <c r="H248" s="70">
        <v>7.5</v>
      </c>
      <c r="I248" s="70">
        <v>3.9</v>
      </c>
      <c r="J248" s="70">
        <v>3.6</v>
      </c>
      <c r="K248" s="70">
        <v>13.6</v>
      </c>
    </row>
    <row r="249" spans="1:12" x14ac:dyDescent="0.25">
      <c r="A249" s="65" t="s">
        <v>137</v>
      </c>
      <c r="B249" s="70">
        <v>75.7</v>
      </c>
      <c r="C249" s="70">
        <v>35.299999999999997</v>
      </c>
      <c r="D249" s="70">
        <v>19.100000000000001</v>
      </c>
      <c r="E249" s="70">
        <v>5.5</v>
      </c>
      <c r="F249" s="70">
        <v>10.7</v>
      </c>
      <c r="G249" s="70">
        <v>15.1</v>
      </c>
      <c r="H249" s="70">
        <v>6.1</v>
      </c>
      <c r="I249" s="70">
        <v>3.4</v>
      </c>
      <c r="J249" s="70">
        <v>2.7</v>
      </c>
      <c r="K249" s="70">
        <v>9</v>
      </c>
    </row>
    <row r="250" spans="1:12" x14ac:dyDescent="0.25">
      <c r="A250" s="65" t="s">
        <v>138</v>
      </c>
      <c r="B250" s="70">
        <v>18.2</v>
      </c>
      <c r="C250" s="70">
        <v>2.4</v>
      </c>
      <c r="D250" s="70">
        <v>0.9</v>
      </c>
      <c r="E250" s="70">
        <v>0.3</v>
      </c>
      <c r="F250" s="70">
        <v>1.2</v>
      </c>
      <c r="G250" s="70">
        <v>5.7</v>
      </c>
      <c r="H250" s="70">
        <v>1.3</v>
      </c>
      <c r="I250" s="70">
        <v>0.4</v>
      </c>
      <c r="J250" s="70">
        <v>0.9</v>
      </c>
      <c r="K250" s="70">
        <v>4.5</v>
      </c>
    </row>
    <row r="251" spans="1:12" x14ac:dyDescent="0.25">
      <c r="A251" s="65" t="s">
        <v>139</v>
      </c>
      <c r="B251" s="70">
        <v>1.4</v>
      </c>
      <c r="C251" s="70">
        <v>0.2</v>
      </c>
      <c r="D251" s="70" t="s">
        <v>134</v>
      </c>
      <c r="E251" s="70" t="s">
        <v>134</v>
      </c>
      <c r="F251" s="70" t="s">
        <v>134</v>
      </c>
      <c r="G251" s="70">
        <v>0.3</v>
      </c>
      <c r="H251" s="70" t="s">
        <v>134</v>
      </c>
      <c r="I251" s="70" t="s">
        <v>134</v>
      </c>
      <c r="J251" s="70" t="s">
        <v>134</v>
      </c>
      <c r="K251" s="70">
        <v>0.2</v>
      </c>
    </row>
    <row r="252" spans="1:12" ht="26.25" x14ac:dyDescent="0.25">
      <c r="A252" s="72" t="s">
        <v>267</v>
      </c>
      <c r="B252" s="64">
        <v>22.9</v>
      </c>
      <c r="C252" s="64">
        <v>6.5</v>
      </c>
      <c r="D252" s="64">
        <v>3.4</v>
      </c>
      <c r="E252" s="64">
        <v>1.3</v>
      </c>
      <c r="F252" s="64">
        <v>1.8</v>
      </c>
      <c r="G252" s="64">
        <v>5.3</v>
      </c>
      <c r="H252" s="64">
        <v>1</v>
      </c>
      <c r="I252" s="64">
        <v>0.4</v>
      </c>
      <c r="J252" s="64">
        <v>0.6</v>
      </c>
      <c r="K252" s="64">
        <v>4.2</v>
      </c>
    </row>
    <row r="253" spans="1:12" s="6" customFormat="1" ht="24" customHeight="1" x14ac:dyDescent="0.25">
      <c r="A253" s="66" t="s">
        <v>268</v>
      </c>
      <c r="B253" s="69">
        <f>SUM(B254:B259)</f>
        <v>95.2</v>
      </c>
      <c r="C253" s="69" t="s">
        <v>131</v>
      </c>
      <c r="D253" s="69" t="s">
        <v>131</v>
      </c>
      <c r="E253" s="69" t="s">
        <v>131</v>
      </c>
      <c r="F253" s="69" t="s">
        <v>131</v>
      </c>
      <c r="G253" s="69" t="s">
        <v>131</v>
      </c>
      <c r="H253" s="69" t="s">
        <v>131</v>
      </c>
      <c r="I253" s="69" t="s">
        <v>131</v>
      </c>
      <c r="J253" s="69" t="s">
        <v>131</v>
      </c>
      <c r="K253" s="69" t="s">
        <v>131</v>
      </c>
    </row>
    <row r="254" spans="1:12" x14ac:dyDescent="0.25">
      <c r="A254" s="65" t="s">
        <v>202</v>
      </c>
      <c r="B254" s="64">
        <v>11.7</v>
      </c>
      <c r="C254" s="64">
        <v>5</v>
      </c>
      <c r="D254" s="64">
        <v>2.8</v>
      </c>
      <c r="E254" s="64">
        <v>0.6</v>
      </c>
      <c r="F254" s="64">
        <v>1.6</v>
      </c>
      <c r="G254" s="64">
        <v>2.5</v>
      </c>
      <c r="H254" s="64">
        <v>1</v>
      </c>
      <c r="I254" s="64">
        <v>0.7</v>
      </c>
      <c r="J254" s="64">
        <v>0.3</v>
      </c>
      <c r="K254" s="64">
        <v>1.5</v>
      </c>
      <c r="L254">
        <f>B254/$B$253</f>
        <v>0.12289915966386554</v>
      </c>
    </row>
    <row r="255" spans="1:12" x14ac:dyDescent="0.25">
      <c r="A255" s="65" t="s">
        <v>203</v>
      </c>
      <c r="B255" s="64">
        <v>20.2</v>
      </c>
      <c r="C255" s="64">
        <v>8.8000000000000007</v>
      </c>
      <c r="D255" s="64">
        <v>4.2</v>
      </c>
      <c r="E255" s="64">
        <v>1.7</v>
      </c>
      <c r="F255" s="64">
        <v>2.8</v>
      </c>
      <c r="G255" s="64">
        <v>4.5999999999999996</v>
      </c>
      <c r="H255" s="64">
        <v>1.7</v>
      </c>
      <c r="I255" s="64">
        <v>0.7</v>
      </c>
      <c r="J255" s="64">
        <v>1</v>
      </c>
      <c r="K255" s="64">
        <v>2.9</v>
      </c>
      <c r="L255">
        <f t="shared" ref="L255:L259" si="3">B255/$B$253</f>
        <v>0.21218487394957983</v>
      </c>
    </row>
    <row r="256" spans="1:12" x14ac:dyDescent="0.25">
      <c r="A256" s="65" t="s">
        <v>204</v>
      </c>
      <c r="B256" s="64">
        <v>33.9</v>
      </c>
      <c r="C256" s="64">
        <v>13.7</v>
      </c>
      <c r="D256" s="64">
        <v>7.6</v>
      </c>
      <c r="E256" s="64">
        <v>1.9</v>
      </c>
      <c r="F256" s="64">
        <v>4.2</v>
      </c>
      <c r="G256" s="64">
        <v>7.7</v>
      </c>
      <c r="H256" s="64">
        <v>2.6</v>
      </c>
      <c r="I256" s="64">
        <v>1.2</v>
      </c>
      <c r="J256" s="64">
        <v>1.4</v>
      </c>
      <c r="K256" s="64">
        <v>5.0999999999999996</v>
      </c>
      <c r="L256">
        <f t="shared" si="3"/>
        <v>0.35609243697478987</v>
      </c>
    </row>
    <row r="257" spans="1:12" x14ac:dyDescent="0.25">
      <c r="A257" s="65" t="s">
        <v>205</v>
      </c>
      <c r="B257" s="64">
        <v>19.100000000000001</v>
      </c>
      <c r="C257" s="64">
        <v>7</v>
      </c>
      <c r="D257" s="64">
        <v>3.7</v>
      </c>
      <c r="E257" s="64">
        <v>1.1000000000000001</v>
      </c>
      <c r="F257" s="64">
        <v>2.2999999999999998</v>
      </c>
      <c r="G257" s="64">
        <v>4</v>
      </c>
      <c r="H257" s="64">
        <v>1.3</v>
      </c>
      <c r="I257" s="64">
        <v>0.8</v>
      </c>
      <c r="J257" s="64">
        <v>0.5</v>
      </c>
      <c r="K257" s="64">
        <v>2.6</v>
      </c>
      <c r="L257">
        <f t="shared" si="3"/>
        <v>0.20063025210084034</v>
      </c>
    </row>
    <row r="258" spans="1:12" x14ac:dyDescent="0.25">
      <c r="A258" s="65" t="s">
        <v>206</v>
      </c>
      <c r="B258" s="64">
        <v>6.3</v>
      </c>
      <c r="C258" s="64">
        <v>2.1</v>
      </c>
      <c r="D258" s="64">
        <v>1.1000000000000001</v>
      </c>
      <c r="E258" s="64">
        <v>0.3</v>
      </c>
      <c r="F258" s="64">
        <v>0.7</v>
      </c>
      <c r="G258" s="64">
        <v>1.4</v>
      </c>
      <c r="H258" s="64">
        <v>0.5</v>
      </c>
      <c r="I258" s="64">
        <v>0.3</v>
      </c>
      <c r="J258" s="64">
        <v>0.2</v>
      </c>
      <c r="K258" s="64">
        <v>1</v>
      </c>
      <c r="L258">
        <f t="shared" si="3"/>
        <v>6.6176470588235295E-2</v>
      </c>
    </row>
    <row r="259" spans="1:12" x14ac:dyDescent="0.25">
      <c r="A259" s="65" t="s">
        <v>207</v>
      </c>
      <c r="B259" s="64">
        <v>4</v>
      </c>
      <c r="C259" s="64">
        <v>1.3</v>
      </c>
      <c r="D259" s="64">
        <v>0.7</v>
      </c>
      <c r="E259" s="64">
        <v>0.3</v>
      </c>
      <c r="F259" s="64">
        <v>0.3</v>
      </c>
      <c r="G259" s="64">
        <v>0.9</v>
      </c>
      <c r="H259" s="64">
        <v>0.4</v>
      </c>
      <c r="I259" s="64" t="s">
        <v>134</v>
      </c>
      <c r="J259" s="64">
        <v>0.2</v>
      </c>
      <c r="K259" s="64">
        <v>0.5</v>
      </c>
      <c r="L259">
        <f t="shared" si="3"/>
        <v>4.2016806722689072E-2</v>
      </c>
    </row>
    <row r="260" spans="1:12" ht="26.25" x14ac:dyDescent="0.25">
      <c r="A260" s="65" t="s">
        <v>267</v>
      </c>
      <c r="B260" s="64">
        <v>22.9</v>
      </c>
      <c r="C260" s="64">
        <v>6.5</v>
      </c>
      <c r="D260" s="64">
        <v>3.4</v>
      </c>
      <c r="E260" s="64">
        <v>1.3</v>
      </c>
      <c r="F260" s="64">
        <v>1.8</v>
      </c>
      <c r="G260" s="64">
        <v>5.3</v>
      </c>
      <c r="H260" s="64">
        <v>1</v>
      </c>
      <c r="I260" s="64">
        <v>0.4</v>
      </c>
      <c r="J260" s="64">
        <v>0.6</v>
      </c>
      <c r="K260" s="64">
        <v>4.2</v>
      </c>
    </row>
    <row r="261" spans="1:12" s="6" customFormat="1" ht="24" customHeight="1" x14ac:dyDescent="0.25">
      <c r="A261" s="66" t="s">
        <v>269</v>
      </c>
      <c r="B261" s="69" t="s">
        <v>131</v>
      </c>
      <c r="C261" s="69" t="s">
        <v>131</v>
      </c>
      <c r="D261" s="69" t="s">
        <v>131</v>
      </c>
      <c r="E261" s="69" t="s">
        <v>131</v>
      </c>
      <c r="F261" s="69" t="s">
        <v>131</v>
      </c>
      <c r="G261" s="69" t="s">
        <v>131</v>
      </c>
      <c r="H261" s="69" t="s">
        <v>131</v>
      </c>
      <c r="I261" s="69" t="s">
        <v>131</v>
      </c>
      <c r="J261" s="69" t="s">
        <v>131</v>
      </c>
      <c r="K261" s="69" t="s">
        <v>131</v>
      </c>
    </row>
    <row r="262" spans="1:12" x14ac:dyDescent="0.25">
      <c r="A262" s="65">
        <v>0</v>
      </c>
      <c r="B262" s="64">
        <v>2.1</v>
      </c>
      <c r="C262" s="64">
        <v>0.9</v>
      </c>
      <c r="D262" s="64">
        <v>0.5</v>
      </c>
      <c r="E262" s="64" t="s">
        <v>270</v>
      </c>
      <c r="F262" s="64">
        <v>0.3</v>
      </c>
      <c r="G262" s="64">
        <v>0.6</v>
      </c>
      <c r="H262" s="64">
        <v>0.3</v>
      </c>
      <c r="I262" s="64" t="s">
        <v>270</v>
      </c>
      <c r="J262" s="64" t="s">
        <v>270</v>
      </c>
      <c r="K262" s="64">
        <v>0.3</v>
      </c>
    </row>
    <row r="263" spans="1:12" x14ac:dyDescent="0.25">
      <c r="A263" s="76" t="s">
        <v>271</v>
      </c>
      <c r="B263" s="64">
        <v>57</v>
      </c>
      <c r="C263" s="64">
        <v>22.8</v>
      </c>
      <c r="D263" s="64">
        <v>12.7</v>
      </c>
      <c r="E263" s="64">
        <v>3.3</v>
      </c>
      <c r="F263" s="64">
        <v>6.8</v>
      </c>
      <c r="G263" s="64">
        <v>13.3</v>
      </c>
      <c r="H263" s="64">
        <v>4.9000000000000004</v>
      </c>
      <c r="I263" s="64">
        <v>2.2000000000000002</v>
      </c>
      <c r="J263" s="64">
        <v>2.6</v>
      </c>
      <c r="K263" s="64">
        <v>8.5</v>
      </c>
    </row>
    <row r="264" spans="1:12" x14ac:dyDescent="0.25">
      <c r="A264" s="65" t="s">
        <v>272</v>
      </c>
      <c r="B264" s="64">
        <v>26.6</v>
      </c>
      <c r="C264" s="64">
        <v>10.6</v>
      </c>
      <c r="D264" s="64">
        <v>5.2</v>
      </c>
      <c r="E264" s="64">
        <v>1.7</v>
      </c>
      <c r="F264" s="64">
        <v>3.7</v>
      </c>
      <c r="G264" s="64">
        <v>5.3</v>
      </c>
      <c r="H264" s="64">
        <v>1.6</v>
      </c>
      <c r="I264" s="64">
        <v>1.1000000000000001</v>
      </c>
      <c r="J264" s="64">
        <v>0.5</v>
      </c>
      <c r="K264" s="64">
        <v>3.7</v>
      </c>
    </row>
    <row r="265" spans="1:12" x14ac:dyDescent="0.25">
      <c r="A265" s="65" t="s">
        <v>273</v>
      </c>
      <c r="B265" s="64">
        <v>8.3000000000000007</v>
      </c>
      <c r="C265" s="64">
        <v>3.2</v>
      </c>
      <c r="D265" s="64">
        <v>1.5</v>
      </c>
      <c r="E265" s="64">
        <v>0.6</v>
      </c>
      <c r="F265" s="64">
        <v>1.1000000000000001</v>
      </c>
      <c r="G265" s="64">
        <v>1.6</v>
      </c>
      <c r="H265" s="64">
        <v>0.6</v>
      </c>
      <c r="I265" s="64">
        <v>0.4</v>
      </c>
      <c r="J265" s="64">
        <v>0.2</v>
      </c>
      <c r="K265" s="64">
        <v>1</v>
      </c>
    </row>
    <row r="266" spans="1:12" x14ac:dyDescent="0.25">
      <c r="A266" s="65" t="s">
        <v>274</v>
      </c>
      <c r="B266" s="64">
        <v>1.4</v>
      </c>
      <c r="C266" s="64">
        <v>0.5</v>
      </c>
      <c r="D266" s="64">
        <v>0.2</v>
      </c>
      <c r="E266" s="64" t="s">
        <v>270</v>
      </c>
      <c r="F266" s="64" t="s">
        <v>270</v>
      </c>
      <c r="G266" s="64" t="s">
        <v>270</v>
      </c>
      <c r="H266" s="64" t="s">
        <v>270</v>
      </c>
      <c r="I266" s="64" t="s">
        <v>270</v>
      </c>
      <c r="J266" s="64" t="s">
        <v>270</v>
      </c>
      <c r="K266" s="64" t="s">
        <v>270</v>
      </c>
    </row>
    <row r="267" spans="1:12" ht="26.25" x14ac:dyDescent="0.25">
      <c r="A267" s="65" t="s">
        <v>267</v>
      </c>
      <c r="B267" s="64">
        <v>22.9</v>
      </c>
      <c r="C267" s="64">
        <v>6.5</v>
      </c>
      <c r="D267" s="64">
        <v>3.4</v>
      </c>
      <c r="E267" s="64">
        <v>1.3</v>
      </c>
      <c r="F267" s="64">
        <v>1.8</v>
      </c>
      <c r="G267" s="64">
        <v>5.3</v>
      </c>
      <c r="H267" s="64">
        <v>1</v>
      </c>
      <c r="I267" s="64">
        <v>0.4</v>
      </c>
      <c r="J267" s="64">
        <v>0.6</v>
      </c>
      <c r="K267" s="64">
        <v>4.2</v>
      </c>
    </row>
    <row r="268" spans="1:12" ht="15.75" thickBot="1" x14ac:dyDescent="0.3">
      <c r="A268" s="77"/>
      <c r="B268" s="78"/>
      <c r="C268" s="78"/>
      <c r="D268" s="78"/>
      <c r="E268" s="78"/>
      <c r="F268" s="78"/>
      <c r="G268" s="78"/>
      <c r="H268" s="78"/>
      <c r="I268" s="78"/>
      <c r="J268" s="78"/>
      <c r="K268" s="78"/>
    </row>
    <row r="269" spans="1:12" ht="129.75" customHeight="1" x14ac:dyDescent="0.25">
      <c r="A269" s="124" t="s">
        <v>275</v>
      </c>
      <c r="B269" s="124"/>
      <c r="C269" s="124"/>
      <c r="D269" s="124"/>
      <c r="E269" s="124"/>
      <c r="F269" s="124"/>
      <c r="G269" s="124"/>
      <c r="H269" s="124"/>
      <c r="I269" s="124"/>
      <c r="J269" s="124"/>
      <c r="K269" s="124"/>
    </row>
  </sheetData>
  <mergeCells count="8">
    <mergeCell ref="A269:K269"/>
    <mergeCell ref="A2:K2"/>
    <mergeCell ref="B3:K3"/>
    <mergeCell ref="C5:F5"/>
    <mergeCell ref="G5:K5"/>
    <mergeCell ref="E7:E8"/>
    <mergeCell ref="F7:F8"/>
    <mergeCell ref="H7:J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sheetPr>
  <dimension ref="A1:D14"/>
  <sheetViews>
    <sheetView workbookViewId="0">
      <selection activeCell="B7" sqref="B7"/>
    </sheetView>
  </sheetViews>
  <sheetFormatPr defaultRowHeight="15" x14ac:dyDescent="0.25"/>
  <cols>
    <col min="2" max="2" width="7.42578125" customWidth="1"/>
    <col min="3" max="3" width="8.28515625" bestFit="1" customWidth="1"/>
    <col min="4" max="4" width="10.42578125" customWidth="1"/>
  </cols>
  <sheetData>
    <row r="1" spans="1:4" x14ac:dyDescent="0.25">
      <c r="B1" t="s">
        <v>27</v>
      </c>
      <c r="C1" t="s">
        <v>28</v>
      </c>
      <c r="D1" t="s">
        <v>29</v>
      </c>
    </row>
    <row r="2" spans="1:4" x14ac:dyDescent="0.25">
      <c r="A2" t="s">
        <v>26</v>
      </c>
      <c r="B2">
        <v>146</v>
      </c>
      <c r="C2" s="9">
        <v>23</v>
      </c>
      <c r="D2" s="9">
        <f t="shared" ref="D2:D7" si="0">C2/B2</f>
        <v>0.15753424657534246</v>
      </c>
    </row>
    <row r="3" spans="1:4" x14ac:dyDescent="0.25">
      <c r="A3" t="s">
        <v>30</v>
      </c>
      <c r="B3">
        <v>110</v>
      </c>
      <c r="C3" s="9">
        <v>12.29</v>
      </c>
      <c r="D3" s="9">
        <f t="shared" si="0"/>
        <v>0.11172727272727272</v>
      </c>
    </row>
    <row r="4" spans="1:4" x14ac:dyDescent="0.25">
      <c r="A4" t="s">
        <v>31</v>
      </c>
      <c r="B4">
        <v>96</v>
      </c>
      <c r="C4" s="9">
        <v>20</v>
      </c>
      <c r="D4" s="9">
        <f t="shared" si="0"/>
        <v>0.20833333333333334</v>
      </c>
    </row>
    <row r="5" spans="1:4" x14ac:dyDescent="0.25">
      <c r="A5" t="s">
        <v>31</v>
      </c>
      <c r="B5">
        <v>32</v>
      </c>
      <c r="C5" s="9">
        <v>7.38</v>
      </c>
      <c r="D5" s="9">
        <f t="shared" si="0"/>
        <v>0.230625</v>
      </c>
    </row>
    <row r="6" spans="1:4" x14ac:dyDescent="0.25">
      <c r="A6" t="s">
        <v>32</v>
      </c>
      <c r="B6">
        <v>100</v>
      </c>
      <c r="C6" s="9">
        <v>9</v>
      </c>
      <c r="D6" s="9">
        <f t="shared" si="0"/>
        <v>0.09</v>
      </c>
    </row>
    <row r="7" spans="1:4" x14ac:dyDescent="0.25">
      <c r="A7" t="s">
        <v>33</v>
      </c>
      <c r="B7">
        <v>99</v>
      </c>
      <c r="C7" s="9">
        <v>17.989999999999998</v>
      </c>
      <c r="D7" s="9">
        <f t="shared" si="0"/>
        <v>0.18171717171717169</v>
      </c>
    </row>
    <row r="8" spans="1:4" x14ac:dyDescent="0.25">
      <c r="C8" s="9"/>
      <c r="D8" s="9"/>
    </row>
    <row r="9" spans="1:4" x14ac:dyDescent="0.25">
      <c r="C9" s="9" t="s">
        <v>34</v>
      </c>
      <c r="D9" s="9">
        <f>AVERAGE(D2:D7)</f>
        <v>0.1633228373921867</v>
      </c>
    </row>
    <row r="10" spans="1:4" x14ac:dyDescent="0.25">
      <c r="A10" t="s">
        <v>108</v>
      </c>
      <c r="C10" s="9"/>
      <c r="D10" s="9"/>
    </row>
    <row r="11" spans="1:4" x14ac:dyDescent="0.25">
      <c r="C11" s="9"/>
      <c r="D11" s="9"/>
    </row>
    <row r="12" spans="1:4" x14ac:dyDescent="0.25">
      <c r="C12" s="9"/>
      <c r="D12" s="9"/>
    </row>
    <row r="13" spans="1:4" x14ac:dyDescent="0.25">
      <c r="C13" s="9"/>
      <c r="D13" s="9"/>
    </row>
    <row r="14" spans="1:4" x14ac:dyDescent="0.25">
      <c r="C14" s="9"/>
      <c r="D14" s="9"/>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sheetPr>
  <dimension ref="A1:N32"/>
  <sheetViews>
    <sheetView workbookViewId="0">
      <selection activeCell="J37" sqref="J37"/>
    </sheetView>
  </sheetViews>
  <sheetFormatPr defaultRowHeight="15" x14ac:dyDescent="0.25"/>
  <cols>
    <col min="1" max="2" width="10.5703125" customWidth="1"/>
    <col min="3" max="3" width="6" customWidth="1"/>
    <col min="4" max="4" width="12.5703125" customWidth="1"/>
    <col min="5" max="5" width="14.85546875" customWidth="1"/>
    <col min="6" max="6" width="10.140625" customWidth="1"/>
    <col min="8" max="8" width="21.85546875" customWidth="1"/>
    <col min="9" max="9" width="14.28515625" customWidth="1"/>
    <col min="10" max="10" width="12.28515625" customWidth="1"/>
    <col min="11" max="11" width="12.140625" customWidth="1"/>
    <col min="12" max="12" width="14.28515625" customWidth="1"/>
  </cols>
  <sheetData>
    <row r="1" spans="1:14" ht="35.450000000000003" customHeight="1" x14ac:dyDescent="0.25"/>
    <row r="2" spans="1:14" ht="59.1" customHeight="1" x14ac:dyDescent="0.25">
      <c r="A2" s="25" t="s">
        <v>98</v>
      </c>
      <c r="B2" s="25" t="s">
        <v>99</v>
      </c>
      <c r="C2" s="25" t="s">
        <v>100</v>
      </c>
      <c r="D2" s="25" t="s">
        <v>101</v>
      </c>
      <c r="E2" s="25" t="s">
        <v>102</v>
      </c>
      <c r="F2" s="25" t="s">
        <v>66</v>
      </c>
      <c r="G2" s="38" t="s">
        <v>103</v>
      </c>
      <c r="H2" s="25" t="s">
        <v>104</v>
      </c>
      <c r="I2" s="25" t="s">
        <v>107</v>
      </c>
      <c r="J2" s="25" t="s">
        <v>105</v>
      </c>
      <c r="K2" s="25" t="s">
        <v>22</v>
      </c>
      <c r="L2" s="25" t="s">
        <v>36</v>
      </c>
      <c r="M2" s="25" t="s">
        <v>106</v>
      </c>
      <c r="N2" s="25" t="s">
        <v>38</v>
      </c>
    </row>
    <row r="3" spans="1:14" x14ac:dyDescent="0.25">
      <c r="A3" t="str">
        <f>'Nicor-RO-1_Weekly_Averages'!A1</f>
        <v xml:space="preserve">Nicor-RO-1 </v>
      </c>
      <c r="B3" t="str">
        <f>'Nicor-RO-11_Weekly_Averages'!A3</f>
        <v>Front Load</v>
      </c>
      <c r="C3" t="str">
        <f>'Nicor-RO-11_Weekly_Averages'!B3</f>
        <v>2010</v>
      </c>
      <c r="D3" t="str">
        <f>'Nicor-RO-11_Weekly_Averages'!C3</f>
        <v>Samsung</v>
      </c>
      <c r="E3" t="str">
        <f>'Nicor-RO-11_Weekly_Averages'!D3</f>
        <v>WF210ANW/XAA 01</v>
      </c>
      <c r="F3" s="27">
        <f>'Nicor-RO-1_Weekly_Averages'!E3</f>
        <v>4</v>
      </c>
      <c r="G3" s="27">
        <f>'Nicor-RO-1_Weekly_Averages'!F3</f>
        <v>161</v>
      </c>
      <c r="H3" s="29">
        <f>'Nicor-RO-1_Weekly_Averages'!N13</f>
        <v>11.074074074074074</v>
      </c>
      <c r="I3" s="29">
        <f>'Nicor-RO-1_Weekly_Averages'!N21</f>
        <v>25.901899206743295</v>
      </c>
      <c r="J3" s="29">
        <f>'Nicor-RO-1_Weekly_Averages'!N20</f>
        <v>12.998959760747102</v>
      </c>
      <c r="K3" s="30">
        <f>'Nicor-RO-1_Weekly_Averages'!N22</f>
        <v>10.009199015775268</v>
      </c>
      <c r="L3" s="30">
        <f>'Nicor-RO-1_Weekly_Averages'!N28</f>
        <v>92.136296296296308</v>
      </c>
      <c r="M3" s="30">
        <f>'Nicor-RO-1_Weekly_Averages'!N25</f>
        <v>0.49150264309764308</v>
      </c>
      <c r="N3" s="31">
        <f>'Nicor-RO-1_Weekly_Averages'!N31</f>
        <v>2.9511875738803495</v>
      </c>
    </row>
    <row r="4" spans="1:14" x14ac:dyDescent="0.25">
      <c r="A4" t="str">
        <f>'Nicor-RO-2_Weekly_Averages'!A1</f>
        <v xml:space="preserve">Nicor-RO-2 </v>
      </c>
      <c r="B4" s="26" t="str">
        <f>'Nicor-RO-2_Weekly_Averages'!A3</f>
        <v>Front Load</v>
      </c>
      <c r="C4" s="26" t="str">
        <f>'Nicor-RO-2_Weekly_Averages'!B3</f>
        <v>2012</v>
      </c>
      <c r="D4" s="26" t="str">
        <f>'Nicor-RO-2_Weekly_Averages'!C3</f>
        <v>Kenmore</v>
      </c>
      <c r="E4" s="26" t="str">
        <f>'Nicor-RO-2_Weekly_Averages'!D3</f>
        <v>796.41372210</v>
      </c>
      <c r="F4" s="28">
        <f>'Nicor-RO-2_Weekly_Averages'!E3</f>
        <v>5</v>
      </c>
      <c r="G4" s="28">
        <f>'Nicor-RO-2_Weekly_Averages'!F3</f>
        <v>111</v>
      </c>
      <c r="H4" s="29">
        <f>'Nicor-RO-2_Weekly_Averages'!N13</f>
        <v>6.75</v>
      </c>
      <c r="I4" s="29">
        <f>'Nicor-RO-2_Weekly_Averages'!N21</f>
        <v>8.217633924186206</v>
      </c>
      <c r="J4" s="29">
        <f>'Nicor-RO-2_Weekly_Averages'!N20</f>
        <v>8.217633924186206</v>
      </c>
      <c r="K4" s="30">
        <f>'Nicor-RO-2_Weekly_Averages'!N22</f>
        <v>6.3275781216233788</v>
      </c>
      <c r="L4" s="30">
        <f>'Nicor-RO-2_Weekly_Averages'!N28</f>
        <v>56.160000000000004</v>
      </c>
      <c r="M4" s="30">
        <f>'Nicor-RO-2_Weekly_Averages'!N25</f>
        <v>0.45073727678571435</v>
      </c>
      <c r="N4" s="31">
        <f>'Nicor-RO-2_Weekly_Averages'!N31</f>
        <v>4.8358361888597718</v>
      </c>
    </row>
    <row r="5" spans="1:14" x14ac:dyDescent="0.25">
      <c r="A5" t="str">
        <f>'Nicor-RO-3_Weekly_Averages'!A1</f>
        <v xml:space="preserve">Nicor-RO-3 </v>
      </c>
      <c r="B5" s="26" t="str">
        <f>'Nicor-RO-3_Weekly_Averages'!A3</f>
        <v>Top Load</v>
      </c>
      <c r="C5" s="26" t="str">
        <f>'Nicor-RO-3_Weekly_Averages'!B3</f>
        <v>2007</v>
      </c>
      <c r="D5" s="26" t="str">
        <f>'Nicor-RO-3_Weekly_Averages'!C3</f>
        <v>Whirlpool</v>
      </c>
      <c r="E5" s="26" t="str">
        <f>'Nicor-RO-3_Weekly_Averages'!D3</f>
        <v>LTG6234DQ4</v>
      </c>
      <c r="F5" s="28">
        <f>'Nicor-RO-3_Weekly_Averages'!E3</f>
        <v>4</v>
      </c>
      <c r="G5" s="28">
        <f>'Nicor-RO-3_Weekly_Averages'!F3</f>
        <v>447</v>
      </c>
      <c r="H5" s="29">
        <f>'Nicor-RO-3_Weekly_Averages'!N13</f>
        <v>9.0952380952380949</v>
      </c>
      <c r="I5" s="29">
        <f>'Nicor-RO-3_Weekly_Averages'!N21</f>
        <v>65.487292833477952</v>
      </c>
      <c r="J5" s="29">
        <f>'Nicor-RO-3_Weekly_Averages'!N20</f>
        <v>63.041661300242147</v>
      </c>
      <c r="K5" s="30">
        <f>'Nicor-RO-3_Weekly_Averages'!N22</f>
        <v>48.542079201186453</v>
      </c>
      <c r="L5" s="30">
        <f>'Nicor-RO-3_Weekly_Averages'!N28</f>
        <v>75.672380952380948</v>
      </c>
      <c r="M5" s="30">
        <f>'Nicor-RO-3_Weekly_Averages'!N25</f>
        <v>1.2395293650793653E-2</v>
      </c>
      <c r="N5" s="31">
        <f>'Nicor-RO-3_Weekly_Averages'!N31</f>
        <v>2.4154187801817955</v>
      </c>
    </row>
    <row r="6" spans="1:14" x14ac:dyDescent="0.25">
      <c r="A6" t="str">
        <f>'Nicor-RO-4_Weekly_Averages'!A1</f>
        <v xml:space="preserve">Nicor-RO-4 </v>
      </c>
      <c r="B6" s="26" t="str">
        <f>'Nicor-RO-4_Weekly_Averages'!A3</f>
        <v>Front Load</v>
      </c>
      <c r="C6" s="26" t="str">
        <f>'Nicor-RO-4_Weekly_Averages'!B3</f>
        <v>2007</v>
      </c>
      <c r="D6" s="26" t="str">
        <f>'Nicor-RO-4_Weekly_Averages'!C3</f>
        <v>Whirlpool</v>
      </c>
      <c r="E6" s="26" t="str">
        <f>'Nicor-RO-4_Weekly_Averages'!D3</f>
        <v>DuetSport WFW8300SW01</v>
      </c>
      <c r="F6" s="28">
        <f>'Nicor-RO-4_Weekly_Averages'!E3</f>
        <v>6</v>
      </c>
      <c r="G6" s="28">
        <f>'Nicor-RO-4_Weekly_Averages'!F3</f>
        <v>168</v>
      </c>
      <c r="H6" s="29">
        <f>'Nicor-RO-4_Weekly_Averages'!N13</f>
        <v>6</v>
      </c>
      <c r="I6" s="29">
        <f>'Nicor-RO-4_Weekly_Averages'!N21</f>
        <v>9.900317029267244</v>
      </c>
      <c r="J6" s="29">
        <f>'Nicor-RO-4_Weekly_Averages'!N20</f>
        <v>-4.6948476739302514</v>
      </c>
      <c r="K6" s="30">
        <f>'Nicor-RO-4_Weekly_Averages'!N22</f>
        <v>-3.6150327089262935</v>
      </c>
      <c r="L6" s="30">
        <f>'Nicor-RO-4_Weekly_Averages'!N28</f>
        <v>49.92</v>
      </c>
      <c r="M6" s="30">
        <f>'Nicor-RO-4_Weekly_Averages'!N25</f>
        <v>1.332E-2</v>
      </c>
      <c r="N6" s="31">
        <f>'Nicor-RO-4_Weekly_Averages'!N31</f>
        <v>6.4806507773130848</v>
      </c>
    </row>
    <row r="7" spans="1:14" x14ac:dyDescent="0.25">
      <c r="A7" t="str">
        <f>'Nicor-RO-5_Weekly_Averages'!A1</f>
        <v xml:space="preserve">Nicor-RO-5 </v>
      </c>
      <c r="B7" s="26" t="str">
        <f>'Nicor-RO-5_Weekly_Averages'!A3</f>
        <v>Front Load</v>
      </c>
      <c r="C7" s="26" t="str">
        <f>'Nicor-RO-5_Weekly_Averages'!B3</f>
        <v>2005</v>
      </c>
      <c r="D7" s="26" t="str">
        <f>'Nicor-RO-5_Weekly_Averages'!C3</f>
        <v>Kenmore Elite</v>
      </c>
      <c r="E7" s="26" t="str">
        <f>'Nicor-RO-5_Weekly_Averages'!D3</f>
        <v>110.42932200</v>
      </c>
      <c r="F7" s="28">
        <f>'Nicor-RO-5_Weekly_Averages'!E3</f>
        <v>4</v>
      </c>
      <c r="G7" s="28" t="str">
        <f>'Nicor-RO-5_Weekly_Averages'!F3</f>
        <v>160</v>
      </c>
      <c r="H7" s="29">
        <f>'Nicor-RO-5_Weekly_Averages'!N13</f>
        <v>5.791666666666667</v>
      </c>
      <c r="I7" s="29">
        <f>'Nicor-RO-5_Weekly_Averages'!N21</f>
        <v>17.30006395498085</v>
      </c>
      <c r="J7" s="29">
        <f>'Nicor-RO-5_Weekly_Averages'!N20</f>
        <v>17.071388070363991</v>
      </c>
      <c r="K7" s="30">
        <f>'Nicor-RO-5_Weekly_Averages'!N22</f>
        <v>13.144968814180274</v>
      </c>
      <c r="L7" s="30">
        <f>'Nicor-RO-5_Weekly_Averages'!N28</f>
        <v>48.186666666666667</v>
      </c>
      <c r="M7" s="30">
        <f>'Nicor-RO-5_Weekly_Averages'!N25</f>
        <v>0.28139153186274507</v>
      </c>
      <c r="N7" s="31">
        <f>'Nicor-RO-5_Weekly_Averages'!N31</f>
        <v>4.9139852782683544</v>
      </c>
    </row>
    <row r="8" spans="1:14" x14ac:dyDescent="0.25">
      <c r="A8" t="str">
        <f>'Nicor-RO-6_Weekly_Averages'!A1</f>
        <v>Nicor-RO-6</v>
      </c>
      <c r="B8" s="26" t="str">
        <f>'Nicor-RO-6_Weekly_Averages'!A3</f>
        <v>Top Load</v>
      </c>
      <c r="C8" s="26" t="str">
        <f>'Nicor-RO-6_Weekly_Averages'!B3</f>
        <v>2004</v>
      </c>
      <c r="D8" s="26" t="str">
        <f>'Nicor-RO-6_Weekly_Averages'!C3</f>
        <v>Maytag</v>
      </c>
      <c r="E8" s="26" t="str">
        <f>'Nicor-RO-6_Weekly_Averages'!D3</f>
        <v>SAV3655AWW</v>
      </c>
      <c r="F8" s="28" t="str">
        <f>'Nicor-RO-6_Weekly_Averages'!E3</f>
        <v>2</v>
      </c>
      <c r="G8" s="28">
        <f>'Nicor-RO-6_Weekly_Averages'!F3</f>
        <v>914</v>
      </c>
      <c r="H8" s="29">
        <f>'Nicor-RO-6_Weekly_Averages'!N13</f>
        <v>4.333333333333333</v>
      </c>
      <c r="I8" s="29">
        <f>'Nicor-RO-6_Weekly_Averages'!N21</f>
        <v>10.635223268994249</v>
      </c>
      <c r="J8" s="29">
        <f>'Nicor-RO-6_Weekly_Averages'!N20</f>
        <v>10.635223268994249</v>
      </c>
      <c r="K8" s="30">
        <f>'Nicor-RO-6_Weekly_Averages'!N22</f>
        <v>8.189121917125572</v>
      </c>
      <c r="L8" s="30">
        <f>'Nicor-RO-6_Weekly_Averages'!N28</f>
        <v>36.053333333333327</v>
      </c>
      <c r="M8" s="30">
        <f>'Nicor-RO-6_Weekly_Averages'!N25</f>
        <v>0.13626407407407404</v>
      </c>
      <c r="N8" s="31">
        <f>'Nicor-RO-6_Weekly_Averages'!N31</f>
        <v>6.8017661919677366</v>
      </c>
    </row>
    <row r="9" spans="1:14" x14ac:dyDescent="0.25">
      <c r="A9" t="str">
        <f>'Nicor-RO-7_Weekly_Averages'!A1</f>
        <v>Nicor-RO-7</v>
      </c>
      <c r="B9" s="26" t="str">
        <f>'Nicor-RO-7_Weekly_Averages'!A3</f>
        <v>Top Load</v>
      </c>
      <c r="C9" s="26" t="str">
        <f>'Nicor-RO-7_Weekly_Averages'!B3</f>
        <v>2004</v>
      </c>
      <c r="D9" s="26" t="str">
        <f>'Nicor-RO-7_Weekly_Averages'!C3</f>
        <v>Maytag</v>
      </c>
      <c r="E9" s="26" t="str">
        <f>'Nicor-RO-7_Weekly_Averages'!D3</f>
        <v>SAV3655AWW</v>
      </c>
      <c r="F9" s="28" t="str">
        <f>'Nicor-RO-7_Weekly_Averages'!E3</f>
        <v>2</v>
      </c>
      <c r="G9" s="28">
        <f>'Nicor-RO-7_Weekly_Averages'!F3</f>
        <v>914</v>
      </c>
      <c r="H9" s="29">
        <f>'Nicor-RO-7_Weekly_Averages'!N13</f>
        <v>4.5</v>
      </c>
      <c r="I9" s="29">
        <f>'Nicor-RO-7_Weekly_Averages'!N21</f>
        <v>0.77236753376436784</v>
      </c>
      <c r="J9" s="29">
        <f>'Nicor-RO-7_Weekly_Averages'!N20</f>
        <v>0.11441276372126419</v>
      </c>
      <c r="K9" s="30">
        <f>'Nicor-RO-7_Weekly_Averages'!N22</f>
        <v>8.8097828065373432E-2</v>
      </c>
      <c r="L9" s="30">
        <f>'Nicor-RO-7_Weekly_Averages'!N28</f>
        <v>37.44</v>
      </c>
      <c r="M9" s="30">
        <f>'Nicor-RO-7_Weekly_Averages'!N25</f>
        <v>0.15830749999999999</v>
      </c>
      <c r="N9" s="31">
        <f>'Nicor-RO-7_Weekly_Averages'!N31</f>
        <v>8.0278748520217071</v>
      </c>
    </row>
    <row r="10" spans="1:14" x14ac:dyDescent="0.25">
      <c r="A10" s="17" t="str">
        <f>'Nicor-RO-8_Weekly_Averages'!A1</f>
        <v>Nicor-RO-8</v>
      </c>
      <c r="B10" s="32" t="str">
        <f>'Nicor-RO-8_Weekly_Averages'!A3</f>
        <v>Top Load</v>
      </c>
      <c r="C10" s="32" t="str">
        <f>'Nicor-RO-8_Weekly_Averages'!B3</f>
        <v>2004</v>
      </c>
      <c r="D10" s="32" t="str">
        <f>'Nicor-RO-8_Weekly_Averages'!C3</f>
        <v>Maytag</v>
      </c>
      <c r="E10" s="32" t="str">
        <f>'Nicor-RO-8_Weekly_Averages'!D3</f>
        <v>MVWB300WQ1</v>
      </c>
      <c r="F10" s="33">
        <f>'Nicor-RO-8_Weekly_Averages'!E3</f>
        <v>2</v>
      </c>
      <c r="G10" s="33">
        <f>'Nicor-RO-8_Weekly_Averages'!F3</f>
        <v>276</v>
      </c>
      <c r="H10" s="34">
        <f>'Nicor-RO-8_Weekly_Averages'!N13</f>
        <v>2.0833333333333335</v>
      </c>
      <c r="I10" s="34">
        <f>'Nicor-RO-8_Weekly_Averages'!N21</f>
        <v>31.556408017931041</v>
      </c>
      <c r="J10" s="34">
        <f>'Nicor-RO-8_Weekly_Averages'!N20</f>
        <v>-0.93020284558983235</v>
      </c>
      <c r="K10" s="35">
        <f>'Nicor-RO-8_Weekly_Averages'!N22</f>
        <v>-0.71625619110417094</v>
      </c>
      <c r="L10" s="35">
        <f>'Nicor-RO-8_Weekly_Averages'!N28</f>
        <v>17.333333333333336</v>
      </c>
      <c r="M10" s="35">
        <f>'Nicor-RO-8_Weekly_Averages'!N25</f>
        <v>6.1935307017543873E-3</v>
      </c>
      <c r="N10" s="36">
        <f>'Nicor-RO-8_Weekly_Averages'!N31</f>
        <v>18.060448018057862</v>
      </c>
    </row>
    <row r="11" spans="1:14" x14ac:dyDescent="0.25">
      <c r="A11" t="str">
        <f>'Nicor-RO-9_Weekly_Averages'!A1</f>
        <v>Nicor-RO-9</v>
      </c>
      <c r="B11" t="str">
        <f>'Nicor-RO-9_Weekly_Averages'!A3</f>
        <v>Top Load</v>
      </c>
      <c r="C11" t="str">
        <f>'Nicor-RO-9_Weekly_Averages'!B3</f>
        <v>1993</v>
      </c>
      <c r="D11" t="str">
        <f>'Nicor-RO-9_Weekly_Averages'!C3</f>
        <v>Maytag</v>
      </c>
      <c r="E11" t="str">
        <f>'Nicor-RO-9_Weekly_Averages'!D3</f>
        <v>LAT9334AAE</v>
      </c>
      <c r="F11" s="27">
        <f>'Nicor-RO-9_Weekly_Averages'!E3</f>
        <v>4</v>
      </c>
      <c r="G11" s="27" t="str">
        <f>'Nicor-RO-9_Weekly_Averages'!F3</f>
        <v>unknown</v>
      </c>
      <c r="H11" s="29">
        <f>'Nicor-RO-9_Weekly_Averages'!N13</f>
        <v>6.1304347826086953</v>
      </c>
      <c r="I11" s="29">
        <f>'Nicor-RO-9_Weekly_Averages'!N21</f>
        <v>16.25229939166417</v>
      </c>
      <c r="J11" s="29">
        <f>'Nicor-RO-9_Weekly_Averages'!N20</f>
        <v>16.25229939166417</v>
      </c>
      <c r="K11" s="30">
        <f>'Nicor-RO-9_Weekly_Averages'!N22</f>
        <v>12.514270531581412</v>
      </c>
      <c r="L11" s="30">
        <f>'Nicor-RO-9_Weekly_Averages'!N28</f>
        <v>51.005217391304349</v>
      </c>
      <c r="M11" s="30">
        <f>'Nicor-RO-9_Weekly_Averages'!N25</f>
        <v>0.25325783967391308</v>
      </c>
      <c r="N11" s="31">
        <f>'Nicor-RO-9_Weekly_Averages'!N31</f>
        <v>4.74186623109075</v>
      </c>
    </row>
    <row r="12" spans="1:14" x14ac:dyDescent="0.25">
      <c r="A12" t="str">
        <f>'Nicor-RO-10_Weekly_Averages'!A1</f>
        <v>Nicor-RO-10</v>
      </c>
      <c r="B12" s="26" t="str">
        <f>'Nicor-RO-10_Weekly_Averages'!A3</f>
        <v>Front Load</v>
      </c>
      <c r="C12" s="26" t="str">
        <f>'Nicor-RO-10_Weekly_Averages'!B3</f>
        <v>2012</v>
      </c>
      <c r="D12" s="26" t="str">
        <f>'Nicor-RO-10_Weekly_Averages'!C3</f>
        <v>LG Electronics</v>
      </c>
      <c r="E12" s="26" t="str">
        <f>'Nicor-RO-10_Weekly_Averages'!D3</f>
        <v>WM8000HWA</v>
      </c>
      <c r="F12" s="28">
        <f>'Nicor-RO-10_Weekly_Averages'!E3</f>
        <v>6</v>
      </c>
      <c r="G12" s="28">
        <f>'Nicor-RO-10_Weekly_Averages'!F3</f>
        <v>120</v>
      </c>
      <c r="H12" s="29">
        <f>'Nicor-RO-10_Weekly_Averages'!N13</f>
        <v>10.533333333333333</v>
      </c>
      <c r="I12" s="29">
        <f>'Nicor-RO-10_Weekly_Averages'!N21</f>
        <v>10.332947343942104</v>
      </c>
      <c r="J12" s="29">
        <f>'Nicor-RO-10_Weekly_Averages'!N20</f>
        <v>5.2702593039886878</v>
      </c>
      <c r="K12" s="30">
        <f>'Nicor-RO-10_Weekly_Averages'!N22</f>
        <v>4.0580996640712899</v>
      </c>
      <c r="L12" s="30">
        <f>'Nicor-RO-10_Weekly_Averages'!N28</f>
        <v>87.637333333333331</v>
      </c>
      <c r="M12" s="30">
        <f>'Nicor-RO-10_Weekly_Averages'!N25</f>
        <v>0.89853941666666692</v>
      </c>
      <c r="N12" s="31">
        <f>'Nicor-RO-10_Weekly_Averages'!N31</f>
        <v>3.3040777957148446</v>
      </c>
    </row>
    <row r="13" spans="1:14" x14ac:dyDescent="0.25">
      <c r="A13" t="str">
        <f>'Nicor-RO-11_Weekly_Averages'!A1</f>
        <v>Nicor-RO-11</v>
      </c>
      <c r="B13" t="str">
        <f>'Nicor-RO-11_Weekly_Averages'!A3</f>
        <v>Front Load</v>
      </c>
      <c r="C13" t="str">
        <f>'Nicor-RO-11_Weekly_Averages'!B3</f>
        <v>2010</v>
      </c>
      <c r="D13" t="str">
        <f>'Nicor-RO-11_Weekly_Averages'!C3</f>
        <v>Samsung</v>
      </c>
      <c r="E13" t="str">
        <f>'Nicor-RO-11_Weekly_Averages'!D3</f>
        <v>WF210ANW/XAA 01</v>
      </c>
      <c r="F13" s="27">
        <f>'Nicor-RO-11_Weekly_Averages'!E3</f>
        <v>4</v>
      </c>
      <c r="G13" s="27">
        <f>'Nicor-RO-11_Weekly_Averages'!F3</f>
        <v>130</v>
      </c>
      <c r="H13" s="29">
        <f>'Nicor-RO-11_Weekly_Averages'!N13</f>
        <v>10.75</v>
      </c>
      <c r="I13" s="29">
        <f>'Nicor-RO-11_Weekly_Averages'!N21</f>
        <v>7.1374954218750002</v>
      </c>
      <c r="J13" s="29">
        <f>'Nicor-RO-11_Weekly_Averages'!N20</f>
        <v>7.1374954218750002</v>
      </c>
      <c r="K13" s="30">
        <f>'Nicor-RO-11_Weekly_Averages'!N22</f>
        <v>5.4958714748437503</v>
      </c>
      <c r="L13" s="30">
        <f>'Nicor-RO-11_Weekly_Averages'!N28</f>
        <v>89.44</v>
      </c>
      <c r="M13" s="30">
        <f>'Nicor-RO-11_Weekly_Averages'!N25</f>
        <v>3.6684374999999998E-2</v>
      </c>
      <c r="N13" s="31">
        <f>'Nicor-RO-11_Weekly_Averages'!N31</f>
        <v>3.161249418125879</v>
      </c>
    </row>
    <row r="14" spans="1:14" x14ac:dyDescent="0.25">
      <c r="A14" t="str">
        <f>'Nicor-RO-12_Weekly_Averages'!A1</f>
        <v>Nicor-RO-12</v>
      </c>
      <c r="B14" t="str">
        <f>'Nicor-RO-12_Weekly_Averages'!A3</f>
        <v>Top Load</v>
      </c>
      <c r="C14" t="str">
        <f>'Nicor-RO-12_Weekly_Averages'!B3</f>
        <v>2013</v>
      </c>
      <c r="D14" t="str">
        <f>'Nicor-RO-12_Weekly_Averages'!C3</f>
        <v>Samsung</v>
      </c>
      <c r="E14" t="str">
        <f>'Nicor-RO-12_Weekly_Averages'!D3</f>
        <v>WA422</v>
      </c>
      <c r="F14" s="27">
        <f>'Nicor-RO-12_Weekly_Averages'!E3</f>
        <v>4</v>
      </c>
      <c r="G14" s="27">
        <f>'Nicor-RO-12_Weekly_Averages'!F3</f>
        <v>169</v>
      </c>
      <c r="H14" s="29">
        <f>'Nicor-RO-12_Weekly_Averages'!N13</f>
        <v>9.2222222222222214</v>
      </c>
      <c r="I14" s="29">
        <f>'Nicor-RO-12_Weekly_Averages'!N21</f>
        <v>15.427046960362238</v>
      </c>
      <c r="J14" s="29">
        <f>'Nicor-RO-12_Weekly_Averages'!N20</f>
        <v>15.427046960362238</v>
      </c>
      <c r="K14" s="30">
        <f>'Nicor-RO-12_Weekly_Averages'!N22</f>
        <v>11.878826159478924</v>
      </c>
      <c r="L14" s="30">
        <f>'Nicor-RO-12_Weekly_Averages'!N28</f>
        <v>76.728888888888889</v>
      </c>
      <c r="M14" s="30">
        <f>'Nicor-RO-12_Weekly_Averages'!N25</f>
        <v>0.14299055555555554</v>
      </c>
      <c r="N14" s="31">
        <f>'Nicor-RO-12_Weekly_Averages'!N31</f>
        <v>3.3911822109882337</v>
      </c>
    </row>
    <row r="15" spans="1:14" x14ac:dyDescent="0.25">
      <c r="H15" s="27"/>
      <c r="I15" s="27"/>
      <c r="J15" s="27"/>
      <c r="L15" s="9"/>
      <c r="M15" s="9"/>
    </row>
    <row r="16" spans="1:14" x14ac:dyDescent="0.25">
      <c r="A16" s="17" t="s">
        <v>110</v>
      </c>
      <c r="F16" s="39"/>
      <c r="G16" s="20" t="s">
        <v>34</v>
      </c>
      <c r="H16" s="39">
        <f t="shared" ref="H16:N16" si="0">AVERAGE(H3:H9,H11:H14)</f>
        <v>7.6527547734069481</v>
      </c>
      <c r="I16" s="39">
        <f t="shared" si="0"/>
        <v>17.033144260841606</v>
      </c>
      <c r="J16" s="39">
        <f t="shared" si="0"/>
        <v>13.770139317474074</v>
      </c>
      <c r="K16" s="40">
        <f t="shared" si="0"/>
        <v>10.603007274455038</v>
      </c>
      <c r="L16" s="40">
        <f t="shared" si="0"/>
        <v>63.670919714745793</v>
      </c>
      <c r="M16" s="40">
        <f t="shared" si="0"/>
        <v>0.26139913694246419</v>
      </c>
      <c r="N16" s="39">
        <f t="shared" si="0"/>
        <v>4.6386450271284101</v>
      </c>
    </row>
    <row r="17" spans="1:12" x14ac:dyDescent="0.25">
      <c r="A17" s="37" t="s">
        <v>109</v>
      </c>
    </row>
    <row r="19" spans="1:12" x14ac:dyDescent="0.25">
      <c r="D19" s="134" t="s">
        <v>312</v>
      </c>
      <c r="E19" s="134"/>
      <c r="F19" s="134"/>
      <c r="G19" s="134"/>
      <c r="H19" s="134"/>
      <c r="I19" s="134"/>
      <c r="J19" s="134"/>
      <c r="K19" s="135" t="s">
        <v>315</v>
      </c>
      <c r="L19" s="135"/>
    </row>
    <row r="20" spans="1:12" s="87" customFormat="1" ht="30" x14ac:dyDescent="0.25">
      <c r="D20" s="88" t="s">
        <v>98</v>
      </c>
      <c r="E20" s="89" t="s">
        <v>12</v>
      </c>
      <c r="F20" s="89" t="s">
        <v>13</v>
      </c>
      <c r="G20" s="89" t="s">
        <v>313</v>
      </c>
      <c r="H20" s="90" t="s">
        <v>105</v>
      </c>
      <c r="I20" s="89" t="s">
        <v>104</v>
      </c>
      <c r="J20" s="90" t="s">
        <v>314</v>
      </c>
      <c r="K20" s="92" t="s">
        <v>316</v>
      </c>
      <c r="L20" s="92" t="s">
        <v>317</v>
      </c>
    </row>
    <row r="21" spans="1:12" x14ac:dyDescent="0.25">
      <c r="D21" s="83" t="s">
        <v>0</v>
      </c>
      <c r="E21" s="42">
        <f>'Nicor-RO-1_Weekly_Averages'!$N$6</f>
        <v>4.6239999999999997</v>
      </c>
      <c r="F21" s="42">
        <f>'Nicor-RO-1_Weekly_Averages'!$O$6</f>
        <v>3.1622222222222218</v>
      </c>
      <c r="G21" s="42">
        <f>E21-F21</f>
        <v>1.4617777777777778</v>
      </c>
      <c r="H21" s="42">
        <v>12.998959760747102</v>
      </c>
      <c r="I21" s="42">
        <v>11.074074074074074</v>
      </c>
      <c r="J21" s="82">
        <f>G21/E21</f>
        <v>0.31612841214917342</v>
      </c>
      <c r="K21" s="42">
        <f>'Nicor-RO-1_Weekly_Averages'!$O$8</f>
        <v>6.8281818181818181</v>
      </c>
      <c r="L21" s="45">
        <f>K21*295/1000</f>
        <v>2.0143136363636365</v>
      </c>
    </row>
    <row r="22" spans="1:12" x14ac:dyDescent="0.25">
      <c r="D22" s="83" t="s">
        <v>39</v>
      </c>
      <c r="E22" s="42">
        <f>'Nicor-RO-2_Weekly_Averages'!$N$6</f>
        <v>2.6979999999999995</v>
      </c>
      <c r="F22" s="42">
        <f>'Nicor-RO-2_Weekly_Averages'!$O$6</f>
        <v>0</v>
      </c>
      <c r="G22" s="42">
        <f t="shared" ref="G22:G32" si="1">E22-F22</f>
        <v>2.6979999999999995</v>
      </c>
      <c r="H22" s="42">
        <v>8.217633924186206</v>
      </c>
      <c r="I22" s="42">
        <v>6.75</v>
      </c>
      <c r="J22" s="82">
        <f t="shared" ref="J22:J32" si="2">G22/E22</f>
        <v>1</v>
      </c>
      <c r="K22" s="42">
        <f>'Nicor-RO-2_Weekly_Averages'!$O$8</f>
        <v>10.273214285714287</v>
      </c>
      <c r="L22" s="45">
        <f t="shared" ref="L22:L32" si="3">K22*295/1000</f>
        <v>3.0305982142857149</v>
      </c>
    </row>
    <row r="23" spans="1:12" x14ac:dyDescent="0.25">
      <c r="D23" s="83" t="s">
        <v>40</v>
      </c>
      <c r="E23" s="42">
        <f>'Nicor-RO-3_Weekly_Averages'!$N$6</f>
        <v>14.704000000000002</v>
      </c>
      <c r="F23" s="42">
        <f>'Nicor-RO-3_Weekly_Averages'!$O$6</f>
        <v>10.433333333333332</v>
      </c>
      <c r="G23" s="42">
        <f t="shared" si="1"/>
        <v>4.2706666666666706</v>
      </c>
      <c r="H23" s="42">
        <v>63.041661300242147</v>
      </c>
      <c r="I23" s="42">
        <v>9.0952380952380949</v>
      </c>
      <c r="J23" s="82">
        <f t="shared" si="2"/>
        <v>0.2904425099746103</v>
      </c>
      <c r="K23" s="42">
        <f>'Nicor-RO-3_Weekly_Averages'!$O$8</f>
        <v>0.2096666666666667</v>
      </c>
      <c r="L23" s="45">
        <f t="shared" si="3"/>
        <v>6.1851666666666673E-2</v>
      </c>
    </row>
    <row r="24" spans="1:12" x14ac:dyDescent="0.25">
      <c r="D24" s="83" t="s">
        <v>41</v>
      </c>
      <c r="E24" s="42">
        <f>'Nicor-RO-4_Weekly_Averages'!$N$6</f>
        <v>2.7925000000000004</v>
      </c>
      <c r="F24" s="42">
        <f>'Nicor-RO-4_Weekly_Averages'!$O$6</f>
        <v>4.2453846153846149</v>
      </c>
      <c r="G24" s="42">
        <f t="shared" si="1"/>
        <v>-1.4528846153846144</v>
      </c>
      <c r="H24" s="42">
        <v>-4.6948476739302514</v>
      </c>
      <c r="I24" s="42">
        <v>6</v>
      </c>
      <c r="J24" s="82">
        <f t="shared" si="2"/>
        <v>-0.52028097238482152</v>
      </c>
      <c r="K24" s="42">
        <f>'Nicor-RO-4_Weekly_Averages'!$O$8</f>
        <v>0.34153846153846157</v>
      </c>
      <c r="L24" s="45">
        <f t="shared" si="3"/>
        <v>0.10075384615384617</v>
      </c>
    </row>
    <row r="25" spans="1:12" x14ac:dyDescent="0.25">
      <c r="D25" s="83" t="s">
        <v>50</v>
      </c>
      <c r="E25" s="42">
        <f>'Nicor-RO-5_Weekly_Averages'!$N$6</f>
        <v>6.5</v>
      </c>
      <c r="F25" s="42">
        <f>'Nicor-RO-5_Weekly_Averages'!$O$6</f>
        <v>4.21</v>
      </c>
      <c r="G25" s="42">
        <f t="shared" si="1"/>
        <v>2.29</v>
      </c>
      <c r="H25" s="42">
        <v>17.071388070363991</v>
      </c>
      <c r="I25" s="42">
        <v>5.791666666666667</v>
      </c>
      <c r="J25" s="82">
        <f t="shared" si="2"/>
        <v>0.35230769230769232</v>
      </c>
      <c r="K25" s="42">
        <f>'Nicor-RO-5_Weekly_Averages'!$O$8</f>
        <v>7.4747058823529411</v>
      </c>
      <c r="L25" s="45">
        <f t="shared" si="3"/>
        <v>2.205038235294118</v>
      </c>
    </row>
    <row r="26" spans="1:12" x14ac:dyDescent="0.25">
      <c r="D26" s="83" t="s">
        <v>51</v>
      </c>
      <c r="E26" s="42">
        <f>'Nicor-RO-6_Weekly_Averages'!$N$6</f>
        <v>5.0449999999999999</v>
      </c>
      <c r="F26" s="42">
        <f>'Nicor-RO-6_Weekly_Averages'!$O$6</f>
        <v>0</v>
      </c>
      <c r="G26" s="42">
        <f t="shared" si="1"/>
        <v>5.0449999999999999</v>
      </c>
      <c r="H26" s="42">
        <v>10.635223268994249</v>
      </c>
      <c r="I26" s="42">
        <v>4.333333333333333</v>
      </c>
      <c r="J26" s="82">
        <f t="shared" si="2"/>
        <v>1</v>
      </c>
      <c r="K26" s="42">
        <f>'Nicor-RO-6_Weekly_Averages'!$O$8</f>
        <v>4.8377777777777773</v>
      </c>
      <c r="L26" s="45">
        <f t="shared" si="3"/>
        <v>1.4271444444444443</v>
      </c>
    </row>
    <row r="27" spans="1:12" x14ac:dyDescent="0.25">
      <c r="D27" s="83" t="s">
        <v>52</v>
      </c>
      <c r="E27" s="42">
        <f>'Nicor-RO-7_Weekly_Averages'!$N$6</f>
        <v>4.915</v>
      </c>
      <c r="F27" s="42">
        <f>'Nicor-RO-7_Weekly_Averages'!$O$6</f>
        <v>4.3420000000000005</v>
      </c>
      <c r="G27" s="42">
        <f t="shared" si="1"/>
        <v>0.57299999999999951</v>
      </c>
      <c r="H27" s="42">
        <v>0.11441276372126419</v>
      </c>
      <c r="I27" s="42">
        <v>4.5</v>
      </c>
      <c r="J27" s="82">
        <f t="shared" si="2"/>
        <v>0.11658189216683612</v>
      </c>
      <c r="K27" s="42">
        <f>'Nicor-RO-7_Weekly_Averages'!$O$8</f>
        <v>5.4122222222222218</v>
      </c>
      <c r="L27" s="45">
        <f t="shared" si="3"/>
        <v>1.5966055555555554</v>
      </c>
    </row>
    <row r="28" spans="1:12" x14ac:dyDescent="0.25">
      <c r="D28" s="91" t="s">
        <v>54</v>
      </c>
      <c r="E28" s="42">
        <f>'Nicor-RO-8_Weekly_Averages'!$N$6</f>
        <v>26.742999999999999</v>
      </c>
      <c r="F28" s="42">
        <f>'Nicor-RO-8_Weekly_Averages'!$O$6</f>
        <v>27.53131578947368</v>
      </c>
      <c r="G28" s="42">
        <f t="shared" si="1"/>
        <v>-0.78831578947368186</v>
      </c>
      <c r="H28" s="42">
        <v>-0.93020284558983235</v>
      </c>
      <c r="I28" s="42">
        <v>2.0833333333333335</v>
      </c>
      <c r="J28" s="82">
        <f t="shared" si="2"/>
        <v>-2.9477462867803981E-2</v>
      </c>
      <c r="K28" s="42">
        <f>'Nicor-RO-8_Weekly_Averages'!$O$8</f>
        <v>0.45736842105263165</v>
      </c>
      <c r="L28" s="45">
        <f t="shared" si="3"/>
        <v>0.13492368421052633</v>
      </c>
    </row>
    <row r="29" spans="1:12" x14ac:dyDescent="0.25">
      <c r="D29" s="83" t="s">
        <v>55</v>
      </c>
      <c r="E29" s="42">
        <f>'Nicor-RO-9_Weekly_Averages'!$N$6</f>
        <v>8.5566666666666666</v>
      </c>
      <c r="F29" s="42">
        <f>'Nicor-RO-9_Weekly_Averages'!$O$6</f>
        <v>0.22125</v>
      </c>
      <c r="G29" s="42">
        <f t="shared" si="1"/>
        <v>8.3354166666666671</v>
      </c>
      <c r="H29" s="42">
        <v>16.25229939166417</v>
      </c>
      <c r="I29" s="42">
        <v>6.1304347826086953</v>
      </c>
      <c r="J29" s="82">
        <f t="shared" si="2"/>
        <v>0.97414296844565651</v>
      </c>
      <c r="K29" s="42">
        <f>'Nicor-RO-9_Weekly_Averages'!$O$8</f>
        <v>6.3556249999999999</v>
      </c>
      <c r="L29" s="45">
        <f t="shared" si="3"/>
        <v>1.8749093749999999</v>
      </c>
    </row>
    <row r="30" spans="1:12" x14ac:dyDescent="0.25">
      <c r="D30" s="83" t="s">
        <v>56</v>
      </c>
      <c r="E30" s="42">
        <f>'Nicor-RO-10_Weekly_Averages'!$N$6</f>
        <v>2.4966666666666666</v>
      </c>
      <c r="F30" s="42">
        <f>'Nicor-RO-10_Weekly_Averages'!$O$6</f>
        <v>2.5105882352941173</v>
      </c>
      <c r="G30" s="42">
        <f t="shared" si="1"/>
        <v>-1.3921568627450753E-2</v>
      </c>
      <c r="H30" s="42">
        <v>5.2702593039886878</v>
      </c>
      <c r="I30" s="42">
        <v>10.533333333333333</v>
      </c>
      <c r="J30" s="82">
        <f t="shared" si="2"/>
        <v>-5.5760622005810766E-3</v>
      </c>
      <c r="K30" s="42">
        <f>'Nicor-RO-10_Weekly_Averages'!$O$8</f>
        <v>13.123750000000005</v>
      </c>
      <c r="L30" s="45">
        <f t="shared" si="3"/>
        <v>3.8715062500000013</v>
      </c>
    </row>
    <row r="31" spans="1:12" x14ac:dyDescent="0.25">
      <c r="D31" s="83" t="s">
        <v>57</v>
      </c>
      <c r="E31" s="42">
        <f>'Nicor-RO-11_Weekly_Averages'!$N$6</f>
        <v>1.3625</v>
      </c>
      <c r="F31" s="42">
        <f>'Nicor-RO-11_Weekly_Averages'!$O$6</f>
        <v>0</v>
      </c>
      <c r="G31" s="42">
        <f t="shared" si="1"/>
        <v>1.3625</v>
      </c>
      <c r="H31" s="42">
        <v>7.1374954218750002</v>
      </c>
      <c r="I31" s="42">
        <v>10.75</v>
      </c>
      <c r="J31" s="82">
        <f t="shared" si="2"/>
        <v>1</v>
      </c>
      <c r="K31" s="42">
        <f>'Nicor-RO-11_Weekly_Averages'!$O$8</f>
        <v>0.52500000000000002</v>
      </c>
      <c r="L31" s="45">
        <f t="shared" si="3"/>
        <v>0.15487500000000001</v>
      </c>
    </row>
    <row r="32" spans="1:12" x14ac:dyDescent="0.25">
      <c r="D32" s="83" t="s">
        <v>58</v>
      </c>
      <c r="E32" s="42">
        <f>'Nicor-RO-12_Weekly_Averages'!$N$6</f>
        <v>7.4399999999999995</v>
      </c>
      <c r="F32" s="42">
        <f>'Nicor-RO-12_Weekly_Averages'!$O$6</f>
        <v>0</v>
      </c>
      <c r="G32" s="42">
        <f t="shared" si="1"/>
        <v>7.4399999999999995</v>
      </c>
      <c r="H32" s="42">
        <v>15.427046960362238</v>
      </c>
      <c r="I32" s="42">
        <v>9.2222222222222214</v>
      </c>
      <c r="J32" s="82">
        <f t="shared" si="2"/>
        <v>1</v>
      </c>
      <c r="K32" s="42">
        <f>'Nicor-RO-12_Weekly_Averages'!$O$8</f>
        <v>2.3853846153846154</v>
      </c>
      <c r="L32" s="45">
        <f t="shared" si="3"/>
        <v>0.70368846153846154</v>
      </c>
    </row>
  </sheetData>
  <mergeCells count="2">
    <mergeCell ref="D19:J19"/>
    <mergeCell ref="K19:L1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sheetPr>
  <dimension ref="A1:J17"/>
  <sheetViews>
    <sheetView workbookViewId="0">
      <selection activeCell="C22" sqref="C22"/>
    </sheetView>
  </sheetViews>
  <sheetFormatPr defaultRowHeight="15" x14ac:dyDescent="0.25"/>
  <cols>
    <col min="1" max="2" width="10.5703125" customWidth="1"/>
    <col min="3" max="3" width="6" customWidth="1"/>
    <col min="5" max="5" width="12.42578125" customWidth="1"/>
    <col min="6" max="6" width="10.42578125" customWidth="1"/>
    <col min="7" max="7" width="9.42578125" customWidth="1"/>
    <col min="8" max="8" width="10" customWidth="1"/>
  </cols>
  <sheetData>
    <row r="1" spans="1:10" ht="35.450000000000003" customHeight="1" x14ac:dyDescent="0.25"/>
    <row r="2" spans="1:10" ht="59.1" customHeight="1" x14ac:dyDescent="0.25">
      <c r="A2" s="25" t="s">
        <v>98</v>
      </c>
      <c r="B2" s="25" t="s">
        <v>99</v>
      </c>
      <c r="C2" s="25" t="s">
        <v>100</v>
      </c>
      <c r="D2" s="25" t="s">
        <v>104</v>
      </c>
      <c r="E2" s="25" t="s">
        <v>107</v>
      </c>
      <c r="F2" s="25" t="s">
        <v>105</v>
      </c>
      <c r="G2" s="25" t="s">
        <v>22</v>
      </c>
      <c r="H2" s="25" t="s">
        <v>36</v>
      </c>
      <c r="I2" s="25" t="s">
        <v>106</v>
      </c>
      <c r="J2" s="25" t="s">
        <v>38</v>
      </c>
    </row>
    <row r="3" spans="1:10" x14ac:dyDescent="0.25">
      <c r="A3" t="str">
        <f>'Nicor-RO-1_Weekly_Averages'!A1</f>
        <v xml:space="preserve">Nicor-RO-1 </v>
      </c>
      <c r="B3" t="str">
        <f>'Nicor-RO-11_Weekly_Averages'!A3</f>
        <v>Front Load</v>
      </c>
      <c r="C3" t="str">
        <f>'Nicor-RO-11_Weekly_Averages'!B3</f>
        <v>2010</v>
      </c>
      <c r="D3" s="29">
        <f>'Nicor-RO-1_Weekly_Averages'!N13</f>
        <v>11.074074074074074</v>
      </c>
      <c r="E3" s="29">
        <f>'Nicor-RO-1_Weekly_Averages'!N21</f>
        <v>25.901899206743295</v>
      </c>
      <c r="F3" s="29">
        <f>'Nicor-RO-1_Weekly_Averages'!N20</f>
        <v>12.998959760747102</v>
      </c>
      <c r="G3" s="30">
        <f>'Nicor-RO-1_Weekly_Averages'!N22</f>
        <v>10.009199015775268</v>
      </c>
      <c r="H3" s="30">
        <f>'Nicor-RO-1_Weekly_Averages'!N28</f>
        <v>92.136296296296308</v>
      </c>
      <c r="I3" s="30">
        <f>'Nicor-RO-1_Weekly_Averages'!N25</f>
        <v>0.49150264309764308</v>
      </c>
      <c r="J3" s="31">
        <f>'Nicor-RO-1_Weekly_Averages'!N31</f>
        <v>2.9511875738803495</v>
      </c>
    </row>
    <row r="4" spans="1:10" x14ac:dyDescent="0.25">
      <c r="A4" t="str">
        <f>'Nicor-RO-2_Weekly_Averages'!A1</f>
        <v xml:space="preserve">Nicor-RO-2 </v>
      </c>
      <c r="B4" s="26" t="str">
        <f>'Nicor-RO-2_Weekly_Averages'!A3</f>
        <v>Front Load</v>
      </c>
      <c r="C4" s="26" t="str">
        <f>'Nicor-RO-2_Weekly_Averages'!B3</f>
        <v>2012</v>
      </c>
      <c r="D4" s="29">
        <f>'Nicor-RO-2_Weekly_Averages'!N13</f>
        <v>6.75</v>
      </c>
      <c r="E4" s="29">
        <f>'Nicor-RO-2_Weekly_Averages'!N21</f>
        <v>8.217633924186206</v>
      </c>
      <c r="F4" s="29">
        <f>'Nicor-RO-2_Weekly_Averages'!N20</f>
        <v>8.217633924186206</v>
      </c>
      <c r="G4" s="30">
        <f>'Nicor-RO-2_Weekly_Averages'!N22</f>
        <v>6.3275781216233788</v>
      </c>
      <c r="H4" s="30">
        <f>'Nicor-RO-2_Weekly_Averages'!N28</f>
        <v>56.160000000000004</v>
      </c>
      <c r="I4" s="30">
        <f>'Nicor-RO-2_Weekly_Averages'!N25</f>
        <v>0.45073727678571435</v>
      </c>
      <c r="J4" s="31">
        <f>'Nicor-RO-2_Weekly_Averages'!N31</f>
        <v>4.8358361888597718</v>
      </c>
    </row>
    <row r="5" spans="1:10" x14ac:dyDescent="0.25">
      <c r="A5" t="str">
        <f>'Nicor-RO-3_Weekly_Averages'!A1</f>
        <v xml:space="preserve">Nicor-RO-3 </v>
      </c>
      <c r="B5" s="26" t="str">
        <f>'Nicor-RO-3_Weekly_Averages'!A3</f>
        <v>Top Load</v>
      </c>
      <c r="C5" s="26" t="str">
        <f>'Nicor-RO-3_Weekly_Averages'!B3</f>
        <v>2007</v>
      </c>
      <c r="D5" s="29">
        <f>'Nicor-RO-3_Weekly_Averages'!N13</f>
        <v>9.0952380952380949</v>
      </c>
      <c r="E5" s="29">
        <f>'Nicor-RO-3_Weekly_Averages'!N21</f>
        <v>65.487292833477952</v>
      </c>
      <c r="F5" s="29">
        <f>'Nicor-RO-3_Weekly_Averages'!N20</f>
        <v>63.041661300242147</v>
      </c>
      <c r="G5" s="30">
        <f>'Nicor-RO-3_Weekly_Averages'!N22</f>
        <v>48.542079201186453</v>
      </c>
      <c r="H5" s="30">
        <f>'Nicor-RO-3_Weekly_Averages'!N28</f>
        <v>75.672380952380948</v>
      </c>
      <c r="I5" s="30">
        <f>'Nicor-RO-3_Weekly_Averages'!N25</f>
        <v>1.2395293650793653E-2</v>
      </c>
      <c r="J5" s="31">
        <f>'Nicor-RO-3_Weekly_Averages'!N31</f>
        <v>2.4154187801817955</v>
      </c>
    </row>
    <row r="6" spans="1:10" x14ac:dyDescent="0.25">
      <c r="A6" t="str">
        <f>'Nicor-RO-4_Weekly_Averages'!A1</f>
        <v xml:space="preserve">Nicor-RO-4 </v>
      </c>
      <c r="B6" s="26" t="str">
        <f>'Nicor-RO-4_Weekly_Averages'!A3</f>
        <v>Front Load</v>
      </c>
      <c r="C6" s="26" t="str">
        <f>'Nicor-RO-4_Weekly_Averages'!B3</f>
        <v>2007</v>
      </c>
      <c r="D6" s="29">
        <f>'Nicor-RO-4_Weekly_Averages'!N13</f>
        <v>6</v>
      </c>
      <c r="E6" s="29">
        <f>'Nicor-RO-4_Weekly_Averages'!N21</f>
        <v>9.900317029267244</v>
      </c>
      <c r="F6" s="29">
        <f>'Nicor-RO-4_Weekly_Averages'!N20</f>
        <v>-4.6948476739302514</v>
      </c>
      <c r="G6" s="30">
        <f>'Nicor-RO-4_Weekly_Averages'!N22</f>
        <v>-3.6150327089262935</v>
      </c>
      <c r="H6" s="30">
        <f>'Nicor-RO-4_Weekly_Averages'!N28</f>
        <v>49.92</v>
      </c>
      <c r="I6" s="30">
        <f>'Nicor-RO-4_Weekly_Averages'!N25</f>
        <v>1.332E-2</v>
      </c>
      <c r="J6" s="31">
        <f>'Nicor-RO-4_Weekly_Averages'!N31</f>
        <v>6.4806507773130848</v>
      </c>
    </row>
    <row r="7" spans="1:10" x14ac:dyDescent="0.25">
      <c r="A7" t="str">
        <f>'Nicor-RO-5_Weekly_Averages'!A1</f>
        <v xml:space="preserve">Nicor-RO-5 </v>
      </c>
      <c r="B7" s="26" t="str">
        <f>'Nicor-RO-5_Weekly_Averages'!A3</f>
        <v>Front Load</v>
      </c>
      <c r="C7" s="26" t="str">
        <f>'Nicor-RO-5_Weekly_Averages'!B3</f>
        <v>2005</v>
      </c>
      <c r="D7" s="29">
        <f>'Nicor-RO-5_Weekly_Averages'!N13</f>
        <v>5.791666666666667</v>
      </c>
      <c r="E7" s="29">
        <f>'Nicor-RO-5_Weekly_Averages'!N21</f>
        <v>17.30006395498085</v>
      </c>
      <c r="F7" s="29">
        <f>'Nicor-RO-5_Weekly_Averages'!N20</f>
        <v>17.071388070363991</v>
      </c>
      <c r="G7" s="30">
        <f>'Nicor-RO-5_Weekly_Averages'!N22</f>
        <v>13.144968814180274</v>
      </c>
      <c r="H7" s="30">
        <f>'Nicor-RO-5_Weekly_Averages'!N28</f>
        <v>48.186666666666667</v>
      </c>
      <c r="I7" s="30">
        <f>'Nicor-RO-5_Weekly_Averages'!N25</f>
        <v>0.28139153186274507</v>
      </c>
      <c r="J7" s="31">
        <f>'Nicor-RO-5_Weekly_Averages'!N31</f>
        <v>4.9139852782683544</v>
      </c>
    </row>
    <row r="8" spans="1:10" x14ac:dyDescent="0.25">
      <c r="A8" t="str">
        <f>'Nicor-RO-6_Weekly_Averages'!A1</f>
        <v>Nicor-RO-6</v>
      </c>
      <c r="B8" s="26" t="str">
        <f>'Nicor-RO-6_Weekly_Averages'!A3</f>
        <v>Top Load</v>
      </c>
      <c r="C8" s="26" t="str">
        <f>'Nicor-RO-6_Weekly_Averages'!B3</f>
        <v>2004</v>
      </c>
      <c r="D8" s="29">
        <f>'Nicor-RO-6_Weekly_Averages'!N13</f>
        <v>4.333333333333333</v>
      </c>
      <c r="E8" s="29">
        <f>'Nicor-RO-6_Weekly_Averages'!N21</f>
        <v>10.635223268994249</v>
      </c>
      <c r="F8" s="29">
        <f>'Nicor-RO-6_Weekly_Averages'!N20</f>
        <v>10.635223268994249</v>
      </c>
      <c r="G8" s="30">
        <f>'Nicor-RO-6_Weekly_Averages'!N22</f>
        <v>8.189121917125572</v>
      </c>
      <c r="H8" s="30">
        <f>'Nicor-RO-6_Weekly_Averages'!N28</f>
        <v>36.053333333333327</v>
      </c>
      <c r="I8" s="30">
        <f>'Nicor-RO-6_Weekly_Averages'!N25</f>
        <v>0.13626407407407404</v>
      </c>
      <c r="J8" s="31">
        <f>'Nicor-RO-6_Weekly_Averages'!N31</f>
        <v>6.8017661919677366</v>
      </c>
    </row>
    <row r="9" spans="1:10" x14ac:dyDescent="0.25">
      <c r="A9" t="str">
        <f>'Nicor-RO-7_Weekly_Averages'!A1</f>
        <v>Nicor-RO-7</v>
      </c>
      <c r="B9" s="26" t="str">
        <f>'Nicor-RO-7_Weekly_Averages'!A3</f>
        <v>Top Load</v>
      </c>
      <c r="C9" s="26" t="str">
        <f>'Nicor-RO-7_Weekly_Averages'!B3</f>
        <v>2004</v>
      </c>
      <c r="D9" s="29">
        <f>'Nicor-RO-7_Weekly_Averages'!N13</f>
        <v>4.5</v>
      </c>
      <c r="E9" s="29">
        <f>'Nicor-RO-7_Weekly_Averages'!N21</f>
        <v>0.77236753376436784</v>
      </c>
      <c r="F9" s="29">
        <f>'Nicor-RO-7_Weekly_Averages'!N20</f>
        <v>0.11441276372126419</v>
      </c>
      <c r="G9" s="30">
        <f>'Nicor-RO-7_Weekly_Averages'!N22</f>
        <v>8.8097828065373432E-2</v>
      </c>
      <c r="H9" s="30">
        <f>'Nicor-RO-7_Weekly_Averages'!N28</f>
        <v>37.44</v>
      </c>
      <c r="I9" s="30">
        <f>'Nicor-RO-7_Weekly_Averages'!N25</f>
        <v>0.15830749999999999</v>
      </c>
      <c r="J9" s="31">
        <f>'Nicor-RO-7_Weekly_Averages'!N31</f>
        <v>8.0278748520217071</v>
      </c>
    </row>
    <row r="10" spans="1:10" x14ac:dyDescent="0.25">
      <c r="A10" s="17" t="str">
        <f>'Nicor-RO-8_Weekly_Averages'!A1</f>
        <v>Nicor-RO-8</v>
      </c>
      <c r="B10" s="32" t="str">
        <f>'Nicor-RO-8_Weekly_Averages'!A3</f>
        <v>Top Load</v>
      </c>
      <c r="C10" s="32" t="str">
        <f>'Nicor-RO-8_Weekly_Averages'!B3</f>
        <v>2004</v>
      </c>
      <c r="D10" s="34">
        <f>'Nicor-RO-8_Weekly_Averages'!N13</f>
        <v>2.0833333333333335</v>
      </c>
      <c r="E10" s="34">
        <f>'Nicor-RO-8_Weekly_Averages'!N21</f>
        <v>31.556408017931041</v>
      </c>
      <c r="F10" s="34">
        <f>'Nicor-RO-8_Weekly_Averages'!N20</f>
        <v>-0.93020284558983235</v>
      </c>
      <c r="G10" s="35">
        <f>'Nicor-RO-8_Weekly_Averages'!N22</f>
        <v>-0.71625619110417094</v>
      </c>
      <c r="H10" s="35">
        <f>'Nicor-RO-8_Weekly_Averages'!N28</f>
        <v>17.333333333333336</v>
      </c>
      <c r="I10" s="35">
        <f>'Nicor-RO-8_Weekly_Averages'!N25</f>
        <v>6.1935307017543873E-3</v>
      </c>
      <c r="J10" s="36">
        <f>'Nicor-RO-8_Weekly_Averages'!N31</f>
        <v>18.060448018057862</v>
      </c>
    </row>
    <row r="11" spans="1:10" x14ac:dyDescent="0.25">
      <c r="A11" t="str">
        <f>'Nicor-RO-9_Weekly_Averages'!A1</f>
        <v>Nicor-RO-9</v>
      </c>
      <c r="B11" t="str">
        <f>'Nicor-RO-9_Weekly_Averages'!A3</f>
        <v>Top Load</v>
      </c>
      <c r="C11" t="str">
        <f>'Nicor-RO-9_Weekly_Averages'!B3</f>
        <v>1993</v>
      </c>
      <c r="D11" s="29">
        <f>'Nicor-RO-9_Weekly_Averages'!N13</f>
        <v>6.1304347826086953</v>
      </c>
      <c r="E11" s="29">
        <f>'Nicor-RO-9_Weekly_Averages'!N21</f>
        <v>16.25229939166417</v>
      </c>
      <c r="F11" s="29">
        <f>'Nicor-RO-9_Weekly_Averages'!N20</f>
        <v>16.25229939166417</v>
      </c>
      <c r="G11" s="30">
        <f>'Nicor-RO-9_Weekly_Averages'!N22</f>
        <v>12.514270531581412</v>
      </c>
      <c r="H11" s="30">
        <f>'Nicor-RO-9_Weekly_Averages'!N28</f>
        <v>51.005217391304349</v>
      </c>
      <c r="I11" s="30">
        <f>'Nicor-RO-9_Weekly_Averages'!N25</f>
        <v>0.25325783967391308</v>
      </c>
      <c r="J11" s="31">
        <f>'Nicor-RO-9_Weekly_Averages'!N31</f>
        <v>4.74186623109075</v>
      </c>
    </row>
    <row r="12" spans="1:10" x14ac:dyDescent="0.25">
      <c r="A12" t="str">
        <f>'Nicor-RO-10_Weekly_Averages'!A1</f>
        <v>Nicor-RO-10</v>
      </c>
      <c r="B12" s="26" t="str">
        <f>'Nicor-RO-10_Weekly_Averages'!A3</f>
        <v>Front Load</v>
      </c>
      <c r="C12" s="26" t="str">
        <f>'Nicor-RO-10_Weekly_Averages'!B3</f>
        <v>2012</v>
      </c>
      <c r="D12" s="29">
        <f>'Nicor-RO-10_Weekly_Averages'!N13</f>
        <v>10.533333333333333</v>
      </c>
      <c r="E12" s="29">
        <f>'Nicor-RO-10_Weekly_Averages'!N21</f>
        <v>10.332947343942104</v>
      </c>
      <c r="F12" s="29">
        <f>'Nicor-RO-10_Weekly_Averages'!N20</f>
        <v>5.2702593039886878</v>
      </c>
      <c r="G12" s="30">
        <f>'Nicor-RO-10_Weekly_Averages'!N22</f>
        <v>4.0580996640712899</v>
      </c>
      <c r="H12" s="30">
        <f>'Nicor-RO-10_Weekly_Averages'!N28</f>
        <v>87.637333333333331</v>
      </c>
      <c r="I12" s="30">
        <f>'Nicor-RO-10_Weekly_Averages'!N25</f>
        <v>0.89853941666666692</v>
      </c>
      <c r="J12" s="31">
        <f>'Nicor-RO-10_Weekly_Averages'!N31</f>
        <v>3.3040777957148446</v>
      </c>
    </row>
    <row r="13" spans="1:10" x14ac:dyDescent="0.25">
      <c r="A13" t="str">
        <f>'Nicor-RO-11_Weekly_Averages'!A1</f>
        <v>Nicor-RO-11</v>
      </c>
      <c r="B13" t="str">
        <f>'Nicor-RO-11_Weekly_Averages'!A3</f>
        <v>Front Load</v>
      </c>
      <c r="C13" t="str">
        <f>'Nicor-RO-11_Weekly_Averages'!B3</f>
        <v>2010</v>
      </c>
      <c r="D13" s="29">
        <f>'Nicor-RO-11_Weekly_Averages'!N13</f>
        <v>10.75</v>
      </c>
      <c r="E13" s="29">
        <f>'Nicor-RO-11_Weekly_Averages'!N21</f>
        <v>7.1374954218750002</v>
      </c>
      <c r="F13" s="29">
        <f>'Nicor-RO-11_Weekly_Averages'!N20</f>
        <v>7.1374954218750002</v>
      </c>
      <c r="G13" s="30">
        <f>'Nicor-RO-11_Weekly_Averages'!N22</f>
        <v>5.4958714748437503</v>
      </c>
      <c r="H13" s="30">
        <f>'Nicor-RO-11_Weekly_Averages'!N28</f>
        <v>89.44</v>
      </c>
      <c r="I13" s="30">
        <f>'Nicor-RO-11_Weekly_Averages'!N25</f>
        <v>3.6684374999999998E-2</v>
      </c>
      <c r="J13" s="31">
        <f>'Nicor-RO-11_Weekly_Averages'!N31</f>
        <v>3.161249418125879</v>
      </c>
    </row>
    <row r="14" spans="1:10" x14ac:dyDescent="0.25">
      <c r="A14" t="str">
        <f>'Nicor-RO-12_Weekly_Averages'!A1</f>
        <v>Nicor-RO-12</v>
      </c>
      <c r="B14" t="str">
        <f>'Nicor-RO-12_Weekly_Averages'!A3</f>
        <v>Top Load</v>
      </c>
      <c r="C14" t="str">
        <f>'Nicor-RO-12_Weekly_Averages'!B3</f>
        <v>2013</v>
      </c>
      <c r="D14" s="29">
        <f>'Nicor-RO-12_Weekly_Averages'!N13</f>
        <v>9.2222222222222214</v>
      </c>
      <c r="E14" s="29">
        <f>'Nicor-RO-12_Weekly_Averages'!N21</f>
        <v>15.427046960362238</v>
      </c>
      <c r="F14" s="29">
        <f>'Nicor-RO-12_Weekly_Averages'!N20</f>
        <v>15.427046960362238</v>
      </c>
      <c r="G14" s="30">
        <f>'Nicor-RO-12_Weekly_Averages'!N22</f>
        <v>11.878826159478924</v>
      </c>
      <c r="H14" s="30">
        <f>'Nicor-RO-12_Weekly_Averages'!N28</f>
        <v>76.728888888888889</v>
      </c>
      <c r="I14" s="30">
        <f>'Nicor-RO-12_Weekly_Averages'!N25</f>
        <v>0.14299055555555554</v>
      </c>
      <c r="J14" s="31">
        <f>'Nicor-RO-12_Weekly_Averages'!N31</f>
        <v>3.3911822109882337</v>
      </c>
    </row>
    <row r="15" spans="1:10" x14ac:dyDescent="0.25">
      <c r="D15" s="27"/>
      <c r="E15" s="27"/>
      <c r="F15" s="27"/>
      <c r="H15" s="9"/>
      <c r="I15" s="9"/>
    </row>
    <row r="16" spans="1:10" x14ac:dyDescent="0.25">
      <c r="A16" s="17" t="s">
        <v>110</v>
      </c>
      <c r="D16" s="39">
        <f t="shared" ref="D16:J16" si="0">AVERAGE(D3:D9,D11:D14)</f>
        <v>7.6527547734069481</v>
      </c>
      <c r="E16" s="39">
        <f t="shared" si="0"/>
        <v>17.033144260841606</v>
      </c>
      <c r="F16" s="39">
        <f t="shared" si="0"/>
        <v>13.770139317474074</v>
      </c>
      <c r="G16" s="40">
        <f t="shared" si="0"/>
        <v>10.603007274455038</v>
      </c>
      <c r="H16" s="40">
        <f t="shared" si="0"/>
        <v>63.670919714745793</v>
      </c>
      <c r="I16" s="40">
        <f t="shared" si="0"/>
        <v>0.26139913694246419</v>
      </c>
      <c r="J16" s="39">
        <f t="shared" si="0"/>
        <v>4.6386450271284101</v>
      </c>
    </row>
    <row r="17" spans="1:1" x14ac:dyDescent="0.25">
      <c r="A17" s="6"/>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sheetPr>
  <dimension ref="A1:W38"/>
  <sheetViews>
    <sheetView zoomScale="70" zoomScaleNormal="70" workbookViewId="0">
      <selection activeCell="O8" sqref="O8"/>
    </sheetView>
  </sheetViews>
  <sheetFormatPr defaultRowHeight="15" x14ac:dyDescent="0.25"/>
  <cols>
    <col min="1" max="1" width="11" customWidth="1"/>
    <col min="2" max="2" width="14" bestFit="1" customWidth="1"/>
    <col min="3" max="3" width="23.7109375" bestFit="1" customWidth="1"/>
    <col min="4" max="4" width="15" bestFit="1" customWidth="1"/>
    <col min="5" max="5" width="16.28515625" bestFit="1" customWidth="1"/>
    <col min="6" max="6" width="16.42578125" bestFit="1" customWidth="1"/>
    <col min="7" max="7" width="15" bestFit="1" customWidth="1"/>
    <col min="9" max="9" width="11.42578125" customWidth="1"/>
    <col min="10" max="10" width="11.5703125" bestFit="1" customWidth="1"/>
    <col min="11" max="11" width="12.28515625" bestFit="1" customWidth="1"/>
    <col min="12" max="12" width="5.28515625" customWidth="1"/>
    <col min="13" max="13" width="41.140625" customWidth="1"/>
    <col min="14" max="14" width="9.7109375" customWidth="1"/>
    <col min="15" max="15" width="8.5703125" customWidth="1"/>
    <col min="17" max="17" width="17" customWidth="1"/>
  </cols>
  <sheetData>
    <row r="1" spans="1:23" x14ac:dyDescent="0.25">
      <c r="A1" t="s">
        <v>0</v>
      </c>
    </row>
    <row r="2" spans="1:23" x14ac:dyDescent="0.25">
      <c r="A2" t="s">
        <v>67</v>
      </c>
      <c r="B2" t="s">
        <v>68</v>
      </c>
      <c r="C2" t="s">
        <v>69</v>
      </c>
      <c r="D2" t="s">
        <v>70</v>
      </c>
      <c r="E2" t="s">
        <v>66</v>
      </c>
      <c r="F2" s="19" t="s">
        <v>71</v>
      </c>
      <c r="H2" s="19"/>
      <c r="I2" s="6" t="s">
        <v>72</v>
      </c>
    </row>
    <row r="3" spans="1:23" x14ac:dyDescent="0.25">
      <c r="A3" s="18" t="s">
        <v>62</v>
      </c>
      <c r="B3" s="18" t="s">
        <v>63</v>
      </c>
      <c r="C3" s="18" t="s">
        <v>64</v>
      </c>
      <c r="D3" s="18" t="s">
        <v>65</v>
      </c>
      <c r="E3">
        <v>4</v>
      </c>
      <c r="F3" s="6">
        <v>161</v>
      </c>
    </row>
    <row r="4" spans="1:23" x14ac:dyDescent="0.25">
      <c r="H4" s="2"/>
      <c r="I4" t="s">
        <v>12</v>
      </c>
      <c r="V4" s="19"/>
      <c r="W4" s="6" t="s">
        <v>72</v>
      </c>
    </row>
    <row r="5" spans="1:23" x14ac:dyDescent="0.25">
      <c r="A5" t="s">
        <v>1</v>
      </c>
      <c r="H5" s="3"/>
      <c r="I5" t="s">
        <v>13</v>
      </c>
      <c r="N5" s="20" t="s">
        <v>12</v>
      </c>
      <c r="O5" s="20" t="s">
        <v>13</v>
      </c>
    </row>
    <row r="6" spans="1:23" x14ac:dyDescent="0.25">
      <c r="A6" t="s">
        <v>2</v>
      </c>
      <c r="B6" t="s">
        <v>3</v>
      </c>
      <c r="C6" t="s">
        <v>4</v>
      </c>
      <c r="D6" t="s">
        <v>5</v>
      </c>
      <c r="E6" t="s">
        <v>6</v>
      </c>
      <c r="F6" t="s">
        <v>7</v>
      </c>
      <c r="G6" t="s">
        <v>8</v>
      </c>
      <c r="H6" t="s">
        <v>9</v>
      </c>
      <c r="I6" t="s">
        <v>10</v>
      </c>
      <c r="J6" t="s">
        <v>11</v>
      </c>
      <c r="K6" t="s">
        <v>15</v>
      </c>
      <c r="M6" t="s">
        <v>49</v>
      </c>
      <c r="N6" s="8">
        <f>AVERAGE(G9:G13)</f>
        <v>4.6239999999999997</v>
      </c>
      <c r="O6" s="8">
        <f xml:space="preserve"> AVERAGE(G16:G33)</f>
        <v>3.1622222222222218</v>
      </c>
      <c r="P6" s="8"/>
      <c r="Q6" s="8"/>
    </row>
    <row r="7" spans="1:23" x14ac:dyDescent="0.25">
      <c r="A7" s="1">
        <v>42225</v>
      </c>
      <c r="B7">
        <v>63.79</v>
      </c>
      <c r="C7">
        <v>136.5</v>
      </c>
      <c r="D7">
        <v>0</v>
      </c>
      <c r="E7">
        <v>34.770000000000003</v>
      </c>
      <c r="F7">
        <v>67.8</v>
      </c>
      <c r="G7">
        <v>5.49</v>
      </c>
      <c r="H7">
        <v>123</v>
      </c>
      <c r="I7">
        <v>0</v>
      </c>
      <c r="J7">
        <v>3</v>
      </c>
      <c r="K7">
        <f>SUM(I7:J7)</f>
        <v>3</v>
      </c>
      <c r="M7" t="s">
        <v>48</v>
      </c>
      <c r="N7" s="8">
        <f>AVERAGE(E7:E11)</f>
        <v>38.525999999999996</v>
      </c>
      <c r="O7" s="8">
        <f>AVERAGE(E14:E35)</f>
        <v>52.308181818181829</v>
      </c>
      <c r="P7" s="8"/>
      <c r="Q7" s="8"/>
    </row>
    <row r="8" spans="1:23" x14ac:dyDescent="0.25">
      <c r="A8" s="1">
        <v>42239</v>
      </c>
      <c r="B8">
        <v>74.430000000000007</v>
      </c>
      <c r="C8">
        <v>139.88</v>
      </c>
      <c r="D8">
        <v>0</v>
      </c>
      <c r="E8">
        <v>43.29</v>
      </c>
      <c r="F8">
        <v>67.2</v>
      </c>
      <c r="G8">
        <v>4.84</v>
      </c>
      <c r="H8">
        <v>126.9</v>
      </c>
      <c r="I8">
        <v>0</v>
      </c>
      <c r="J8">
        <v>4</v>
      </c>
      <c r="K8">
        <f t="shared" ref="K8:K38" si="0">SUM(I8:J8)</f>
        <v>4</v>
      </c>
      <c r="M8" t="s">
        <v>47</v>
      </c>
      <c r="N8" s="8">
        <v>0</v>
      </c>
      <c r="O8" s="8">
        <f>AVERAGE(D14:D35)</f>
        <v>6.8281818181818181</v>
      </c>
      <c r="P8" s="8"/>
      <c r="Q8" s="8"/>
    </row>
    <row r="9" spans="1:23" x14ac:dyDescent="0.25">
      <c r="A9" s="4">
        <v>42246</v>
      </c>
      <c r="B9" s="2">
        <v>69.28</v>
      </c>
      <c r="C9" s="2">
        <v>128.52000000000001</v>
      </c>
      <c r="D9" s="2">
        <v>0</v>
      </c>
      <c r="E9" s="2">
        <v>40.799999999999997</v>
      </c>
      <c r="F9" s="2">
        <v>67.3</v>
      </c>
      <c r="G9" s="2">
        <v>4.54</v>
      </c>
      <c r="H9" s="2">
        <v>124.2</v>
      </c>
      <c r="I9" s="2">
        <v>0</v>
      </c>
      <c r="J9" s="2">
        <v>7</v>
      </c>
      <c r="K9" s="2">
        <f t="shared" si="0"/>
        <v>7</v>
      </c>
      <c r="M9" t="s">
        <v>46</v>
      </c>
      <c r="N9" s="8">
        <f>AVERAGE(I9:I13)</f>
        <v>0.4</v>
      </c>
      <c r="O9" s="8">
        <f>AVERAGE(I14:I35)</f>
        <v>3.3636363636363638</v>
      </c>
      <c r="P9" s="8"/>
      <c r="Q9" s="8"/>
    </row>
    <row r="10" spans="1:23" x14ac:dyDescent="0.25">
      <c r="A10" s="4">
        <v>42253</v>
      </c>
      <c r="B10" s="2">
        <v>63.86</v>
      </c>
      <c r="C10" s="2">
        <v>117.51</v>
      </c>
      <c r="D10" s="2">
        <v>0</v>
      </c>
      <c r="E10" s="2">
        <v>34.65</v>
      </c>
      <c r="F10" s="2">
        <v>67.400000000000006</v>
      </c>
      <c r="G10" s="2">
        <v>4.84</v>
      </c>
      <c r="H10" s="2">
        <v>124.2</v>
      </c>
      <c r="I10" s="2">
        <v>0</v>
      </c>
      <c r="J10" s="2">
        <v>11</v>
      </c>
      <c r="K10" s="2">
        <f t="shared" si="0"/>
        <v>11</v>
      </c>
      <c r="M10" t="s">
        <v>45</v>
      </c>
      <c r="N10" s="8">
        <f>AVERAGE(J9:J13)</f>
        <v>10</v>
      </c>
      <c r="O10" s="8">
        <f>AVERAGE(J14:J35)</f>
        <v>7.8636363636363633</v>
      </c>
      <c r="P10" s="8"/>
      <c r="Q10" s="8"/>
    </row>
    <row r="11" spans="1:23" x14ac:dyDescent="0.25">
      <c r="A11" s="4">
        <v>42260</v>
      </c>
      <c r="B11" s="2">
        <v>71.66</v>
      </c>
      <c r="C11" s="2">
        <v>130.35</v>
      </c>
      <c r="D11" s="2">
        <v>0</v>
      </c>
      <c r="E11" s="2">
        <v>39.119999999999997</v>
      </c>
      <c r="F11" s="2">
        <v>68.099999999999994</v>
      </c>
      <c r="G11" s="2">
        <v>5.08</v>
      </c>
      <c r="H11" s="2">
        <v>125.1</v>
      </c>
      <c r="I11" s="2">
        <v>0</v>
      </c>
      <c r="J11" s="2">
        <v>10</v>
      </c>
      <c r="K11" s="2">
        <f t="shared" si="0"/>
        <v>10</v>
      </c>
      <c r="M11" t="s">
        <v>44</v>
      </c>
      <c r="N11" s="8">
        <f>SUM(N9:N10)</f>
        <v>10.4</v>
      </c>
      <c r="O11" s="8">
        <f>SUM(O9:O10)</f>
        <v>11.227272727272727</v>
      </c>
      <c r="P11" s="8"/>
      <c r="Q11" s="8"/>
    </row>
    <row r="12" spans="1:23" x14ac:dyDescent="0.25">
      <c r="A12" s="4">
        <v>42267</v>
      </c>
      <c r="B12" s="2">
        <v>67.790000000000006</v>
      </c>
      <c r="C12" s="2">
        <v>125.9</v>
      </c>
      <c r="D12" s="2">
        <v>0</v>
      </c>
      <c r="E12" s="2">
        <v>37.409999999999997</v>
      </c>
      <c r="F12" s="2">
        <v>67.8</v>
      </c>
      <c r="G12" s="2">
        <v>3.92</v>
      </c>
      <c r="H12" s="2">
        <v>124</v>
      </c>
      <c r="I12" s="2">
        <v>0</v>
      </c>
      <c r="J12" s="2">
        <v>11</v>
      </c>
      <c r="K12" s="2">
        <f t="shared" si="0"/>
        <v>11</v>
      </c>
      <c r="M12" t="s">
        <v>42</v>
      </c>
      <c r="N12" s="14">
        <f>N10/N11</f>
        <v>0.96153846153846145</v>
      </c>
      <c r="O12" s="14">
        <f>O10/O11</f>
        <v>0.7004048582995952</v>
      </c>
      <c r="P12" s="8"/>
      <c r="Q12" s="8"/>
    </row>
    <row r="13" spans="1:23" x14ac:dyDescent="0.25">
      <c r="A13" s="4">
        <v>42274</v>
      </c>
      <c r="B13" s="2">
        <v>72.510000000000005</v>
      </c>
      <c r="C13" s="2">
        <v>129.58000000000001</v>
      </c>
      <c r="D13" s="2">
        <v>0</v>
      </c>
      <c r="E13" s="2">
        <v>42.75</v>
      </c>
      <c r="F13" s="2">
        <v>67.099999999999994</v>
      </c>
      <c r="G13" s="2">
        <v>4.74</v>
      </c>
      <c r="H13" s="2">
        <v>124.7</v>
      </c>
      <c r="I13" s="2">
        <v>2</v>
      </c>
      <c r="J13" s="2">
        <v>11</v>
      </c>
      <c r="K13" s="2">
        <f t="shared" si="0"/>
        <v>13</v>
      </c>
      <c r="M13" t="s">
        <v>43</v>
      </c>
      <c r="N13" s="8">
        <f>AVERAGE(K9:K35)</f>
        <v>11.074074074074074</v>
      </c>
      <c r="O13" s="8">
        <f>AVERAGE(K9:K35)</f>
        <v>11.074074074074074</v>
      </c>
      <c r="P13" s="8"/>
      <c r="Q13" s="8"/>
    </row>
    <row r="14" spans="1:23" x14ac:dyDescent="0.25">
      <c r="A14" s="7">
        <v>42281</v>
      </c>
      <c r="B14" s="3">
        <v>72.92</v>
      </c>
      <c r="C14" s="3">
        <v>137.03</v>
      </c>
      <c r="D14" s="3">
        <v>7.92</v>
      </c>
      <c r="E14" s="3">
        <v>55.64</v>
      </c>
      <c r="F14" s="3">
        <v>65.900000000000006</v>
      </c>
      <c r="G14" s="3">
        <v>0</v>
      </c>
      <c r="H14" s="3">
        <v>0</v>
      </c>
      <c r="I14" s="3">
        <v>12</v>
      </c>
      <c r="J14" s="3">
        <v>0</v>
      </c>
      <c r="K14" s="3">
        <f t="shared" si="0"/>
        <v>12</v>
      </c>
      <c r="N14" s="8"/>
      <c r="O14" s="8"/>
      <c r="P14" s="8"/>
      <c r="Q14" s="8"/>
    </row>
    <row r="15" spans="1:23" x14ac:dyDescent="0.25">
      <c r="A15" s="7">
        <v>42288</v>
      </c>
      <c r="B15" s="3">
        <v>70.290000000000006</v>
      </c>
      <c r="C15" s="3">
        <v>135.04</v>
      </c>
      <c r="D15" s="3">
        <v>7.64</v>
      </c>
      <c r="E15" s="3">
        <v>55.79</v>
      </c>
      <c r="F15" s="3">
        <v>65.3</v>
      </c>
      <c r="G15" s="3">
        <v>0</v>
      </c>
      <c r="H15" s="3">
        <v>0</v>
      </c>
      <c r="I15" s="3">
        <v>9</v>
      </c>
      <c r="J15" s="3">
        <v>0</v>
      </c>
      <c r="K15" s="3">
        <f t="shared" si="0"/>
        <v>9</v>
      </c>
      <c r="O15" s="8"/>
      <c r="P15" s="8"/>
      <c r="Q15" s="8"/>
    </row>
    <row r="16" spans="1:23" x14ac:dyDescent="0.25">
      <c r="A16" s="7">
        <v>42295</v>
      </c>
      <c r="B16" s="3">
        <v>75.27</v>
      </c>
      <c r="C16" s="3">
        <v>140.59</v>
      </c>
      <c r="D16" s="3">
        <v>8.26</v>
      </c>
      <c r="E16" s="3">
        <v>57.24</v>
      </c>
      <c r="F16" s="3">
        <v>62.7</v>
      </c>
      <c r="G16" s="3">
        <v>2.06</v>
      </c>
      <c r="H16" s="3">
        <v>115.7</v>
      </c>
      <c r="I16" s="3">
        <v>5</v>
      </c>
      <c r="J16" s="3">
        <v>5</v>
      </c>
      <c r="K16" s="3">
        <f t="shared" si="0"/>
        <v>10</v>
      </c>
      <c r="M16" t="s">
        <v>20</v>
      </c>
      <c r="N16" s="9">
        <v>0.77</v>
      </c>
      <c r="O16" s="8"/>
      <c r="P16" s="8"/>
      <c r="Q16" s="8"/>
    </row>
    <row r="17" spans="1:17" x14ac:dyDescent="0.25">
      <c r="A17" s="7">
        <v>42302</v>
      </c>
      <c r="B17" s="3">
        <v>71.34</v>
      </c>
      <c r="C17" s="3">
        <v>134.05000000000001</v>
      </c>
      <c r="D17" s="3">
        <v>7.96</v>
      </c>
      <c r="E17" s="3">
        <v>50.85</v>
      </c>
      <c r="F17" s="3">
        <v>62.6</v>
      </c>
      <c r="G17" s="3">
        <v>1.5</v>
      </c>
      <c r="H17" s="3">
        <v>114.4</v>
      </c>
      <c r="I17" s="3">
        <v>2</v>
      </c>
      <c r="J17" s="3">
        <v>11</v>
      </c>
      <c r="K17" s="3">
        <f t="shared" si="0"/>
        <v>13</v>
      </c>
      <c r="M17" t="s">
        <v>21</v>
      </c>
      <c r="N17" s="9">
        <v>0.125</v>
      </c>
      <c r="O17" s="8"/>
      <c r="P17" s="8"/>
      <c r="Q17" s="8"/>
    </row>
    <row r="18" spans="1:17" x14ac:dyDescent="0.25">
      <c r="A18" s="7">
        <v>42309</v>
      </c>
      <c r="B18" s="3">
        <v>77.39</v>
      </c>
      <c r="C18" s="3">
        <v>143.49</v>
      </c>
      <c r="D18" s="3">
        <v>8.42</v>
      </c>
      <c r="E18" s="3">
        <v>56.82</v>
      </c>
      <c r="F18" s="3">
        <v>61.7</v>
      </c>
      <c r="G18" s="3">
        <v>1.9</v>
      </c>
      <c r="H18" s="3">
        <v>108.7</v>
      </c>
      <c r="I18" s="3">
        <v>1</v>
      </c>
      <c r="J18" s="3">
        <v>10</v>
      </c>
      <c r="K18" s="3">
        <f t="shared" si="0"/>
        <v>11</v>
      </c>
      <c r="M18" t="s">
        <v>16</v>
      </c>
      <c r="N18" s="8">
        <f>AVERAGE(H9:H13)</f>
        <v>124.44000000000001</v>
      </c>
      <c r="O18" s="8"/>
      <c r="P18" s="8"/>
      <c r="Q18" s="8"/>
    </row>
    <row r="19" spans="1:17" x14ac:dyDescent="0.25">
      <c r="A19" s="7">
        <v>42316</v>
      </c>
      <c r="B19" s="3">
        <v>72.88</v>
      </c>
      <c r="C19" s="3">
        <v>133.93</v>
      </c>
      <c r="D19" s="3">
        <v>7.68</v>
      </c>
      <c r="E19" s="3">
        <v>51.56</v>
      </c>
      <c r="F19" s="3">
        <v>60.7</v>
      </c>
      <c r="G19" s="3">
        <v>2.4300000000000002</v>
      </c>
      <c r="H19" s="3">
        <v>114.4</v>
      </c>
      <c r="I19" s="3">
        <v>0</v>
      </c>
      <c r="J19" s="3">
        <v>15</v>
      </c>
      <c r="K19" s="3">
        <f t="shared" si="0"/>
        <v>15</v>
      </c>
      <c r="M19" t="s">
        <v>17</v>
      </c>
      <c r="N19" s="8">
        <v>54</v>
      </c>
      <c r="O19" s="8"/>
      <c r="P19" s="8"/>
      <c r="Q19" s="8"/>
    </row>
    <row r="20" spans="1:17" x14ac:dyDescent="0.25">
      <c r="A20" s="7">
        <v>42323</v>
      </c>
      <c r="B20" s="3">
        <v>74.790000000000006</v>
      </c>
      <c r="C20" s="3">
        <v>140.94</v>
      </c>
      <c r="D20" s="3">
        <v>8.25</v>
      </c>
      <c r="E20" s="3">
        <v>55.52</v>
      </c>
      <c r="F20" s="3">
        <v>59.2</v>
      </c>
      <c r="G20" s="3">
        <v>2.19</v>
      </c>
      <c r="H20" s="3">
        <v>112.4</v>
      </c>
      <c r="I20" s="3">
        <v>0</v>
      </c>
      <c r="J20" s="3">
        <v>6</v>
      </c>
      <c r="K20" s="3">
        <f t="shared" si="0"/>
        <v>6</v>
      </c>
      <c r="M20" t="s">
        <v>19</v>
      </c>
      <c r="N20" s="8">
        <f>($N6*8.33*(N13*N12)*(N18-N19)/0.58*52/100000)-$O6*8.33*(O13*O12)*(N18-N19)/0.58*52/100000</f>
        <v>12.998959760747102</v>
      </c>
      <c r="O20" s="8"/>
      <c r="P20" s="8"/>
      <c r="Q20" s="8"/>
    </row>
    <row r="21" spans="1:17" x14ac:dyDescent="0.25">
      <c r="A21" s="7">
        <v>42330</v>
      </c>
      <c r="B21" s="3">
        <v>72.73</v>
      </c>
      <c r="C21" s="3">
        <v>134.9</v>
      </c>
      <c r="D21" s="3">
        <v>7.98</v>
      </c>
      <c r="E21" s="3">
        <v>51.39</v>
      </c>
      <c r="F21" s="3">
        <v>57</v>
      </c>
      <c r="G21" s="3">
        <v>2.37</v>
      </c>
      <c r="H21" s="3">
        <v>117.2</v>
      </c>
      <c r="I21" s="3">
        <v>0</v>
      </c>
      <c r="J21" s="3">
        <v>11</v>
      </c>
      <c r="K21" s="3">
        <f t="shared" si="0"/>
        <v>11</v>
      </c>
      <c r="M21" t="s">
        <v>18</v>
      </c>
      <c r="N21" s="8">
        <f>$N6*8.33*(N13*N12)*(N18-N19)/0.58*52/100000</f>
        <v>25.901899206743295</v>
      </c>
      <c r="O21" s="8"/>
    </row>
    <row r="22" spans="1:17" x14ac:dyDescent="0.25">
      <c r="A22" s="7">
        <v>42337</v>
      </c>
      <c r="B22" s="3">
        <v>75.42</v>
      </c>
      <c r="C22" s="3">
        <v>140.93</v>
      </c>
      <c r="D22" s="3">
        <v>8.41</v>
      </c>
      <c r="E22" s="3">
        <v>51.61</v>
      </c>
      <c r="F22" s="3">
        <v>55.6</v>
      </c>
      <c r="G22" s="3">
        <v>3.23</v>
      </c>
      <c r="H22" s="3">
        <v>116</v>
      </c>
      <c r="I22" s="3">
        <v>0</v>
      </c>
      <c r="J22" s="3">
        <v>10</v>
      </c>
      <c r="K22" s="3">
        <f t="shared" si="0"/>
        <v>10</v>
      </c>
      <c r="M22" t="s">
        <v>22</v>
      </c>
      <c r="N22" s="10">
        <f>N20*N16</f>
        <v>10.009199015775268</v>
      </c>
    </row>
    <row r="23" spans="1:17" x14ac:dyDescent="0.25">
      <c r="A23" s="7">
        <v>42344</v>
      </c>
      <c r="B23" s="3">
        <v>72.22</v>
      </c>
      <c r="C23" s="3">
        <v>137.74</v>
      </c>
      <c r="D23" s="3">
        <v>6.51</v>
      </c>
      <c r="E23" s="3">
        <v>47.33</v>
      </c>
      <c r="F23" s="3">
        <v>54.4</v>
      </c>
      <c r="G23" s="3">
        <v>2.64</v>
      </c>
      <c r="H23" s="3">
        <v>121.2</v>
      </c>
      <c r="I23" s="3">
        <v>0</v>
      </c>
      <c r="J23" s="3">
        <v>10</v>
      </c>
      <c r="K23" s="3">
        <f t="shared" si="0"/>
        <v>10</v>
      </c>
      <c r="M23" t="s">
        <v>23</v>
      </c>
      <c r="N23" s="10">
        <f>N21*N16</f>
        <v>19.944462389192338</v>
      </c>
    </row>
    <row r="24" spans="1:17" x14ac:dyDescent="0.25">
      <c r="A24" s="7">
        <v>42351</v>
      </c>
      <c r="B24" s="3">
        <v>78.099999999999994</v>
      </c>
      <c r="C24" s="3">
        <v>143.47</v>
      </c>
      <c r="D24" s="3">
        <v>7.36</v>
      </c>
      <c r="E24" s="3">
        <v>52.82</v>
      </c>
      <c r="F24" s="3">
        <v>53.3</v>
      </c>
      <c r="G24" s="3">
        <v>3.22</v>
      </c>
      <c r="H24" s="3">
        <v>117.2</v>
      </c>
      <c r="I24" s="3">
        <v>0</v>
      </c>
      <c r="J24" s="3">
        <v>10</v>
      </c>
      <c r="K24" s="3">
        <f t="shared" si="0"/>
        <v>10</v>
      </c>
      <c r="M24" t="s">
        <v>24</v>
      </c>
      <c r="N24" s="11">
        <f>O8*N13*52/1000</f>
        <v>3.9320211447811446</v>
      </c>
    </row>
    <row r="25" spans="1:17" x14ac:dyDescent="0.25">
      <c r="A25" s="7">
        <v>42358</v>
      </c>
      <c r="B25" s="3">
        <v>66.72</v>
      </c>
      <c r="C25" s="3">
        <v>122.62</v>
      </c>
      <c r="D25" s="3">
        <v>6.32</v>
      </c>
      <c r="E25" s="3">
        <v>44.14</v>
      </c>
      <c r="F25" s="3">
        <v>53.2</v>
      </c>
      <c r="G25" s="3">
        <v>2.52</v>
      </c>
      <c r="H25" s="3">
        <v>120.1</v>
      </c>
      <c r="I25" s="3">
        <v>0</v>
      </c>
      <c r="J25" s="3">
        <v>11</v>
      </c>
      <c r="K25" s="3">
        <f t="shared" si="0"/>
        <v>11</v>
      </c>
      <c r="M25" t="s">
        <v>25</v>
      </c>
      <c r="N25" s="12">
        <f>N17*N24</f>
        <v>0.49150264309764308</v>
      </c>
    </row>
    <row r="26" spans="1:17" x14ac:dyDescent="0.25">
      <c r="A26" s="7">
        <v>42365</v>
      </c>
      <c r="B26" s="3">
        <v>70.42</v>
      </c>
      <c r="C26" s="3">
        <v>131.62</v>
      </c>
      <c r="D26" s="3">
        <v>6.27</v>
      </c>
      <c r="E26" s="3">
        <v>44.98</v>
      </c>
      <c r="F26" s="3">
        <v>52.5</v>
      </c>
      <c r="G26" s="3">
        <v>4.09</v>
      </c>
      <c r="H26" s="3">
        <v>119</v>
      </c>
      <c r="I26" s="3">
        <v>0</v>
      </c>
      <c r="J26" s="3">
        <v>8</v>
      </c>
      <c r="K26" s="3">
        <f t="shared" si="0"/>
        <v>8</v>
      </c>
    </row>
    <row r="27" spans="1:17" x14ac:dyDescent="0.25">
      <c r="A27" s="7">
        <v>42365</v>
      </c>
      <c r="B27" s="3">
        <v>67.64</v>
      </c>
      <c r="C27" s="3">
        <v>122.39</v>
      </c>
      <c r="D27" s="3">
        <v>6.25</v>
      </c>
      <c r="E27" s="3">
        <v>46.76</v>
      </c>
      <c r="F27" s="3">
        <v>51.6</v>
      </c>
      <c r="G27" s="3">
        <v>4.05</v>
      </c>
      <c r="H27" s="3">
        <v>117.9</v>
      </c>
      <c r="I27" s="3">
        <v>0</v>
      </c>
      <c r="J27" s="3">
        <v>8</v>
      </c>
      <c r="K27" s="3">
        <f t="shared" si="0"/>
        <v>8</v>
      </c>
      <c r="M27" t="s">
        <v>35</v>
      </c>
      <c r="N27" s="9">
        <v>0.16</v>
      </c>
    </row>
    <row r="28" spans="1:17" x14ac:dyDescent="0.25">
      <c r="A28" s="7">
        <v>42372</v>
      </c>
      <c r="B28" s="3">
        <v>69.239999999999995</v>
      </c>
      <c r="C28" s="3">
        <v>126.66</v>
      </c>
      <c r="D28" s="3">
        <v>6.01</v>
      </c>
      <c r="E28" s="3">
        <v>44.61</v>
      </c>
      <c r="F28" s="3">
        <v>49.7</v>
      </c>
      <c r="G28" s="3">
        <v>4.03</v>
      </c>
      <c r="H28" s="3">
        <v>119.2</v>
      </c>
      <c r="I28" s="3">
        <v>0</v>
      </c>
      <c r="J28" s="3">
        <v>12</v>
      </c>
      <c r="K28" s="3">
        <f t="shared" si="0"/>
        <v>12</v>
      </c>
      <c r="M28" t="s">
        <v>36</v>
      </c>
      <c r="N28" s="10">
        <f>N13*N27*52</f>
        <v>92.136296296296308</v>
      </c>
    </row>
    <row r="29" spans="1:17" x14ac:dyDescent="0.25">
      <c r="A29" s="7">
        <v>42379</v>
      </c>
      <c r="B29" s="3">
        <v>74.2</v>
      </c>
      <c r="C29" s="3">
        <v>144.46</v>
      </c>
      <c r="D29" s="3">
        <v>6.86</v>
      </c>
      <c r="E29" s="3">
        <v>50.8</v>
      </c>
      <c r="F29" s="3">
        <v>48.7</v>
      </c>
      <c r="G29" s="3">
        <v>4.68</v>
      </c>
      <c r="H29" s="3">
        <v>120.2</v>
      </c>
      <c r="I29" s="3">
        <v>0</v>
      </c>
      <c r="J29" s="3">
        <v>13</v>
      </c>
      <c r="K29" s="3">
        <f t="shared" si="0"/>
        <v>13</v>
      </c>
    </row>
    <row r="30" spans="1:17" x14ac:dyDescent="0.25">
      <c r="A30" s="7">
        <v>42386</v>
      </c>
      <c r="B30" s="3">
        <v>58.86</v>
      </c>
      <c r="C30" s="3">
        <v>106.53</v>
      </c>
      <c r="D30" s="3">
        <v>5.63</v>
      </c>
      <c r="E30" s="3">
        <v>33.78</v>
      </c>
      <c r="F30" s="3">
        <v>47.6</v>
      </c>
      <c r="G30" s="3">
        <v>5.29</v>
      </c>
      <c r="H30" s="3">
        <v>121.9</v>
      </c>
      <c r="I30" s="3">
        <v>0</v>
      </c>
      <c r="J30" s="3">
        <v>13</v>
      </c>
      <c r="K30" s="3">
        <f t="shared" si="0"/>
        <v>13</v>
      </c>
      <c r="M30" t="s">
        <v>37</v>
      </c>
      <c r="N30" s="12">
        <v>300</v>
      </c>
    </row>
    <row r="31" spans="1:17" x14ac:dyDescent="0.25">
      <c r="A31" s="7">
        <v>42393</v>
      </c>
      <c r="B31" s="3">
        <v>74.55</v>
      </c>
      <c r="C31" s="3">
        <v>150.51</v>
      </c>
      <c r="D31" s="3">
        <v>0</v>
      </c>
      <c r="E31" s="3">
        <v>17.57</v>
      </c>
      <c r="F31" s="3">
        <v>44.5</v>
      </c>
      <c r="G31" s="3">
        <v>4.43</v>
      </c>
      <c r="H31" s="3">
        <v>124.9</v>
      </c>
      <c r="I31" s="3">
        <v>0</v>
      </c>
      <c r="J31" s="3">
        <v>14</v>
      </c>
      <c r="K31" s="3">
        <f t="shared" si="0"/>
        <v>14</v>
      </c>
      <c r="M31" t="s">
        <v>38</v>
      </c>
      <c r="N31" s="13">
        <f>N30/(SUM(N28,N22)-N25)</f>
        <v>2.9511875738803495</v>
      </c>
    </row>
    <row r="32" spans="1:17" x14ac:dyDescent="0.25">
      <c r="A32" s="7">
        <v>42400</v>
      </c>
      <c r="B32" s="3">
        <v>79.290000000000006</v>
      </c>
      <c r="C32" s="3">
        <v>170.47</v>
      </c>
      <c r="D32" s="3">
        <v>5.99</v>
      </c>
      <c r="E32" s="3">
        <v>64.180000000000007</v>
      </c>
      <c r="F32" s="3">
        <v>45.1</v>
      </c>
      <c r="G32" s="3">
        <v>1.91</v>
      </c>
      <c r="H32" s="3">
        <v>125</v>
      </c>
      <c r="I32" s="3">
        <v>8</v>
      </c>
      <c r="J32" s="3">
        <v>4</v>
      </c>
      <c r="K32" s="3">
        <f t="shared" si="0"/>
        <v>12</v>
      </c>
    </row>
    <row r="33" spans="1:11" x14ac:dyDescent="0.25">
      <c r="A33" s="7">
        <v>42407</v>
      </c>
      <c r="B33" s="3">
        <v>72.25</v>
      </c>
      <c r="C33" s="3">
        <v>136.96</v>
      </c>
      <c r="D33" s="3">
        <v>6.77</v>
      </c>
      <c r="E33" s="3">
        <v>73.55</v>
      </c>
      <c r="F33" s="3">
        <v>45.2</v>
      </c>
      <c r="G33" s="3">
        <v>4.38</v>
      </c>
      <c r="H33" s="3">
        <v>125.8</v>
      </c>
      <c r="I33" s="3">
        <v>11</v>
      </c>
      <c r="J33" s="3">
        <v>2</v>
      </c>
      <c r="K33" s="3">
        <f t="shared" si="0"/>
        <v>13</v>
      </c>
    </row>
    <row r="34" spans="1:11" x14ac:dyDescent="0.25">
      <c r="A34" s="7">
        <v>42414</v>
      </c>
      <c r="B34" s="3">
        <v>77.19</v>
      </c>
      <c r="C34" s="3">
        <v>141.94</v>
      </c>
      <c r="D34" s="3">
        <v>6.98</v>
      </c>
      <c r="E34" s="3">
        <v>71.22</v>
      </c>
      <c r="F34" s="3">
        <v>43.7</v>
      </c>
      <c r="G34" s="3">
        <v>0</v>
      </c>
      <c r="H34" s="3">
        <v>0</v>
      </c>
      <c r="I34" s="3">
        <v>16</v>
      </c>
      <c r="J34" s="3">
        <v>0</v>
      </c>
      <c r="K34" s="3">
        <f t="shared" si="0"/>
        <v>16</v>
      </c>
    </row>
    <row r="35" spans="1:11" x14ac:dyDescent="0.25">
      <c r="A35" s="7">
        <v>42421</v>
      </c>
      <c r="B35" s="3">
        <v>93.77</v>
      </c>
      <c r="C35" s="3">
        <v>161.18</v>
      </c>
      <c r="D35" s="3">
        <v>6.75</v>
      </c>
      <c r="E35" s="3">
        <v>72.62</v>
      </c>
      <c r="F35" s="3">
        <v>45.1</v>
      </c>
      <c r="G35" s="3">
        <v>0</v>
      </c>
      <c r="H35" s="3">
        <v>0</v>
      </c>
      <c r="I35" s="3">
        <v>10</v>
      </c>
      <c r="J35" s="3">
        <v>0</v>
      </c>
      <c r="K35" s="3">
        <f t="shared" si="0"/>
        <v>10</v>
      </c>
    </row>
    <row r="36" spans="1:11" x14ac:dyDescent="0.25">
      <c r="A36" s="1">
        <v>42582</v>
      </c>
      <c r="B36">
        <v>67.7</v>
      </c>
      <c r="C36">
        <v>129.91</v>
      </c>
      <c r="D36">
        <v>6.21</v>
      </c>
      <c r="E36">
        <v>71.77</v>
      </c>
      <c r="F36">
        <v>68.3</v>
      </c>
      <c r="G36">
        <v>0.03</v>
      </c>
      <c r="H36">
        <v>146.5</v>
      </c>
      <c r="I36">
        <v>5</v>
      </c>
      <c r="J36">
        <v>2</v>
      </c>
      <c r="K36">
        <f t="shared" si="0"/>
        <v>7</v>
      </c>
    </row>
    <row r="37" spans="1:11" x14ac:dyDescent="0.25">
      <c r="A37" s="1">
        <v>42589</v>
      </c>
      <c r="B37">
        <v>70.86</v>
      </c>
      <c r="C37">
        <v>136.97</v>
      </c>
      <c r="D37">
        <v>6.73</v>
      </c>
      <c r="E37">
        <v>72.209999999999994</v>
      </c>
      <c r="F37">
        <v>70.2</v>
      </c>
      <c r="G37">
        <v>0.12</v>
      </c>
      <c r="H37">
        <v>116.8</v>
      </c>
      <c r="I37">
        <v>0</v>
      </c>
      <c r="J37">
        <v>8</v>
      </c>
      <c r="K37">
        <f t="shared" si="0"/>
        <v>8</v>
      </c>
    </row>
    <row r="38" spans="1:11" x14ac:dyDescent="0.25">
      <c r="A38" s="1">
        <v>42596</v>
      </c>
      <c r="B38">
        <v>63.44</v>
      </c>
      <c r="C38">
        <v>127.92</v>
      </c>
      <c r="D38">
        <v>6.31</v>
      </c>
      <c r="E38">
        <v>69.150000000000006</v>
      </c>
      <c r="F38">
        <v>70.400000000000006</v>
      </c>
      <c r="G38">
        <v>0.06</v>
      </c>
      <c r="H38">
        <v>110.4</v>
      </c>
      <c r="I38">
        <v>3</v>
      </c>
      <c r="J38">
        <v>5</v>
      </c>
      <c r="K38">
        <f t="shared" si="0"/>
        <v>8</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V31"/>
  <sheetViews>
    <sheetView zoomScale="60" zoomScaleNormal="60" workbookViewId="0">
      <selection activeCell="O8" sqref="O8"/>
    </sheetView>
  </sheetViews>
  <sheetFormatPr defaultRowHeight="15" x14ac:dyDescent="0.25"/>
  <cols>
    <col min="1" max="1" width="12.7109375" customWidth="1"/>
    <col min="2" max="2" width="14" bestFit="1" customWidth="1"/>
    <col min="3" max="3" width="23.7109375" bestFit="1" customWidth="1"/>
    <col min="4" max="4" width="15" bestFit="1" customWidth="1"/>
    <col min="6" max="6" width="16.42578125" bestFit="1" customWidth="1"/>
    <col min="7" max="7" width="15" bestFit="1" customWidth="1"/>
    <col min="13" max="13" width="40.7109375" customWidth="1"/>
  </cols>
  <sheetData>
    <row r="1" spans="1:22" x14ac:dyDescent="0.25">
      <c r="A1" t="s">
        <v>39</v>
      </c>
    </row>
    <row r="2" spans="1:22" x14ac:dyDescent="0.25">
      <c r="A2" t="s">
        <v>67</v>
      </c>
      <c r="B2" t="s">
        <v>68</v>
      </c>
      <c r="C2" t="s">
        <v>69</v>
      </c>
      <c r="D2" t="s">
        <v>70</v>
      </c>
      <c r="E2" t="s">
        <v>66</v>
      </c>
      <c r="F2" s="19" t="s">
        <v>71</v>
      </c>
      <c r="H2" s="19"/>
      <c r="I2" s="6" t="s">
        <v>72</v>
      </c>
      <c r="R2" s="6"/>
      <c r="S2" s="6"/>
      <c r="T2" s="6"/>
      <c r="U2" s="6"/>
      <c r="V2" s="6"/>
    </row>
    <row r="3" spans="1:22" x14ac:dyDescent="0.25">
      <c r="A3" s="18" t="s">
        <v>62</v>
      </c>
      <c r="B3" s="18" t="s">
        <v>73</v>
      </c>
      <c r="C3" s="18" t="s">
        <v>64</v>
      </c>
      <c r="D3" s="18" t="s">
        <v>74</v>
      </c>
      <c r="E3" s="6">
        <v>5</v>
      </c>
      <c r="F3" s="6">
        <v>111</v>
      </c>
      <c r="R3" s="6"/>
      <c r="S3" s="6"/>
      <c r="T3" s="6"/>
      <c r="U3" s="6"/>
      <c r="V3" s="6"/>
    </row>
    <row r="4" spans="1:22" x14ac:dyDescent="0.25">
      <c r="H4" s="2"/>
      <c r="I4" t="s">
        <v>12</v>
      </c>
      <c r="M4" s="18"/>
      <c r="N4" s="18"/>
      <c r="O4" s="18"/>
      <c r="P4" s="18"/>
      <c r="R4" s="6"/>
      <c r="S4" s="6"/>
      <c r="T4" s="6"/>
      <c r="U4" s="6"/>
      <c r="V4" s="6"/>
    </row>
    <row r="5" spans="1:22" x14ac:dyDescent="0.25">
      <c r="A5" t="s">
        <v>1</v>
      </c>
      <c r="H5" s="3"/>
      <c r="I5" t="s">
        <v>13</v>
      </c>
      <c r="N5" t="s">
        <v>12</v>
      </c>
      <c r="O5" t="s">
        <v>13</v>
      </c>
      <c r="R5" s="6"/>
      <c r="S5" s="6"/>
      <c r="T5" s="6"/>
      <c r="U5" s="6"/>
      <c r="V5" s="6"/>
    </row>
    <row r="6" spans="1:22" x14ac:dyDescent="0.25">
      <c r="A6" t="s">
        <v>2</v>
      </c>
      <c r="B6" t="s">
        <v>3</v>
      </c>
      <c r="C6" t="s">
        <v>4</v>
      </c>
      <c r="D6" t="s">
        <v>5</v>
      </c>
      <c r="E6" t="s">
        <v>6</v>
      </c>
      <c r="F6" t="s">
        <v>7</v>
      </c>
      <c r="G6" t="s">
        <v>8</v>
      </c>
      <c r="H6" t="s">
        <v>9</v>
      </c>
      <c r="I6" t="s">
        <v>10</v>
      </c>
      <c r="J6" t="s">
        <v>11</v>
      </c>
      <c r="K6" t="s">
        <v>15</v>
      </c>
      <c r="M6" t="s">
        <v>49</v>
      </c>
      <c r="N6" s="8">
        <f>AVERAGE(G7:G11)</f>
        <v>2.6979999999999995</v>
      </c>
      <c r="O6" s="8">
        <f xml:space="preserve"> AVERAGE(G13:G26)</f>
        <v>0</v>
      </c>
      <c r="P6" s="8"/>
    </row>
    <row r="7" spans="1:22" x14ac:dyDescent="0.25">
      <c r="A7" s="4">
        <v>42281</v>
      </c>
      <c r="B7" s="2">
        <v>82.59</v>
      </c>
      <c r="C7" s="2">
        <v>227.56</v>
      </c>
      <c r="D7" s="2">
        <v>0.02</v>
      </c>
      <c r="E7" s="2">
        <v>76.680000000000007</v>
      </c>
      <c r="F7" s="2">
        <v>62.9</v>
      </c>
      <c r="G7" s="2">
        <v>3.27</v>
      </c>
      <c r="H7" s="2">
        <v>112.1</v>
      </c>
      <c r="I7" s="2">
        <v>0</v>
      </c>
      <c r="J7" s="2">
        <v>6</v>
      </c>
      <c r="K7" s="2">
        <f>SUM(I7:J7)</f>
        <v>6</v>
      </c>
      <c r="M7" t="s">
        <v>48</v>
      </c>
      <c r="N7" s="8">
        <f>AVERAGE(E7:E11)</f>
        <v>74.147999999999996</v>
      </c>
      <c r="O7" s="8">
        <f>AVERAGE(E13:E26)</f>
        <v>99.593928571428577</v>
      </c>
      <c r="P7" s="8"/>
    </row>
    <row r="8" spans="1:22" x14ac:dyDescent="0.25">
      <c r="A8" s="4">
        <v>42288</v>
      </c>
      <c r="B8" s="2">
        <v>62</v>
      </c>
      <c r="C8" s="2">
        <v>169.31</v>
      </c>
      <c r="D8" s="2">
        <v>0</v>
      </c>
      <c r="E8" s="2">
        <v>75.12</v>
      </c>
      <c r="F8" s="2">
        <v>62.4</v>
      </c>
      <c r="G8" s="2">
        <v>2.35</v>
      </c>
      <c r="H8" s="2">
        <v>112.9</v>
      </c>
      <c r="I8" s="2">
        <v>0</v>
      </c>
      <c r="J8" s="2">
        <v>8</v>
      </c>
      <c r="K8" s="2">
        <f t="shared" ref="K8:K18" si="0">SUM(I8:J8)</f>
        <v>8</v>
      </c>
      <c r="M8" t="s">
        <v>47</v>
      </c>
      <c r="N8" s="8">
        <v>0</v>
      </c>
      <c r="O8" s="8">
        <f>AVERAGE(D13:D26)</f>
        <v>10.273214285714287</v>
      </c>
      <c r="P8" s="8"/>
    </row>
    <row r="9" spans="1:22" x14ac:dyDescent="0.25">
      <c r="A9" s="4">
        <v>42295</v>
      </c>
      <c r="B9" s="2">
        <v>64.849999999999994</v>
      </c>
      <c r="C9" s="2">
        <v>167.4</v>
      </c>
      <c r="D9" s="2">
        <v>0</v>
      </c>
      <c r="E9" s="2">
        <v>70.819999999999993</v>
      </c>
      <c r="F9" s="2">
        <v>60.8</v>
      </c>
      <c r="G9" s="2">
        <v>2.57</v>
      </c>
      <c r="H9" s="2">
        <v>114.2</v>
      </c>
      <c r="I9" s="2">
        <v>0</v>
      </c>
      <c r="J9" s="2">
        <v>10</v>
      </c>
      <c r="K9" s="2">
        <f t="shared" si="0"/>
        <v>10</v>
      </c>
      <c r="M9" t="s">
        <v>46</v>
      </c>
      <c r="N9" s="8">
        <f>AVERAGE(I7:I11)</f>
        <v>0</v>
      </c>
      <c r="O9" s="8">
        <f>AVERAGE(I13:I26)</f>
        <v>6.4285714285714288</v>
      </c>
      <c r="P9" s="8"/>
    </row>
    <row r="10" spans="1:22" x14ac:dyDescent="0.25">
      <c r="A10" s="4">
        <v>42302</v>
      </c>
      <c r="B10" s="2">
        <v>50.88</v>
      </c>
      <c r="C10" s="2">
        <v>126.28</v>
      </c>
      <c r="D10" s="2">
        <v>0</v>
      </c>
      <c r="E10" s="2">
        <v>63.62</v>
      </c>
      <c r="F10" s="2">
        <v>60.2</v>
      </c>
      <c r="G10" s="2">
        <v>2.34</v>
      </c>
      <c r="H10" s="2">
        <v>118.3</v>
      </c>
      <c r="I10" s="2">
        <v>0</v>
      </c>
      <c r="J10" s="2">
        <v>8</v>
      </c>
      <c r="K10" s="2">
        <f t="shared" si="0"/>
        <v>8</v>
      </c>
      <c r="M10" t="s">
        <v>45</v>
      </c>
      <c r="N10" s="8">
        <f>AVERAGE(J7:J11)</f>
        <v>7.6</v>
      </c>
      <c r="O10" s="8">
        <f>AVERAGE(J13:J26)</f>
        <v>0</v>
      </c>
      <c r="P10" s="8"/>
    </row>
    <row r="11" spans="1:22" x14ac:dyDescent="0.25">
      <c r="A11" s="4">
        <v>42309</v>
      </c>
      <c r="B11" s="2">
        <v>62.41</v>
      </c>
      <c r="C11" s="2">
        <v>126.31</v>
      </c>
      <c r="D11" s="2">
        <v>0</v>
      </c>
      <c r="E11" s="2">
        <v>84.5</v>
      </c>
      <c r="F11" s="2">
        <v>58.6</v>
      </c>
      <c r="G11" s="2">
        <v>2.96</v>
      </c>
      <c r="H11" s="2">
        <v>114.6</v>
      </c>
      <c r="I11" s="2">
        <v>0</v>
      </c>
      <c r="J11" s="2">
        <v>6</v>
      </c>
      <c r="K11" s="2">
        <f t="shared" si="0"/>
        <v>6</v>
      </c>
      <c r="M11" t="s">
        <v>44</v>
      </c>
      <c r="N11" s="8">
        <f>SUM(N9:N10)</f>
        <v>7.6</v>
      </c>
      <c r="O11" s="8">
        <f>SUM(O9:O10)</f>
        <v>6.4285714285714288</v>
      </c>
      <c r="P11" s="8"/>
    </row>
    <row r="12" spans="1:22" x14ac:dyDescent="0.25">
      <c r="A12" s="5">
        <v>42316</v>
      </c>
      <c r="B12">
        <v>67.97</v>
      </c>
      <c r="C12">
        <v>171.75</v>
      </c>
      <c r="D12">
        <v>2.64</v>
      </c>
      <c r="E12">
        <v>78.510000000000005</v>
      </c>
      <c r="F12">
        <v>58.1</v>
      </c>
      <c r="G12">
        <v>2.5</v>
      </c>
      <c r="H12">
        <v>112.9</v>
      </c>
      <c r="I12">
        <v>2</v>
      </c>
      <c r="J12">
        <v>5</v>
      </c>
      <c r="K12">
        <f t="shared" si="0"/>
        <v>7</v>
      </c>
      <c r="M12" t="s">
        <v>42</v>
      </c>
      <c r="N12" s="14">
        <f>N10/N11</f>
        <v>1</v>
      </c>
      <c r="O12" s="14">
        <f>O10/O11</f>
        <v>0</v>
      </c>
      <c r="P12" s="8"/>
    </row>
    <row r="13" spans="1:22" x14ac:dyDescent="0.25">
      <c r="A13" s="7">
        <v>42323</v>
      </c>
      <c r="B13" s="3">
        <v>79.97</v>
      </c>
      <c r="C13" s="3">
        <v>181.39</v>
      </c>
      <c r="D13" s="3">
        <v>8.89</v>
      </c>
      <c r="E13" s="3">
        <v>97.82</v>
      </c>
      <c r="F13" s="3">
        <v>56.3</v>
      </c>
      <c r="G13" s="3">
        <v>0</v>
      </c>
      <c r="H13" s="3">
        <v>0</v>
      </c>
      <c r="I13" s="3">
        <v>7</v>
      </c>
      <c r="J13" s="3">
        <v>0</v>
      </c>
      <c r="K13" s="3">
        <f t="shared" si="0"/>
        <v>7</v>
      </c>
      <c r="M13" t="s">
        <v>43</v>
      </c>
      <c r="N13" s="8">
        <f>AVERAGE(K7:K26)</f>
        <v>6.75</v>
      </c>
      <c r="O13" s="8">
        <f>AVERAGE(K7:K26)</f>
        <v>6.75</v>
      </c>
      <c r="P13" s="8"/>
    </row>
    <row r="14" spans="1:22" x14ac:dyDescent="0.25">
      <c r="A14" s="7">
        <v>42330</v>
      </c>
      <c r="B14" s="3">
        <v>91.31</v>
      </c>
      <c r="C14" s="3">
        <v>176.5</v>
      </c>
      <c r="D14" s="3">
        <v>9.31</v>
      </c>
      <c r="E14" s="3">
        <v>87.01</v>
      </c>
      <c r="F14" s="3">
        <v>54.4</v>
      </c>
      <c r="G14" s="3">
        <v>0</v>
      </c>
      <c r="H14" s="3">
        <v>0</v>
      </c>
      <c r="I14" s="3">
        <v>6</v>
      </c>
      <c r="J14" s="3">
        <v>0</v>
      </c>
      <c r="K14" s="3">
        <f t="shared" si="0"/>
        <v>6</v>
      </c>
      <c r="N14" s="8"/>
      <c r="O14" s="8"/>
      <c r="P14" s="8"/>
    </row>
    <row r="15" spans="1:22" x14ac:dyDescent="0.25">
      <c r="A15" s="7">
        <v>42337</v>
      </c>
      <c r="B15" s="3">
        <v>92.23</v>
      </c>
      <c r="C15" s="3">
        <v>191.89</v>
      </c>
      <c r="D15" s="3">
        <v>9.5</v>
      </c>
      <c r="E15" s="3">
        <v>94.76</v>
      </c>
      <c r="F15" s="3">
        <v>52.8</v>
      </c>
      <c r="G15" s="3">
        <v>0</v>
      </c>
      <c r="H15" s="3">
        <v>0</v>
      </c>
      <c r="I15" s="3">
        <v>7</v>
      </c>
      <c r="J15" s="3">
        <v>0</v>
      </c>
      <c r="K15" s="3">
        <f t="shared" si="0"/>
        <v>7</v>
      </c>
      <c r="O15" s="8"/>
      <c r="P15" s="8"/>
    </row>
    <row r="16" spans="1:22" x14ac:dyDescent="0.25">
      <c r="A16" s="7">
        <v>42344</v>
      </c>
      <c r="B16" s="3">
        <v>75.61</v>
      </c>
      <c r="C16" s="3">
        <v>170.3</v>
      </c>
      <c r="D16" s="3">
        <v>7.89</v>
      </c>
      <c r="E16" s="3">
        <v>87.47</v>
      </c>
      <c r="F16" s="3">
        <v>51.4</v>
      </c>
      <c r="G16" s="3">
        <v>0</v>
      </c>
      <c r="H16" s="3">
        <v>0</v>
      </c>
      <c r="I16" s="3">
        <v>7</v>
      </c>
      <c r="J16" s="3">
        <v>0</v>
      </c>
      <c r="K16" s="3">
        <f t="shared" si="0"/>
        <v>7</v>
      </c>
      <c r="M16" t="s">
        <v>20</v>
      </c>
      <c r="N16" s="9">
        <v>0.77</v>
      </c>
      <c r="O16" s="8"/>
      <c r="P16" s="8"/>
    </row>
    <row r="17" spans="1:16" x14ac:dyDescent="0.25">
      <c r="A17" s="7">
        <v>42351</v>
      </c>
      <c r="B17" s="3">
        <v>62.89</v>
      </c>
      <c r="C17" s="3">
        <v>133.29</v>
      </c>
      <c r="D17" s="3">
        <v>8.01</v>
      </c>
      <c r="E17" s="3">
        <v>77.42</v>
      </c>
      <c r="F17" s="3">
        <v>51.1</v>
      </c>
      <c r="G17" s="3">
        <v>0</v>
      </c>
      <c r="H17" s="3">
        <v>0</v>
      </c>
      <c r="I17" s="3">
        <v>9</v>
      </c>
      <c r="J17" s="3">
        <v>0</v>
      </c>
      <c r="K17" s="3">
        <f t="shared" si="0"/>
        <v>9</v>
      </c>
      <c r="M17" t="s">
        <v>21</v>
      </c>
      <c r="N17" s="9">
        <v>0.125</v>
      </c>
      <c r="O17" s="8"/>
      <c r="P17" s="8"/>
    </row>
    <row r="18" spans="1:16" x14ac:dyDescent="0.25">
      <c r="A18" s="7">
        <v>42365</v>
      </c>
      <c r="B18" s="3">
        <v>78.335000000000008</v>
      </c>
      <c r="C18" s="3">
        <v>148.5</v>
      </c>
      <c r="D18" s="3">
        <v>7.875</v>
      </c>
      <c r="E18" s="3">
        <v>82.405000000000001</v>
      </c>
      <c r="F18" s="3">
        <v>49.3</v>
      </c>
      <c r="G18" s="3">
        <v>0</v>
      </c>
      <c r="H18" s="3">
        <v>0</v>
      </c>
      <c r="I18" s="3">
        <v>6</v>
      </c>
      <c r="J18" s="3">
        <v>0</v>
      </c>
      <c r="K18" s="3">
        <f t="shared" si="0"/>
        <v>6</v>
      </c>
      <c r="M18" t="s">
        <v>16</v>
      </c>
      <c r="N18" s="8">
        <f>AVERAGE(H7:H11)</f>
        <v>114.42</v>
      </c>
      <c r="O18" s="8"/>
      <c r="P18" s="8"/>
    </row>
    <row r="19" spans="1:16" x14ac:dyDescent="0.25">
      <c r="A19" s="7">
        <v>42372</v>
      </c>
      <c r="B19" s="3">
        <v>75.5</v>
      </c>
      <c r="C19" s="3">
        <v>173.7</v>
      </c>
      <c r="D19" s="3">
        <v>9.4499999999999993</v>
      </c>
      <c r="E19" s="3">
        <v>95.81</v>
      </c>
      <c r="F19" s="3">
        <v>47.6</v>
      </c>
      <c r="G19" s="3">
        <v>0</v>
      </c>
      <c r="H19" s="3">
        <v>0</v>
      </c>
      <c r="I19" s="3">
        <v>5</v>
      </c>
      <c r="J19" s="3">
        <v>0</v>
      </c>
      <c r="K19" s="3">
        <f t="shared" ref="K19:K31" si="1">SUM(I19:J19)</f>
        <v>5</v>
      </c>
      <c r="M19" t="s">
        <v>17</v>
      </c>
      <c r="N19" s="8">
        <v>54</v>
      </c>
      <c r="O19" s="8"/>
      <c r="P19" s="8"/>
    </row>
    <row r="20" spans="1:16" x14ac:dyDescent="0.25">
      <c r="A20" s="7">
        <v>42379</v>
      </c>
      <c r="B20" s="3">
        <v>77.099999999999994</v>
      </c>
      <c r="C20" s="3">
        <v>163.57</v>
      </c>
      <c r="D20" s="3">
        <v>9.0500000000000007</v>
      </c>
      <c r="E20" s="3">
        <v>113.7</v>
      </c>
      <c r="F20" s="3">
        <v>45</v>
      </c>
      <c r="G20" s="3">
        <v>0</v>
      </c>
      <c r="H20" s="3">
        <v>0</v>
      </c>
      <c r="I20" s="3">
        <v>5</v>
      </c>
      <c r="J20" s="3">
        <v>0</v>
      </c>
      <c r="K20" s="3">
        <f t="shared" si="1"/>
        <v>5</v>
      </c>
      <c r="M20" t="s">
        <v>19</v>
      </c>
      <c r="N20" s="8">
        <f>($N6*8.33*(N13*N12)*(N18-N19)/0.58*52/100000)-$O6*8.33*(O13*O12)*(N18-N19)/0.58*52/100000</f>
        <v>8.217633924186206</v>
      </c>
      <c r="O20" s="8"/>
      <c r="P20" s="8"/>
    </row>
    <row r="21" spans="1:16" x14ac:dyDescent="0.25">
      <c r="A21" s="7">
        <v>42386</v>
      </c>
      <c r="B21" s="3">
        <v>88.11</v>
      </c>
      <c r="C21" s="3">
        <v>154.19</v>
      </c>
      <c r="D21" s="3">
        <v>11.62</v>
      </c>
      <c r="E21" s="3">
        <v>123.75</v>
      </c>
      <c r="F21" s="3">
        <v>43.2</v>
      </c>
      <c r="G21" s="3">
        <v>0</v>
      </c>
      <c r="H21" s="3">
        <v>0</v>
      </c>
      <c r="I21" s="3">
        <v>6</v>
      </c>
      <c r="J21" s="3">
        <v>0</v>
      </c>
      <c r="K21" s="3">
        <f t="shared" si="1"/>
        <v>6</v>
      </c>
      <c r="M21" t="s">
        <v>18</v>
      </c>
      <c r="N21" s="8">
        <f>$N6*8.33*(N13*N12)*(N18-N19)/0.58*52/100000</f>
        <v>8.217633924186206</v>
      </c>
      <c r="O21" s="8"/>
    </row>
    <row r="22" spans="1:16" x14ac:dyDescent="0.25">
      <c r="A22" s="7">
        <v>42393</v>
      </c>
      <c r="B22" s="3">
        <v>85.82</v>
      </c>
      <c r="C22" s="3">
        <v>181.19</v>
      </c>
      <c r="D22" s="3">
        <v>11.4</v>
      </c>
      <c r="E22" s="3">
        <v>108.22</v>
      </c>
      <c r="F22" s="3">
        <v>41.7</v>
      </c>
      <c r="G22" s="3">
        <v>0</v>
      </c>
      <c r="H22" s="3">
        <v>0</v>
      </c>
      <c r="I22" s="3">
        <v>6</v>
      </c>
      <c r="J22" s="3">
        <v>0</v>
      </c>
      <c r="K22" s="3">
        <f t="shared" si="1"/>
        <v>6</v>
      </c>
      <c r="M22" t="s">
        <v>22</v>
      </c>
      <c r="N22" s="10">
        <f>N20*N16</f>
        <v>6.3275781216233788</v>
      </c>
    </row>
    <row r="23" spans="1:16" x14ac:dyDescent="0.25">
      <c r="A23" s="7">
        <v>42400</v>
      </c>
      <c r="B23" s="3">
        <v>82.76</v>
      </c>
      <c r="C23" s="3">
        <v>281.5</v>
      </c>
      <c r="D23" s="3">
        <v>10.33</v>
      </c>
      <c r="E23" s="3">
        <v>120.05</v>
      </c>
      <c r="F23" s="3">
        <v>41.2</v>
      </c>
      <c r="G23" s="3">
        <v>0</v>
      </c>
      <c r="H23" s="3">
        <v>0</v>
      </c>
      <c r="I23" s="3">
        <v>3</v>
      </c>
      <c r="J23" s="3">
        <v>0</v>
      </c>
      <c r="K23" s="3">
        <f t="shared" si="1"/>
        <v>3</v>
      </c>
      <c r="M23" t="s">
        <v>23</v>
      </c>
      <c r="N23" s="10">
        <f>N21*N16</f>
        <v>6.3275781216233788</v>
      </c>
    </row>
    <row r="24" spans="1:16" x14ac:dyDescent="0.25">
      <c r="A24" s="7">
        <v>42407</v>
      </c>
      <c r="B24" s="3">
        <v>82.15</v>
      </c>
      <c r="C24" s="3">
        <v>250.31</v>
      </c>
      <c r="D24" s="3">
        <v>10.84</v>
      </c>
      <c r="E24" s="3">
        <v>126.84</v>
      </c>
      <c r="F24" s="3">
        <v>40.799999999999997</v>
      </c>
      <c r="G24" s="3">
        <v>0</v>
      </c>
      <c r="H24" s="3">
        <v>0</v>
      </c>
      <c r="I24" s="3">
        <v>4</v>
      </c>
      <c r="J24" s="3">
        <v>0</v>
      </c>
      <c r="K24" s="3">
        <f t="shared" si="1"/>
        <v>4</v>
      </c>
      <c r="M24" t="s">
        <v>24</v>
      </c>
      <c r="N24" s="11">
        <f>O8*N13*52/1000</f>
        <v>3.6058982142857148</v>
      </c>
    </row>
    <row r="25" spans="1:16" x14ac:dyDescent="0.25">
      <c r="A25" s="7">
        <v>42414</v>
      </c>
      <c r="B25" s="3">
        <v>85.85</v>
      </c>
      <c r="C25" s="3">
        <v>222.96</v>
      </c>
      <c r="D25" s="3">
        <v>15.66</v>
      </c>
      <c r="E25" s="3">
        <v>104.94</v>
      </c>
      <c r="F25" s="3">
        <v>40.9</v>
      </c>
      <c r="G25" s="3">
        <v>0</v>
      </c>
      <c r="H25" s="3">
        <v>0</v>
      </c>
      <c r="I25" s="3">
        <v>7</v>
      </c>
      <c r="J25" s="3">
        <v>0</v>
      </c>
      <c r="K25" s="3">
        <f t="shared" si="1"/>
        <v>7</v>
      </c>
      <c r="M25" t="s">
        <v>25</v>
      </c>
      <c r="N25" s="12">
        <f>N17*N24</f>
        <v>0.45073727678571435</v>
      </c>
    </row>
    <row r="26" spans="1:16" x14ac:dyDescent="0.25">
      <c r="A26" s="7">
        <v>42421</v>
      </c>
      <c r="B26" s="3">
        <v>70.33</v>
      </c>
      <c r="C26" s="3">
        <v>199.06</v>
      </c>
      <c r="D26" s="3">
        <v>14</v>
      </c>
      <c r="E26" s="3">
        <v>74.12</v>
      </c>
      <c r="F26" s="3">
        <v>41.8</v>
      </c>
      <c r="G26" s="3">
        <v>0</v>
      </c>
      <c r="H26" s="3">
        <v>0</v>
      </c>
      <c r="I26" s="3">
        <v>12</v>
      </c>
      <c r="J26" s="3">
        <v>0</v>
      </c>
      <c r="K26" s="3">
        <f t="shared" si="1"/>
        <v>12</v>
      </c>
    </row>
    <row r="27" spans="1:16" x14ac:dyDescent="0.25">
      <c r="A27" s="1">
        <v>42428</v>
      </c>
      <c r="B27">
        <v>75.41</v>
      </c>
      <c r="C27">
        <v>256.12</v>
      </c>
      <c r="D27">
        <v>0.02</v>
      </c>
      <c r="E27">
        <v>90.57</v>
      </c>
      <c r="F27">
        <v>41</v>
      </c>
      <c r="G27">
        <v>4.7300000000000004</v>
      </c>
      <c r="H27">
        <v>118.8</v>
      </c>
      <c r="I27">
        <v>3</v>
      </c>
      <c r="J27">
        <v>3</v>
      </c>
      <c r="K27">
        <f t="shared" si="1"/>
        <v>6</v>
      </c>
      <c r="M27" t="s">
        <v>35</v>
      </c>
      <c r="N27" s="9">
        <v>0.16</v>
      </c>
    </row>
    <row r="28" spans="1:16" x14ac:dyDescent="0.25">
      <c r="A28" s="1">
        <v>42435</v>
      </c>
      <c r="B28">
        <v>58.88</v>
      </c>
      <c r="C28">
        <v>168.56</v>
      </c>
      <c r="D28">
        <v>0</v>
      </c>
      <c r="E28">
        <v>71.47</v>
      </c>
      <c r="F28">
        <v>42.3</v>
      </c>
      <c r="G28">
        <v>2.52</v>
      </c>
      <c r="H28">
        <v>111.3</v>
      </c>
      <c r="I28">
        <v>0</v>
      </c>
      <c r="J28">
        <v>4</v>
      </c>
      <c r="K28">
        <f t="shared" si="1"/>
        <v>4</v>
      </c>
      <c r="M28" t="s">
        <v>36</v>
      </c>
      <c r="N28" s="10">
        <f>N13*N27*52</f>
        <v>56.160000000000004</v>
      </c>
    </row>
    <row r="29" spans="1:16" x14ac:dyDescent="0.25">
      <c r="A29" s="1">
        <v>42442</v>
      </c>
      <c r="B29">
        <v>58.46</v>
      </c>
      <c r="C29">
        <v>149.94</v>
      </c>
      <c r="D29">
        <v>0.02</v>
      </c>
      <c r="E29">
        <v>66.05</v>
      </c>
      <c r="F29">
        <v>43.7</v>
      </c>
      <c r="G29">
        <v>2.75</v>
      </c>
      <c r="H29">
        <v>116.8</v>
      </c>
      <c r="I29">
        <v>0</v>
      </c>
      <c r="J29">
        <v>6</v>
      </c>
      <c r="K29">
        <f t="shared" si="1"/>
        <v>6</v>
      </c>
    </row>
    <row r="30" spans="1:16" x14ac:dyDescent="0.25">
      <c r="A30" s="1">
        <v>42449</v>
      </c>
      <c r="B30">
        <v>54.37</v>
      </c>
      <c r="C30">
        <v>155.66999999999999</v>
      </c>
      <c r="D30">
        <v>0</v>
      </c>
      <c r="E30">
        <v>62.7</v>
      </c>
      <c r="F30">
        <v>45.4</v>
      </c>
      <c r="G30">
        <v>2.5499999999999998</v>
      </c>
      <c r="H30">
        <v>114.4</v>
      </c>
      <c r="I30">
        <v>0</v>
      </c>
      <c r="J30">
        <v>9</v>
      </c>
      <c r="K30">
        <f t="shared" si="1"/>
        <v>9</v>
      </c>
      <c r="M30" t="s">
        <v>37</v>
      </c>
      <c r="N30" s="12">
        <v>300</v>
      </c>
    </row>
    <row r="31" spans="1:16" x14ac:dyDescent="0.25">
      <c r="A31" s="1">
        <v>42456</v>
      </c>
      <c r="B31">
        <v>66.25</v>
      </c>
      <c r="C31">
        <v>160.31</v>
      </c>
      <c r="D31">
        <v>0</v>
      </c>
      <c r="E31">
        <v>80.510000000000005</v>
      </c>
      <c r="F31">
        <v>46</v>
      </c>
      <c r="G31">
        <v>3.61</v>
      </c>
      <c r="H31">
        <v>111.2</v>
      </c>
      <c r="I31">
        <v>0</v>
      </c>
      <c r="J31">
        <v>4</v>
      </c>
      <c r="K31">
        <f t="shared" si="1"/>
        <v>4</v>
      </c>
      <c r="M31" t="s">
        <v>38</v>
      </c>
      <c r="N31" s="13">
        <f>N30/(SUM(N28,N22)-N25)</f>
        <v>4.8358361888597718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Charts</vt:lpstr>
      </vt:variant>
      <vt:variant>
        <vt:i4>1</vt:i4>
      </vt:variant>
    </vt:vector>
  </HeadingPairs>
  <TitlesOfParts>
    <vt:vector size="20" baseType="lpstr">
      <vt:lpstr>Intro</vt:lpstr>
      <vt:lpstr>Adapted Calcs</vt:lpstr>
      <vt:lpstr>Payback Summary</vt:lpstr>
      <vt:lpstr>2015 EIA RECS</vt:lpstr>
      <vt:lpstr>Detergent Costs</vt:lpstr>
      <vt:lpstr>All Sites Average</vt:lpstr>
      <vt:lpstr>Short All Sites Average</vt:lpstr>
      <vt:lpstr>Nicor-RO-1_Weekly_Averages</vt:lpstr>
      <vt:lpstr>Nicor-RO-2_Weekly_Averages</vt:lpstr>
      <vt:lpstr>Nicor-RO-3_Weekly_Averages</vt:lpstr>
      <vt:lpstr>Nicor-RO-4_Weekly_Averages</vt:lpstr>
      <vt:lpstr>Nicor-RO-5_Weekly_Averages</vt:lpstr>
      <vt:lpstr>Nicor-RO-6_Weekly_Averages</vt:lpstr>
      <vt:lpstr>Nicor-RO-7_Weekly_Averages</vt:lpstr>
      <vt:lpstr>Nicor-RO-8_Weekly_Averages</vt:lpstr>
      <vt:lpstr>Nicor-RO-9_Weekly_Averages</vt:lpstr>
      <vt:lpstr>Nicor-RO-10_Weekly_Averages</vt:lpstr>
      <vt:lpstr>Nicor-RO-11_Weekly_Averages</vt:lpstr>
      <vt:lpstr>Nicor-RO-12_Weekly_Averages</vt:lpstr>
      <vt:lpstr>Payback Periods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Shawn Scott</dc:creator>
  <cp:lastModifiedBy>Jim Young</cp:lastModifiedBy>
  <dcterms:created xsi:type="dcterms:W3CDTF">2017-03-02T17:38:07Z</dcterms:created>
  <dcterms:modified xsi:type="dcterms:W3CDTF">2018-08-23T17:36:27Z</dcterms:modified>
</cp:coreProperties>
</file>