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C:\Users\mdmendoz\OneDrive - Sempra Energy\_Current Projects &amp; Tasks\Res Ozone Laundry\Final\"/>
    </mc:Choice>
  </mc:AlternateContent>
  <xr:revisionPtr revIDLastSave="0" documentId="10_ncr:100000_{49D70603-F970-44C3-AA56-92ADC9EEB6BA}" xr6:coauthVersionLast="31" xr6:coauthVersionMax="31" xr10:uidLastSave="{00000000-0000-0000-0000-000000000000}"/>
  <bookViews>
    <workbookView xWindow="0" yWindow="0" windowWidth="20490" windowHeight="7545" xr2:uid="{00000000-000D-0000-FFFF-FFFF00000000}"/>
  </bookViews>
  <sheets>
    <sheet name="Measure Summary" sheetId="2" r:id="rId1"/>
    <sheet name="Calculations" sheetId="3" r:id="rId2"/>
    <sheet name="Economics" sheetId="5" r:id="rId3"/>
    <sheet name="Online Costs" sheetId="6" r:id="rId4"/>
    <sheet name="EIA RECS" sheetId="7" r:id="rId5"/>
    <sheet name="References" sheetId="4" r:id="rId6"/>
  </sheets>
  <calcPr calcId="179017"/>
</workbook>
</file>

<file path=xl/calcChain.xml><?xml version="1.0" encoding="utf-8"?>
<calcChain xmlns="http://schemas.openxmlformats.org/spreadsheetml/2006/main">
  <c r="K39" i="5" l="1"/>
  <c r="K38" i="5"/>
  <c r="K37" i="5"/>
  <c r="K33" i="5"/>
  <c r="E39" i="5"/>
  <c r="E38" i="5"/>
  <c r="E37" i="5"/>
  <c r="E35" i="5"/>
  <c r="E34" i="5"/>
  <c r="E33" i="5"/>
  <c r="H134" i="3" l="1"/>
  <c r="T82" i="2" s="1"/>
  <c r="G134" i="3"/>
  <c r="H133" i="3"/>
  <c r="E133" i="3"/>
  <c r="H132" i="3"/>
  <c r="T81" i="2" s="1"/>
  <c r="G132" i="3"/>
  <c r="H131" i="3"/>
  <c r="E131" i="3"/>
  <c r="H130" i="3"/>
  <c r="T80" i="2" s="1"/>
  <c r="G130" i="3"/>
  <c r="H129" i="3"/>
  <c r="E129" i="3"/>
  <c r="H128" i="3"/>
  <c r="I128" i="3" s="1"/>
  <c r="U79" i="2" s="1"/>
  <c r="G128" i="3"/>
  <c r="H127" i="3"/>
  <c r="E127" i="3"/>
  <c r="H125" i="3"/>
  <c r="T78" i="2" s="1"/>
  <c r="G125" i="3"/>
  <c r="G124" i="3"/>
  <c r="H124" i="3" s="1"/>
  <c r="H123" i="3"/>
  <c r="T76" i="2" s="1"/>
  <c r="G123" i="3"/>
  <c r="G122" i="3"/>
  <c r="H122" i="3" s="1"/>
  <c r="H121" i="3"/>
  <c r="I121" i="3" s="1"/>
  <c r="U74" i="2" s="1"/>
  <c r="G121" i="3"/>
  <c r="G120" i="3"/>
  <c r="H120" i="3" s="1"/>
  <c r="H119" i="3"/>
  <c r="T72" i="2" s="1"/>
  <c r="G119" i="3"/>
  <c r="G118" i="3"/>
  <c r="H118" i="3" s="1"/>
  <c r="H117" i="3"/>
  <c r="I117" i="3" s="1"/>
  <c r="U70" i="2" s="1"/>
  <c r="G117" i="3"/>
  <c r="G116" i="3"/>
  <c r="H116" i="3" s="1"/>
  <c r="H115" i="3"/>
  <c r="I115" i="3" s="1"/>
  <c r="U68" i="2" s="1"/>
  <c r="G115" i="3"/>
  <c r="G114" i="3"/>
  <c r="H114" i="3" s="1"/>
  <c r="H113" i="3"/>
  <c r="I113" i="3" s="1"/>
  <c r="U66" i="2" s="1"/>
  <c r="G113" i="3"/>
  <c r="G112" i="3"/>
  <c r="H112" i="3" s="1"/>
  <c r="H111" i="3"/>
  <c r="I111" i="3" s="1"/>
  <c r="U64" i="2" s="1"/>
  <c r="G111" i="3"/>
  <c r="G110" i="3"/>
  <c r="H110" i="3" s="1"/>
  <c r="H109" i="3"/>
  <c r="I109" i="3" s="1"/>
  <c r="U58" i="2" s="1"/>
  <c r="E109" i="3"/>
  <c r="H108" i="3"/>
  <c r="E108" i="3"/>
  <c r="H107" i="3"/>
  <c r="T56" i="2" s="1"/>
  <c r="E107" i="3"/>
  <c r="H106" i="3"/>
  <c r="E106" i="3"/>
  <c r="H105" i="3"/>
  <c r="T54" i="2" s="1"/>
  <c r="E105" i="3"/>
  <c r="H104" i="3"/>
  <c r="E104" i="3"/>
  <c r="H103" i="3"/>
  <c r="T52" i="2" s="1"/>
  <c r="E103" i="3"/>
  <c r="H102" i="3"/>
  <c r="E102" i="3"/>
  <c r="H101" i="3"/>
  <c r="I101" i="3" s="1"/>
  <c r="U50" i="2" s="1"/>
  <c r="E101" i="3"/>
  <c r="H100" i="3"/>
  <c r="E100" i="3"/>
  <c r="F100" i="3" s="1"/>
  <c r="V49" i="2" s="1"/>
  <c r="H99" i="3"/>
  <c r="T48" i="2" s="1"/>
  <c r="E99" i="3"/>
  <c r="H98" i="3"/>
  <c r="E98" i="3"/>
  <c r="F98" i="3" s="1"/>
  <c r="V47" i="2" s="1"/>
  <c r="H97" i="3"/>
  <c r="T46" i="2" s="1"/>
  <c r="E97" i="3"/>
  <c r="H96" i="3"/>
  <c r="E96" i="3"/>
  <c r="F96" i="3" s="1"/>
  <c r="V45" i="2" s="1"/>
  <c r="H95" i="3"/>
  <c r="T44" i="2" s="1"/>
  <c r="E95" i="3"/>
  <c r="H94" i="3"/>
  <c r="E94" i="3"/>
  <c r="F94" i="3" s="1"/>
  <c r="V82" i="2"/>
  <c r="V81" i="2"/>
  <c r="V80" i="2"/>
  <c r="V79" i="2"/>
  <c r="T79" i="2"/>
  <c r="V64" i="2"/>
  <c r="V65" i="2"/>
  <c r="V66" i="2"/>
  <c r="V67" i="2"/>
  <c r="V68" i="2"/>
  <c r="V69" i="2"/>
  <c r="V70" i="2"/>
  <c r="V71" i="2"/>
  <c r="V72" i="2"/>
  <c r="V73" i="2"/>
  <c r="V74" i="2"/>
  <c r="V75" i="2"/>
  <c r="V76" i="2"/>
  <c r="V77" i="2"/>
  <c r="V78" i="2"/>
  <c r="V63" i="2"/>
  <c r="T66" i="2"/>
  <c r="T70" i="2"/>
  <c r="T74" i="2"/>
  <c r="V59" i="2"/>
  <c r="U62" i="2"/>
  <c r="T62" i="2"/>
  <c r="T61" i="2"/>
  <c r="T60" i="2"/>
  <c r="T59" i="2"/>
  <c r="V51" i="2"/>
  <c r="V54" i="2"/>
  <c r="V56" i="2"/>
  <c r="V58" i="2"/>
  <c r="U47" i="2"/>
  <c r="U51" i="2"/>
  <c r="U55" i="2"/>
  <c r="T45" i="2"/>
  <c r="T47" i="2"/>
  <c r="T49" i="2"/>
  <c r="T51" i="2"/>
  <c r="T53" i="2"/>
  <c r="T55" i="2"/>
  <c r="T57" i="2"/>
  <c r="T43" i="2"/>
  <c r="J39" i="5"/>
  <c r="J38" i="5"/>
  <c r="J37" i="5"/>
  <c r="J34" i="5"/>
  <c r="J35" i="5"/>
  <c r="J33" i="5"/>
  <c r="J26" i="5"/>
  <c r="J25" i="5"/>
  <c r="J24" i="5"/>
  <c r="D26" i="5"/>
  <c r="D25" i="5"/>
  <c r="D24" i="5"/>
  <c r="D17" i="5"/>
  <c r="F129" i="3"/>
  <c r="V60" i="2" s="1"/>
  <c r="F102" i="3"/>
  <c r="F106" i="3"/>
  <c r="V55" i="2" s="1"/>
  <c r="H66" i="3"/>
  <c r="H51" i="3"/>
  <c r="H50" i="3"/>
  <c r="F50" i="3"/>
  <c r="E50" i="3"/>
  <c r="I133" i="3"/>
  <c r="F133" i="3"/>
  <c r="V62" i="2" s="1"/>
  <c r="I131" i="3"/>
  <c r="U61" i="2" s="1"/>
  <c r="F131" i="3"/>
  <c r="V61" i="2" s="1"/>
  <c r="I129" i="3"/>
  <c r="U60" i="2" s="1"/>
  <c r="I127" i="3"/>
  <c r="U59" i="2" s="1"/>
  <c r="F127" i="3"/>
  <c r="I123" i="3"/>
  <c r="U76" i="2" s="1"/>
  <c r="I119" i="3"/>
  <c r="U72" i="2" s="1"/>
  <c r="F109" i="3"/>
  <c r="I108" i="3"/>
  <c r="U57" i="2" s="1"/>
  <c r="F108" i="3"/>
  <c r="V57" i="2" s="1"/>
  <c r="F107" i="3"/>
  <c r="I106" i="3"/>
  <c r="I105" i="3"/>
  <c r="U54" i="2" s="1"/>
  <c r="F105" i="3"/>
  <c r="I104" i="3"/>
  <c r="U53" i="2" s="1"/>
  <c r="F104" i="3"/>
  <c r="V53" i="2" s="1"/>
  <c r="I103" i="3"/>
  <c r="U52" i="2" s="1"/>
  <c r="F103" i="3"/>
  <c r="V52" i="2" s="1"/>
  <c r="I102" i="3"/>
  <c r="F101" i="3"/>
  <c r="V50" i="2" s="1"/>
  <c r="I100" i="3"/>
  <c r="U49" i="2" s="1"/>
  <c r="F99" i="3"/>
  <c r="V48" i="2" s="1"/>
  <c r="I98" i="3"/>
  <c r="F97" i="3"/>
  <c r="V46" i="2" s="1"/>
  <c r="I96" i="3"/>
  <c r="U45" i="2" s="1"/>
  <c r="F95" i="3"/>
  <c r="V44" i="2" s="1"/>
  <c r="I94" i="3"/>
  <c r="U43" i="2" s="1"/>
  <c r="D36" i="3"/>
  <c r="J21" i="5" s="1"/>
  <c r="D35" i="3"/>
  <c r="D21" i="5" s="1"/>
  <c r="D22" i="5" s="1"/>
  <c r="D28" i="7"/>
  <c r="E28" i="7" s="1"/>
  <c r="E29" i="7"/>
  <c r="D29" i="7"/>
  <c r="J23" i="7"/>
  <c r="J22" i="7"/>
  <c r="J21" i="7"/>
  <c r="J20" i="7"/>
  <c r="J24" i="7"/>
  <c r="J19" i="7"/>
  <c r="B3" i="7"/>
  <c r="J15" i="5"/>
  <c r="J19" i="5" l="1"/>
  <c r="T63" i="2"/>
  <c r="I110" i="3"/>
  <c r="U63" i="2" s="1"/>
  <c r="T71" i="2"/>
  <c r="I118" i="3"/>
  <c r="U71" i="2" s="1"/>
  <c r="I116" i="3"/>
  <c r="U69" i="2" s="1"/>
  <c r="T69" i="2"/>
  <c r="T77" i="2"/>
  <c r="I124" i="3"/>
  <c r="U77" i="2" s="1"/>
  <c r="J17" i="5"/>
  <c r="V43" i="2"/>
  <c r="T67" i="2"/>
  <c r="I114" i="3"/>
  <c r="U67" i="2" s="1"/>
  <c r="T75" i="2"/>
  <c r="I122" i="3"/>
  <c r="U75" i="2" s="1"/>
  <c r="I112" i="3"/>
  <c r="U65" i="2" s="1"/>
  <c r="T65" i="2"/>
  <c r="T73" i="2"/>
  <c r="I120" i="3"/>
  <c r="U73" i="2" s="1"/>
  <c r="I99" i="3"/>
  <c r="U48" i="2" s="1"/>
  <c r="J18" i="5"/>
  <c r="T58" i="2"/>
  <c r="T50" i="2"/>
  <c r="I95" i="3"/>
  <c r="U44" i="2" s="1"/>
  <c r="I97" i="3"/>
  <c r="U46" i="2" s="1"/>
  <c r="I125" i="3"/>
  <c r="U78" i="2" s="1"/>
  <c r="I130" i="3"/>
  <c r="U80" i="2" s="1"/>
  <c r="I132" i="3"/>
  <c r="U81" i="2" s="1"/>
  <c r="T68" i="2"/>
  <c r="T64" i="2"/>
  <c r="I107" i="3"/>
  <c r="U56" i="2" s="1"/>
  <c r="I134" i="3"/>
  <c r="U82" i="2" s="1"/>
  <c r="J23" i="5"/>
  <c r="J22" i="5"/>
  <c r="V42" i="2"/>
  <c r="V41" i="2"/>
  <c r="V40" i="2"/>
  <c r="V39" i="2"/>
  <c r="V24" i="2"/>
  <c r="V25" i="2"/>
  <c r="V26" i="2"/>
  <c r="V27" i="2"/>
  <c r="V28" i="2"/>
  <c r="V29" i="2"/>
  <c r="V30" i="2"/>
  <c r="V31" i="2"/>
  <c r="V32" i="2"/>
  <c r="V33" i="2"/>
  <c r="V34" i="2"/>
  <c r="V35" i="2"/>
  <c r="V36" i="2"/>
  <c r="V37" i="2"/>
  <c r="V38" i="2"/>
  <c r="V23" i="2"/>
  <c r="K35" i="5" l="1"/>
  <c r="K34" i="5"/>
  <c r="L33" i="5"/>
  <c r="B3" i="4"/>
  <c r="D27" i="3" l="1"/>
  <c r="G66" i="3"/>
  <c r="T3" i="2" l="1"/>
  <c r="I50" i="3"/>
  <c r="U3" i="2" s="1"/>
  <c r="T23" i="2"/>
  <c r="I66" i="3"/>
  <c r="U23" i="2" s="1"/>
  <c r="F46" i="6"/>
  <c r="F45" i="6"/>
  <c r="F44" i="6"/>
  <c r="F43" i="6"/>
  <c r="F47" i="6" s="1"/>
  <c r="F42" i="6"/>
  <c r="F28" i="6"/>
  <c r="F27" i="6"/>
  <c r="F26" i="6"/>
  <c r="F25" i="6"/>
  <c r="F24" i="6"/>
  <c r="F23" i="6"/>
  <c r="F22" i="6"/>
  <c r="D37" i="6"/>
  <c r="F37" i="6" s="1"/>
  <c r="D36" i="6"/>
  <c r="F36" i="6" s="1"/>
  <c r="F35" i="6"/>
  <c r="D34" i="6"/>
  <c r="F34" i="6" s="1"/>
  <c r="D33" i="6"/>
  <c r="F33" i="6" s="1"/>
  <c r="B3" i="6"/>
  <c r="B3" i="5"/>
  <c r="F29" i="6" l="1"/>
  <c r="F38" i="6"/>
  <c r="D39" i="5" l="1"/>
  <c r="D38" i="5"/>
  <c r="D37" i="5"/>
  <c r="D34" i="5"/>
  <c r="D35" i="5"/>
  <c r="D33" i="5"/>
  <c r="D15" i="5"/>
  <c r="D23" i="5"/>
  <c r="H83" i="3"/>
  <c r="H89" i="3"/>
  <c r="H87" i="3"/>
  <c r="H85" i="3"/>
  <c r="R31" i="3"/>
  <c r="P31" i="3"/>
  <c r="N31" i="3"/>
  <c r="L31" i="3"/>
  <c r="R16" i="3"/>
  <c r="R17" i="3"/>
  <c r="R18" i="3"/>
  <c r="R19" i="3"/>
  <c r="R20" i="3"/>
  <c r="R21" i="3"/>
  <c r="R22" i="3"/>
  <c r="R23" i="3"/>
  <c r="R24" i="3"/>
  <c r="R25" i="3"/>
  <c r="R26" i="3"/>
  <c r="R27" i="3"/>
  <c r="R28" i="3"/>
  <c r="R29" i="3"/>
  <c r="R30" i="3"/>
  <c r="R15" i="3"/>
  <c r="U18" i="3" s="1"/>
  <c r="P16" i="3"/>
  <c r="P17" i="3"/>
  <c r="P18" i="3"/>
  <c r="P19" i="3"/>
  <c r="P20" i="3"/>
  <c r="P21" i="3"/>
  <c r="P22" i="3"/>
  <c r="P23" i="3"/>
  <c r="P24" i="3"/>
  <c r="P25" i="3"/>
  <c r="P26" i="3"/>
  <c r="P27" i="3"/>
  <c r="P28" i="3"/>
  <c r="P29" i="3"/>
  <c r="P30" i="3"/>
  <c r="P15" i="3"/>
  <c r="N16" i="3"/>
  <c r="N17" i="3"/>
  <c r="N18" i="3"/>
  <c r="N19" i="3"/>
  <c r="N20" i="3"/>
  <c r="N21" i="3"/>
  <c r="N22" i="3"/>
  <c r="N23" i="3"/>
  <c r="N24" i="3"/>
  <c r="N25" i="3"/>
  <c r="N26" i="3"/>
  <c r="N27" i="3"/>
  <c r="N28" i="3"/>
  <c r="N29" i="3"/>
  <c r="N30" i="3"/>
  <c r="N15" i="3"/>
  <c r="L16" i="3"/>
  <c r="L17" i="3"/>
  <c r="L18" i="3"/>
  <c r="L19" i="3"/>
  <c r="L20" i="3"/>
  <c r="L21" i="3"/>
  <c r="L22" i="3"/>
  <c r="L23" i="3"/>
  <c r="L24" i="3"/>
  <c r="L25" i="3"/>
  <c r="L26" i="3"/>
  <c r="L27" i="3"/>
  <c r="L28" i="3"/>
  <c r="L29" i="3"/>
  <c r="L30" i="3"/>
  <c r="L15" i="3"/>
  <c r="T21" i="2" l="1"/>
  <c r="I87" i="3"/>
  <c r="U21" i="2" s="1"/>
  <c r="T22" i="2"/>
  <c r="I89" i="3"/>
  <c r="U22" i="2" s="1"/>
  <c r="T20" i="2"/>
  <c r="I85" i="3"/>
  <c r="U20" i="2" s="1"/>
  <c r="T19" i="2"/>
  <c r="I83" i="3"/>
  <c r="U19" i="2" s="1"/>
  <c r="U16" i="3"/>
  <c r="U15" i="3"/>
  <c r="U17" i="3"/>
  <c r="H52" i="3"/>
  <c r="H53" i="3"/>
  <c r="H54" i="3"/>
  <c r="H55" i="3"/>
  <c r="H56" i="3"/>
  <c r="H57" i="3"/>
  <c r="H58" i="3"/>
  <c r="H59" i="3"/>
  <c r="D18" i="5" s="1"/>
  <c r="H60" i="3"/>
  <c r="H61" i="3"/>
  <c r="H62" i="3"/>
  <c r="H63" i="3"/>
  <c r="H64" i="3"/>
  <c r="H65" i="3"/>
  <c r="D24" i="3"/>
  <c r="D21" i="3"/>
  <c r="D17" i="3"/>
  <c r="T16" i="2" l="1"/>
  <c r="I63" i="3"/>
  <c r="U16" i="2" s="1"/>
  <c r="T15" i="2"/>
  <c r="I62" i="3"/>
  <c r="U15" i="2" s="1"/>
  <c r="T7" i="2"/>
  <c r="I54" i="3"/>
  <c r="U7" i="2" s="1"/>
  <c r="T18" i="2"/>
  <c r="I65" i="3"/>
  <c r="U18" i="2" s="1"/>
  <c r="T14" i="2"/>
  <c r="I61" i="3"/>
  <c r="U14" i="2" s="1"/>
  <c r="T10" i="2"/>
  <c r="I57" i="3"/>
  <c r="U10" i="2" s="1"/>
  <c r="T6" i="2"/>
  <c r="I53" i="3"/>
  <c r="U6" i="2" s="1"/>
  <c r="T12" i="2"/>
  <c r="I59" i="3"/>
  <c r="U12" i="2" s="1"/>
  <c r="T8" i="2"/>
  <c r="I55" i="3"/>
  <c r="U8" i="2" s="1"/>
  <c r="T4" i="2"/>
  <c r="I51" i="3"/>
  <c r="U4" i="2" s="1"/>
  <c r="T11" i="2"/>
  <c r="I58" i="3"/>
  <c r="U11" i="2" s="1"/>
  <c r="T17" i="2"/>
  <c r="I64" i="3"/>
  <c r="U17" i="2" s="1"/>
  <c r="T13" i="2"/>
  <c r="I60" i="3"/>
  <c r="U13" i="2" s="1"/>
  <c r="T9" i="2"/>
  <c r="I56" i="3"/>
  <c r="U9" i="2" s="1"/>
  <c r="T5" i="2"/>
  <c r="I52" i="3"/>
  <c r="U5" i="2" s="1"/>
  <c r="G86" i="3"/>
  <c r="H86" i="3" s="1"/>
  <c r="E85" i="3"/>
  <c r="F85" i="3" s="1"/>
  <c r="V20" i="2" s="1"/>
  <c r="G84" i="3"/>
  <c r="H84" i="3" s="1"/>
  <c r="G90" i="3"/>
  <c r="H90" i="3" s="1"/>
  <c r="E89" i="3"/>
  <c r="F89" i="3" s="1"/>
  <c r="V22" i="2" s="1"/>
  <c r="E83" i="3"/>
  <c r="F83" i="3" s="1"/>
  <c r="V19" i="2" s="1"/>
  <c r="G88" i="3"/>
  <c r="H88" i="3" s="1"/>
  <c r="E87" i="3"/>
  <c r="F87" i="3" s="1"/>
  <c r="V21" i="2" s="1"/>
  <c r="G81" i="3"/>
  <c r="H81" i="3" s="1"/>
  <c r="E53" i="3"/>
  <c r="F53" i="3" s="1"/>
  <c r="V6" i="2" s="1"/>
  <c r="E55" i="3"/>
  <c r="F55" i="3" s="1"/>
  <c r="V8" i="2" s="1"/>
  <c r="E57" i="3"/>
  <c r="F57" i="3" s="1"/>
  <c r="V10" i="2" s="1"/>
  <c r="E59" i="3"/>
  <c r="F59" i="3" s="1"/>
  <c r="V12" i="2" s="1"/>
  <c r="E61" i="3"/>
  <c r="F61" i="3" s="1"/>
  <c r="V14" i="2" s="1"/>
  <c r="E63" i="3"/>
  <c r="F63" i="3" s="1"/>
  <c r="V16" i="2" s="1"/>
  <c r="E65" i="3"/>
  <c r="F65" i="3" s="1"/>
  <c r="V18" i="2" s="1"/>
  <c r="G68" i="3"/>
  <c r="H68" i="3" s="1"/>
  <c r="G70" i="3"/>
  <c r="H70" i="3" s="1"/>
  <c r="G72" i="3"/>
  <c r="H72" i="3" s="1"/>
  <c r="G74" i="3"/>
  <c r="H74" i="3" s="1"/>
  <c r="G76" i="3"/>
  <c r="H76" i="3" s="1"/>
  <c r="G79" i="3"/>
  <c r="H79" i="3" s="1"/>
  <c r="G78" i="3"/>
  <c r="H78" i="3" s="1"/>
  <c r="G80" i="3"/>
  <c r="H80" i="3" s="1"/>
  <c r="V3" i="2"/>
  <c r="E52" i="3"/>
  <c r="F52" i="3" s="1"/>
  <c r="V5" i="2" s="1"/>
  <c r="E54" i="3"/>
  <c r="F54" i="3" s="1"/>
  <c r="V7" i="2" s="1"/>
  <c r="E56" i="3"/>
  <c r="F56" i="3" s="1"/>
  <c r="V9" i="2" s="1"/>
  <c r="E58" i="3"/>
  <c r="F58" i="3" s="1"/>
  <c r="V11" i="2" s="1"/>
  <c r="E60" i="3"/>
  <c r="F60" i="3" s="1"/>
  <c r="V13" i="2" s="1"/>
  <c r="E62" i="3"/>
  <c r="F62" i="3" s="1"/>
  <c r="V15" i="2" s="1"/>
  <c r="E64" i="3"/>
  <c r="F64" i="3" s="1"/>
  <c r="V17" i="2" s="1"/>
  <c r="G67" i="3"/>
  <c r="H67" i="3" s="1"/>
  <c r="G69" i="3"/>
  <c r="H69" i="3" s="1"/>
  <c r="G71" i="3"/>
  <c r="H71" i="3" s="1"/>
  <c r="G73" i="3"/>
  <c r="H73" i="3" s="1"/>
  <c r="G75" i="3"/>
  <c r="H75" i="3" s="1"/>
  <c r="G77" i="3"/>
  <c r="H77" i="3" s="1"/>
  <c r="E51" i="3"/>
  <c r="F51" i="3" s="1"/>
  <c r="V4" i="2" s="1"/>
  <c r="D26" i="3"/>
  <c r="T34" i="2" l="1"/>
  <c r="I77" i="3"/>
  <c r="U34" i="2" s="1"/>
  <c r="T32" i="2"/>
  <c r="I75" i="3"/>
  <c r="U32" i="2" s="1"/>
  <c r="T24" i="2"/>
  <c r="I67" i="3"/>
  <c r="U24" i="2" s="1"/>
  <c r="T33" i="2"/>
  <c r="I76" i="3"/>
  <c r="U33" i="2" s="1"/>
  <c r="T25" i="2"/>
  <c r="I68" i="3"/>
  <c r="U25" i="2" s="1"/>
  <c r="T38" i="2"/>
  <c r="I81" i="3"/>
  <c r="U38" i="2" s="1"/>
  <c r="T40" i="2"/>
  <c r="I86" i="3"/>
  <c r="U40" i="2" s="1"/>
  <c r="T27" i="2"/>
  <c r="I70" i="3"/>
  <c r="U27" i="2" s="1"/>
  <c r="T37" i="2"/>
  <c r="I80" i="3"/>
  <c r="U37" i="2" s="1"/>
  <c r="T31" i="2"/>
  <c r="I74" i="3"/>
  <c r="U31" i="2" s="1"/>
  <c r="T42" i="2"/>
  <c r="I90" i="3"/>
  <c r="U42" i="2" s="1"/>
  <c r="T26" i="2"/>
  <c r="I69" i="3"/>
  <c r="U26" i="2" s="1"/>
  <c r="T36" i="2"/>
  <c r="I79" i="3"/>
  <c r="U36" i="2" s="1"/>
  <c r="T30" i="2"/>
  <c r="I73" i="3"/>
  <c r="U30" i="2" s="1"/>
  <c r="T28" i="2"/>
  <c r="I71" i="3"/>
  <c r="U28" i="2" s="1"/>
  <c r="T35" i="2"/>
  <c r="I78" i="3"/>
  <c r="U35" i="2" s="1"/>
  <c r="T29" i="2"/>
  <c r="I72" i="3"/>
  <c r="U29" i="2" s="1"/>
  <c r="T41" i="2"/>
  <c r="I88" i="3"/>
  <c r="U41" i="2" s="1"/>
  <c r="T39" i="2"/>
  <c r="I84" i="3"/>
  <c r="U39" i="2" s="1"/>
  <c r="D19" i="5"/>
  <c r="L39" i="5" l="1"/>
  <c r="L37" i="5"/>
  <c r="L38" i="5"/>
  <c r="L34" i="5"/>
  <c r="L35" i="5"/>
  <c r="F35" i="5"/>
  <c r="F34" i="5"/>
  <c r="F39" i="5"/>
  <c r="F38" i="5"/>
  <c r="F33" i="5"/>
  <c r="F37" i="5"/>
</calcChain>
</file>

<file path=xl/sharedStrings.xml><?xml version="1.0" encoding="utf-8"?>
<sst xmlns="http://schemas.openxmlformats.org/spreadsheetml/2006/main" count="1621" uniqueCount="319">
  <si>
    <t>Building Type</t>
  </si>
  <si>
    <t>RUL</t>
  </si>
  <si>
    <t>Descriptors</t>
  </si>
  <si>
    <t>Above Preexisting/Customer-Average Savings</t>
  </si>
  <si>
    <t>Above Code/Standard Savings</t>
  </si>
  <si>
    <t>Cost</t>
  </si>
  <si>
    <t>Measure ID</t>
  </si>
  <si>
    <t>Measure Description</t>
  </si>
  <si>
    <t>Code/Standard Description</t>
  </si>
  <si>
    <t>Sector</t>
  </si>
  <si>
    <t>App Types</t>
  </si>
  <si>
    <t>Delivery Methods</t>
  </si>
  <si>
    <t>EUL ID</t>
  </si>
  <si>
    <t>NTR ID</t>
  </si>
  <si>
    <t>GSIA ID</t>
  </si>
  <si>
    <t>Building Vintage</t>
  </si>
  <si>
    <t>Building Location</t>
  </si>
  <si>
    <t>Building HVAC</t>
  </si>
  <si>
    <t>Norm Unit</t>
  </si>
  <si>
    <t>Kwh/unit</t>
  </si>
  <si>
    <t>Kw/unit</t>
  </si>
  <si>
    <t>kWh/unit</t>
  </si>
  <si>
    <t>kw/unit</t>
  </si>
  <si>
    <t>Code/Standard ($/unit)</t>
  </si>
  <si>
    <t>Measure ($unit)</t>
  </si>
  <si>
    <t>Incremental Measure ($/unit)</t>
  </si>
  <si>
    <t>Def-GSIA</t>
  </si>
  <si>
    <t xml:space="preserve">N/A </t>
  </si>
  <si>
    <t>Pre-Existing Description</t>
  </si>
  <si>
    <t>therm/unit</t>
  </si>
  <si>
    <t>Residential Ozone Laundry Retrofit Measure</t>
  </si>
  <si>
    <t>Methodology Summary</t>
  </si>
  <si>
    <t xml:space="preserve">Metric </t>
  </si>
  <si>
    <t>Value</t>
  </si>
  <si>
    <t>Source / Notes</t>
  </si>
  <si>
    <t>Top-Load Integrated Water Factor (IWF)</t>
  </si>
  <si>
    <t>Top-Load Volume (cu.ft.)</t>
  </si>
  <si>
    <t>Top-Load Hot Water Consumption (gal/cycle)</t>
  </si>
  <si>
    <t>Top-Load Total Water Consumption (gal/cycle)</t>
  </si>
  <si>
    <t>Front-Load Volume (cu.ft.)</t>
  </si>
  <si>
    <t>Front-Load Integrated Water Factor (IWF)</t>
  </si>
  <si>
    <t>Front-Load Total Water Consumption (gal/cycle)</t>
  </si>
  <si>
    <t>Front-Load Hot Water Consumption (gal/cycle)</t>
  </si>
  <si>
    <t>Water Heater Recovery Efficiency (Gas)</t>
  </si>
  <si>
    <t>Water Heater Recovery Efficiency (Electric)</t>
  </si>
  <si>
    <t>Top-Load Share of California Installed Base (%)</t>
  </si>
  <si>
    <t>Front-Load Share of California Installed Base (%)</t>
  </si>
  <si>
    <t>Mains Inlet Water Temperature (°F)</t>
  </si>
  <si>
    <t>Hot Water Supply Temperature (°F)</t>
  </si>
  <si>
    <t>Water Density (lbs/gal)</t>
  </si>
  <si>
    <t>Specific Heat (Btu/lb-°F)</t>
  </si>
  <si>
    <t>Hot Water Reduction with Ozone Laundry System (%)</t>
  </si>
  <si>
    <t>Mains Water temperature by Climate Zone and Month (CZ2010 weather files for 2013 Title-24)</t>
  </si>
  <si>
    <t>CZ</t>
  </si>
  <si>
    <t>Average (°F)</t>
  </si>
  <si>
    <t>Line #</t>
  </si>
  <si>
    <t>Conversion Factor (Btu to therm)</t>
  </si>
  <si>
    <t>Conversion Factor (Btu to kWh)</t>
  </si>
  <si>
    <t>Average Total Water Consumption (gal/cycle)</t>
  </si>
  <si>
    <t>Average Hot Water Consumption (gal/cycle)</t>
  </si>
  <si>
    <t>Key Assumptions (see References tab for full citations)</t>
  </si>
  <si>
    <t>Assumed volume for selected efficiency level (IMEF 1.57, IWF 6.5)</t>
  </si>
  <si>
    <t>Assumed volume for selected efficiency level (IMEF 1.84, IWF 4.7)</t>
  </si>
  <si>
    <t>Calculation: Line 1 x Line 2</t>
  </si>
  <si>
    <t>Calculation: Line 5 x Line 6</t>
  </si>
  <si>
    <t>Life-Cycle Cost Spreadsheet for 2012 Technical Support Document "Energy and Water Use" tab</t>
  </si>
  <si>
    <t>2012 CLASS, Washing Machine - 04. Type of Washer, assume stacked is top load</t>
  </si>
  <si>
    <t>Calculation: (Line 3*Line 9)+(Line 7*Line 10)</t>
  </si>
  <si>
    <t>Calculation: (Line 4*Line 9)+(Line 8*Line 10)</t>
  </si>
  <si>
    <t>Based on DEER mains water temperature values</t>
  </si>
  <si>
    <t>Assumptions within DEER</t>
  </si>
  <si>
    <t>Engineering constant</t>
  </si>
  <si>
    <t>Water Heater Type (Gas, Electric)</t>
  </si>
  <si>
    <t>Climate Zone (1-16)</t>
  </si>
  <si>
    <t>Baseline Clothes Washer Hot Water Consumption (kWh)</t>
  </si>
  <si>
    <t>Measure Savings (kWh)</t>
  </si>
  <si>
    <t>Baseline Clothes Washer Hot Water Consumption (Therm)</t>
  </si>
  <si>
    <t>Measure Savings (Therm)</t>
  </si>
  <si>
    <t>GTI-Nicor study estimates an average per cycle hot water reduction of 50%. Technical savings up to 100%, with observed range of 0-100% savings.</t>
  </si>
  <si>
    <t>Ozone Laundry System Electric Consumption (Wh/cycle)</t>
  </si>
  <si>
    <t>Conversion Factor (Wh to kWh)</t>
  </si>
  <si>
    <t>1000 Wh per 1 kWh</t>
  </si>
  <si>
    <t>3412 btu per 1 kWh</t>
  </si>
  <si>
    <t>GTI-Nicor study estimates</t>
  </si>
  <si>
    <t>PGE</t>
  </si>
  <si>
    <t>SCE</t>
  </si>
  <si>
    <t>SCG</t>
  </si>
  <si>
    <t>SDG</t>
  </si>
  <si>
    <t>%</t>
  </si>
  <si>
    <t>Total</t>
  </si>
  <si>
    <t>SDGE</t>
  </si>
  <si>
    <t>Utility</t>
  </si>
  <si>
    <t>Gas - PGE</t>
  </si>
  <si>
    <t>Electric - PGE</t>
  </si>
  <si>
    <t>Gas - SCE</t>
  </si>
  <si>
    <t>Electric - SCE</t>
  </si>
  <si>
    <t>Gas - SCG</t>
  </si>
  <si>
    <t>Electric - SCG</t>
  </si>
  <si>
    <t>Gas - SDGE</t>
  </si>
  <si>
    <t>Electric - SDGE</t>
  </si>
  <si>
    <t>IOU</t>
  </si>
  <si>
    <t xml:space="preserve">SF and MF Distribution by Utility Service Territory (DEER2014 Energy Impact Weights Tables, update 2/27/2014)
</t>
  </si>
  <si>
    <t>Average Mains Temperature (°F)</t>
  </si>
  <si>
    <t>Natural Gas - CZ 1</t>
  </si>
  <si>
    <t>Natural Gas - CZ 2</t>
  </si>
  <si>
    <t>Natural Gas - CZ 3</t>
  </si>
  <si>
    <t>Natural Gas - CZ 4</t>
  </si>
  <si>
    <t>Natural Gas - CZ 5</t>
  </si>
  <si>
    <t>Natural Gas - CZ 6</t>
  </si>
  <si>
    <t>Natural Gas - CZ 7</t>
  </si>
  <si>
    <t>Natural Gas - CZ 8</t>
  </si>
  <si>
    <t>Natural Gas - CZ 9</t>
  </si>
  <si>
    <t>Natural Gas - CZ 10</t>
  </si>
  <si>
    <t>Natural Gas - CZ 11</t>
  </si>
  <si>
    <t>Natural Gas - CZ 12</t>
  </si>
  <si>
    <t>Natural Gas - CZ 13</t>
  </si>
  <si>
    <t>Natural Gas - CZ 14</t>
  </si>
  <si>
    <t>Natural Gas - CZ 15</t>
  </si>
  <si>
    <t>Natural Gas - CZ 16</t>
  </si>
  <si>
    <t>Electric - CZ 2</t>
  </si>
  <si>
    <t>Electric - CZ 1</t>
  </si>
  <si>
    <t>Electric - CZ 3</t>
  </si>
  <si>
    <t>Electric - CZ 4</t>
  </si>
  <si>
    <t>Electric - CZ 5</t>
  </si>
  <si>
    <t>Electric - CZ 6</t>
  </si>
  <si>
    <t>Electric - CZ 7</t>
  </si>
  <si>
    <t>Electric - CZ 8</t>
  </si>
  <si>
    <t>Electric - CZ 9</t>
  </si>
  <si>
    <t>Electric - CZ 10</t>
  </si>
  <si>
    <t>Electric - CZ 11</t>
  </si>
  <si>
    <t>Electric - CZ 12</t>
  </si>
  <si>
    <t>Electric - CZ 13</t>
  </si>
  <si>
    <t>Electric - CZ 14</t>
  </si>
  <si>
    <t>Electric - CZ 15</t>
  </si>
  <si>
    <t>Electric - CZ 16</t>
  </si>
  <si>
    <t>California Natural Gas Rate</t>
  </si>
  <si>
    <t>California Electricity Rate</t>
  </si>
  <si>
    <t>Gas Water Heater - Gas Savings</t>
  </si>
  <si>
    <t>Electric Water Heater - Electricity Savings</t>
  </si>
  <si>
    <t>Gas Water Heater - Electricity Increase</t>
  </si>
  <si>
    <t xml:space="preserve">Detergent Cycles per Year </t>
  </si>
  <si>
    <t xml:space="preserve">Bleach Cycles per Year </t>
  </si>
  <si>
    <t xml:space="preserve">Fabric Softener Cycles per Year </t>
  </si>
  <si>
    <t>Assumed same as detergent</t>
  </si>
  <si>
    <t>Detergent Cost per Load</t>
  </si>
  <si>
    <t>Bleach Cost per Load</t>
  </si>
  <si>
    <t>Fabric Softener Cost per Load</t>
  </si>
  <si>
    <t>Ozone Laundry Retrofit Price</t>
  </si>
  <si>
    <t>Review of major brands per load cost on Jet.com (July 2018)</t>
  </si>
  <si>
    <t>Review of major online retailers for the PureWash Pro product (July 2018)</t>
  </si>
  <si>
    <t>Average of Climate Zones</t>
  </si>
  <si>
    <t>Natural Gas - Energy Only</t>
  </si>
  <si>
    <t>Natural Gas - Energy + Detergent</t>
  </si>
  <si>
    <t>Natural Gas - Energy + Full Consumables</t>
  </si>
  <si>
    <t>Measure Cost</t>
  </si>
  <si>
    <t>Simple Payback</t>
  </si>
  <si>
    <t>Annual Cost Savings</t>
  </si>
  <si>
    <t>Electricity - Energy Only</t>
  </si>
  <si>
    <t>Electricity - Energy + Detergent</t>
  </si>
  <si>
    <t>Electricity - Energy + Full Consumables</t>
  </si>
  <si>
    <t>PureWash Pro</t>
  </si>
  <si>
    <t>Product</t>
  </si>
  <si>
    <t>Online Retailer</t>
  </si>
  <si>
    <t>Link</t>
  </si>
  <si>
    <t>Amazon</t>
  </si>
  <si>
    <t>Home Depot</t>
  </si>
  <si>
    <t>Wayfair</t>
  </si>
  <si>
    <t>Sears</t>
  </si>
  <si>
    <t>P.C. Richard &amp; Son</t>
  </si>
  <si>
    <t>Abt</t>
  </si>
  <si>
    <t>Product Manufacturer</t>
  </si>
  <si>
    <t>Brand / Description</t>
  </si>
  <si>
    <t># of Cycles</t>
  </si>
  <si>
    <t>Advertised Price $</t>
  </si>
  <si>
    <t>MSRP $</t>
  </si>
  <si>
    <t>Cost $</t>
  </si>
  <si>
    <t>$/Cycle</t>
  </si>
  <si>
    <t>Clorox 116oz</t>
  </si>
  <si>
    <t>Clorox 55oz</t>
  </si>
  <si>
    <t>Clorox Free Clear</t>
  </si>
  <si>
    <t>Ecover</t>
  </si>
  <si>
    <t>Clorox UltimateCare</t>
  </si>
  <si>
    <t>Average</t>
  </si>
  <si>
    <t>Bleach Cost Estimates ($/cycle) - assumes 4 oz per cycle</t>
  </si>
  <si>
    <t>Tide</t>
  </si>
  <si>
    <t>Arm &amp; Hammer</t>
  </si>
  <si>
    <t>All</t>
  </si>
  <si>
    <t>Tide HE</t>
  </si>
  <si>
    <t>Gain</t>
  </si>
  <si>
    <t>Persil</t>
  </si>
  <si>
    <t>7th Gen</t>
  </si>
  <si>
    <t>Downy 129 oz</t>
  </si>
  <si>
    <t>Downy 103 oz</t>
  </si>
  <si>
    <t>Gain 129 oz</t>
  </si>
  <si>
    <t xml:space="preserve">Snuggle </t>
  </si>
  <si>
    <t>All 48 oz</t>
  </si>
  <si>
    <t xml:space="preserve">Detergent Cost Estimates ($/cycle) </t>
  </si>
  <si>
    <t xml:space="preserve">Fabric Softener Cost Estimates ($/cycle) </t>
  </si>
  <si>
    <t>High level estimate for 4 oz per load and 37.5% of cycles/year from GreenTech Environmental</t>
  </si>
  <si>
    <t>Residential Ozone Laundry Retrofit - Measure Cost ($/unit)</t>
  </si>
  <si>
    <t>Varies</t>
  </si>
  <si>
    <t>Federal standard beginning January 1, 2018</t>
  </si>
  <si>
    <t>100,000 Btu per 1 Therm</t>
  </si>
  <si>
    <t>365 Days per 1 Year</t>
  </si>
  <si>
    <t>Conversion Factor (Days to Year)</t>
  </si>
  <si>
    <t>Coincident Demand Factor</t>
  </si>
  <si>
    <t>Estimate within the ENERGY STAR clothes washer work paper (PGECOAPP127 R4, Dec 2017) based on DOE Building America research.</t>
  </si>
  <si>
    <t>Peak Demand Savings (kW)</t>
  </si>
  <si>
    <t>Water Heaters Test Procedures Rulemaking. Final Rule 10 CFR Part 430, RIN 1904-AC53</t>
  </si>
  <si>
    <t>Economics Methodology Summary</t>
  </si>
  <si>
    <t>Energy Savings Methodology Summary</t>
  </si>
  <si>
    <t>References</t>
  </si>
  <si>
    <t>Full Reference</t>
  </si>
  <si>
    <t>Name</t>
  </si>
  <si>
    <t xml:space="preserve">Code of Federal Regulations Title 10: Energy, Part 430 – Energy Conservation Program for Consumer Products, Subpart C – Energy and Water Conservation Standards., 10 CFR 430.32(g)(4). Accessed July 26, 2018. Retrieved from https://www.ecfr.gov/cgi-bin/text-idx?SID=86e70cbc87e5af18caca2e5c205bd107&amp;mc=true&amp;node=se10.3.430_132&amp;rgn=div8 </t>
  </si>
  <si>
    <t xml:space="preserve">DNV GL. 2012 California Lighting and Appliance Saturation Survey (CLASS). CLASS Web Tool. Accessed July 2018. Retrieved from https://webtools.dnvgl.com/projects62/Default.aspx?tabid=190 </t>
  </si>
  <si>
    <t xml:space="preserve">U.S. DOE. Residential Clothes Washer Rulemaking. Life-Cycle Cost Spreadsheet for 2012 Technical Support Document. "Energy and Water Use" tab. Posted July 6, 2012. Accessed July 2018. Retrieved from https://www.regulations.gov/document?D=EERE-2008-BT-STD-0019-0044 </t>
  </si>
  <si>
    <t xml:space="preserve">U.S. DOE. Residential and Commercial Water Heaters Test Procedures Rulemaking. Final Rule 10 CFR Part 430, RIN 1904-AC53. Posted June 2014. Accessed July 2018. Retrieved from https://www.energy.gov/sites/prod/files/2014/06/f17/rwh_tp_final_rule.pdf </t>
  </si>
  <si>
    <t>Scott, S., Sweeny, M. (2017, August 9). Analysis of Residential Ozone Technology in Southern California. Prepared for Navigant Consulting, Inc. on behalf of SoCalGas. File name "Analysis of Res Ozone Tech in Southern CA 08-09-17-Final_v2.docx"</t>
  </si>
  <si>
    <t>DEER-WaterHeater-Calculator TMains.xlsx (Mains Water temperature by Climate Zone and Month, CZ2010 weather files for 2013 Title-24)</t>
  </si>
  <si>
    <t xml:space="preserve">California statewide value May 2018 </t>
  </si>
  <si>
    <t xml:space="preserve">California statewide value 2017 annual ($12.51 per MCF converted to Therm) </t>
  </si>
  <si>
    <t>GTI-Nicor Report</t>
  </si>
  <si>
    <t>GTI-Nicor Spreadsheet</t>
  </si>
  <si>
    <t>2012 CLASS</t>
  </si>
  <si>
    <t>DEER Mains Temperature</t>
  </si>
  <si>
    <t>Federal Standard</t>
  </si>
  <si>
    <t>California Standard</t>
  </si>
  <si>
    <t>Clothes Washer Life-Cycle Cost Spreadsheet</t>
  </si>
  <si>
    <t>Water Heater Final Rule</t>
  </si>
  <si>
    <t>U.S. EIA. Annual Natural Gas Prices by State. 2017 value, updated July 2018. Retrieved from https://www.eia.gov/dnav/ng/ng_pri_sum_dcu_SCA_a.htm</t>
  </si>
  <si>
    <t>U.S. EIA. Electric Power Monthly. Average Price of Electricity to Ultimate Customers by End-Use Sector. May 2018 value, updated July 2018. Retrieved from https://www.eia.gov/electricity/monthly/epm_table_grapher.php?t=epmt_5_6_a</t>
  </si>
  <si>
    <t>Assume 25% of washer cycles, vendor estimates 37.5% of loads use bleach</t>
  </si>
  <si>
    <t>TBD</t>
  </si>
  <si>
    <t>Res</t>
  </si>
  <si>
    <t>PGE Average</t>
  </si>
  <si>
    <t>SCE Average</t>
  </si>
  <si>
    <t>SCG Average</t>
  </si>
  <si>
    <t>SDGE Average</t>
  </si>
  <si>
    <t>Ex / NC</t>
  </si>
  <si>
    <t>N/A</t>
  </si>
  <si>
    <t>Residential clothes washer meeting the January 1, 2018 federal appliance standards</t>
  </si>
  <si>
    <t>10 years</t>
  </si>
  <si>
    <t>Water Heater Type - Benefits Type</t>
  </si>
  <si>
    <t xml:space="preserve">The ozone laundry retrofit measure provides both energy and non-energy benefits that provide economic value to consumers. The energy benefits result from decreased hot water consumption (net a small electricity increase). The non-energy benefits relate to decreased use of laundry detergent, bleach, fabric softener, etc. This analysis uses statewide residential energy cost estimates from EIA for 2017, and laundry consumable estimates from Jet.com based on an average per load cost from major brands (July 2018). Measure cost of $300 based on review of major online retailers for the PureWash Pro product (July 2018). </t>
  </si>
  <si>
    <t xml:space="preserve">This analysis use measure cost of $300 based on review of major online retailers for the PureWash Pro product (July 2018), and laundry consumable estimates from Jet.com based on an average per load cost from major brands (July 2018). </t>
  </si>
  <si>
    <t>All-Default&lt;=2yrs</t>
  </si>
  <si>
    <t>Annual Clothes Washer Cycles (cycles/year): Single-Family Homes</t>
  </si>
  <si>
    <t>Annual Clothes Washer Cycles (cycles/year): Multi-Family Homes</t>
  </si>
  <si>
    <t>2015 EIA RECS, Table HC3.1  Appliances in U.S. homes by housing unit type, single-family detached (May 2018)</t>
  </si>
  <si>
    <t>2015 EIA RECS, Table HC3.1  Appliances in U.S. homes by housing unit type, apartment (5 or more unit building) (May 2018)</t>
  </si>
  <si>
    <t xml:space="preserve">2015 RECS </t>
  </si>
  <si>
    <t>U.S. EIA. 2015 RECS Survey. Table HC3.1 Appliances in U.S. homes by housing unit type, single-family detached and apartment (5 or more unit building). Updated May 2018. Retrieved from https://www.eia.gov/consumption/residential/data/2015/index.php?view=characteristics#appliances</t>
  </si>
  <si>
    <t>File Name "GTI-Nicor-Residential Ozone Summary Calcs – 08-23-18.xlsx"</t>
  </si>
  <si>
    <t>Updated 8/23/2018</t>
  </si>
  <si>
    <t>EIA RECS Data</t>
  </si>
  <si>
    <t xml:space="preserve">The ozone laundry retrofit measure clean clothes without the use of hot water or detergents, which can provide significant energy and cost savings for residential users. The measure introduces ozone into the wash water, and allows users to modify the clothes washing cycle selections to more efficient settings, while maintaining cleaning performance. This workpaper calculates energy savings by California climate zone using baseline consumption data from the latest U.S. Department of Energy Clothes Washer Rulemaking, annual clothes washer cycle estimates by building type from U.S. Energy Information Administration 2015 RECS, and observed cycle selections, energy savings, and other data from a 12-home field study conducted by GTI for Nicor Gas in 2015-2016. This analysis assumes standard clothes washers meet the January 1, 2018 federal appliance standards (standard &gt;1.6 cu.ft., top load: IMEF 1.57 , IWF 6.5  front load: IMEF 1.84, IWF 4.7), with baseline consumption and savings assuming a weighted average of performance for top-load and front-load washers based on their share of California installed base (CLASS 2012). Mains Inlet Water Temperature (°F) varies the baseline consumption and savings by climate zone. 
</t>
  </si>
  <si>
    <t>Number of housing units (million)</t>
  </si>
  <si>
    <t>Housing unit type</t>
  </si>
  <si>
    <r>
      <t>Total U.S.</t>
    </r>
    <r>
      <rPr>
        <b/>
        <vertAlign val="superscript"/>
        <sz val="10"/>
        <color theme="1"/>
        <rFont val="Calibri"/>
        <family val="2"/>
        <scheme val="minor"/>
      </rPr>
      <t>2</t>
    </r>
  </si>
  <si>
    <t>Single-family detached</t>
  </si>
  <si>
    <t>Single-family attached</t>
  </si>
  <si>
    <t>Apartment
 (2- to 4-unit building)</t>
  </si>
  <si>
    <t>Apartment
 (5 or more unit building)</t>
  </si>
  <si>
    <t>Mobile home</t>
  </si>
  <si>
    <t>Clothes washer usage</t>
  </si>
  <si>
    <t>0 loads per week</t>
  </si>
  <si>
    <t>Q</t>
  </si>
  <si>
    <t>1 to 4 loads per week</t>
  </si>
  <si>
    <t>5 to 9 loads per week</t>
  </si>
  <si>
    <t>10 to 15 loads per week</t>
  </si>
  <si>
    <t>More than 15 loads per week</t>
  </si>
  <si>
    <t>N</t>
  </si>
  <si>
    <t>Do not have a clothes washer at home</t>
  </si>
  <si>
    <t>Table HC3.1  Appliances in U.S. homes by housing unit type, 2015</t>
  </si>
  <si>
    <t>2015 RECS Data for Clothes Washer Cycle Estimates</t>
  </si>
  <si>
    <t>Annual Clothes Washer Cycle Calculations by Building Type</t>
  </si>
  <si>
    <t>Release date: February 2017 Revised date: May 2018</t>
  </si>
  <si>
    <t>Residential Building Type</t>
  </si>
  <si>
    <t>Clothes Washer Cycles per Week</t>
  </si>
  <si>
    <t>Clothes Washer Cycles per Year</t>
  </si>
  <si>
    <t>SFm</t>
  </si>
  <si>
    <t>MFm</t>
  </si>
  <si>
    <t>Average of Clothes Washer Usage Range</t>
  </si>
  <si>
    <t>Weighted average of clothes washer usage  and number of housing units in segment, multiplied by 52 weeks per year</t>
  </si>
  <si>
    <t>Annual Water Heater Energy Consumption</t>
  </si>
  <si>
    <t xml:space="preserve">The baseline energy consumption for the clothes washer is based on the average hot water consumption per cycle (calculated above), inlet and outlet water temperature, water heater recovery efficiency, and number of annual clothes washer cycles. The equation describes the calculation methodology for natural gas and electric water heaters: </t>
  </si>
  <si>
    <t>Q = Annual water heater energy consumption (Therms, kwh)</t>
  </si>
  <si>
    <t xml:space="preserve">V = Volume of hot water per cycle (gallons / cycle) </t>
  </si>
  <si>
    <t>ρ = Density of water (lbs / gallon) – 8.34 lbs/gal</t>
  </si>
  <si>
    <r>
      <t>c = Specific heat of water (Btu/lb-</t>
    </r>
    <r>
      <rPr>
        <sz val="11"/>
        <rFont val="Segoe UI Symbol"/>
        <family val="2"/>
      </rPr>
      <t>°</t>
    </r>
    <r>
      <rPr>
        <sz val="11"/>
        <rFont val="Calibri"/>
        <family val="2"/>
      </rPr>
      <t>F) – 1.0 Btu/lb-</t>
    </r>
    <r>
      <rPr>
        <sz val="11"/>
        <rFont val="Segoe UI Symbol"/>
        <family val="2"/>
      </rPr>
      <t>°</t>
    </r>
    <r>
      <rPr>
        <sz val="11"/>
        <rFont val="Calibri"/>
        <family val="2"/>
      </rPr>
      <t>F</t>
    </r>
  </si>
  <si>
    <r>
      <t>T_out = Outlet temperature from water heater (</t>
    </r>
    <r>
      <rPr>
        <sz val="11"/>
        <rFont val="Segoe UI Symbol"/>
        <family val="2"/>
      </rPr>
      <t>°</t>
    </r>
    <r>
      <rPr>
        <sz val="11"/>
        <rFont val="Calibri"/>
        <family val="2"/>
      </rPr>
      <t xml:space="preserve">F) – 124.2 </t>
    </r>
    <r>
      <rPr>
        <sz val="11"/>
        <rFont val="Segoe UI Symbol"/>
        <family val="2"/>
      </rPr>
      <t>°</t>
    </r>
    <r>
      <rPr>
        <sz val="11"/>
        <rFont val="Calibri"/>
        <family val="2"/>
      </rPr>
      <t>F</t>
    </r>
  </si>
  <si>
    <r>
      <t>T_in = Inlet temperature to water heater (</t>
    </r>
    <r>
      <rPr>
        <sz val="11"/>
        <rFont val="Segoe UI Symbol"/>
        <family val="2"/>
      </rPr>
      <t>°</t>
    </r>
    <r>
      <rPr>
        <sz val="11"/>
        <rFont val="Calibri"/>
        <family val="2"/>
      </rPr>
      <t xml:space="preserve">F) – Varies with climate zone, range 51.4 </t>
    </r>
    <r>
      <rPr>
        <sz val="11"/>
        <rFont val="Segoe UI Symbol"/>
        <family val="2"/>
      </rPr>
      <t>°</t>
    </r>
    <r>
      <rPr>
        <sz val="11"/>
        <rFont val="Calibri"/>
        <family val="2"/>
      </rPr>
      <t xml:space="preserve">F to 75.5 </t>
    </r>
    <r>
      <rPr>
        <sz val="11"/>
        <rFont val="Segoe UI Symbol"/>
        <family val="2"/>
      </rPr>
      <t>°</t>
    </r>
    <r>
      <rPr>
        <sz val="11"/>
        <rFont val="Calibri"/>
        <family val="2"/>
      </rPr>
      <t>F</t>
    </r>
  </si>
  <si>
    <t xml:space="preserve">η = Water heater recovery efficiency (%) – natural gas 77%, electric 98% </t>
  </si>
  <si>
    <t>N = Annual clothes washer cycles (cycles / year) – 258 cycles / year for single-family, 194 for multi-family (in-unit)</t>
  </si>
  <si>
    <t>f = Conversion factor to final energy consumption – natural gas: 100,000 Btu per 1 Therm, electricity: 3,412 Btu per 1 kWh</t>
  </si>
  <si>
    <t>Peak Demand Savings</t>
  </si>
  <si>
    <r>
      <t>The peak demand savings (kW) for residential ozone laundry systems is directly related to the annual electricity savings (kWh), as shown in the equation below. The coincident demand factor (CDF) of 0.05 assumes the estimate within the ENERGY STAR clothes washer work paper (PGECOAPP127 R4, December 2017)</t>
    </r>
    <r>
      <rPr>
        <vertAlign val="superscript"/>
        <sz val="11"/>
        <rFont val="Calibri"/>
        <family val="2"/>
      </rPr>
      <t xml:space="preserve"> </t>
    </r>
    <r>
      <rPr>
        <sz val="11"/>
        <rFont val="Calibri"/>
        <family val="2"/>
      </rPr>
      <t>based on DOE Building America research.</t>
    </r>
  </si>
  <si>
    <t>Peak demand savings (kW)</t>
  </si>
  <si>
    <t>Annual electricity savings (kWh)</t>
  </si>
  <si>
    <t>CDF</t>
  </si>
  <si>
    <t>Coincident demand factor – 0.05</t>
  </si>
  <si>
    <t xml:space="preserve">Residential Ozone Laundry Retrofits - SFm - Natural Gas </t>
  </si>
  <si>
    <t>Residential Ozone Laundry Retrofits - SFm - Electric</t>
  </si>
  <si>
    <t xml:space="preserve">Residential Ozone Laundry Retrofits - MFm - Natural Gas </t>
  </si>
  <si>
    <t>Residential Ozone Laundry Retrofits - MFm - Electric</t>
  </si>
  <si>
    <t>Calculations by Water Heater Type and Climate Zone: Single-Family</t>
  </si>
  <si>
    <t>Calculations by Water Heater Type and Climate Zone: Multi-Family (In-Unit)</t>
  </si>
  <si>
    <t>Key Assumptions: Multi-Family (In-Unit) (see References tab for full citations)</t>
  </si>
  <si>
    <t>Key Assumptions: Single-Family (see References tab for full citations)</t>
  </si>
  <si>
    <t>Calculations by Water Heater Type and Laundry Habits: Single-Family</t>
  </si>
  <si>
    <t>Calculations by Water Heater Type and Laundry Habits: Multi-Family (In-Unit)</t>
  </si>
  <si>
    <t>Multi-Family (In-Unit)</t>
  </si>
  <si>
    <t>Single-Family</t>
  </si>
  <si>
    <t xml:space="preserve">Energy consumption for each residential building types depends on the estimated number of annual clothes washer cycles for each segment. This workpaper uses cycle estimates from the U.S. Energy Information Administration 2015 Residential Energy Consumption Survey (RECS), Table HC3.1 Appliances in U.S. homes by housing unit type (Updated May 2018). Estimates for single-family homes are estimated by using a weighted average of clothes washer usage for "Single-family detached segment", and multi-family homes are estimated by using a weighted average of "Apartment (5 or more unit building)" segment. RECS provides estimated clothes washer usage in cycles per week, which are then projected over the entire year. The applicable RECS data is copied below to demonstrate the weighted average calculation. See References tab for full citations. </t>
  </si>
  <si>
    <t>California Energy Commission, Title 20. Public Utilities and Energy, Division 2. State Energy Resources Conservation and Development Commission, Article 4. Appliance Efficiency Regulations. May 2018. CEC-140-2018-002.  Retrieved from http://www.energy.ca.gov/2018publications/CEC-140-2018-002/CEC-140-2018-002.pdf</t>
  </si>
  <si>
    <t>AOE / NC</t>
  </si>
  <si>
    <t>DnDeemed / DnDeemDI / UpDeemed</t>
  </si>
  <si>
    <t>Each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</si>
</sst>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8" formatCode="&quot;$&quot;#,##0.00_);[Red]\(&quot;$&quot;#,##0.00\)"/>
    <numFmt numFmtId="43" formatCode="_(* #,##0.00_);_(* \(#,##0.00\);_(* &quot;-&quot;??_);_(@_)"/>
    <numFmt numFmtId="164" formatCode="&quot;$&quot;#,##0.00"/>
    <numFmt numFmtId="165" formatCode="0.0000"/>
    <numFmt numFmtId="166" formatCode="0.0"/>
    <numFmt numFmtId="167" formatCode="&quot;$&quot;#,##0"/>
    <numFmt numFmtId="168" formatCode="0.000"/>
  </numFmts>
  <fonts count="20" x14ac:knownFonts="1">
    <font>
      <sz val="11"/>
      <color theme="1"/>
      <name val="Calibri"/>
      <family val="2"/>
      <scheme val="minor"/>
    </font>
    <font>
      <sz val="11"/>
      <color indexed="8"/>
      <name val="Calibri"/>
      <family val="2"/>
    </font>
    <font>
      <sz val="10"/>
      <color indexed="8"/>
      <name val="Arial"/>
      <family val="2"/>
    </font>
    <font>
      <b/>
      <sz val="11"/>
      <color theme="1"/>
      <name val="Calibri"/>
      <family val="2"/>
      <scheme val="minor"/>
    </font>
    <font>
      <sz val="10"/>
      <name val="Arial"/>
      <family val="2"/>
    </font>
    <font>
      <sz val="11"/>
      <color theme="1"/>
      <name val="Arial Unicode MS"/>
      <family val="2"/>
    </font>
    <font>
      <b/>
      <i/>
      <sz val="11"/>
      <color theme="1"/>
      <name val="Calibri"/>
      <family val="2"/>
      <scheme val="minor"/>
    </font>
    <font>
      <b/>
      <sz val="16"/>
      <color theme="1"/>
      <name val="Calibri"/>
      <family val="2"/>
      <scheme val="minor"/>
    </font>
    <font>
      <u/>
      <sz val="11"/>
      <color theme="10"/>
      <name val="Calibri"/>
      <family val="2"/>
      <scheme val="minor"/>
    </font>
    <font>
      <i/>
      <sz val="11"/>
      <color theme="1"/>
      <name val="Calibri"/>
      <family val="2"/>
      <scheme val="minor"/>
    </font>
    <font>
      <sz val="11"/>
      <color theme="0" tint="-0.499984740745262"/>
      <name val="Calibri"/>
      <family val="2"/>
      <scheme val="minor"/>
    </font>
    <font>
      <b/>
      <sz val="12"/>
      <color theme="4"/>
      <name val="Calibri"/>
      <family val="2"/>
      <scheme val="minor"/>
    </font>
    <font>
      <b/>
      <sz val="10"/>
      <color theme="1"/>
      <name val="Calibri"/>
      <family val="2"/>
      <scheme val="minor"/>
    </font>
    <font>
      <b/>
      <sz val="9"/>
      <color theme="1"/>
      <name val="Calibri"/>
      <family val="2"/>
      <scheme val="minor"/>
    </font>
    <font>
      <b/>
      <vertAlign val="superscript"/>
      <sz val="10"/>
      <color theme="1"/>
      <name val="Calibri"/>
      <family val="2"/>
      <scheme val="minor"/>
    </font>
    <font>
      <sz val="9"/>
      <color theme="1"/>
      <name val="Calibri"/>
      <family val="2"/>
      <scheme val="minor"/>
    </font>
    <font>
      <sz val="10"/>
      <color theme="1"/>
      <name val="Calibri"/>
      <family val="2"/>
      <scheme val="minor"/>
    </font>
    <font>
      <sz val="11"/>
      <name val="Calibri"/>
      <family val="2"/>
    </font>
    <font>
      <sz val="11"/>
      <name val="Segoe UI Symbol"/>
      <family val="2"/>
    </font>
    <font>
      <vertAlign val="superscript"/>
      <sz val="11"/>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s>
  <borders count="20">
    <border>
      <left/>
      <right/>
      <top/>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style="thick">
        <color theme="0"/>
      </left>
      <right style="thick">
        <color theme="0"/>
      </right>
      <top/>
      <bottom style="thin">
        <color theme="0" tint="-0.24994659260841701"/>
      </bottom>
      <diagonal/>
    </border>
    <border>
      <left/>
      <right/>
      <top/>
      <bottom style="thin">
        <color theme="0" tint="-0.249977111117893"/>
      </bottom>
      <diagonal/>
    </border>
    <border>
      <left/>
      <right/>
      <top/>
      <bottom style="dashed">
        <color theme="0" tint="-0.24994659260841701"/>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s>
  <cellStyleXfs count="11">
    <xf numFmtId="0" fontId="0" fillId="0" borderId="0"/>
    <xf numFmtId="0" fontId="2" fillId="0" borderId="0"/>
    <xf numFmtId="0" fontId="4" fillId="0" borderId="0"/>
    <xf numFmtId="0" fontId="5" fillId="0" borderId="0"/>
    <xf numFmtId="43" fontId="5" fillId="0" borderId="0" applyFont="0" applyFill="0" applyBorder="0" applyAlignment="0" applyProtection="0"/>
    <xf numFmtId="0" fontId="8" fillId="0" borderId="0" applyNumberFormat="0" applyFill="0" applyBorder="0" applyAlignment="0" applyProtection="0"/>
    <xf numFmtId="0" fontId="11" fillId="0" borderId="0" applyNumberFormat="0" applyProtection="0">
      <alignment horizontal="left"/>
    </xf>
    <xf numFmtId="0" fontId="13" fillId="0" borderId="12" applyNumberFormat="0" applyProtection="0">
      <alignment horizontal="left" wrapText="1"/>
    </xf>
    <xf numFmtId="0" fontId="13" fillId="0" borderId="11" applyNumberFormat="0" applyProtection="0">
      <alignment wrapText="1"/>
    </xf>
    <xf numFmtId="0" fontId="13" fillId="0" borderId="13" applyNumberFormat="0" applyProtection="0">
      <alignment wrapText="1"/>
    </xf>
    <xf numFmtId="0" fontId="15" fillId="0" borderId="14" applyNumberFormat="0" applyFont="0" applyProtection="0">
      <alignment wrapText="1"/>
    </xf>
  </cellStyleXfs>
  <cellXfs count="104">
    <xf numFmtId="0" fontId="0" fillId="0" borderId="0" xfId="0"/>
    <xf numFmtId="0" fontId="1" fillId="0" borderId="1" xfId="1" applyFont="1" applyFill="1" applyBorder="1" applyAlignment="1"/>
    <xf numFmtId="0" fontId="3" fillId="0" borderId="5" xfId="0" applyFont="1" applyFill="1" applyBorder="1" applyAlignment="1">
      <alignment horizontal="center" vertical="center"/>
    </xf>
    <xf numFmtId="0" fontId="0" fillId="0" borderId="0" xfId="0" applyFill="1" applyAlignment="1">
      <alignment horizontal="center" vertical="center"/>
    </xf>
    <xf numFmtId="0" fontId="0" fillId="0" borderId="0" xfId="0" applyFill="1" applyAlignment="1">
      <alignment horizontal="center" vertical="center" wrapText="1"/>
    </xf>
    <xf numFmtId="164" fontId="0" fillId="0" borderId="0" xfId="0" applyNumberFormat="1" applyFill="1" applyAlignment="1">
      <alignment horizontal="center" vertical="center"/>
    </xf>
    <xf numFmtId="0" fontId="3" fillId="0" borderId="0" xfId="0" applyFont="1" applyFill="1" applyAlignment="1">
      <alignment horizontal="center" vertical="center"/>
    </xf>
    <xf numFmtId="0" fontId="3" fillId="0" borderId="6" xfId="0" applyFont="1" applyFill="1" applyBorder="1" applyAlignment="1">
      <alignment horizontal="center" vertical="center"/>
    </xf>
    <xf numFmtId="2" fontId="0" fillId="0" borderId="0" xfId="0" applyNumberFormat="1" applyFill="1" applyAlignment="1">
      <alignment horizontal="center" vertical="center"/>
    </xf>
    <xf numFmtId="0" fontId="0" fillId="0" borderId="0" xfId="0" applyFill="1" applyAlignment="1">
      <alignment horizontal="left" vertical="center"/>
    </xf>
    <xf numFmtId="0" fontId="0" fillId="0" borderId="0" xfId="0" applyAlignment="1">
      <alignment horizontal="left"/>
    </xf>
    <xf numFmtId="0" fontId="3" fillId="0" borderId="5" xfId="0" applyFont="1" applyFill="1" applyBorder="1" applyAlignment="1">
      <alignment horizontal="left" vertical="center"/>
    </xf>
    <xf numFmtId="0" fontId="3" fillId="0" borderId="0" xfId="0" applyFont="1" applyFill="1" applyAlignment="1">
      <alignment horizontal="left" vertical="center"/>
    </xf>
    <xf numFmtId="0" fontId="1" fillId="0" borderId="1" xfId="1" applyFont="1" applyFill="1" applyBorder="1" applyAlignment="1">
      <alignment horizontal="left" vertical="center"/>
    </xf>
    <xf numFmtId="165" fontId="0" fillId="0" borderId="0" xfId="0" applyNumberFormat="1" applyFill="1" applyAlignment="1">
      <alignment horizontal="center" vertical="center"/>
    </xf>
    <xf numFmtId="0" fontId="0" fillId="0" borderId="0" xfId="0" applyFont="1" applyBorder="1" applyAlignment="1">
      <alignment vertical="center" wrapText="1"/>
    </xf>
    <xf numFmtId="0" fontId="6" fillId="0" borderId="0" xfId="0" applyFont="1"/>
    <xf numFmtId="0" fontId="7" fillId="0" borderId="0" xfId="0" applyFont="1"/>
    <xf numFmtId="0" fontId="0" fillId="0" borderId="7" xfId="0" applyBorder="1" applyAlignment="1">
      <alignment horizontal="center"/>
    </xf>
    <xf numFmtId="0" fontId="3" fillId="0" borderId="7" xfId="0" applyFont="1" applyBorder="1" applyAlignment="1">
      <alignment horizontal="center"/>
    </xf>
    <xf numFmtId="0" fontId="0" fillId="0" borderId="7" xfId="0" applyBorder="1" applyAlignment="1">
      <alignment horizontal="left"/>
    </xf>
    <xf numFmtId="0" fontId="0" fillId="2" borderId="7" xfId="0" applyFill="1" applyBorder="1" applyAlignment="1">
      <alignment horizontal="left"/>
    </xf>
    <xf numFmtId="0" fontId="0" fillId="2" borderId="7" xfId="0" applyFill="1" applyBorder="1" applyAlignment="1">
      <alignment horizontal="center"/>
    </xf>
    <xf numFmtId="0" fontId="0" fillId="0" borderId="7" xfId="0" applyBorder="1"/>
    <xf numFmtId="0" fontId="0" fillId="2" borderId="7" xfId="0" applyFill="1" applyBorder="1"/>
    <xf numFmtId="0" fontId="0" fillId="0" borderId="7" xfId="0" applyFill="1" applyBorder="1" applyAlignment="1">
      <alignment horizontal="center"/>
    </xf>
    <xf numFmtId="166" fontId="0" fillId="0" borderId="7" xfId="0" applyNumberFormat="1" applyBorder="1" applyAlignment="1">
      <alignment horizontal="center"/>
    </xf>
    <xf numFmtId="1" fontId="0" fillId="0" borderId="7" xfId="0" applyNumberFormat="1" applyBorder="1" applyAlignment="1">
      <alignment horizontal="center"/>
    </xf>
    <xf numFmtId="0" fontId="0" fillId="0" borderId="0" xfId="0" applyAlignment="1">
      <alignment vertical="center" wrapText="1"/>
    </xf>
    <xf numFmtId="0" fontId="3" fillId="0" borderId="7" xfId="0" applyFont="1" applyBorder="1" applyAlignment="1">
      <alignment horizontal="center" vertical="center" wrapText="1"/>
    </xf>
    <xf numFmtId="3" fontId="0" fillId="0" borderId="7" xfId="0" applyNumberFormat="1" applyBorder="1" applyAlignment="1">
      <alignment horizontal="center"/>
    </xf>
    <xf numFmtId="9" fontId="0" fillId="0" borderId="7" xfId="0" applyNumberFormat="1" applyBorder="1" applyAlignment="1">
      <alignment horizontal="center"/>
    </xf>
    <xf numFmtId="0" fontId="3" fillId="0" borderId="7" xfId="0" applyFont="1" applyFill="1" applyBorder="1" applyAlignment="1">
      <alignment horizontal="center"/>
    </xf>
    <xf numFmtId="0" fontId="6" fillId="0" borderId="0" xfId="0" applyFont="1" applyAlignment="1"/>
    <xf numFmtId="0" fontId="0" fillId="0" borderId="7" xfId="0" applyFill="1" applyBorder="1"/>
    <xf numFmtId="8" fontId="0" fillId="0" borderId="7" xfId="0" applyNumberFormat="1" applyBorder="1" applyAlignment="1">
      <alignment horizontal="center"/>
    </xf>
    <xf numFmtId="0" fontId="0" fillId="0" borderId="8" xfId="0" applyBorder="1" applyAlignment="1">
      <alignment horizontal="center"/>
    </xf>
    <xf numFmtId="0" fontId="0" fillId="0" borderId="8" xfId="0" applyBorder="1" applyAlignment="1">
      <alignment horizontal="left"/>
    </xf>
    <xf numFmtId="6" fontId="0" fillId="0" borderId="7" xfId="0" applyNumberFormat="1" applyBorder="1" applyAlignment="1">
      <alignment horizontal="center"/>
    </xf>
    <xf numFmtId="8" fontId="0" fillId="0" borderId="7" xfId="0" applyNumberFormat="1" applyFill="1" applyBorder="1" applyAlignment="1">
      <alignment horizontal="center"/>
    </xf>
    <xf numFmtId="8" fontId="0" fillId="0" borderId="0" xfId="0" applyNumberFormat="1"/>
    <xf numFmtId="0" fontId="0" fillId="0" borderId="0" xfId="0" quotePrefix="1" applyBorder="1" applyAlignment="1">
      <alignment vertical="center" wrapText="1"/>
    </xf>
    <xf numFmtId="0" fontId="0" fillId="0" borderId="0" xfId="0" applyAlignment="1">
      <alignment horizontal="center"/>
    </xf>
    <xf numFmtId="0" fontId="3" fillId="0" borderId="8" xfId="0" applyFont="1" applyBorder="1" applyAlignment="1">
      <alignment horizontal="center"/>
    </xf>
    <xf numFmtId="167" fontId="0" fillId="0" borderId="7" xfId="0" applyNumberFormat="1" applyBorder="1" applyAlignment="1">
      <alignment horizontal="center"/>
    </xf>
    <xf numFmtId="0" fontId="8" fillId="0" borderId="7" xfId="5" applyBorder="1" applyAlignment="1">
      <alignment horizontal="center"/>
    </xf>
    <xf numFmtId="0" fontId="3" fillId="0" borderId="0" xfId="0" applyFont="1" applyAlignment="1">
      <alignment horizontal="right"/>
    </xf>
    <xf numFmtId="164" fontId="0" fillId="0" borderId="7" xfId="0" applyNumberFormat="1" applyBorder="1" applyAlignment="1">
      <alignment horizontal="center"/>
    </xf>
    <xf numFmtId="164" fontId="0" fillId="0" borderId="9" xfId="0" applyNumberFormat="1" applyBorder="1" applyAlignment="1">
      <alignment horizontal="center"/>
    </xf>
    <xf numFmtId="0" fontId="3" fillId="0" borderId="10" xfId="0" applyFont="1" applyBorder="1" applyAlignment="1">
      <alignment horizontal="center"/>
    </xf>
    <xf numFmtId="0" fontId="9" fillId="0" borderId="0" xfId="0" applyFont="1"/>
    <xf numFmtId="0" fontId="0" fillId="0" borderId="7" xfId="0" applyBorder="1" applyAlignment="1">
      <alignment vertical="center" wrapText="1"/>
    </xf>
    <xf numFmtId="168" fontId="0" fillId="0" borderId="7" xfId="0" applyNumberFormat="1" applyBorder="1" applyAlignment="1">
      <alignment horizontal="center"/>
    </xf>
    <xf numFmtId="168" fontId="0" fillId="2" borderId="7" xfId="0" applyNumberFormat="1" applyFill="1" applyBorder="1"/>
    <xf numFmtId="0" fontId="0" fillId="0" borderId="7" xfId="0" applyBorder="1" applyAlignment="1">
      <alignment horizontal="left" vertical="center" wrapText="1"/>
    </xf>
    <xf numFmtId="0" fontId="0" fillId="0" borderId="0" xfId="0" applyFill="1" applyAlignment="1">
      <alignment wrapText="1"/>
    </xf>
    <xf numFmtId="0" fontId="0" fillId="0" borderId="0" xfId="0" applyFill="1" applyAlignment="1">
      <alignment horizontal="left" vertical="top"/>
    </xf>
    <xf numFmtId="2" fontId="1" fillId="0" borderId="1" xfId="1" applyNumberFormat="1" applyFont="1" applyFill="1" applyBorder="1" applyAlignment="1">
      <alignment horizontal="center"/>
    </xf>
    <xf numFmtId="2" fontId="0" fillId="0" borderId="0" xfId="0" applyNumberFormat="1" applyFill="1" applyAlignment="1">
      <alignment horizontal="center"/>
    </xf>
    <xf numFmtId="0" fontId="0" fillId="3" borderId="0" xfId="0" applyFill="1" applyAlignment="1">
      <alignment horizontal="center"/>
    </xf>
    <xf numFmtId="0" fontId="0" fillId="0" borderId="0" xfId="0" quotePrefix="1" applyBorder="1" applyAlignment="1">
      <alignment horizontal="left" vertical="center" wrapText="1"/>
    </xf>
    <xf numFmtId="0" fontId="0" fillId="0" borderId="0" xfId="0" applyBorder="1"/>
    <xf numFmtId="0" fontId="11" fillId="0" borderId="0" xfId="6" applyFill="1" applyBorder="1" applyAlignment="1">
      <alignment horizontal="left" wrapText="1"/>
    </xf>
    <xf numFmtId="3" fontId="12" fillId="0" borderId="7" xfId="0" applyNumberFormat="1" applyFont="1" applyBorder="1" applyAlignment="1">
      <alignment horizontal="center" wrapText="1"/>
    </xf>
    <xf numFmtId="166" fontId="16" fillId="0" borderId="15" xfId="10" applyNumberFormat="1" applyFont="1" applyFill="1" applyBorder="1" applyAlignment="1">
      <alignment horizontal="center" wrapText="1"/>
    </xf>
    <xf numFmtId="0" fontId="0" fillId="0" borderId="17" xfId="0" applyBorder="1" applyAlignment="1">
      <alignment horizontal="center"/>
    </xf>
    <xf numFmtId="0" fontId="0" fillId="0" borderId="18" xfId="0" applyBorder="1" applyAlignment="1">
      <alignment horizontal="center"/>
    </xf>
    <xf numFmtId="166" fontId="16" fillId="0" borderId="10" xfId="10" applyNumberFormat="1" applyFont="1" applyFill="1" applyBorder="1" applyAlignment="1">
      <alignment horizontal="center" wrapText="1"/>
    </xf>
    <xf numFmtId="166" fontId="16" fillId="0" borderId="17" xfId="10" applyNumberFormat="1" applyFont="1" applyFill="1" applyBorder="1" applyAlignment="1">
      <alignment horizontal="center" wrapText="1"/>
    </xf>
    <xf numFmtId="166" fontId="16" fillId="0" borderId="18" xfId="10" applyNumberFormat="1" applyFont="1" applyFill="1" applyBorder="1" applyAlignment="1">
      <alignment horizontal="center" wrapText="1"/>
    </xf>
    <xf numFmtId="166" fontId="16" fillId="0" borderId="19" xfId="10" applyNumberFormat="1" applyFont="1" applyFill="1" applyBorder="1" applyAlignment="1">
      <alignment horizontal="center" wrapText="1"/>
    </xf>
    <xf numFmtId="0" fontId="10" fillId="0" borderId="0" xfId="0" applyFont="1" applyBorder="1" applyAlignment="1"/>
    <xf numFmtId="0" fontId="16" fillId="0" borderId="7" xfId="10" applyFont="1" applyFill="1" applyBorder="1" applyAlignment="1">
      <alignment horizontal="left" vertical="center" wrapText="1"/>
    </xf>
    <xf numFmtId="0" fontId="12" fillId="0" borderId="7" xfId="9" applyFont="1" applyFill="1" applyBorder="1" applyAlignment="1">
      <alignment horizontal="center" vertical="center" wrapText="1"/>
    </xf>
    <xf numFmtId="3" fontId="12" fillId="0" borderId="15" xfId="8" applyNumberFormat="1" applyFont="1" applyBorder="1" applyAlignment="1">
      <alignment horizontal="center" vertical="center" wrapText="1"/>
    </xf>
    <xf numFmtId="3" fontId="12" fillId="0" borderId="16" xfId="8" applyNumberFormat="1" applyFont="1" applyBorder="1" applyAlignment="1">
      <alignment horizontal="center" vertical="center" wrapText="1"/>
    </xf>
    <xf numFmtId="3" fontId="12" fillId="0" borderId="10" xfId="8" applyNumberFormat="1" applyFont="1" applyBorder="1" applyAlignment="1">
      <alignment horizontal="center" vertical="center" wrapText="1"/>
    </xf>
    <xf numFmtId="3" fontId="12" fillId="0" borderId="19" xfId="8" applyNumberFormat="1" applyFont="1" applyBorder="1" applyAlignment="1">
      <alignment horizontal="center" vertical="center" wrapText="1"/>
    </xf>
    <xf numFmtId="0" fontId="3" fillId="0" borderId="16" xfId="0" applyFont="1" applyBorder="1" applyAlignment="1">
      <alignment horizontal="center" vertical="center" wrapText="1"/>
    </xf>
    <xf numFmtId="0" fontId="0" fillId="0" borderId="0" xfId="0" applyAlignment="1">
      <alignment horizontal="center" vertical="center"/>
    </xf>
    <xf numFmtId="0" fontId="0" fillId="0" borderId="7" xfId="0" applyBorder="1" applyAlignment="1">
      <alignment horizontal="center" vertical="center"/>
    </xf>
    <xf numFmtId="2" fontId="0" fillId="0" borderId="7" xfId="0" applyNumberFormat="1" applyBorder="1" applyAlignment="1">
      <alignment horizontal="center"/>
    </xf>
    <xf numFmtId="0" fontId="3" fillId="0" borderId="0" xfId="0" applyFont="1" applyAlignment="1">
      <alignment vertical="center"/>
    </xf>
    <xf numFmtId="0" fontId="17" fillId="0" borderId="0" xfId="0" applyFont="1" applyAlignment="1">
      <alignment vertical="center"/>
    </xf>
    <xf numFmtId="0" fontId="17" fillId="0" borderId="0" xfId="0" applyFont="1" applyAlignment="1">
      <alignment horizontal="left" vertical="center" indent="5"/>
    </xf>
    <xf numFmtId="0" fontId="0" fillId="0" borderId="0" xfId="0" applyAlignment="1">
      <alignment horizontal="right"/>
    </xf>
    <xf numFmtId="0" fontId="0" fillId="0" borderId="0" xfId="0" applyFont="1" applyBorder="1" applyAlignment="1">
      <alignmen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7" xfId="0" quotePrefix="1" applyBorder="1" applyAlignment="1">
      <alignment horizontal="left" vertical="center" wrapText="1"/>
    </xf>
    <xf numFmtId="0" fontId="17" fillId="0" borderId="0" xfId="0" applyFont="1" applyAlignment="1">
      <alignment horizontal="left" vertical="center" wrapText="1"/>
    </xf>
    <xf numFmtId="0" fontId="3" fillId="0" borderId="7" xfId="0" applyFont="1" applyBorder="1" applyAlignment="1">
      <alignment horizontal="center" vertical="center"/>
    </xf>
    <xf numFmtId="0" fontId="0" fillId="0" borderId="7" xfId="0" applyBorder="1" applyAlignment="1">
      <alignment horizontal="left" wrapText="1"/>
    </xf>
    <xf numFmtId="3" fontId="12" fillId="0" borderId="15" xfId="0" applyNumberFormat="1" applyFont="1" applyBorder="1" applyAlignment="1">
      <alignment horizontal="center" wrapText="1"/>
    </xf>
    <xf numFmtId="3" fontId="12" fillId="0" borderId="19" xfId="0" applyNumberFormat="1" applyFont="1" applyBorder="1" applyAlignment="1">
      <alignment horizontal="center" wrapText="1"/>
    </xf>
    <xf numFmtId="3" fontId="12" fillId="0" borderId="10" xfId="0" applyNumberFormat="1" applyFont="1" applyBorder="1" applyAlignment="1">
      <alignment horizontal="center" wrapText="1"/>
    </xf>
    <xf numFmtId="3" fontId="12" fillId="0" borderId="2" xfId="7" applyNumberFormat="1" applyFont="1" applyBorder="1" applyAlignment="1">
      <alignment horizontal="center" wrapText="1"/>
    </xf>
    <xf numFmtId="3" fontId="12" fillId="0" borderId="3" xfId="7" applyNumberFormat="1" applyFont="1" applyBorder="1" applyAlignment="1">
      <alignment horizontal="center" wrapText="1"/>
    </xf>
    <xf numFmtId="3" fontId="12" fillId="0" borderId="4" xfId="7" applyNumberFormat="1" applyFont="1" applyBorder="1" applyAlignment="1">
      <alignment horizontal="center" wrapText="1"/>
    </xf>
    <xf numFmtId="0" fontId="11" fillId="0" borderId="0" xfId="6" applyBorder="1" applyAlignment="1">
      <alignment horizontal="left" wrapText="1"/>
    </xf>
  </cellXfs>
  <cellStyles count="11">
    <cellStyle name="Body: normal cell" xfId="10" xr:uid="{444ADE36-12B5-4795-90B2-470A007D42D8}"/>
    <cellStyle name="Comma 2" xfId="4" xr:uid="{00000000-0005-0000-0000-000000000000}"/>
    <cellStyle name="Header: bottom row" xfId="8" xr:uid="{DF198DC5-78E8-405B-B7F3-61E585F1E7DB}"/>
    <cellStyle name="Header: top rows" xfId="7" xr:uid="{29485947-DE28-46B2-9FE4-02EC4D04251B}"/>
    <cellStyle name="Hyperlink" xfId="5" builtinId="8"/>
    <cellStyle name="Normal" xfId="0" builtinId="0"/>
    <cellStyle name="Normal 2" xfId="2" xr:uid="{00000000-0005-0000-0000-000002000000}"/>
    <cellStyle name="Normal 2 2" xfId="3" xr:uid="{00000000-0005-0000-0000-000003000000}"/>
    <cellStyle name="Normal_Sheet1" xfId="1" xr:uid="{00000000-0005-0000-0000-000004000000}"/>
    <cellStyle name="Parent row" xfId="9" xr:uid="{56E0D602-C3EA-49AC-B1CE-474FC5E29323}"/>
    <cellStyle name="Table title" xfId="6" xr:uid="{832FB4C8-33FE-4B76-8852-2B3003A1AC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11</xdr:col>
      <xdr:colOff>0</xdr:colOff>
      <xdr:row>50</xdr:row>
      <xdr:rowOff>0</xdr:rowOff>
    </xdr:from>
    <xdr:to>
      <xdr:col>13</xdr:col>
      <xdr:colOff>400050</xdr:colOff>
      <xdr:row>51</xdr:row>
      <xdr:rowOff>180975</xdr:rowOff>
    </xdr:to>
    <xdr:pic>
      <xdr:nvPicPr>
        <xdr:cNvPr id="3" name="Picture 2">
          <a:extLst>
            <a:ext uri="{FF2B5EF4-FFF2-40B4-BE49-F238E27FC236}">
              <a16:creationId xmlns:a16="http://schemas.microsoft.com/office/drawing/2014/main" id="{93BE8C7A-754B-42B6-BE28-07783C6CC13E}"/>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6211550" y="10191750"/>
          <a:ext cx="16192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67</xdr:row>
      <xdr:rowOff>63500</xdr:rowOff>
    </xdr:from>
    <xdr:to>
      <xdr:col>14</xdr:col>
      <xdr:colOff>0</xdr:colOff>
      <xdr:row>69</xdr:row>
      <xdr:rowOff>34925</xdr:rowOff>
    </xdr:to>
    <xdr:pic>
      <xdr:nvPicPr>
        <xdr:cNvPr id="13" name="Picture 12">
          <a:extLst>
            <a:ext uri="{FF2B5EF4-FFF2-40B4-BE49-F238E27FC236}">
              <a16:creationId xmlns:a16="http://schemas.microsoft.com/office/drawing/2014/main" id="{CBD4340C-9C70-4A98-9543-F6F758939114}"/>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6224250" y="13589000"/>
          <a:ext cx="1862667"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1058332</xdr:colOff>
      <xdr:row>69</xdr:row>
      <xdr:rowOff>126998</xdr:rowOff>
    </xdr:from>
    <xdr:to>
      <xdr:col>11</xdr:col>
      <xdr:colOff>602190</xdr:colOff>
      <xdr:row>70</xdr:row>
      <xdr:rowOff>146048</xdr:rowOff>
    </xdr:to>
    <xdr:pic>
      <xdr:nvPicPr>
        <xdr:cNvPr id="14" name="Picture 13">
          <a:extLst>
            <a:ext uri="{FF2B5EF4-FFF2-40B4-BE49-F238E27FC236}">
              <a16:creationId xmlns:a16="http://schemas.microsoft.com/office/drawing/2014/main" id="{B7D45BFD-D930-45BC-9396-201BC01BDEDA}"/>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6203082" y="14033498"/>
          <a:ext cx="623358"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991657</xdr:colOff>
      <xdr:row>70</xdr:row>
      <xdr:rowOff>169333</xdr:rowOff>
    </xdr:from>
    <xdr:to>
      <xdr:col>11</xdr:col>
      <xdr:colOff>602190</xdr:colOff>
      <xdr:row>71</xdr:row>
      <xdr:rowOff>188383</xdr:rowOff>
    </xdr:to>
    <xdr:pic>
      <xdr:nvPicPr>
        <xdr:cNvPr id="15" name="Picture 14">
          <a:extLst>
            <a:ext uri="{FF2B5EF4-FFF2-40B4-BE49-F238E27FC236}">
              <a16:creationId xmlns:a16="http://schemas.microsoft.com/office/drawing/2014/main" id="{B2B99FAD-649D-4FC2-986B-D687687FE8E4}"/>
            </a:ext>
          </a:extLst>
        </xdr:cNvPr>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6136407" y="14266333"/>
          <a:ext cx="690033"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jet.com/product/Tide-Simply-Clean-and-Fresh-HE-Liquid-Laundry-Detergent-Refreshing-Breeze-Scent-/1e18dd7034ab4d67bdc0e5f363516f58" TargetMode="External"/><Relationship Id="rId13" Type="http://schemas.openxmlformats.org/officeDocument/2006/relationships/hyperlink" Target="https://jet.com/product/Persil-ProClean-2-in-1-Liquid-Laundry-Detergent-150-Oz/c26ab4fc4eca41549b088d1c31b41745" TargetMode="External"/><Relationship Id="rId18" Type="http://schemas.openxmlformats.org/officeDocument/2006/relationships/hyperlink" Target="https://jet.com/product/Ecover-Non-Chlorine-Bleach-Fragrance-Free-64-Ounces/617d4168b54645a98b64d8345168ee5f" TargetMode="External"/><Relationship Id="rId3" Type="http://schemas.openxmlformats.org/officeDocument/2006/relationships/hyperlink" Target="https://www.abt.com/product/114521/GreenTech-Environmental-PureWash-Pro-Detergent-Less-Laundry-System-PUREWASHPRO.html?utm_source=google&amp;utm_medium=sc&amp;utm_campaign=PUREWASHPRO&amp;camptype=cpcChicagoGooglePLA&amp;pt_source=google&amp;pt_medium=sc&amp;pt_campaign=%5bPLA%5d%20%5bCHI%5d%20Generic&amp;pt_adgroup=%5bADL%5d%20%5bPLA%5d%20%5bCHI%5d%20Generic%20-%20(High)&amp;pt_keyword=" TargetMode="External"/><Relationship Id="rId21" Type="http://schemas.openxmlformats.org/officeDocument/2006/relationships/hyperlink" Target="https://jet.com/product/Clorox-Splash-Less-Bleach-Regular-55-oz/421f7a17f72b40ecb15b5feb378c8cf3" TargetMode="External"/><Relationship Id="rId7" Type="http://schemas.openxmlformats.org/officeDocument/2006/relationships/hyperlink" Target="https://www.sears.com/purewashpro-purewash-pro-laundry-system/p-SPM12186818404" TargetMode="External"/><Relationship Id="rId12" Type="http://schemas.openxmlformats.org/officeDocument/2006/relationships/hyperlink" Target="https://jet.com/product/Gain-Laundry-Detergent-Original-96-Loads/2b82104e109b463ab8bf3da83886c640" TargetMode="External"/><Relationship Id="rId17" Type="http://schemas.openxmlformats.org/officeDocument/2006/relationships/hyperlink" Target="https://jet.com/product/Clorox-2-Free-And-Clear-Stain-Remover-And-Color-Booster-33-Ounces/b24b7d4dab194afb8700d4b5320f854d" TargetMode="External"/><Relationship Id="rId25" Type="http://schemas.openxmlformats.org/officeDocument/2006/relationships/printerSettings" Target="../printerSettings/printerSettings3.bin"/><Relationship Id="rId2" Type="http://schemas.openxmlformats.org/officeDocument/2006/relationships/hyperlink" Target="https://www.amazon.com/pureWash-GreenTech-Supercharge-Washing-Machine/dp/B00XD8Q0B4/ref=sr_1_4_a_it?ie=UTF8&amp;qid=1532452546&amp;sr=8-4&amp;keywords=ozone+laundry" TargetMode="External"/><Relationship Id="rId16" Type="http://schemas.openxmlformats.org/officeDocument/2006/relationships/hyperlink" Target="https://jet.com/product/Clorox-Splash-Less-Bleach-Regular-55-oz/421f7a17f72b40ecb15b5feb378c8cf3" TargetMode="External"/><Relationship Id="rId20" Type="http://schemas.openxmlformats.org/officeDocument/2006/relationships/hyperlink" Target="https://jet.com/product/Clorox-Splash-Less-Bleach-Lemon-Fresh-Scent-116-Ounces/12ea7f75957c48e7b71fdfbe99e98f55" TargetMode="External"/><Relationship Id="rId1" Type="http://schemas.openxmlformats.org/officeDocument/2006/relationships/hyperlink" Target="https://www.greentechenv.com/products/pure-wash/purewashpro.html" TargetMode="External"/><Relationship Id="rId6" Type="http://schemas.openxmlformats.org/officeDocument/2006/relationships/hyperlink" Target="https://www.pcrichard.com/PureWash-Pro/pureWash-Pro-Sanitizing-Home-Laundry-System/PUREWASHPRO.pcrp" TargetMode="External"/><Relationship Id="rId11" Type="http://schemas.openxmlformats.org/officeDocument/2006/relationships/hyperlink" Target="https://jet.com/product/Tide-HE-Turbo-Clean-Liquid-Laundry-Detergent-Original-Scent-96-Loads-(150-Fl-Oz)/8612d1a7fc5940dba97a164887ed09c6" TargetMode="External"/><Relationship Id="rId24" Type="http://schemas.openxmlformats.org/officeDocument/2006/relationships/hyperlink" Target="https://jet.com/product/Clorox-UltimateCare-Bleach-Soft-Cotton-Scent-90-oz/70ac71eb6921413bbd4c2e5795ab0255" TargetMode="External"/><Relationship Id="rId5" Type="http://schemas.openxmlformats.org/officeDocument/2006/relationships/hyperlink" Target="https://www.wayfair.com/appliances/hd0/detergent-less-universal-washing-machine-cleaner-l5985-k~gtee1012.html?refid=GX99081619042-GTEE1012&amp;device=c&amp;ptid=264652095599&amp;network=g&amp;targetid=pla-264652095599&amp;channel=GooglePLA&amp;gclid=Cj0KCQjwnNvaBRCmARIsAOfZq-0CRnoRbpF9v8aj3huKIaRR2jZvtcCjsMFKnoeZkvID04SGFdXmGBcaAmpJEALw_wcB" TargetMode="External"/><Relationship Id="rId15" Type="http://schemas.openxmlformats.org/officeDocument/2006/relationships/hyperlink" Target="https://jet.com/product/Clorox-Splash-Less-Bleach-Lemon-Fresh-Scent-116-Ounces/12ea7f75957c48e7b71fdfbe99e98f55" TargetMode="External"/><Relationship Id="rId23" Type="http://schemas.openxmlformats.org/officeDocument/2006/relationships/hyperlink" Target="https://jet.com/product/Ecover-Non-Chlorine-Bleach-Fragrance-Free-64-Ounces/617d4168b54645a98b64d8345168ee5f" TargetMode="External"/><Relationship Id="rId10" Type="http://schemas.openxmlformats.org/officeDocument/2006/relationships/hyperlink" Target="https://jet.com/product/all-with-Stainlifters-Free-Clear-Liquid-Laundry-Detergent-184.5-fl-oz/19030898df7c463bb3aecca06c9fbc7c" TargetMode="External"/><Relationship Id="rId19" Type="http://schemas.openxmlformats.org/officeDocument/2006/relationships/hyperlink" Target="https://jet.com/product/Clorox-UltimateCare-Bleach-Soft-Cotton-Scent-90-oz/70ac71eb6921413bbd4c2e5795ab0255" TargetMode="External"/><Relationship Id="rId4" Type="http://schemas.openxmlformats.org/officeDocument/2006/relationships/hyperlink" Target="https://www.homedepot.com/p/GreenTech-Environmental-Home-Laundry-Cleaning-and-Purification-System-for-all-Types-of-Washing-Machines-pureWash-Pro/305490909?cm_mmc=Shopping%7cTHD%7cG%7c0%7cG-BASE-PLA-AllProducts%7c&amp;gclid=Cj0KCQjwnNvaBRCmARIsAOfZq-23iKe2ekqx20fKLwLCuh5t9YstsN2dg1E-Am60a5UMMT_nt-njNwgaAonJEALw_wcB&amp;gclsrc=aw.ds&amp;dclid=CJfV1vaeuNwCFRA5Twod3oMK2Q" TargetMode="External"/><Relationship Id="rId9" Type="http://schemas.openxmlformats.org/officeDocument/2006/relationships/hyperlink" Target="https://jet.com/product/Arm-and-Hammer-Powerfully-Clean-Laundry-Detergent-Clean-Burst-140-Loads/2fe3ee9ac04242cbba6d8fa6860aa33d" TargetMode="External"/><Relationship Id="rId14" Type="http://schemas.openxmlformats.org/officeDocument/2006/relationships/hyperlink" Target="https://jet.com/product/Seventh-Generation-Natural-2X-Laundry-Detergent-Free-and-Clear-99-Loads/cd590f0a8b784becb55d5e50001615d8" TargetMode="External"/><Relationship Id="rId22" Type="http://schemas.openxmlformats.org/officeDocument/2006/relationships/hyperlink" Target="https://jet.com/product/Clorox-2-Free-And-Clear-Stain-Remover-And-Color-Booster-33-Ounces/b24b7d4dab194afb8700d4b5320f854d"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Z82"/>
  <sheetViews>
    <sheetView tabSelected="1" topLeftCell="D1" zoomScale="90" zoomScaleNormal="90" workbookViewId="0">
      <pane ySplit="2" topLeftCell="A43" activePane="bottomLeft" state="frozen"/>
      <selection activeCell="C1" sqref="C1"/>
      <selection pane="bottomLeft" activeCell="N69" sqref="N69"/>
    </sheetView>
  </sheetViews>
  <sheetFormatPr defaultColWidth="9.140625" defaultRowHeight="15" x14ac:dyDescent="0.25"/>
  <cols>
    <col min="1" max="1" width="12" style="3" customWidth="1"/>
    <col min="2" max="2" width="51.28515625" style="3" customWidth="1"/>
    <col min="3" max="3" width="22" style="9" customWidth="1"/>
    <col min="4" max="4" width="55.28515625" style="9" customWidth="1"/>
    <col min="5" max="5" width="9.28515625" style="3" bestFit="1" customWidth="1"/>
    <col min="6" max="6" width="13.5703125" style="3" bestFit="1" customWidth="1"/>
    <col min="7" max="7" width="34.85546875" style="9" bestFit="1" customWidth="1"/>
    <col min="8" max="8" width="11.28515625" style="3" customWidth="1"/>
    <col min="9" max="9" width="6.42578125" style="3" bestFit="1" customWidth="1"/>
    <col min="10" max="10" width="17.7109375" style="3" customWidth="1"/>
    <col min="11" max="11" width="10.5703125" style="3" bestFit="1" customWidth="1"/>
    <col min="12" max="12" width="17.28515625" style="3" bestFit="1" customWidth="1"/>
    <col min="13" max="13" width="16.85546875" style="3" customWidth="1"/>
    <col min="14" max="14" width="17" style="3" customWidth="1"/>
    <col min="15" max="15" width="13.7109375" style="3" customWidth="1"/>
    <col min="16" max="16" width="15" style="3" customWidth="1"/>
    <col min="17" max="17" width="12.28515625" style="3" customWidth="1"/>
    <col min="18" max="18" width="10.140625" style="3" bestFit="1" customWidth="1"/>
    <col min="19" max="19" width="12" style="3" customWidth="1"/>
    <col min="20" max="20" width="11.5703125" style="3" bestFit="1" customWidth="1"/>
    <col min="21" max="21" width="9.7109375" style="3" bestFit="1" customWidth="1"/>
    <col min="22" max="22" width="13.140625" style="3" bestFit="1" customWidth="1"/>
    <col min="23" max="23" width="21.5703125" style="3" customWidth="1"/>
    <col min="24" max="24" width="15.7109375" style="3" customWidth="1"/>
    <col min="25" max="25" width="28.140625" style="3" customWidth="1"/>
    <col min="26" max="16384" width="9.140625" style="3"/>
  </cols>
  <sheetData>
    <row r="1" spans="1:26" s="6" customFormat="1" x14ac:dyDescent="0.25">
      <c r="C1" s="12"/>
      <c r="D1" s="12"/>
      <c r="G1" s="12"/>
      <c r="L1" s="87" t="s">
        <v>2</v>
      </c>
      <c r="M1" s="88"/>
      <c r="N1" s="88"/>
      <c r="O1" s="88"/>
      <c r="P1" s="89"/>
      <c r="Q1" s="90" t="s">
        <v>3</v>
      </c>
      <c r="R1" s="91"/>
      <c r="S1" s="92"/>
      <c r="T1" s="90" t="s">
        <v>4</v>
      </c>
      <c r="U1" s="91"/>
      <c r="V1" s="92"/>
      <c r="W1" s="87" t="s">
        <v>5</v>
      </c>
      <c r="X1" s="88"/>
      <c r="Y1" s="89"/>
    </row>
    <row r="2" spans="1:26" s="7" customFormat="1" ht="15.75" thickBot="1" x14ac:dyDescent="0.3">
      <c r="A2" s="11" t="s">
        <v>6</v>
      </c>
      <c r="B2" s="11" t="s">
        <v>7</v>
      </c>
      <c r="C2" s="11" t="s">
        <v>28</v>
      </c>
      <c r="D2" s="11" t="s">
        <v>8</v>
      </c>
      <c r="E2" s="2" t="s">
        <v>9</v>
      </c>
      <c r="F2" s="2" t="s">
        <v>10</v>
      </c>
      <c r="G2" s="11" t="s">
        <v>11</v>
      </c>
      <c r="H2" s="2" t="s">
        <v>12</v>
      </c>
      <c r="I2" s="2" t="s">
        <v>1</v>
      </c>
      <c r="J2" s="2" t="s">
        <v>13</v>
      </c>
      <c r="K2" s="2" t="s">
        <v>14</v>
      </c>
      <c r="L2" s="2" t="s">
        <v>0</v>
      </c>
      <c r="M2" s="2" t="s">
        <v>15</v>
      </c>
      <c r="N2" s="2" t="s">
        <v>16</v>
      </c>
      <c r="O2" s="2" t="s">
        <v>17</v>
      </c>
      <c r="P2" s="2" t="s">
        <v>18</v>
      </c>
      <c r="Q2" s="2" t="s">
        <v>19</v>
      </c>
      <c r="R2" s="2" t="s">
        <v>20</v>
      </c>
      <c r="S2" s="2" t="s">
        <v>29</v>
      </c>
      <c r="T2" s="2" t="s">
        <v>21</v>
      </c>
      <c r="U2" s="2" t="s">
        <v>22</v>
      </c>
      <c r="V2" s="2" t="s">
        <v>29</v>
      </c>
      <c r="W2" s="2" t="s">
        <v>23</v>
      </c>
      <c r="X2" s="2" t="s">
        <v>24</v>
      </c>
      <c r="Y2" s="2" t="s">
        <v>25</v>
      </c>
    </row>
    <row r="3" spans="1:26" x14ac:dyDescent="0.25">
      <c r="A3" s="9" t="s">
        <v>233</v>
      </c>
      <c r="B3" s="86" t="s">
        <v>302</v>
      </c>
      <c r="C3" s="56"/>
      <c r="D3" s="56" t="s">
        <v>241</v>
      </c>
      <c r="E3" s="3" t="s">
        <v>234</v>
      </c>
      <c r="F3" s="3" t="s">
        <v>316</v>
      </c>
      <c r="G3" s="13" t="s">
        <v>317</v>
      </c>
      <c r="H3" s="1" t="s">
        <v>242</v>
      </c>
      <c r="I3" s="4" t="s">
        <v>240</v>
      </c>
      <c r="J3" s="59" t="s">
        <v>246</v>
      </c>
      <c r="K3" s="4" t="s">
        <v>26</v>
      </c>
      <c r="L3" s="3" t="s">
        <v>281</v>
      </c>
      <c r="M3" s="3" t="s">
        <v>239</v>
      </c>
      <c r="N3" s="3">
        <v>1</v>
      </c>
      <c r="O3" s="3" t="s">
        <v>27</v>
      </c>
      <c r="P3" s="3" t="s">
        <v>318</v>
      </c>
      <c r="T3" s="57">
        <f>Calculations!H50</f>
        <v>-1.3672373779637379</v>
      </c>
      <c r="U3" s="57">
        <f>Calculations!I50</f>
        <v>-1.8729279150188189E-4</v>
      </c>
      <c r="V3" s="57">
        <f>Calculations!F50</f>
        <v>4.6228031891835384</v>
      </c>
      <c r="W3" s="5">
        <v>300</v>
      </c>
      <c r="X3" s="5">
        <v>300</v>
      </c>
      <c r="Y3" s="5">
        <v>300</v>
      </c>
      <c r="Z3" s="14"/>
    </row>
    <row r="4" spans="1:26" x14ac:dyDescent="0.25">
      <c r="A4" s="9" t="s">
        <v>233</v>
      </c>
      <c r="B4" s="86" t="s">
        <v>302</v>
      </c>
      <c r="C4" s="56"/>
      <c r="D4" s="56" t="s">
        <v>241</v>
      </c>
      <c r="E4" s="3" t="s">
        <v>234</v>
      </c>
      <c r="F4" s="3" t="s">
        <v>316</v>
      </c>
      <c r="G4" s="13" t="s">
        <v>317</v>
      </c>
      <c r="H4" s="1" t="s">
        <v>242</v>
      </c>
      <c r="I4" s="4" t="s">
        <v>240</v>
      </c>
      <c r="J4" s="59" t="s">
        <v>246</v>
      </c>
      <c r="K4" s="4" t="s">
        <v>26</v>
      </c>
      <c r="L4" s="3" t="s">
        <v>281</v>
      </c>
      <c r="M4" s="3" t="s">
        <v>239</v>
      </c>
      <c r="N4" s="3">
        <v>2</v>
      </c>
      <c r="O4" s="3" t="s">
        <v>27</v>
      </c>
      <c r="P4" s="3" t="s">
        <v>318</v>
      </c>
      <c r="T4" s="57">
        <f>Calculations!H51</f>
        <v>-1.3672373779637379</v>
      </c>
      <c r="U4" s="57">
        <f>Calculations!I51</f>
        <v>-1.8729279150188189E-4</v>
      </c>
      <c r="V4" s="57">
        <f>Calculations!F51</f>
        <v>4.2481529307194874</v>
      </c>
      <c r="W4" s="5">
        <v>300</v>
      </c>
      <c r="X4" s="5">
        <v>300</v>
      </c>
      <c r="Y4" s="5">
        <v>300</v>
      </c>
      <c r="Z4" s="14"/>
    </row>
    <row r="5" spans="1:26" x14ac:dyDescent="0.25">
      <c r="A5" s="9" t="s">
        <v>233</v>
      </c>
      <c r="B5" s="86" t="s">
        <v>302</v>
      </c>
      <c r="C5" s="56"/>
      <c r="D5" s="56" t="s">
        <v>241</v>
      </c>
      <c r="E5" s="3" t="s">
        <v>234</v>
      </c>
      <c r="F5" s="3" t="s">
        <v>316</v>
      </c>
      <c r="G5" s="13" t="s">
        <v>317</v>
      </c>
      <c r="H5" s="1" t="s">
        <v>242</v>
      </c>
      <c r="I5" s="4" t="s">
        <v>240</v>
      </c>
      <c r="J5" s="59" t="s">
        <v>246</v>
      </c>
      <c r="K5" s="4" t="s">
        <v>26</v>
      </c>
      <c r="L5" s="3" t="s">
        <v>281</v>
      </c>
      <c r="M5" s="3" t="s">
        <v>239</v>
      </c>
      <c r="N5" s="3">
        <v>3</v>
      </c>
      <c r="O5" s="3" t="s">
        <v>27</v>
      </c>
      <c r="P5" s="3" t="s">
        <v>318</v>
      </c>
      <c r="T5" s="57">
        <f>Calculations!H52</f>
        <v>-1.3672373779637379</v>
      </c>
      <c r="U5" s="57">
        <f>Calculations!I52</f>
        <v>-1.8729279150188189E-4</v>
      </c>
      <c r="V5" s="57">
        <f>Calculations!F52</f>
        <v>4.26085293948098</v>
      </c>
      <c r="W5" s="5">
        <v>300</v>
      </c>
      <c r="X5" s="5">
        <v>300</v>
      </c>
      <c r="Y5" s="5">
        <v>300</v>
      </c>
      <c r="Z5" s="14"/>
    </row>
    <row r="6" spans="1:26" x14ac:dyDescent="0.25">
      <c r="A6" s="9" t="s">
        <v>233</v>
      </c>
      <c r="B6" s="86" t="s">
        <v>302</v>
      </c>
      <c r="C6" s="56"/>
      <c r="D6" s="56" t="s">
        <v>241</v>
      </c>
      <c r="E6" s="3" t="s">
        <v>234</v>
      </c>
      <c r="F6" s="3" t="s">
        <v>316</v>
      </c>
      <c r="G6" s="13" t="s">
        <v>317</v>
      </c>
      <c r="H6" s="1" t="s">
        <v>242</v>
      </c>
      <c r="I6" s="4" t="s">
        <v>240</v>
      </c>
      <c r="J6" s="59" t="s">
        <v>246</v>
      </c>
      <c r="K6" s="4" t="s">
        <v>26</v>
      </c>
      <c r="L6" s="3" t="s">
        <v>281</v>
      </c>
      <c r="M6" s="3" t="s">
        <v>239</v>
      </c>
      <c r="N6" s="3">
        <v>4</v>
      </c>
      <c r="O6" s="3" t="s">
        <v>27</v>
      </c>
      <c r="P6" s="3" t="s">
        <v>318</v>
      </c>
      <c r="T6" s="57">
        <f>Calculations!H53</f>
        <v>-1.3672373779637379</v>
      </c>
      <c r="U6" s="57">
        <f>Calculations!I53</f>
        <v>-1.8729279150188189E-4</v>
      </c>
      <c r="V6" s="57">
        <f>Calculations!F53</f>
        <v>4.1084528343430611</v>
      </c>
      <c r="W6" s="5">
        <v>300</v>
      </c>
      <c r="X6" s="5">
        <v>300</v>
      </c>
      <c r="Y6" s="5">
        <v>300</v>
      </c>
      <c r="Z6" s="14"/>
    </row>
    <row r="7" spans="1:26" x14ac:dyDescent="0.25">
      <c r="A7" s="9" t="s">
        <v>233</v>
      </c>
      <c r="B7" s="86" t="s">
        <v>302</v>
      </c>
      <c r="C7" s="56"/>
      <c r="D7" s="56" t="s">
        <v>241</v>
      </c>
      <c r="E7" s="3" t="s">
        <v>234</v>
      </c>
      <c r="F7" s="3" t="s">
        <v>316</v>
      </c>
      <c r="G7" s="13" t="s">
        <v>317</v>
      </c>
      <c r="H7" s="1" t="s">
        <v>242</v>
      </c>
      <c r="I7" s="4" t="s">
        <v>240</v>
      </c>
      <c r="J7" s="59" t="s">
        <v>246</v>
      </c>
      <c r="K7" s="4" t="s">
        <v>26</v>
      </c>
      <c r="L7" s="3" t="s">
        <v>281</v>
      </c>
      <c r="M7" s="3" t="s">
        <v>239</v>
      </c>
      <c r="N7" s="3">
        <v>5</v>
      </c>
      <c r="O7" s="3" t="s">
        <v>27</v>
      </c>
      <c r="P7" s="3" t="s">
        <v>318</v>
      </c>
      <c r="T7" s="57">
        <f>Calculations!H54</f>
        <v>-1.3672373779637379</v>
      </c>
      <c r="U7" s="57">
        <f>Calculations!I54</f>
        <v>-1.8729279150188189E-4</v>
      </c>
      <c r="V7" s="57">
        <f>Calculations!F54</f>
        <v>4.3434029964306866</v>
      </c>
      <c r="W7" s="5">
        <v>300</v>
      </c>
      <c r="X7" s="5">
        <v>300</v>
      </c>
      <c r="Y7" s="5">
        <v>300</v>
      </c>
      <c r="Z7" s="14"/>
    </row>
    <row r="8" spans="1:26" x14ac:dyDescent="0.25">
      <c r="A8" s="9" t="s">
        <v>233</v>
      </c>
      <c r="B8" s="86" t="s">
        <v>302</v>
      </c>
      <c r="C8" s="56"/>
      <c r="D8" s="56" t="s">
        <v>241</v>
      </c>
      <c r="E8" s="3" t="s">
        <v>234</v>
      </c>
      <c r="F8" s="3" t="s">
        <v>316</v>
      </c>
      <c r="G8" s="13" t="s">
        <v>317</v>
      </c>
      <c r="H8" s="1" t="s">
        <v>242</v>
      </c>
      <c r="I8" s="4" t="s">
        <v>240</v>
      </c>
      <c r="J8" s="59" t="s">
        <v>246</v>
      </c>
      <c r="K8" s="4" t="s">
        <v>26</v>
      </c>
      <c r="L8" s="3" t="s">
        <v>281</v>
      </c>
      <c r="M8" s="3" t="s">
        <v>239</v>
      </c>
      <c r="N8" s="3">
        <v>6</v>
      </c>
      <c r="O8" s="3" t="s">
        <v>27</v>
      </c>
      <c r="P8" s="3" t="s">
        <v>318</v>
      </c>
      <c r="T8" s="57">
        <f>Calculations!H55</f>
        <v>-1.3672373779637379</v>
      </c>
      <c r="U8" s="57">
        <f>Calculations!I55</f>
        <v>-1.8729279150188189E-4</v>
      </c>
      <c r="V8" s="57">
        <f>Calculations!F55</f>
        <v>3.9624027335858893</v>
      </c>
      <c r="W8" s="5">
        <v>300</v>
      </c>
      <c r="X8" s="5">
        <v>300</v>
      </c>
      <c r="Y8" s="5">
        <v>300</v>
      </c>
      <c r="Z8" s="14"/>
    </row>
    <row r="9" spans="1:26" x14ac:dyDescent="0.25">
      <c r="A9" s="9" t="s">
        <v>233</v>
      </c>
      <c r="B9" s="86" t="s">
        <v>302</v>
      </c>
      <c r="C9" s="56"/>
      <c r="D9" s="56" t="s">
        <v>241</v>
      </c>
      <c r="E9" s="3" t="s">
        <v>234</v>
      </c>
      <c r="F9" s="3" t="s">
        <v>316</v>
      </c>
      <c r="G9" s="13" t="s">
        <v>317</v>
      </c>
      <c r="H9" s="1" t="s">
        <v>242</v>
      </c>
      <c r="I9" s="4" t="s">
        <v>240</v>
      </c>
      <c r="J9" s="59" t="s">
        <v>246</v>
      </c>
      <c r="K9" s="4" t="s">
        <v>26</v>
      </c>
      <c r="L9" s="3" t="s">
        <v>281</v>
      </c>
      <c r="M9" s="3" t="s">
        <v>239</v>
      </c>
      <c r="N9" s="3">
        <v>7</v>
      </c>
      <c r="O9" s="3" t="s">
        <v>27</v>
      </c>
      <c r="P9" s="3" t="s">
        <v>318</v>
      </c>
      <c r="T9" s="57">
        <f>Calculations!H56</f>
        <v>-1.3672373779637379</v>
      </c>
      <c r="U9" s="57">
        <f>Calculations!I56</f>
        <v>-1.8729279150188189E-4</v>
      </c>
      <c r="V9" s="57">
        <f>Calculations!F56</f>
        <v>3.9116026985399168</v>
      </c>
      <c r="W9" s="5">
        <v>300</v>
      </c>
      <c r="X9" s="5">
        <v>300</v>
      </c>
      <c r="Y9" s="5">
        <v>300</v>
      </c>
      <c r="Z9" s="14"/>
    </row>
    <row r="10" spans="1:26" x14ac:dyDescent="0.25">
      <c r="A10" s="9" t="s">
        <v>233</v>
      </c>
      <c r="B10" s="86" t="s">
        <v>302</v>
      </c>
      <c r="C10" s="56"/>
      <c r="D10" s="56" t="s">
        <v>241</v>
      </c>
      <c r="E10" s="3" t="s">
        <v>234</v>
      </c>
      <c r="F10" s="3" t="s">
        <v>316</v>
      </c>
      <c r="G10" s="13" t="s">
        <v>317</v>
      </c>
      <c r="H10" s="1" t="s">
        <v>242</v>
      </c>
      <c r="I10" s="4" t="s">
        <v>240</v>
      </c>
      <c r="J10" s="59" t="s">
        <v>246</v>
      </c>
      <c r="K10" s="4" t="s">
        <v>26</v>
      </c>
      <c r="L10" s="3" t="s">
        <v>281</v>
      </c>
      <c r="M10" s="3" t="s">
        <v>239</v>
      </c>
      <c r="N10" s="3">
        <v>8</v>
      </c>
      <c r="O10" s="3" t="s">
        <v>27</v>
      </c>
      <c r="P10" s="3" t="s">
        <v>318</v>
      </c>
      <c r="T10" s="57">
        <f>Calculations!H57</f>
        <v>-1.3672373779637379</v>
      </c>
      <c r="U10" s="57">
        <f>Calculations!I57</f>
        <v>-1.8729279150188189E-4</v>
      </c>
      <c r="V10" s="57">
        <f>Calculations!F57</f>
        <v>3.8417526503517037</v>
      </c>
      <c r="W10" s="5">
        <v>300</v>
      </c>
      <c r="X10" s="5">
        <v>300</v>
      </c>
      <c r="Y10" s="5">
        <v>300</v>
      </c>
      <c r="Z10" s="14"/>
    </row>
    <row r="11" spans="1:26" x14ac:dyDescent="0.25">
      <c r="A11" s="9" t="s">
        <v>233</v>
      </c>
      <c r="B11" s="86" t="s">
        <v>302</v>
      </c>
      <c r="C11" s="56"/>
      <c r="D11" s="56" t="s">
        <v>241</v>
      </c>
      <c r="E11" s="3" t="s">
        <v>234</v>
      </c>
      <c r="F11" s="3" t="s">
        <v>316</v>
      </c>
      <c r="G11" s="13" t="s">
        <v>317</v>
      </c>
      <c r="H11" s="1" t="s">
        <v>242</v>
      </c>
      <c r="I11" s="4" t="s">
        <v>240</v>
      </c>
      <c r="J11" s="59" t="s">
        <v>246</v>
      </c>
      <c r="K11" s="4" t="s">
        <v>26</v>
      </c>
      <c r="L11" s="3" t="s">
        <v>281</v>
      </c>
      <c r="M11" s="3" t="s">
        <v>239</v>
      </c>
      <c r="N11" s="3">
        <v>9</v>
      </c>
      <c r="O11" s="3" t="s">
        <v>27</v>
      </c>
      <c r="P11" s="3" t="s">
        <v>318</v>
      </c>
      <c r="T11" s="57">
        <f>Calculations!H58</f>
        <v>-1.3672373779637379</v>
      </c>
      <c r="U11" s="57">
        <f>Calculations!I58</f>
        <v>-1.8729279150188189E-4</v>
      </c>
      <c r="V11" s="57">
        <f>Calculations!F58</f>
        <v>3.8354026459709569</v>
      </c>
      <c r="W11" s="5">
        <v>300</v>
      </c>
      <c r="X11" s="5">
        <v>300</v>
      </c>
      <c r="Y11" s="5">
        <v>300</v>
      </c>
      <c r="Z11" s="14"/>
    </row>
    <row r="12" spans="1:26" x14ac:dyDescent="0.25">
      <c r="A12" s="9" t="s">
        <v>233</v>
      </c>
      <c r="B12" s="86" t="s">
        <v>302</v>
      </c>
      <c r="C12" s="56"/>
      <c r="D12" s="56" t="s">
        <v>241</v>
      </c>
      <c r="E12" s="3" t="s">
        <v>234</v>
      </c>
      <c r="F12" s="3" t="s">
        <v>316</v>
      </c>
      <c r="G12" s="13" t="s">
        <v>317</v>
      </c>
      <c r="H12" s="1" t="s">
        <v>242</v>
      </c>
      <c r="I12" s="4" t="s">
        <v>240</v>
      </c>
      <c r="J12" s="59" t="s">
        <v>246</v>
      </c>
      <c r="K12" s="4" t="s">
        <v>26</v>
      </c>
      <c r="L12" s="3" t="s">
        <v>281</v>
      </c>
      <c r="M12" s="3" t="s">
        <v>239</v>
      </c>
      <c r="N12" s="3">
        <v>10</v>
      </c>
      <c r="O12" s="3" t="s">
        <v>27</v>
      </c>
      <c r="P12" s="3" t="s">
        <v>318</v>
      </c>
      <c r="T12" s="57">
        <f>Calculations!H59</f>
        <v>-1.3672373779637379</v>
      </c>
      <c r="U12" s="57">
        <f>Calculations!I59</f>
        <v>-1.8729279150188189E-4</v>
      </c>
      <c r="V12" s="57">
        <f>Calculations!F59</f>
        <v>3.8163526328287176</v>
      </c>
      <c r="W12" s="5">
        <v>300</v>
      </c>
      <c r="X12" s="5">
        <v>300</v>
      </c>
      <c r="Y12" s="5">
        <v>300</v>
      </c>
      <c r="Z12" s="14"/>
    </row>
    <row r="13" spans="1:26" x14ac:dyDescent="0.25">
      <c r="A13" s="9" t="s">
        <v>233</v>
      </c>
      <c r="B13" s="86" t="s">
        <v>302</v>
      </c>
      <c r="C13" s="56"/>
      <c r="D13" s="56" t="s">
        <v>241</v>
      </c>
      <c r="E13" s="3" t="s">
        <v>234</v>
      </c>
      <c r="F13" s="3" t="s">
        <v>316</v>
      </c>
      <c r="G13" s="13" t="s">
        <v>317</v>
      </c>
      <c r="H13" s="1" t="s">
        <v>242</v>
      </c>
      <c r="I13" s="4" t="s">
        <v>240</v>
      </c>
      <c r="J13" s="59" t="s">
        <v>246</v>
      </c>
      <c r="K13" s="4" t="s">
        <v>26</v>
      </c>
      <c r="L13" s="3" t="s">
        <v>281</v>
      </c>
      <c r="M13" s="3" t="s">
        <v>239</v>
      </c>
      <c r="N13" s="3">
        <v>11</v>
      </c>
      <c r="O13" s="3" t="s">
        <v>27</v>
      </c>
      <c r="P13" s="3" t="s">
        <v>318</v>
      </c>
      <c r="T13" s="57">
        <f>Calculations!H60</f>
        <v>-1.3672373779637379</v>
      </c>
      <c r="U13" s="57">
        <f>Calculations!I60</f>
        <v>-1.8729279150188189E-4</v>
      </c>
      <c r="V13" s="57">
        <f>Calculations!F60</f>
        <v>3.8735026722554369</v>
      </c>
      <c r="W13" s="5">
        <v>300</v>
      </c>
      <c r="X13" s="5">
        <v>300</v>
      </c>
      <c r="Y13" s="5">
        <v>300</v>
      </c>
      <c r="Z13" s="14"/>
    </row>
    <row r="14" spans="1:26" x14ac:dyDescent="0.25">
      <c r="A14" s="9" t="s">
        <v>233</v>
      </c>
      <c r="B14" s="86" t="s">
        <v>302</v>
      </c>
      <c r="C14" s="56"/>
      <c r="D14" s="56" t="s">
        <v>241</v>
      </c>
      <c r="E14" s="3" t="s">
        <v>234</v>
      </c>
      <c r="F14" s="3" t="s">
        <v>316</v>
      </c>
      <c r="G14" s="13" t="s">
        <v>317</v>
      </c>
      <c r="H14" s="1" t="s">
        <v>242</v>
      </c>
      <c r="I14" s="4" t="s">
        <v>240</v>
      </c>
      <c r="J14" s="59" t="s">
        <v>246</v>
      </c>
      <c r="K14" s="4" t="s">
        <v>26</v>
      </c>
      <c r="L14" s="3" t="s">
        <v>281</v>
      </c>
      <c r="M14" s="3" t="s">
        <v>239</v>
      </c>
      <c r="N14" s="3">
        <v>12</v>
      </c>
      <c r="O14" s="3" t="s">
        <v>27</v>
      </c>
      <c r="P14" s="3" t="s">
        <v>318</v>
      </c>
      <c r="T14" s="57">
        <f>Calculations!H61</f>
        <v>-1.3672373779637379</v>
      </c>
      <c r="U14" s="57">
        <f>Calculations!I61</f>
        <v>-1.8729279150188189E-4</v>
      </c>
      <c r="V14" s="57">
        <f>Calculations!F61</f>
        <v>4.0195527730126086</v>
      </c>
      <c r="W14" s="5">
        <v>300</v>
      </c>
      <c r="X14" s="5">
        <v>300</v>
      </c>
      <c r="Y14" s="5">
        <v>300</v>
      </c>
      <c r="Z14" s="14"/>
    </row>
    <row r="15" spans="1:26" x14ac:dyDescent="0.25">
      <c r="A15" s="9" t="s">
        <v>233</v>
      </c>
      <c r="B15" s="86" t="s">
        <v>302</v>
      </c>
      <c r="C15" s="56"/>
      <c r="D15" s="56" t="s">
        <v>241</v>
      </c>
      <c r="E15" s="3" t="s">
        <v>234</v>
      </c>
      <c r="F15" s="3" t="s">
        <v>316</v>
      </c>
      <c r="G15" s="13" t="s">
        <v>317</v>
      </c>
      <c r="H15" s="1" t="s">
        <v>242</v>
      </c>
      <c r="I15" s="4" t="s">
        <v>240</v>
      </c>
      <c r="J15" s="59" t="s">
        <v>246</v>
      </c>
      <c r="K15" s="4" t="s">
        <v>26</v>
      </c>
      <c r="L15" s="3" t="s">
        <v>281</v>
      </c>
      <c r="M15" s="3" t="s">
        <v>239</v>
      </c>
      <c r="N15" s="3">
        <v>13</v>
      </c>
      <c r="O15" s="3" t="s">
        <v>27</v>
      </c>
      <c r="P15" s="3" t="s">
        <v>318</v>
      </c>
      <c r="T15" s="57">
        <f>Calculations!H62</f>
        <v>-1.3672373779637379</v>
      </c>
      <c r="U15" s="57">
        <f>Calculations!I62</f>
        <v>-1.8729279150188189E-4</v>
      </c>
      <c r="V15" s="57">
        <f>Calculations!F62</f>
        <v>3.8163526328287176</v>
      </c>
      <c r="W15" s="5">
        <v>300</v>
      </c>
      <c r="X15" s="5">
        <v>300</v>
      </c>
      <c r="Y15" s="5">
        <v>300</v>
      </c>
      <c r="Z15" s="14"/>
    </row>
    <row r="16" spans="1:26" x14ac:dyDescent="0.25">
      <c r="A16" s="9" t="s">
        <v>233</v>
      </c>
      <c r="B16" s="86" t="s">
        <v>302</v>
      </c>
      <c r="C16" s="56"/>
      <c r="D16" s="56" t="s">
        <v>241</v>
      </c>
      <c r="E16" s="3" t="s">
        <v>234</v>
      </c>
      <c r="F16" s="3" t="s">
        <v>316</v>
      </c>
      <c r="G16" s="13" t="s">
        <v>317</v>
      </c>
      <c r="H16" s="1" t="s">
        <v>242</v>
      </c>
      <c r="I16" s="4" t="s">
        <v>240</v>
      </c>
      <c r="J16" s="59" t="s">
        <v>246</v>
      </c>
      <c r="K16" s="4" t="s">
        <v>26</v>
      </c>
      <c r="L16" s="3" t="s">
        <v>281</v>
      </c>
      <c r="M16" s="3" t="s">
        <v>239</v>
      </c>
      <c r="N16" s="3">
        <v>14</v>
      </c>
      <c r="O16" s="3" t="s">
        <v>27</v>
      </c>
      <c r="P16" s="3" t="s">
        <v>318</v>
      </c>
      <c r="T16" s="57">
        <f>Calculations!H63</f>
        <v>-1.3672373779637379</v>
      </c>
      <c r="U16" s="57">
        <f>Calculations!I63</f>
        <v>-1.8729279150188189E-4</v>
      </c>
      <c r="V16" s="57">
        <f>Calculations!F63</f>
        <v>3.9052526941591701</v>
      </c>
      <c r="W16" s="5">
        <v>300</v>
      </c>
      <c r="X16" s="5">
        <v>300</v>
      </c>
      <c r="Y16" s="5">
        <v>300</v>
      </c>
      <c r="Z16" s="14"/>
    </row>
    <row r="17" spans="1:26" x14ac:dyDescent="0.25">
      <c r="A17" s="9" t="s">
        <v>233</v>
      </c>
      <c r="B17" s="86" t="s">
        <v>302</v>
      </c>
      <c r="C17" s="56"/>
      <c r="D17" s="56" t="s">
        <v>241</v>
      </c>
      <c r="E17" s="3" t="s">
        <v>234</v>
      </c>
      <c r="F17" s="3" t="s">
        <v>316</v>
      </c>
      <c r="G17" s="13" t="s">
        <v>317</v>
      </c>
      <c r="H17" s="1" t="s">
        <v>242</v>
      </c>
      <c r="I17" s="4" t="s">
        <v>240</v>
      </c>
      <c r="J17" s="59" t="s">
        <v>246</v>
      </c>
      <c r="K17" s="4" t="s">
        <v>26</v>
      </c>
      <c r="L17" s="3" t="s">
        <v>281</v>
      </c>
      <c r="M17" s="3" t="s">
        <v>239</v>
      </c>
      <c r="N17" s="3">
        <v>15</v>
      </c>
      <c r="O17" s="3" t="s">
        <v>27</v>
      </c>
      <c r="P17" s="3" t="s">
        <v>318</v>
      </c>
      <c r="T17" s="57">
        <f>Calculations!H64</f>
        <v>-1.3672373779637379</v>
      </c>
      <c r="U17" s="57">
        <f>Calculations!I64</f>
        <v>-1.8729279150188189E-4</v>
      </c>
      <c r="V17" s="57">
        <f>Calculations!F64</f>
        <v>3.0924521334236026</v>
      </c>
      <c r="W17" s="5">
        <v>300</v>
      </c>
      <c r="X17" s="5">
        <v>300</v>
      </c>
      <c r="Y17" s="5">
        <v>300</v>
      </c>
      <c r="Z17" s="14"/>
    </row>
    <row r="18" spans="1:26" x14ac:dyDescent="0.25">
      <c r="A18" s="9" t="s">
        <v>233</v>
      </c>
      <c r="B18" s="86" t="s">
        <v>302</v>
      </c>
      <c r="C18" s="56"/>
      <c r="D18" s="56" t="s">
        <v>241</v>
      </c>
      <c r="E18" s="3" t="s">
        <v>234</v>
      </c>
      <c r="F18" s="3" t="s">
        <v>316</v>
      </c>
      <c r="G18" s="13" t="s">
        <v>317</v>
      </c>
      <c r="H18" s="1" t="s">
        <v>242</v>
      </c>
      <c r="I18" s="4" t="s">
        <v>240</v>
      </c>
      <c r="J18" s="59" t="s">
        <v>246</v>
      </c>
      <c r="K18" s="4" t="s">
        <v>26</v>
      </c>
      <c r="L18" s="3" t="s">
        <v>281</v>
      </c>
      <c r="M18" s="3" t="s">
        <v>239</v>
      </c>
      <c r="N18" s="3">
        <v>16</v>
      </c>
      <c r="O18" s="3" t="s">
        <v>27</v>
      </c>
      <c r="P18" s="3" t="s">
        <v>318</v>
      </c>
      <c r="T18" s="57">
        <f>Calculations!H65</f>
        <v>-1.3672373779637379</v>
      </c>
      <c r="U18" s="57">
        <f>Calculations!I65</f>
        <v>-1.8729279150188189E-4</v>
      </c>
      <c r="V18" s="57">
        <f>Calculations!F65</f>
        <v>4.5974031716605515</v>
      </c>
      <c r="W18" s="5">
        <v>300</v>
      </c>
      <c r="X18" s="5">
        <v>300</v>
      </c>
      <c r="Y18" s="5">
        <v>300</v>
      </c>
      <c r="Z18" s="14"/>
    </row>
    <row r="19" spans="1:26" x14ac:dyDescent="0.25">
      <c r="A19" s="10" t="s">
        <v>233</v>
      </c>
      <c r="B19" s="86" t="s">
        <v>302</v>
      </c>
      <c r="C19" s="56"/>
      <c r="D19" s="56" t="s">
        <v>241</v>
      </c>
      <c r="E19" s="3" t="s">
        <v>234</v>
      </c>
      <c r="F19" s="3" t="s">
        <v>316</v>
      </c>
      <c r="G19" s="13" t="s">
        <v>317</v>
      </c>
      <c r="H19" s="1" t="s">
        <v>242</v>
      </c>
      <c r="I19" s="4" t="s">
        <v>240</v>
      </c>
      <c r="J19" s="59" t="s">
        <v>246</v>
      </c>
      <c r="K19" s="4" t="s">
        <v>26</v>
      </c>
      <c r="L19" s="3" t="s">
        <v>281</v>
      </c>
      <c r="M19" s="3" t="s">
        <v>239</v>
      </c>
      <c r="N19" s="3" t="s">
        <v>235</v>
      </c>
      <c r="O19" s="3" t="s">
        <v>27</v>
      </c>
      <c r="P19" s="3" t="s">
        <v>318</v>
      </c>
      <c r="T19" s="8">
        <f>Calculations!H83</f>
        <v>-1.3672373779637379</v>
      </c>
      <c r="U19" s="8">
        <f>Calculations!I83</f>
        <v>-1.8729279150188189E-4</v>
      </c>
      <c r="V19" s="58">
        <f>Calculations!F83</f>
        <v>4.1151902443574588</v>
      </c>
      <c r="W19" s="5">
        <v>300</v>
      </c>
      <c r="X19" s="5">
        <v>300</v>
      </c>
      <c r="Y19" s="5">
        <v>300</v>
      </c>
    </row>
    <row r="20" spans="1:26" x14ac:dyDescent="0.25">
      <c r="A20" s="10" t="s">
        <v>233</v>
      </c>
      <c r="B20" s="86" t="s">
        <v>302</v>
      </c>
      <c r="C20" s="56"/>
      <c r="D20" s="56" t="s">
        <v>241</v>
      </c>
      <c r="E20" s="3" t="s">
        <v>234</v>
      </c>
      <c r="F20" s="3" t="s">
        <v>316</v>
      </c>
      <c r="G20" s="13" t="s">
        <v>317</v>
      </c>
      <c r="H20" s="1" t="s">
        <v>242</v>
      </c>
      <c r="I20" s="4" t="s">
        <v>240</v>
      </c>
      <c r="J20" s="59" t="s">
        <v>246</v>
      </c>
      <c r="K20" s="4" t="s">
        <v>26</v>
      </c>
      <c r="L20" s="3" t="s">
        <v>281</v>
      </c>
      <c r="M20" s="3" t="s">
        <v>239</v>
      </c>
      <c r="N20" s="3" t="s">
        <v>236</v>
      </c>
      <c r="O20" s="3" t="s">
        <v>27</v>
      </c>
      <c r="P20" s="3" t="s">
        <v>318</v>
      </c>
      <c r="T20" s="8">
        <f>Calculations!H85</f>
        <v>-1.3672373779637379</v>
      </c>
      <c r="U20" s="8">
        <f>Calculations!I85</f>
        <v>-1.8729279150188189E-4</v>
      </c>
      <c r="V20" s="58">
        <f>Calculations!F85</f>
        <v>3.871400385073299</v>
      </c>
      <c r="W20" s="5">
        <v>300</v>
      </c>
      <c r="X20" s="5">
        <v>300</v>
      </c>
      <c r="Y20" s="5">
        <v>300</v>
      </c>
    </row>
    <row r="21" spans="1:26" x14ac:dyDescent="0.25">
      <c r="A21" s="10" t="s">
        <v>233</v>
      </c>
      <c r="B21" s="86" t="s">
        <v>302</v>
      </c>
      <c r="C21" s="56"/>
      <c r="D21" s="56" t="s">
        <v>241</v>
      </c>
      <c r="E21" s="3" t="s">
        <v>234</v>
      </c>
      <c r="F21" s="3" t="s">
        <v>316</v>
      </c>
      <c r="G21" s="13" t="s">
        <v>317</v>
      </c>
      <c r="H21" s="1" t="s">
        <v>242</v>
      </c>
      <c r="I21" s="4" t="s">
        <v>240</v>
      </c>
      <c r="J21" s="59" t="s">
        <v>246</v>
      </c>
      <c r="K21" s="4" t="s">
        <v>26</v>
      </c>
      <c r="L21" s="3" t="s">
        <v>281</v>
      </c>
      <c r="M21" s="3" t="s">
        <v>239</v>
      </c>
      <c r="N21" s="3" t="s">
        <v>237</v>
      </c>
      <c r="O21" s="3" t="s">
        <v>27</v>
      </c>
      <c r="P21" s="3" t="s">
        <v>318</v>
      </c>
      <c r="T21" s="8">
        <f>Calculations!H87</f>
        <v>-1.3672373779637379</v>
      </c>
      <c r="U21" s="8">
        <f>Calculations!I87</f>
        <v>-1.8729279150188189E-4</v>
      </c>
      <c r="V21" s="58">
        <f>Calculations!F87</f>
        <v>3.8670643296275036</v>
      </c>
      <c r="W21" s="5">
        <v>300</v>
      </c>
      <c r="X21" s="5">
        <v>300</v>
      </c>
      <c r="Y21" s="5">
        <v>300</v>
      </c>
    </row>
    <row r="22" spans="1:26" x14ac:dyDescent="0.25">
      <c r="A22" s="10" t="s">
        <v>233</v>
      </c>
      <c r="B22" s="86" t="s">
        <v>302</v>
      </c>
      <c r="C22" s="56"/>
      <c r="D22" s="56" t="s">
        <v>241</v>
      </c>
      <c r="E22" s="3" t="s">
        <v>234</v>
      </c>
      <c r="F22" s="3" t="s">
        <v>316</v>
      </c>
      <c r="G22" s="13" t="s">
        <v>317</v>
      </c>
      <c r="H22" s="1" t="s">
        <v>242</v>
      </c>
      <c r="I22" s="4" t="s">
        <v>240</v>
      </c>
      <c r="J22" s="59" t="s">
        <v>246</v>
      </c>
      <c r="K22" s="4" t="s">
        <v>26</v>
      </c>
      <c r="L22" s="3" t="s">
        <v>281</v>
      </c>
      <c r="M22" s="3" t="s">
        <v>239</v>
      </c>
      <c r="N22" s="3" t="s">
        <v>238</v>
      </c>
      <c r="O22" s="3" t="s">
        <v>27</v>
      </c>
      <c r="P22" s="3" t="s">
        <v>318</v>
      </c>
      <c r="T22" s="8">
        <f>Calculations!H89</f>
        <v>-1.3672373779637379</v>
      </c>
      <c r="U22" s="8">
        <f>Calculations!I89</f>
        <v>-1.8729279150188189E-4</v>
      </c>
      <c r="V22" s="58">
        <f>Calculations!F89</f>
        <v>3.8877452405815478</v>
      </c>
      <c r="W22" s="5">
        <v>300</v>
      </c>
      <c r="X22" s="5">
        <v>300</v>
      </c>
      <c r="Y22" s="5">
        <v>300</v>
      </c>
    </row>
    <row r="23" spans="1:26" x14ac:dyDescent="0.25">
      <c r="A23" s="10" t="s">
        <v>233</v>
      </c>
      <c r="B23" s="15" t="s">
        <v>303</v>
      </c>
      <c r="C23" s="56"/>
      <c r="D23" s="56" t="s">
        <v>241</v>
      </c>
      <c r="E23" s="3" t="s">
        <v>234</v>
      </c>
      <c r="F23" s="3" t="s">
        <v>316</v>
      </c>
      <c r="G23" s="13" t="s">
        <v>317</v>
      </c>
      <c r="H23" s="1" t="s">
        <v>242</v>
      </c>
      <c r="I23" s="4" t="s">
        <v>240</v>
      </c>
      <c r="J23" s="59" t="s">
        <v>246</v>
      </c>
      <c r="K23" s="4" t="s">
        <v>26</v>
      </c>
      <c r="L23" s="3" t="s">
        <v>281</v>
      </c>
      <c r="M23" s="3" t="s">
        <v>239</v>
      </c>
      <c r="N23" s="3">
        <v>1</v>
      </c>
      <c r="O23" s="3" t="s">
        <v>27</v>
      </c>
      <c r="P23" s="3" t="s">
        <v>318</v>
      </c>
      <c r="T23" s="8">
        <f>Calculations!H66</f>
        <v>105.08652891122344</v>
      </c>
      <c r="U23" s="8">
        <f>Calculations!I66</f>
        <v>1.4395414919345678E-2</v>
      </c>
      <c r="V23" s="58">
        <f>Calculations!F66</f>
        <v>0</v>
      </c>
      <c r="W23" s="5">
        <v>300</v>
      </c>
      <c r="X23" s="5">
        <v>300</v>
      </c>
      <c r="Y23" s="5">
        <v>300</v>
      </c>
    </row>
    <row r="24" spans="1:26" x14ac:dyDescent="0.25">
      <c r="A24" s="10" t="s">
        <v>233</v>
      </c>
      <c r="B24" s="15" t="s">
        <v>303</v>
      </c>
      <c r="C24" s="56"/>
      <c r="D24" s="56" t="s">
        <v>241</v>
      </c>
      <c r="E24" s="3" t="s">
        <v>234</v>
      </c>
      <c r="F24" s="3" t="s">
        <v>316</v>
      </c>
      <c r="G24" s="13" t="s">
        <v>317</v>
      </c>
      <c r="H24" s="1" t="s">
        <v>242</v>
      </c>
      <c r="I24" s="4" t="s">
        <v>240</v>
      </c>
      <c r="J24" s="59" t="s">
        <v>246</v>
      </c>
      <c r="K24" s="4" t="s">
        <v>26</v>
      </c>
      <c r="L24" s="3" t="s">
        <v>281</v>
      </c>
      <c r="M24" s="3" t="s">
        <v>239</v>
      </c>
      <c r="N24" s="3">
        <v>2</v>
      </c>
      <c r="O24" s="3" t="s">
        <v>27</v>
      </c>
      <c r="P24" s="3" t="s">
        <v>318</v>
      </c>
      <c r="T24" s="8">
        <f>Calculations!H67</f>
        <v>96.459094555368978</v>
      </c>
      <c r="U24" s="8">
        <f>Calculations!I67</f>
        <v>1.3213574596625888E-2</v>
      </c>
      <c r="V24" s="58">
        <f>Calculations!F67</f>
        <v>0</v>
      </c>
      <c r="W24" s="5">
        <v>300</v>
      </c>
      <c r="X24" s="5">
        <v>300</v>
      </c>
      <c r="Y24" s="5">
        <v>300</v>
      </c>
    </row>
    <row r="25" spans="1:26" x14ac:dyDescent="0.25">
      <c r="A25" s="10" t="s">
        <v>233</v>
      </c>
      <c r="B25" s="15" t="s">
        <v>303</v>
      </c>
      <c r="C25" s="56"/>
      <c r="D25" s="56" t="s">
        <v>241</v>
      </c>
      <c r="E25" s="3" t="s">
        <v>234</v>
      </c>
      <c r="F25" s="3" t="s">
        <v>316</v>
      </c>
      <c r="G25" s="13" t="s">
        <v>317</v>
      </c>
      <c r="H25" s="1" t="s">
        <v>242</v>
      </c>
      <c r="I25" s="4" t="s">
        <v>240</v>
      </c>
      <c r="J25" s="59" t="s">
        <v>246</v>
      </c>
      <c r="K25" s="4" t="s">
        <v>26</v>
      </c>
      <c r="L25" s="3" t="s">
        <v>281</v>
      </c>
      <c r="M25" s="3" t="s">
        <v>239</v>
      </c>
      <c r="N25" s="3">
        <v>3</v>
      </c>
      <c r="O25" s="3" t="s">
        <v>27</v>
      </c>
      <c r="P25" s="3" t="s">
        <v>318</v>
      </c>
      <c r="T25" s="8">
        <f>Calculations!H68</f>
        <v>96.751549957262327</v>
      </c>
      <c r="U25" s="8">
        <f>Calculations!I68</f>
        <v>1.3253636980446895E-2</v>
      </c>
      <c r="V25" s="58">
        <f>Calculations!F68</f>
        <v>0</v>
      </c>
      <c r="W25" s="5">
        <v>300</v>
      </c>
      <c r="X25" s="5">
        <v>300</v>
      </c>
      <c r="Y25" s="5">
        <v>300</v>
      </c>
    </row>
    <row r="26" spans="1:26" x14ac:dyDescent="0.25">
      <c r="A26" s="10" t="s">
        <v>233</v>
      </c>
      <c r="B26" s="15" t="s">
        <v>303</v>
      </c>
      <c r="C26" s="56"/>
      <c r="D26" s="56" t="s">
        <v>241</v>
      </c>
      <c r="E26" s="3" t="s">
        <v>234</v>
      </c>
      <c r="F26" s="3" t="s">
        <v>316</v>
      </c>
      <c r="G26" s="13" t="s">
        <v>317</v>
      </c>
      <c r="H26" s="1" t="s">
        <v>242</v>
      </c>
      <c r="I26" s="4" t="s">
        <v>240</v>
      </c>
      <c r="J26" s="59" t="s">
        <v>246</v>
      </c>
      <c r="K26" s="4" t="s">
        <v>26</v>
      </c>
      <c r="L26" s="3" t="s">
        <v>281</v>
      </c>
      <c r="M26" s="3" t="s">
        <v>239</v>
      </c>
      <c r="N26" s="3">
        <v>4</v>
      </c>
      <c r="O26" s="3" t="s">
        <v>27</v>
      </c>
      <c r="P26" s="3" t="s">
        <v>318</v>
      </c>
      <c r="T26" s="8">
        <f>Calculations!H69</f>
        <v>93.242085134541881</v>
      </c>
      <c r="U26" s="8">
        <f>Calculations!I69</f>
        <v>1.2772888374594778E-2</v>
      </c>
      <c r="V26" s="58">
        <f>Calculations!F69</f>
        <v>0</v>
      </c>
      <c r="W26" s="5">
        <v>300</v>
      </c>
      <c r="X26" s="5">
        <v>300</v>
      </c>
      <c r="Y26" s="5">
        <v>300</v>
      </c>
    </row>
    <row r="27" spans="1:26" x14ac:dyDescent="0.25">
      <c r="A27" s="10" t="s">
        <v>233</v>
      </c>
      <c r="B27" s="15" t="s">
        <v>303</v>
      </c>
      <c r="C27" s="56"/>
      <c r="D27" s="56" t="s">
        <v>241</v>
      </c>
      <c r="E27" s="3" t="s">
        <v>234</v>
      </c>
      <c r="F27" s="3" t="s">
        <v>316</v>
      </c>
      <c r="G27" s="13" t="s">
        <v>317</v>
      </c>
      <c r="H27" s="1" t="s">
        <v>242</v>
      </c>
      <c r="I27" s="4" t="s">
        <v>240</v>
      </c>
      <c r="J27" s="59" t="s">
        <v>246</v>
      </c>
      <c r="K27" s="4" t="s">
        <v>26</v>
      </c>
      <c r="L27" s="3" t="s">
        <v>281</v>
      </c>
      <c r="M27" s="3" t="s">
        <v>239</v>
      </c>
      <c r="N27" s="3">
        <v>5</v>
      </c>
      <c r="O27" s="3" t="s">
        <v>27</v>
      </c>
      <c r="P27" s="3" t="s">
        <v>318</v>
      </c>
      <c r="T27" s="8">
        <f>Calculations!H70</f>
        <v>98.65251006956926</v>
      </c>
      <c r="U27" s="8">
        <f>Calculations!I70</f>
        <v>1.3514042475283461E-2</v>
      </c>
      <c r="V27" s="58">
        <f>Calculations!F70</f>
        <v>0</v>
      </c>
      <c r="W27" s="5">
        <v>300</v>
      </c>
      <c r="X27" s="5">
        <v>300</v>
      </c>
      <c r="Y27" s="5">
        <v>300</v>
      </c>
    </row>
    <row r="28" spans="1:26" x14ac:dyDescent="0.25">
      <c r="A28" s="10" t="s">
        <v>233</v>
      </c>
      <c r="B28" s="15" t="s">
        <v>303</v>
      </c>
      <c r="C28" s="56"/>
      <c r="D28" s="56" t="s">
        <v>241</v>
      </c>
      <c r="E28" s="3" t="s">
        <v>234</v>
      </c>
      <c r="F28" s="3" t="s">
        <v>316</v>
      </c>
      <c r="G28" s="13" t="s">
        <v>317</v>
      </c>
      <c r="H28" s="1" t="s">
        <v>242</v>
      </c>
      <c r="I28" s="4" t="s">
        <v>240</v>
      </c>
      <c r="J28" s="59" t="s">
        <v>246</v>
      </c>
      <c r="K28" s="4" t="s">
        <v>26</v>
      </c>
      <c r="L28" s="3" t="s">
        <v>281</v>
      </c>
      <c r="M28" s="3" t="s">
        <v>239</v>
      </c>
      <c r="N28" s="3">
        <v>6</v>
      </c>
      <c r="O28" s="3" t="s">
        <v>27</v>
      </c>
      <c r="P28" s="3" t="s">
        <v>318</v>
      </c>
      <c r="T28" s="8">
        <f>Calculations!H71</f>
        <v>89.878848012768117</v>
      </c>
      <c r="U28" s="8">
        <f>Calculations!I71</f>
        <v>1.2312170960653165E-2</v>
      </c>
      <c r="V28" s="58">
        <f>Calculations!F71</f>
        <v>0</v>
      </c>
      <c r="W28" s="5">
        <v>300</v>
      </c>
      <c r="X28" s="5">
        <v>300</v>
      </c>
      <c r="Y28" s="5">
        <v>300</v>
      </c>
    </row>
    <row r="29" spans="1:26" x14ac:dyDescent="0.25">
      <c r="A29" s="10" t="s">
        <v>233</v>
      </c>
      <c r="B29" s="15" t="s">
        <v>303</v>
      </c>
      <c r="C29" s="56"/>
      <c r="D29" s="56" t="s">
        <v>241</v>
      </c>
      <c r="E29" s="3" t="s">
        <v>234</v>
      </c>
      <c r="F29" s="3" t="s">
        <v>316</v>
      </c>
      <c r="G29" s="13" t="s">
        <v>317</v>
      </c>
      <c r="H29" s="1" t="s">
        <v>242</v>
      </c>
      <c r="I29" s="4" t="s">
        <v>240</v>
      </c>
      <c r="J29" s="59" t="s">
        <v>246</v>
      </c>
      <c r="K29" s="4" t="s">
        <v>26</v>
      </c>
      <c r="L29" s="3" t="s">
        <v>281</v>
      </c>
      <c r="M29" s="3" t="s">
        <v>239</v>
      </c>
      <c r="N29" s="3">
        <v>7</v>
      </c>
      <c r="O29" s="3" t="s">
        <v>27</v>
      </c>
      <c r="P29" s="3" t="s">
        <v>318</v>
      </c>
      <c r="T29" s="8">
        <f>Calculations!H72</f>
        <v>88.709026405194635</v>
      </c>
      <c r="U29" s="8">
        <f>Calculations!I72</f>
        <v>1.2151921425369128E-2</v>
      </c>
      <c r="V29" s="58">
        <f>Calculations!F72</f>
        <v>0</v>
      </c>
      <c r="W29" s="5">
        <v>300</v>
      </c>
      <c r="X29" s="5">
        <v>300</v>
      </c>
      <c r="Y29" s="5">
        <v>300</v>
      </c>
    </row>
    <row r="30" spans="1:26" x14ac:dyDescent="0.25">
      <c r="A30" s="10" t="s">
        <v>233</v>
      </c>
      <c r="B30" s="15" t="s">
        <v>303</v>
      </c>
      <c r="C30" s="56"/>
      <c r="D30" s="56" t="s">
        <v>241</v>
      </c>
      <c r="E30" s="3" t="s">
        <v>234</v>
      </c>
      <c r="F30" s="3" t="s">
        <v>316</v>
      </c>
      <c r="G30" s="13" t="s">
        <v>317</v>
      </c>
      <c r="H30" s="1" t="s">
        <v>242</v>
      </c>
      <c r="I30" s="4" t="s">
        <v>240</v>
      </c>
      <c r="J30" s="59" t="s">
        <v>246</v>
      </c>
      <c r="K30" s="4" t="s">
        <v>26</v>
      </c>
      <c r="L30" s="3" t="s">
        <v>281</v>
      </c>
      <c r="M30" s="3" t="s">
        <v>239</v>
      </c>
      <c r="N30" s="3">
        <v>8</v>
      </c>
      <c r="O30" s="3" t="s">
        <v>27</v>
      </c>
      <c r="P30" s="3" t="s">
        <v>318</v>
      </c>
      <c r="T30" s="8">
        <f>Calculations!H73</f>
        <v>87.100521694781079</v>
      </c>
      <c r="U30" s="8">
        <f>Calculations!I73</f>
        <v>1.1931578314353574E-2</v>
      </c>
      <c r="V30" s="58">
        <f>Calculations!F73</f>
        <v>0</v>
      </c>
      <c r="W30" s="5">
        <v>300</v>
      </c>
      <c r="X30" s="5">
        <v>300</v>
      </c>
      <c r="Y30" s="5">
        <v>300</v>
      </c>
    </row>
    <row r="31" spans="1:26" x14ac:dyDescent="0.25">
      <c r="A31" s="10" t="s">
        <v>233</v>
      </c>
      <c r="B31" s="15" t="s">
        <v>303</v>
      </c>
      <c r="C31" s="56"/>
      <c r="D31" s="56" t="s">
        <v>241</v>
      </c>
      <c r="E31" s="3" t="s">
        <v>234</v>
      </c>
      <c r="F31" s="3" t="s">
        <v>316</v>
      </c>
      <c r="G31" s="13" t="s">
        <v>317</v>
      </c>
      <c r="H31" s="1" t="s">
        <v>242</v>
      </c>
      <c r="I31" s="4" t="s">
        <v>240</v>
      </c>
      <c r="J31" s="59" t="s">
        <v>246</v>
      </c>
      <c r="K31" s="4" t="s">
        <v>26</v>
      </c>
      <c r="L31" s="3" t="s">
        <v>281</v>
      </c>
      <c r="M31" s="3" t="s">
        <v>239</v>
      </c>
      <c r="N31" s="3">
        <v>9</v>
      </c>
      <c r="O31" s="3" t="s">
        <v>27</v>
      </c>
      <c r="P31" s="3" t="s">
        <v>318</v>
      </c>
      <c r="T31" s="8">
        <f>Calculations!H74</f>
        <v>86.954293993834398</v>
      </c>
      <c r="U31" s="8">
        <f>Calculations!I74</f>
        <v>1.1911547122443069E-2</v>
      </c>
      <c r="V31" s="58">
        <f>Calculations!F74</f>
        <v>0</v>
      </c>
      <c r="W31" s="5">
        <v>300</v>
      </c>
      <c r="X31" s="5">
        <v>300</v>
      </c>
      <c r="Y31" s="5">
        <v>300</v>
      </c>
    </row>
    <row r="32" spans="1:26" x14ac:dyDescent="0.25">
      <c r="A32" s="10" t="s">
        <v>233</v>
      </c>
      <c r="B32" s="15" t="s">
        <v>303</v>
      </c>
      <c r="C32" s="56"/>
      <c r="D32" s="56" t="s">
        <v>241</v>
      </c>
      <c r="E32" s="3" t="s">
        <v>234</v>
      </c>
      <c r="F32" s="3" t="s">
        <v>316</v>
      </c>
      <c r="G32" s="13" t="s">
        <v>317</v>
      </c>
      <c r="H32" s="1" t="s">
        <v>242</v>
      </c>
      <c r="I32" s="4" t="s">
        <v>240</v>
      </c>
      <c r="J32" s="59" t="s">
        <v>246</v>
      </c>
      <c r="K32" s="4" t="s">
        <v>26</v>
      </c>
      <c r="L32" s="3" t="s">
        <v>281</v>
      </c>
      <c r="M32" s="3" t="s">
        <v>239</v>
      </c>
      <c r="N32" s="3">
        <v>10</v>
      </c>
      <c r="O32" s="3" t="s">
        <v>27</v>
      </c>
      <c r="P32" s="3" t="s">
        <v>318</v>
      </c>
      <c r="T32" s="8">
        <f>Calculations!H75</f>
        <v>86.515610890994353</v>
      </c>
      <c r="U32" s="8">
        <f>Calculations!I75</f>
        <v>1.1851453546711556E-2</v>
      </c>
      <c r="V32" s="58">
        <f>Calculations!F75</f>
        <v>0</v>
      </c>
      <c r="W32" s="5">
        <v>300</v>
      </c>
      <c r="X32" s="5">
        <v>300</v>
      </c>
      <c r="Y32" s="5">
        <v>300</v>
      </c>
    </row>
    <row r="33" spans="1:25" x14ac:dyDescent="0.25">
      <c r="A33" s="10" t="s">
        <v>233</v>
      </c>
      <c r="B33" s="15" t="s">
        <v>303</v>
      </c>
      <c r="C33" s="56"/>
      <c r="D33" s="56" t="s">
        <v>241</v>
      </c>
      <c r="E33" s="3" t="s">
        <v>234</v>
      </c>
      <c r="F33" s="3" t="s">
        <v>316</v>
      </c>
      <c r="G33" s="13" t="s">
        <v>317</v>
      </c>
      <c r="H33" s="1" t="s">
        <v>242</v>
      </c>
      <c r="I33" s="4" t="s">
        <v>240</v>
      </c>
      <c r="J33" s="59" t="s">
        <v>246</v>
      </c>
      <c r="K33" s="4" t="s">
        <v>26</v>
      </c>
      <c r="L33" s="3" t="s">
        <v>281</v>
      </c>
      <c r="M33" s="3" t="s">
        <v>239</v>
      </c>
      <c r="N33" s="3">
        <v>11</v>
      </c>
      <c r="O33" s="3" t="s">
        <v>27</v>
      </c>
      <c r="P33" s="3" t="s">
        <v>318</v>
      </c>
      <c r="T33" s="8">
        <f>Calculations!H76</f>
        <v>87.831660199514516</v>
      </c>
      <c r="U33" s="8">
        <f>Calculations!I76</f>
        <v>1.2031734273906098E-2</v>
      </c>
      <c r="V33" s="58">
        <f>Calculations!F76</f>
        <v>0</v>
      </c>
      <c r="W33" s="5">
        <v>300</v>
      </c>
      <c r="X33" s="5">
        <v>300</v>
      </c>
      <c r="Y33" s="5">
        <v>300</v>
      </c>
    </row>
    <row r="34" spans="1:25" x14ac:dyDescent="0.25">
      <c r="A34" s="10" t="s">
        <v>233</v>
      </c>
      <c r="B34" s="15" t="s">
        <v>303</v>
      </c>
      <c r="C34" s="56"/>
      <c r="D34" s="56" t="s">
        <v>241</v>
      </c>
      <c r="E34" s="3" t="s">
        <v>234</v>
      </c>
      <c r="F34" s="3" t="s">
        <v>316</v>
      </c>
      <c r="G34" s="13" t="s">
        <v>317</v>
      </c>
      <c r="H34" s="1" t="s">
        <v>242</v>
      </c>
      <c r="I34" s="4" t="s">
        <v>240</v>
      </c>
      <c r="J34" s="59" t="s">
        <v>246</v>
      </c>
      <c r="K34" s="4" t="s">
        <v>26</v>
      </c>
      <c r="L34" s="3" t="s">
        <v>281</v>
      </c>
      <c r="M34" s="3" t="s">
        <v>239</v>
      </c>
      <c r="N34" s="3">
        <v>12</v>
      </c>
      <c r="O34" s="3" t="s">
        <v>27</v>
      </c>
      <c r="P34" s="3" t="s">
        <v>318</v>
      </c>
      <c r="T34" s="8">
        <f>Calculations!H77</f>
        <v>91.194897321288281</v>
      </c>
      <c r="U34" s="8">
        <f>Calculations!I77</f>
        <v>1.2492451687847711E-2</v>
      </c>
      <c r="V34" s="58">
        <f>Calculations!F77</f>
        <v>0</v>
      </c>
      <c r="W34" s="5">
        <v>300</v>
      </c>
      <c r="X34" s="5">
        <v>300</v>
      </c>
      <c r="Y34" s="5">
        <v>300</v>
      </c>
    </row>
    <row r="35" spans="1:25" x14ac:dyDescent="0.25">
      <c r="A35" s="9" t="s">
        <v>233</v>
      </c>
      <c r="B35" s="15" t="s">
        <v>303</v>
      </c>
      <c r="C35" s="56"/>
      <c r="D35" s="56" t="s">
        <v>241</v>
      </c>
      <c r="E35" s="3" t="s">
        <v>234</v>
      </c>
      <c r="F35" s="3" t="s">
        <v>316</v>
      </c>
      <c r="G35" s="13" t="s">
        <v>317</v>
      </c>
      <c r="H35" s="1" t="s">
        <v>242</v>
      </c>
      <c r="I35" s="4" t="s">
        <v>240</v>
      </c>
      <c r="J35" s="59" t="s">
        <v>246</v>
      </c>
      <c r="K35" s="4" t="s">
        <v>26</v>
      </c>
      <c r="L35" s="3" t="s">
        <v>281</v>
      </c>
      <c r="M35" s="3" t="s">
        <v>239</v>
      </c>
      <c r="N35" s="3">
        <v>13</v>
      </c>
      <c r="O35" s="3" t="s">
        <v>27</v>
      </c>
      <c r="P35" s="3" t="s">
        <v>318</v>
      </c>
      <c r="T35" s="8">
        <f>Calculations!H78</f>
        <v>86.515610890994353</v>
      </c>
      <c r="U35" s="8">
        <f>Calculations!I78</f>
        <v>1.1851453546711556E-2</v>
      </c>
      <c r="V35" s="58">
        <f>Calculations!F78</f>
        <v>0</v>
      </c>
      <c r="W35" s="5">
        <v>300</v>
      </c>
      <c r="X35" s="5">
        <v>300</v>
      </c>
      <c r="Y35" s="5">
        <v>300</v>
      </c>
    </row>
    <row r="36" spans="1:25" x14ac:dyDescent="0.25">
      <c r="A36" s="9" t="s">
        <v>233</v>
      </c>
      <c r="B36" s="15" t="s">
        <v>303</v>
      </c>
      <c r="C36" s="56"/>
      <c r="D36" s="56" t="s">
        <v>241</v>
      </c>
      <c r="E36" s="3" t="s">
        <v>234</v>
      </c>
      <c r="F36" s="3" t="s">
        <v>316</v>
      </c>
      <c r="G36" s="13" t="s">
        <v>317</v>
      </c>
      <c r="H36" s="1" t="s">
        <v>242</v>
      </c>
      <c r="I36" s="4" t="s">
        <v>240</v>
      </c>
      <c r="J36" s="59" t="s">
        <v>246</v>
      </c>
      <c r="K36" s="4" t="s">
        <v>26</v>
      </c>
      <c r="L36" s="3" t="s">
        <v>281</v>
      </c>
      <c r="M36" s="3" t="s">
        <v>239</v>
      </c>
      <c r="N36" s="3">
        <v>14</v>
      </c>
      <c r="O36" s="3" t="s">
        <v>27</v>
      </c>
      <c r="P36" s="3" t="s">
        <v>318</v>
      </c>
      <c r="T36" s="8">
        <f>Calculations!H79</f>
        <v>88.562798704247939</v>
      </c>
      <c r="U36" s="8">
        <f>Calculations!I79</f>
        <v>1.2131890233458622E-2</v>
      </c>
      <c r="V36" s="58">
        <f>Calculations!F79</f>
        <v>0</v>
      </c>
      <c r="W36" s="5">
        <v>300</v>
      </c>
      <c r="X36" s="5">
        <v>300</v>
      </c>
      <c r="Y36" s="5">
        <v>300</v>
      </c>
    </row>
    <row r="37" spans="1:25" x14ac:dyDescent="0.25">
      <c r="A37" s="9" t="s">
        <v>233</v>
      </c>
      <c r="B37" s="15" t="s">
        <v>303</v>
      </c>
      <c r="C37" s="56"/>
      <c r="D37" s="56" t="s">
        <v>241</v>
      </c>
      <c r="E37" s="3" t="s">
        <v>234</v>
      </c>
      <c r="F37" s="3" t="s">
        <v>316</v>
      </c>
      <c r="G37" s="13" t="s">
        <v>317</v>
      </c>
      <c r="H37" s="1" t="s">
        <v>242</v>
      </c>
      <c r="I37" s="4" t="s">
        <v>240</v>
      </c>
      <c r="J37" s="59" t="s">
        <v>246</v>
      </c>
      <c r="K37" s="4" t="s">
        <v>26</v>
      </c>
      <c r="L37" s="3" t="s">
        <v>281</v>
      </c>
      <c r="M37" s="3" t="s">
        <v>239</v>
      </c>
      <c r="N37" s="3">
        <v>15</v>
      </c>
      <c r="O37" s="3" t="s">
        <v>27</v>
      </c>
      <c r="P37" s="3" t="s">
        <v>318</v>
      </c>
      <c r="T37" s="8">
        <f>Calculations!H80</f>
        <v>69.845652983072171</v>
      </c>
      <c r="U37" s="8">
        <f>Calculations!I80</f>
        <v>9.5678976689139959E-3</v>
      </c>
      <c r="V37" s="58">
        <f>Calculations!F80</f>
        <v>0</v>
      </c>
      <c r="W37" s="5">
        <v>300</v>
      </c>
      <c r="X37" s="5">
        <v>300</v>
      </c>
      <c r="Y37" s="5">
        <v>300</v>
      </c>
    </row>
    <row r="38" spans="1:25" x14ac:dyDescent="0.25">
      <c r="A38" s="9" t="s">
        <v>233</v>
      </c>
      <c r="B38" s="15" t="s">
        <v>303</v>
      </c>
      <c r="C38" s="56"/>
      <c r="D38" s="56" t="s">
        <v>241</v>
      </c>
      <c r="E38" s="3" t="s">
        <v>234</v>
      </c>
      <c r="F38" s="3" t="s">
        <v>316</v>
      </c>
      <c r="G38" s="13" t="s">
        <v>317</v>
      </c>
      <c r="H38" s="1" t="s">
        <v>242</v>
      </c>
      <c r="I38" s="4" t="s">
        <v>240</v>
      </c>
      <c r="J38" s="59" t="s">
        <v>246</v>
      </c>
      <c r="K38" s="4" t="s">
        <v>26</v>
      </c>
      <c r="L38" s="3" t="s">
        <v>281</v>
      </c>
      <c r="M38" s="3" t="s">
        <v>239</v>
      </c>
      <c r="N38" s="3">
        <v>16</v>
      </c>
      <c r="O38" s="3" t="s">
        <v>27</v>
      </c>
      <c r="P38" s="3" t="s">
        <v>318</v>
      </c>
      <c r="T38" s="8">
        <f>Calculations!H81</f>
        <v>104.50161810743668</v>
      </c>
      <c r="U38" s="8">
        <f>Calculations!I81</f>
        <v>1.4315290151703656E-2</v>
      </c>
      <c r="V38" s="58">
        <f>Calculations!F81</f>
        <v>0</v>
      </c>
      <c r="W38" s="5">
        <v>300</v>
      </c>
      <c r="X38" s="5">
        <v>300</v>
      </c>
      <c r="Y38" s="5">
        <v>300</v>
      </c>
    </row>
    <row r="39" spans="1:25" x14ac:dyDescent="0.25">
      <c r="A39" s="9" t="s">
        <v>233</v>
      </c>
      <c r="B39" s="15" t="s">
        <v>303</v>
      </c>
      <c r="C39" s="56"/>
      <c r="D39" s="56" t="s">
        <v>241</v>
      </c>
      <c r="E39" s="3" t="s">
        <v>234</v>
      </c>
      <c r="F39" s="3" t="s">
        <v>316</v>
      </c>
      <c r="G39" s="13" t="s">
        <v>317</v>
      </c>
      <c r="H39" s="1" t="s">
        <v>242</v>
      </c>
      <c r="I39" s="4" t="s">
        <v>240</v>
      </c>
      <c r="J39" s="59" t="s">
        <v>246</v>
      </c>
      <c r="K39" s="4" t="s">
        <v>26</v>
      </c>
      <c r="L39" s="3" t="s">
        <v>281</v>
      </c>
      <c r="M39" s="3" t="s">
        <v>239</v>
      </c>
      <c r="N39" s="3" t="s">
        <v>235</v>
      </c>
      <c r="O39" s="3" t="s">
        <v>27</v>
      </c>
      <c r="P39" s="3" t="s">
        <v>318</v>
      </c>
      <c r="T39" s="8">
        <f>Calculations!H84</f>
        <v>93.39723400022261</v>
      </c>
      <c r="U39" s="8">
        <f>Calculations!I84</f>
        <v>1.2794141643866112E-2</v>
      </c>
      <c r="V39" s="58">
        <f>Calculations!F84</f>
        <v>0</v>
      </c>
      <c r="W39" s="5">
        <v>300</v>
      </c>
      <c r="X39" s="5">
        <v>300</v>
      </c>
      <c r="Y39" s="5">
        <v>300</v>
      </c>
    </row>
    <row r="40" spans="1:25" x14ac:dyDescent="0.25">
      <c r="A40" s="9" t="s">
        <v>233</v>
      </c>
      <c r="B40" s="15" t="s">
        <v>303</v>
      </c>
      <c r="C40" s="56"/>
      <c r="D40" s="56" t="s">
        <v>241</v>
      </c>
      <c r="E40" s="3" t="s">
        <v>234</v>
      </c>
      <c r="F40" s="3" t="s">
        <v>316</v>
      </c>
      <c r="G40" s="13" t="s">
        <v>317</v>
      </c>
      <c r="H40" s="1" t="s">
        <v>242</v>
      </c>
      <c r="I40" s="4" t="s">
        <v>240</v>
      </c>
      <c r="J40" s="59" t="s">
        <v>246</v>
      </c>
      <c r="K40" s="4" t="s">
        <v>26</v>
      </c>
      <c r="L40" s="3" t="s">
        <v>281</v>
      </c>
      <c r="M40" s="3" t="s">
        <v>239</v>
      </c>
      <c r="N40" s="3" t="s">
        <v>236</v>
      </c>
      <c r="O40" s="3" t="s">
        <v>27</v>
      </c>
      <c r="P40" s="3" t="s">
        <v>318</v>
      </c>
      <c r="T40" s="8">
        <f>Calculations!H86</f>
        <v>87.783248796475831</v>
      </c>
      <c r="U40" s="8">
        <f>Calculations!I86</f>
        <v>1.2025102574859703E-2</v>
      </c>
      <c r="V40" s="58">
        <f>Calculations!F86</f>
        <v>0</v>
      </c>
      <c r="W40" s="5">
        <v>300</v>
      </c>
      <c r="X40" s="5">
        <v>300</v>
      </c>
      <c r="Y40" s="5">
        <v>300</v>
      </c>
    </row>
    <row r="41" spans="1:25" x14ac:dyDescent="0.25">
      <c r="A41" s="9" t="s">
        <v>233</v>
      </c>
      <c r="B41" s="15" t="s">
        <v>303</v>
      </c>
      <c r="C41" s="56"/>
      <c r="D41" s="56" t="s">
        <v>241</v>
      </c>
      <c r="E41" s="3" t="s">
        <v>234</v>
      </c>
      <c r="F41" s="3" t="s">
        <v>316</v>
      </c>
      <c r="G41" s="13" t="s">
        <v>317</v>
      </c>
      <c r="H41" s="1" t="s">
        <v>242</v>
      </c>
      <c r="I41" s="4" t="s">
        <v>240</v>
      </c>
      <c r="J41" s="59" t="s">
        <v>246</v>
      </c>
      <c r="K41" s="4" t="s">
        <v>26</v>
      </c>
      <c r="L41" s="3" t="s">
        <v>281</v>
      </c>
      <c r="M41" s="3" t="s">
        <v>239</v>
      </c>
      <c r="N41" s="3" t="s">
        <v>237</v>
      </c>
      <c r="O41" s="3" t="s">
        <v>27</v>
      </c>
      <c r="P41" s="3" t="s">
        <v>318</v>
      </c>
      <c r="T41" s="8">
        <f>Calculations!H88</f>
        <v>87.683398248192987</v>
      </c>
      <c r="U41" s="8">
        <f>Calculations!I88</f>
        <v>1.2011424417560682E-2</v>
      </c>
      <c r="V41" s="58">
        <f>Calculations!F88</f>
        <v>0</v>
      </c>
      <c r="W41" s="5">
        <v>300</v>
      </c>
      <c r="X41" s="5">
        <v>300</v>
      </c>
      <c r="Y41" s="5">
        <v>300</v>
      </c>
    </row>
    <row r="42" spans="1:25" x14ac:dyDescent="0.25">
      <c r="A42" s="9" t="s">
        <v>233</v>
      </c>
      <c r="B42" s="15" t="s">
        <v>303</v>
      </c>
      <c r="C42" s="56"/>
      <c r="D42" s="56" t="s">
        <v>241</v>
      </c>
      <c r="E42" s="3" t="s">
        <v>234</v>
      </c>
      <c r="F42" s="3" t="s">
        <v>316</v>
      </c>
      <c r="G42" s="13" t="s">
        <v>317</v>
      </c>
      <c r="H42" s="1" t="s">
        <v>242</v>
      </c>
      <c r="I42" s="4" t="s">
        <v>240</v>
      </c>
      <c r="J42" s="59" t="s">
        <v>246</v>
      </c>
      <c r="K42" s="4" t="s">
        <v>26</v>
      </c>
      <c r="L42" s="3" t="s">
        <v>281</v>
      </c>
      <c r="M42" s="3" t="s">
        <v>239</v>
      </c>
      <c r="N42" s="3" t="s">
        <v>238</v>
      </c>
      <c r="O42" s="3" t="s">
        <v>27</v>
      </c>
      <c r="P42" s="3" t="s">
        <v>318</v>
      </c>
      <c r="T42" s="8">
        <f>Calculations!H90</f>
        <v>88.159637614493619</v>
      </c>
      <c r="U42" s="8">
        <f>Calculations!I90</f>
        <v>1.2076662686916935E-2</v>
      </c>
      <c r="V42" s="58">
        <f>Calculations!F90</f>
        <v>0</v>
      </c>
      <c r="W42" s="5">
        <v>300</v>
      </c>
      <c r="X42" s="5">
        <v>300</v>
      </c>
      <c r="Y42" s="5">
        <v>300</v>
      </c>
    </row>
    <row r="43" spans="1:25" x14ac:dyDescent="0.25">
      <c r="A43" s="9" t="s">
        <v>233</v>
      </c>
      <c r="B43" s="86" t="s">
        <v>304</v>
      </c>
      <c r="C43" s="56"/>
      <c r="D43" s="56" t="s">
        <v>241</v>
      </c>
      <c r="E43" s="3" t="s">
        <v>234</v>
      </c>
      <c r="F43" s="3" t="s">
        <v>316</v>
      </c>
      <c r="G43" s="13" t="s">
        <v>317</v>
      </c>
      <c r="H43" s="1" t="s">
        <v>242</v>
      </c>
      <c r="I43" s="4" t="s">
        <v>240</v>
      </c>
      <c r="J43" s="59" t="s">
        <v>246</v>
      </c>
      <c r="K43" s="4" t="s">
        <v>26</v>
      </c>
      <c r="L43" s="3" t="s">
        <v>282</v>
      </c>
      <c r="M43" s="3" t="s">
        <v>239</v>
      </c>
      <c r="N43" s="3">
        <v>1</v>
      </c>
      <c r="O43" s="3" t="s">
        <v>27</v>
      </c>
      <c r="P43" s="3" t="s">
        <v>318</v>
      </c>
      <c r="T43" s="57">
        <f>Calculations!H94</f>
        <v>-1.0278258823529414</v>
      </c>
      <c r="U43" s="57">
        <f>Calculations!I94</f>
        <v>-1.4079806607574541E-4</v>
      </c>
      <c r="V43" s="57">
        <f>Calculations!F94</f>
        <v>3.4752098234346107</v>
      </c>
      <c r="W43" s="5">
        <v>300</v>
      </c>
      <c r="X43" s="5">
        <v>300</v>
      </c>
      <c r="Y43" s="5">
        <v>300</v>
      </c>
    </row>
    <row r="44" spans="1:25" x14ac:dyDescent="0.25">
      <c r="A44" s="9" t="s">
        <v>233</v>
      </c>
      <c r="B44" s="86" t="s">
        <v>304</v>
      </c>
      <c r="C44" s="56"/>
      <c r="D44" s="56" t="s">
        <v>241</v>
      </c>
      <c r="E44" s="3" t="s">
        <v>234</v>
      </c>
      <c r="F44" s="3" t="s">
        <v>316</v>
      </c>
      <c r="G44" s="13" t="s">
        <v>317</v>
      </c>
      <c r="H44" s="1" t="s">
        <v>242</v>
      </c>
      <c r="I44" s="4" t="s">
        <v>240</v>
      </c>
      <c r="J44" s="59" t="s">
        <v>246</v>
      </c>
      <c r="K44" s="4" t="s">
        <v>26</v>
      </c>
      <c r="L44" s="3" t="s">
        <v>282</v>
      </c>
      <c r="M44" s="3" t="s">
        <v>239</v>
      </c>
      <c r="N44" s="3">
        <v>2</v>
      </c>
      <c r="O44" s="3" t="s">
        <v>27</v>
      </c>
      <c r="P44" s="3" t="s">
        <v>318</v>
      </c>
      <c r="T44" s="57">
        <f>Calculations!H95</f>
        <v>-1.0278258823529414</v>
      </c>
      <c r="U44" s="57">
        <f>Calculations!I95</f>
        <v>-1.4079806607574541E-4</v>
      </c>
      <c r="V44" s="57">
        <f>Calculations!F95</f>
        <v>3.193565071260652</v>
      </c>
      <c r="W44" s="5">
        <v>300</v>
      </c>
      <c r="X44" s="5">
        <v>300</v>
      </c>
      <c r="Y44" s="5">
        <v>300</v>
      </c>
    </row>
    <row r="45" spans="1:25" x14ac:dyDescent="0.25">
      <c r="A45" s="9" t="s">
        <v>233</v>
      </c>
      <c r="B45" s="86" t="s">
        <v>304</v>
      </c>
      <c r="C45" s="56"/>
      <c r="D45" s="56" t="s">
        <v>241</v>
      </c>
      <c r="E45" s="3" t="s">
        <v>234</v>
      </c>
      <c r="F45" s="3" t="s">
        <v>316</v>
      </c>
      <c r="G45" s="13" t="s">
        <v>317</v>
      </c>
      <c r="H45" s="1" t="s">
        <v>242</v>
      </c>
      <c r="I45" s="4" t="s">
        <v>240</v>
      </c>
      <c r="J45" s="59" t="s">
        <v>246</v>
      </c>
      <c r="K45" s="4" t="s">
        <v>26</v>
      </c>
      <c r="L45" s="3" t="s">
        <v>282</v>
      </c>
      <c r="M45" s="3" t="s">
        <v>239</v>
      </c>
      <c r="N45" s="3">
        <v>3</v>
      </c>
      <c r="O45" s="3" t="s">
        <v>27</v>
      </c>
      <c r="P45" s="3" t="s">
        <v>318</v>
      </c>
      <c r="T45" s="57">
        <f>Calculations!H96</f>
        <v>-1.0278258823529414</v>
      </c>
      <c r="U45" s="57">
        <f>Calculations!I96</f>
        <v>-1.4079806607574541E-4</v>
      </c>
      <c r="V45" s="57">
        <f>Calculations!F96</f>
        <v>3.2031123509953612</v>
      </c>
      <c r="W45" s="5">
        <v>300</v>
      </c>
      <c r="X45" s="5">
        <v>300</v>
      </c>
      <c r="Y45" s="5">
        <v>300</v>
      </c>
    </row>
    <row r="46" spans="1:25" x14ac:dyDescent="0.25">
      <c r="A46" s="9" t="s">
        <v>233</v>
      </c>
      <c r="B46" s="86" t="s">
        <v>304</v>
      </c>
      <c r="C46" s="56"/>
      <c r="D46" s="56" t="s">
        <v>241</v>
      </c>
      <c r="E46" s="3" t="s">
        <v>234</v>
      </c>
      <c r="F46" s="3" t="s">
        <v>316</v>
      </c>
      <c r="G46" s="13" t="s">
        <v>317</v>
      </c>
      <c r="H46" s="1" t="s">
        <v>242</v>
      </c>
      <c r="I46" s="4" t="s">
        <v>240</v>
      </c>
      <c r="J46" s="59" t="s">
        <v>246</v>
      </c>
      <c r="K46" s="4" t="s">
        <v>26</v>
      </c>
      <c r="L46" s="3" t="s">
        <v>282</v>
      </c>
      <c r="M46" s="3" t="s">
        <v>239</v>
      </c>
      <c r="N46" s="3">
        <v>4</v>
      </c>
      <c r="O46" s="3" t="s">
        <v>27</v>
      </c>
      <c r="P46" s="3" t="s">
        <v>318</v>
      </c>
      <c r="T46" s="57">
        <f>Calculations!H97</f>
        <v>-1.0278258823529414</v>
      </c>
      <c r="U46" s="57">
        <f>Calculations!I97</f>
        <v>-1.4079806607574541E-4</v>
      </c>
      <c r="V46" s="57">
        <f>Calculations!F97</f>
        <v>3.0885449941788363</v>
      </c>
      <c r="W46" s="5">
        <v>300</v>
      </c>
      <c r="X46" s="5">
        <v>300</v>
      </c>
      <c r="Y46" s="5">
        <v>300</v>
      </c>
    </row>
    <row r="47" spans="1:25" x14ac:dyDescent="0.25">
      <c r="A47" s="9" t="s">
        <v>233</v>
      </c>
      <c r="B47" s="86" t="s">
        <v>304</v>
      </c>
      <c r="C47" s="56"/>
      <c r="D47" s="56" t="s">
        <v>241</v>
      </c>
      <c r="E47" s="3" t="s">
        <v>234</v>
      </c>
      <c r="F47" s="3" t="s">
        <v>316</v>
      </c>
      <c r="G47" s="13" t="s">
        <v>317</v>
      </c>
      <c r="H47" s="1" t="s">
        <v>242</v>
      </c>
      <c r="I47" s="4" t="s">
        <v>240</v>
      </c>
      <c r="J47" s="59" t="s">
        <v>246</v>
      </c>
      <c r="K47" s="4" t="s">
        <v>26</v>
      </c>
      <c r="L47" s="3" t="s">
        <v>282</v>
      </c>
      <c r="M47" s="3" t="s">
        <v>239</v>
      </c>
      <c r="N47" s="3">
        <v>5</v>
      </c>
      <c r="O47" s="3" t="s">
        <v>27</v>
      </c>
      <c r="P47" s="3" t="s">
        <v>318</v>
      </c>
      <c r="T47" s="57">
        <f>Calculations!H98</f>
        <v>-1.0278258823529414</v>
      </c>
      <c r="U47" s="57">
        <f>Calculations!I98</f>
        <v>-1.4079806607574541E-4</v>
      </c>
      <c r="V47" s="57">
        <f>Calculations!F98</f>
        <v>3.2651696692709802</v>
      </c>
      <c r="W47" s="5">
        <v>300</v>
      </c>
      <c r="X47" s="5">
        <v>300</v>
      </c>
      <c r="Y47" s="5">
        <v>300</v>
      </c>
    </row>
    <row r="48" spans="1:25" x14ac:dyDescent="0.25">
      <c r="A48" s="9" t="s">
        <v>233</v>
      </c>
      <c r="B48" s="86" t="s">
        <v>304</v>
      </c>
      <c r="C48" s="56"/>
      <c r="D48" s="56" t="s">
        <v>241</v>
      </c>
      <c r="E48" s="3" t="s">
        <v>234</v>
      </c>
      <c r="F48" s="3" t="s">
        <v>316</v>
      </c>
      <c r="G48" s="13" t="s">
        <v>317</v>
      </c>
      <c r="H48" s="1" t="s">
        <v>242</v>
      </c>
      <c r="I48" s="4" t="s">
        <v>240</v>
      </c>
      <c r="J48" s="59" t="s">
        <v>246</v>
      </c>
      <c r="K48" s="4" t="s">
        <v>26</v>
      </c>
      <c r="L48" s="3" t="s">
        <v>282</v>
      </c>
      <c r="M48" s="3" t="s">
        <v>239</v>
      </c>
      <c r="N48" s="3">
        <v>6</v>
      </c>
      <c r="O48" s="3" t="s">
        <v>27</v>
      </c>
      <c r="P48" s="3" t="s">
        <v>318</v>
      </c>
      <c r="T48" s="57">
        <f>Calculations!H99</f>
        <v>-1.0278258823529414</v>
      </c>
      <c r="U48" s="57">
        <f>Calculations!I99</f>
        <v>-1.4079806607574541E-4</v>
      </c>
      <c r="V48" s="57">
        <f>Calculations!F99</f>
        <v>2.9787512772296658</v>
      </c>
      <c r="W48" s="5">
        <v>300</v>
      </c>
      <c r="X48" s="5">
        <v>300</v>
      </c>
      <c r="Y48" s="5">
        <v>300</v>
      </c>
    </row>
    <row r="49" spans="1:25" x14ac:dyDescent="0.25">
      <c r="A49" s="9" t="s">
        <v>233</v>
      </c>
      <c r="B49" s="86" t="s">
        <v>304</v>
      </c>
      <c r="C49" s="56"/>
      <c r="D49" s="56" t="s">
        <v>241</v>
      </c>
      <c r="E49" s="3" t="s">
        <v>234</v>
      </c>
      <c r="F49" s="3" t="s">
        <v>316</v>
      </c>
      <c r="G49" s="13" t="s">
        <v>317</v>
      </c>
      <c r="H49" s="1" t="s">
        <v>242</v>
      </c>
      <c r="I49" s="4" t="s">
        <v>240</v>
      </c>
      <c r="J49" s="59" t="s">
        <v>246</v>
      </c>
      <c r="K49" s="4" t="s">
        <v>26</v>
      </c>
      <c r="L49" s="3" t="s">
        <v>282</v>
      </c>
      <c r="M49" s="3" t="s">
        <v>239</v>
      </c>
      <c r="N49" s="3">
        <v>7</v>
      </c>
      <c r="O49" s="3" t="s">
        <v>27</v>
      </c>
      <c r="P49" s="3" t="s">
        <v>318</v>
      </c>
      <c r="T49" s="57">
        <f>Calculations!H100</f>
        <v>-1.0278258823529414</v>
      </c>
      <c r="U49" s="57">
        <f>Calculations!I100</f>
        <v>-1.4079806607574541E-4</v>
      </c>
      <c r="V49" s="57">
        <f>Calculations!F100</f>
        <v>2.9405621582908239</v>
      </c>
      <c r="W49" s="5">
        <v>300</v>
      </c>
      <c r="X49" s="5">
        <v>300</v>
      </c>
      <c r="Y49" s="5">
        <v>300</v>
      </c>
    </row>
    <row r="50" spans="1:25" x14ac:dyDescent="0.25">
      <c r="A50" s="9" t="s">
        <v>233</v>
      </c>
      <c r="B50" s="86" t="s">
        <v>304</v>
      </c>
      <c r="C50" s="56"/>
      <c r="D50" s="56" t="s">
        <v>241</v>
      </c>
      <c r="E50" s="3" t="s">
        <v>234</v>
      </c>
      <c r="F50" s="3" t="s">
        <v>316</v>
      </c>
      <c r="G50" s="13" t="s">
        <v>317</v>
      </c>
      <c r="H50" s="1" t="s">
        <v>242</v>
      </c>
      <c r="I50" s="4" t="s">
        <v>240</v>
      </c>
      <c r="J50" s="59" t="s">
        <v>246</v>
      </c>
      <c r="K50" s="4" t="s">
        <v>26</v>
      </c>
      <c r="L50" s="3" t="s">
        <v>282</v>
      </c>
      <c r="M50" s="3" t="s">
        <v>239</v>
      </c>
      <c r="N50" s="3">
        <v>8</v>
      </c>
      <c r="O50" s="3" t="s">
        <v>27</v>
      </c>
      <c r="P50" s="3" t="s">
        <v>318</v>
      </c>
      <c r="T50" s="57">
        <f>Calculations!H101</f>
        <v>-1.0278258823529414</v>
      </c>
      <c r="U50" s="57">
        <f>Calculations!I101</f>
        <v>-1.4079806607574541E-4</v>
      </c>
      <c r="V50" s="57">
        <f>Calculations!F101</f>
        <v>2.8880521197499163</v>
      </c>
      <c r="W50" s="5">
        <v>300</v>
      </c>
      <c r="X50" s="5">
        <v>300</v>
      </c>
      <c r="Y50" s="5">
        <v>300</v>
      </c>
    </row>
    <row r="51" spans="1:25" x14ac:dyDescent="0.25">
      <c r="A51" s="9" t="s">
        <v>233</v>
      </c>
      <c r="B51" s="86" t="s">
        <v>304</v>
      </c>
      <c r="C51" s="56"/>
      <c r="D51" s="56" t="s">
        <v>241</v>
      </c>
      <c r="E51" s="3" t="s">
        <v>234</v>
      </c>
      <c r="F51" s="3" t="s">
        <v>316</v>
      </c>
      <c r="G51" s="13" t="s">
        <v>317</v>
      </c>
      <c r="H51" s="1" t="s">
        <v>242</v>
      </c>
      <c r="I51" s="4" t="s">
        <v>240</v>
      </c>
      <c r="J51" s="59" t="s">
        <v>246</v>
      </c>
      <c r="K51" s="4" t="s">
        <v>26</v>
      </c>
      <c r="L51" s="3" t="s">
        <v>282</v>
      </c>
      <c r="M51" s="3" t="s">
        <v>239</v>
      </c>
      <c r="N51" s="3">
        <v>9</v>
      </c>
      <c r="O51" s="3" t="s">
        <v>27</v>
      </c>
      <c r="P51" s="3" t="s">
        <v>318</v>
      </c>
      <c r="T51" s="57">
        <f>Calculations!H102</f>
        <v>-1.0278258823529414</v>
      </c>
      <c r="U51" s="57">
        <f>Calculations!I102</f>
        <v>-1.4079806607574541E-4</v>
      </c>
      <c r="V51" s="57">
        <f>Calculations!F102</f>
        <v>2.8832784798825615</v>
      </c>
      <c r="W51" s="5">
        <v>300</v>
      </c>
      <c r="X51" s="5">
        <v>300</v>
      </c>
      <c r="Y51" s="5">
        <v>300</v>
      </c>
    </row>
    <row r="52" spans="1:25" x14ac:dyDescent="0.25">
      <c r="A52" s="9" t="s">
        <v>233</v>
      </c>
      <c r="B52" s="86" t="s">
        <v>304</v>
      </c>
      <c r="C52" s="56"/>
      <c r="D52" s="56" t="s">
        <v>241</v>
      </c>
      <c r="E52" s="3" t="s">
        <v>234</v>
      </c>
      <c r="F52" s="3" t="s">
        <v>316</v>
      </c>
      <c r="G52" s="13" t="s">
        <v>317</v>
      </c>
      <c r="H52" s="1" t="s">
        <v>242</v>
      </c>
      <c r="I52" s="4" t="s">
        <v>240</v>
      </c>
      <c r="J52" s="59" t="s">
        <v>246</v>
      </c>
      <c r="K52" s="4" t="s">
        <v>26</v>
      </c>
      <c r="L52" s="3" t="s">
        <v>282</v>
      </c>
      <c r="M52" s="3" t="s">
        <v>239</v>
      </c>
      <c r="N52" s="3">
        <v>10</v>
      </c>
      <c r="O52" s="3" t="s">
        <v>27</v>
      </c>
      <c r="P52" s="3" t="s">
        <v>318</v>
      </c>
      <c r="T52" s="57">
        <f>Calculations!H103</f>
        <v>-1.0278258823529414</v>
      </c>
      <c r="U52" s="57">
        <f>Calculations!I103</f>
        <v>-1.4079806607574541E-4</v>
      </c>
      <c r="V52" s="57">
        <f>Calculations!F103</f>
        <v>2.8689575602804958</v>
      </c>
      <c r="W52" s="5">
        <v>300</v>
      </c>
      <c r="X52" s="5">
        <v>300</v>
      </c>
      <c r="Y52" s="5">
        <v>300</v>
      </c>
    </row>
    <row r="53" spans="1:25" x14ac:dyDescent="0.25">
      <c r="A53" s="9" t="s">
        <v>233</v>
      </c>
      <c r="B53" s="86" t="s">
        <v>304</v>
      </c>
      <c r="C53" s="56"/>
      <c r="D53" s="56" t="s">
        <v>241</v>
      </c>
      <c r="E53" s="3" t="s">
        <v>234</v>
      </c>
      <c r="F53" s="3" t="s">
        <v>316</v>
      </c>
      <c r="G53" s="13" t="s">
        <v>317</v>
      </c>
      <c r="H53" s="1" t="s">
        <v>242</v>
      </c>
      <c r="I53" s="4" t="s">
        <v>240</v>
      </c>
      <c r="J53" s="59" t="s">
        <v>246</v>
      </c>
      <c r="K53" s="4" t="s">
        <v>26</v>
      </c>
      <c r="L53" s="3" t="s">
        <v>282</v>
      </c>
      <c r="M53" s="3" t="s">
        <v>239</v>
      </c>
      <c r="N53" s="3">
        <v>11</v>
      </c>
      <c r="O53" s="3" t="s">
        <v>27</v>
      </c>
      <c r="P53" s="3" t="s">
        <v>318</v>
      </c>
      <c r="T53" s="57">
        <f>Calculations!H104</f>
        <v>-1.0278258823529414</v>
      </c>
      <c r="U53" s="57">
        <f>Calculations!I104</f>
        <v>-1.4079806607574541E-4</v>
      </c>
      <c r="V53" s="57">
        <f>Calculations!F104</f>
        <v>2.9119203190866925</v>
      </c>
      <c r="W53" s="5">
        <v>300</v>
      </c>
      <c r="X53" s="5">
        <v>300</v>
      </c>
      <c r="Y53" s="5">
        <v>300</v>
      </c>
    </row>
    <row r="54" spans="1:25" x14ac:dyDescent="0.25">
      <c r="A54" s="9" t="s">
        <v>233</v>
      </c>
      <c r="B54" s="86" t="s">
        <v>304</v>
      </c>
      <c r="C54" s="56"/>
      <c r="D54" s="56" t="s">
        <v>241</v>
      </c>
      <c r="E54" s="3" t="s">
        <v>234</v>
      </c>
      <c r="F54" s="3" t="s">
        <v>316</v>
      </c>
      <c r="G54" s="13" t="s">
        <v>317</v>
      </c>
      <c r="H54" s="1" t="s">
        <v>242</v>
      </c>
      <c r="I54" s="4" t="s">
        <v>240</v>
      </c>
      <c r="J54" s="59" t="s">
        <v>246</v>
      </c>
      <c r="K54" s="4" t="s">
        <v>26</v>
      </c>
      <c r="L54" s="3" t="s">
        <v>282</v>
      </c>
      <c r="M54" s="3" t="s">
        <v>239</v>
      </c>
      <c r="N54" s="3">
        <v>12</v>
      </c>
      <c r="O54" s="3" t="s">
        <v>27</v>
      </c>
      <c r="P54" s="3" t="s">
        <v>318</v>
      </c>
      <c r="T54" s="57">
        <f>Calculations!H105</f>
        <v>-1.0278258823529414</v>
      </c>
      <c r="U54" s="57">
        <f>Calculations!I105</f>
        <v>-1.4079806607574541E-4</v>
      </c>
      <c r="V54" s="57">
        <f>Calculations!F105</f>
        <v>3.0217140360358634</v>
      </c>
      <c r="W54" s="5">
        <v>300</v>
      </c>
      <c r="X54" s="5">
        <v>300</v>
      </c>
      <c r="Y54" s="5">
        <v>300</v>
      </c>
    </row>
    <row r="55" spans="1:25" x14ac:dyDescent="0.25">
      <c r="A55" s="9" t="s">
        <v>233</v>
      </c>
      <c r="B55" s="86" t="s">
        <v>304</v>
      </c>
      <c r="C55" s="56"/>
      <c r="D55" s="56" t="s">
        <v>241</v>
      </c>
      <c r="E55" s="3" t="s">
        <v>234</v>
      </c>
      <c r="F55" s="3" t="s">
        <v>316</v>
      </c>
      <c r="G55" s="13" t="s">
        <v>317</v>
      </c>
      <c r="H55" s="1" t="s">
        <v>242</v>
      </c>
      <c r="I55" s="4" t="s">
        <v>240</v>
      </c>
      <c r="J55" s="59" t="s">
        <v>246</v>
      </c>
      <c r="K55" s="4" t="s">
        <v>26</v>
      </c>
      <c r="L55" s="3" t="s">
        <v>282</v>
      </c>
      <c r="M55" s="3" t="s">
        <v>239</v>
      </c>
      <c r="N55" s="3">
        <v>13</v>
      </c>
      <c r="O55" s="3" t="s">
        <v>27</v>
      </c>
      <c r="P55" s="3" t="s">
        <v>318</v>
      </c>
      <c r="T55" s="57">
        <f>Calculations!H106</f>
        <v>-1.0278258823529414</v>
      </c>
      <c r="U55" s="57">
        <f>Calculations!I106</f>
        <v>-1.4079806607574541E-4</v>
      </c>
      <c r="V55" s="57">
        <f>Calculations!F106</f>
        <v>2.8689575602804958</v>
      </c>
      <c r="W55" s="5">
        <v>300</v>
      </c>
      <c r="X55" s="5">
        <v>300</v>
      </c>
      <c r="Y55" s="5">
        <v>300</v>
      </c>
    </row>
    <row r="56" spans="1:25" x14ac:dyDescent="0.25">
      <c r="A56" s="9" t="s">
        <v>233</v>
      </c>
      <c r="B56" s="86" t="s">
        <v>304</v>
      </c>
      <c r="C56" s="56"/>
      <c r="D56" s="56" t="s">
        <v>241</v>
      </c>
      <c r="E56" s="3" t="s">
        <v>234</v>
      </c>
      <c r="F56" s="3" t="s">
        <v>316</v>
      </c>
      <c r="G56" s="13" t="s">
        <v>317</v>
      </c>
      <c r="H56" s="1" t="s">
        <v>242</v>
      </c>
      <c r="I56" s="4" t="s">
        <v>240</v>
      </c>
      <c r="J56" s="59" t="s">
        <v>246</v>
      </c>
      <c r="K56" s="4" t="s">
        <v>26</v>
      </c>
      <c r="L56" s="3" t="s">
        <v>282</v>
      </c>
      <c r="M56" s="3" t="s">
        <v>239</v>
      </c>
      <c r="N56" s="3">
        <v>14</v>
      </c>
      <c r="O56" s="3" t="s">
        <v>27</v>
      </c>
      <c r="P56" s="3" t="s">
        <v>318</v>
      </c>
      <c r="T56" s="57">
        <f>Calculations!H107</f>
        <v>-1.0278258823529414</v>
      </c>
      <c r="U56" s="57">
        <f>Calculations!I107</f>
        <v>-1.4079806607574541E-4</v>
      </c>
      <c r="V56" s="57">
        <f>Calculations!F107</f>
        <v>2.9357885184234691</v>
      </c>
      <c r="W56" s="5">
        <v>300</v>
      </c>
      <c r="X56" s="5">
        <v>300</v>
      </c>
      <c r="Y56" s="5">
        <v>300</v>
      </c>
    </row>
    <row r="57" spans="1:25" x14ac:dyDescent="0.25">
      <c r="A57" s="9" t="s">
        <v>233</v>
      </c>
      <c r="B57" s="86" t="s">
        <v>304</v>
      </c>
      <c r="C57" s="56"/>
      <c r="D57" s="56" t="s">
        <v>241</v>
      </c>
      <c r="E57" s="3" t="s">
        <v>234</v>
      </c>
      <c r="F57" s="3" t="s">
        <v>316</v>
      </c>
      <c r="G57" s="13" t="s">
        <v>317</v>
      </c>
      <c r="H57" s="1" t="s">
        <v>242</v>
      </c>
      <c r="I57" s="4" t="s">
        <v>240</v>
      </c>
      <c r="J57" s="59" t="s">
        <v>246</v>
      </c>
      <c r="K57" s="4" t="s">
        <v>26</v>
      </c>
      <c r="L57" s="3" t="s">
        <v>282</v>
      </c>
      <c r="M57" s="3" t="s">
        <v>239</v>
      </c>
      <c r="N57" s="3">
        <v>15</v>
      </c>
      <c r="O57" s="3" t="s">
        <v>27</v>
      </c>
      <c r="P57" s="3" t="s">
        <v>318</v>
      </c>
      <c r="T57" s="57">
        <f>Calculations!H108</f>
        <v>-1.0278258823529414</v>
      </c>
      <c r="U57" s="57">
        <f>Calculations!I108</f>
        <v>-1.4079806607574541E-4</v>
      </c>
      <c r="V57" s="57">
        <f>Calculations!F108</f>
        <v>2.3247626154019989</v>
      </c>
      <c r="W57" s="5">
        <v>300</v>
      </c>
      <c r="X57" s="5">
        <v>300</v>
      </c>
      <c r="Y57" s="5">
        <v>300</v>
      </c>
    </row>
    <row r="58" spans="1:25" x14ac:dyDescent="0.25">
      <c r="A58" s="9" t="s">
        <v>233</v>
      </c>
      <c r="B58" s="86" t="s">
        <v>304</v>
      </c>
      <c r="C58" s="56"/>
      <c r="D58" s="56" t="s">
        <v>241</v>
      </c>
      <c r="E58" s="3" t="s">
        <v>234</v>
      </c>
      <c r="F58" s="3" t="s">
        <v>316</v>
      </c>
      <c r="G58" s="13" t="s">
        <v>317</v>
      </c>
      <c r="H58" s="1" t="s">
        <v>242</v>
      </c>
      <c r="I58" s="4" t="s">
        <v>240</v>
      </c>
      <c r="J58" s="59" t="s">
        <v>246</v>
      </c>
      <c r="K58" s="4" t="s">
        <v>26</v>
      </c>
      <c r="L58" s="3" t="s">
        <v>282</v>
      </c>
      <c r="M58" s="3" t="s">
        <v>239</v>
      </c>
      <c r="N58" s="3">
        <v>16</v>
      </c>
      <c r="O58" s="3" t="s">
        <v>27</v>
      </c>
      <c r="P58" s="3" t="s">
        <v>318</v>
      </c>
      <c r="T58" s="57">
        <f>Calculations!H109</f>
        <v>-1.0278258823529414</v>
      </c>
      <c r="U58" s="57">
        <f>Calculations!I109</f>
        <v>-1.4079806607574541E-4</v>
      </c>
      <c r="V58" s="57">
        <f>Calculations!F109</f>
        <v>3.4561152639651893</v>
      </c>
      <c r="W58" s="5">
        <v>300</v>
      </c>
      <c r="X58" s="5">
        <v>300</v>
      </c>
      <c r="Y58" s="5">
        <v>300</v>
      </c>
    </row>
    <row r="59" spans="1:25" x14ac:dyDescent="0.25">
      <c r="A59" s="10" t="s">
        <v>233</v>
      </c>
      <c r="B59" s="86" t="s">
        <v>304</v>
      </c>
      <c r="C59" s="56"/>
      <c r="D59" s="56" t="s">
        <v>241</v>
      </c>
      <c r="E59" s="3" t="s">
        <v>234</v>
      </c>
      <c r="F59" s="3" t="s">
        <v>316</v>
      </c>
      <c r="G59" s="13" t="s">
        <v>317</v>
      </c>
      <c r="H59" s="1" t="s">
        <v>242</v>
      </c>
      <c r="I59" s="4" t="s">
        <v>240</v>
      </c>
      <c r="J59" s="59" t="s">
        <v>246</v>
      </c>
      <c r="K59" s="4" t="s">
        <v>26</v>
      </c>
      <c r="L59" s="3" t="s">
        <v>282</v>
      </c>
      <c r="M59" s="3" t="s">
        <v>239</v>
      </c>
      <c r="N59" s="3" t="s">
        <v>235</v>
      </c>
      <c r="O59" s="3" t="s">
        <v>27</v>
      </c>
      <c r="P59" s="3" t="s">
        <v>318</v>
      </c>
      <c r="T59" s="8">
        <f>Calculations!H127</f>
        <v>-1.0278258823529414</v>
      </c>
      <c r="U59" s="8">
        <f>Calculations!I127</f>
        <v>-1.4079806607574541E-4</v>
      </c>
      <c r="V59" s="58">
        <f>Calculations!F127</f>
        <v>3.0936098677000201</v>
      </c>
      <c r="W59" s="5">
        <v>300</v>
      </c>
      <c r="X59" s="5">
        <v>300</v>
      </c>
      <c r="Y59" s="5">
        <v>300</v>
      </c>
    </row>
    <row r="60" spans="1:25" x14ac:dyDescent="0.25">
      <c r="A60" s="10" t="s">
        <v>233</v>
      </c>
      <c r="B60" s="86" t="s">
        <v>304</v>
      </c>
      <c r="C60" s="56"/>
      <c r="D60" s="56" t="s">
        <v>241</v>
      </c>
      <c r="E60" s="3" t="s">
        <v>234</v>
      </c>
      <c r="F60" s="3" t="s">
        <v>316</v>
      </c>
      <c r="G60" s="13" t="s">
        <v>317</v>
      </c>
      <c r="H60" s="1" t="s">
        <v>242</v>
      </c>
      <c r="I60" s="4" t="s">
        <v>240</v>
      </c>
      <c r="J60" s="59" t="s">
        <v>246</v>
      </c>
      <c r="K60" s="4" t="s">
        <v>26</v>
      </c>
      <c r="L60" s="3" t="s">
        <v>282</v>
      </c>
      <c r="M60" s="3" t="s">
        <v>239</v>
      </c>
      <c r="N60" s="3" t="s">
        <v>236</v>
      </c>
      <c r="O60" s="3" t="s">
        <v>27</v>
      </c>
      <c r="P60" s="3" t="s">
        <v>318</v>
      </c>
      <c r="T60" s="8">
        <f>Calculations!H129</f>
        <v>-1.0278258823529414</v>
      </c>
      <c r="U60" s="8">
        <f>Calculations!I129</f>
        <v>-1.4079806607574541E-4</v>
      </c>
      <c r="V60" s="58">
        <f>Calculations!F129</f>
        <v>2.9103399167273323</v>
      </c>
      <c r="W60" s="5">
        <v>300</v>
      </c>
      <c r="X60" s="5">
        <v>300</v>
      </c>
      <c r="Y60" s="5">
        <v>300</v>
      </c>
    </row>
    <row r="61" spans="1:25" x14ac:dyDescent="0.25">
      <c r="A61" s="10" t="s">
        <v>233</v>
      </c>
      <c r="B61" s="86" t="s">
        <v>304</v>
      </c>
      <c r="C61" s="56"/>
      <c r="D61" s="56" t="s">
        <v>241</v>
      </c>
      <c r="E61" s="3" t="s">
        <v>234</v>
      </c>
      <c r="F61" s="3" t="s">
        <v>316</v>
      </c>
      <c r="G61" s="13" t="s">
        <v>317</v>
      </c>
      <c r="H61" s="1" t="s">
        <v>242</v>
      </c>
      <c r="I61" s="4" t="s">
        <v>240</v>
      </c>
      <c r="J61" s="59" t="s">
        <v>246</v>
      </c>
      <c r="K61" s="4" t="s">
        <v>26</v>
      </c>
      <c r="L61" s="3" t="s">
        <v>282</v>
      </c>
      <c r="M61" s="3" t="s">
        <v>239</v>
      </c>
      <c r="N61" s="3" t="s">
        <v>237</v>
      </c>
      <c r="O61" s="3" t="s">
        <v>27</v>
      </c>
      <c r="P61" s="3" t="s">
        <v>318</v>
      </c>
      <c r="T61" s="8">
        <f>Calculations!H131</f>
        <v>-1.0278258823529414</v>
      </c>
      <c r="U61" s="8">
        <f>Calculations!I131</f>
        <v>-1.4079806607574541E-4</v>
      </c>
      <c r="V61" s="58">
        <f>Calculations!F131</f>
        <v>2.9070802706071071</v>
      </c>
      <c r="W61" s="5">
        <v>300</v>
      </c>
      <c r="X61" s="5">
        <v>300</v>
      </c>
      <c r="Y61" s="5">
        <v>300</v>
      </c>
    </row>
    <row r="62" spans="1:25" x14ac:dyDescent="0.25">
      <c r="A62" s="10" t="s">
        <v>233</v>
      </c>
      <c r="B62" s="86" t="s">
        <v>304</v>
      </c>
      <c r="C62" s="56"/>
      <c r="D62" s="56" t="s">
        <v>241</v>
      </c>
      <c r="E62" s="3" t="s">
        <v>234</v>
      </c>
      <c r="F62" s="3" t="s">
        <v>316</v>
      </c>
      <c r="G62" s="13" t="s">
        <v>317</v>
      </c>
      <c r="H62" s="1" t="s">
        <v>242</v>
      </c>
      <c r="I62" s="4" t="s">
        <v>240</v>
      </c>
      <c r="J62" s="59" t="s">
        <v>246</v>
      </c>
      <c r="K62" s="4" t="s">
        <v>26</v>
      </c>
      <c r="L62" s="3" t="s">
        <v>282</v>
      </c>
      <c r="M62" s="3" t="s">
        <v>239</v>
      </c>
      <c r="N62" s="3" t="s">
        <v>238</v>
      </c>
      <c r="O62" s="3" t="s">
        <v>27</v>
      </c>
      <c r="P62" s="3" t="s">
        <v>318</v>
      </c>
      <c r="T62" s="8">
        <f>Calculations!H133</f>
        <v>-1.0278258823529414</v>
      </c>
      <c r="U62" s="8">
        <f>Calculations!I133</f>
        <v>-1.4079806607574541E-4</v>
      </c>
      <c r="V62" s="58">
        <f>Calculations!F133</f>
        <v>2.9226272238222544</v>
      </c>
      <c r="W62" s="5">
        <v>300</v>
      </c>
      <c r="X62" s="5">
        <v>300</v>
      </c>
      <c r="Y62" s="5">
        <v>300</v>
      </c>
    </row>
    <row r="63" spans="1:25" x14ac:dyDescent="0.25">
      <c r="A63" s="10" t="s">
        <v>233</v>
      </c>
      <c r="B63" s="15" t="s">
        <v>305</v>
      </c>
      <c r="C63" s="56"/>
      <c r="D63" s="56" t="s">
        <v>241</v>
      </c>
      <c r="E63" s="3" t="s">
        <v>234</v>
      </c>
      <c r="F63" s="3" t="s">
        <v>316</v>
      </c>
      <c r="G63" s="13" t="s">
        <v>317</v>
      </c>
      <c r="H63" s="1" t="s">
        <v>242</v>
      </c>
      <c r="I63" s="4" t="s">
        <v>240</v>
      </c>
      <c r="J63" s="59" t="s">
        <v>246</v>
      </c>
      <c r="K63" s="4" t="s">
        <v>26</v>
      </c>
      <c r="L63" s="3" t="s">
        <v>282</v>
      </c>
      <c r="M63" s="3" t="s">
        <v>239</v>
      </c>
      <c r="N63" s="3">
        <v>1</v>
      </c>
      <c r="O63" s="3" t="s">
        <v>27</v>
      </c>
      <c r="P63" s="3" t="s">
        <v>318</v>
      </c>
      <c r="T63" s="8">
        <f>Calculations!H110</f>
        <v>78.99919651293412</v>
      </c>
      <c r="U63" s="8">
        <f>Calculations!I110</f>
        <v>1.0821807741497826E-2</v>
      </c>
      <c r="V63" s="58">
        <f>Calculations!F110</f>
        <v>0</v>
      </c>
      <c r="W63" s="5">
        <v>300</v>
      </c>
      <c r="X63" s="5">
        <v>300</v>
      </c>
      <c r="Y63" s="5">
        <v>300</v>
      </c>
    </row>
    <row r="64" spans="1:25" x14ac:dyDescent="0.25">
      <c r="A64" s="10" t="s">
        <v>233</v>
      </c>
      <c r="B64" s="15" t="s">
        <v>305</v>
      </c>
      <c r="C64" s="56"/>
      <c r="D64" s="56" t="s">
        <v>241</v>
      </c>
      <c r="E64" s="3" t="s">
        <v>234</v>
      </c>
      <c r="F64" s="3" t="s">
        <v>316</v>
      </c>
      <c r="G64" s="13" t="s">
        <v>317</v>
      </c>
      <c r="H64" s="1" t="s">
        <v>242</v>
      </c>
      <c r="I64" s="4" t="s">
        <v>240</v>
      </c>
      <c r="J64" s="59" t="s">
        <v>246</v>
      </c>
      <c r="K64" s="4" t="s">
        <v>26</v>
      </c>
      <c r="L64" s="3" t="s">
        <v>282</v>
      </c>
      <c r="M64" s="3" t="s">
        <v>239</v>
      </c>
      <c r="N64" s="3">
        <v>2</v>
      </c>
      <c r="O64" s="3" t="s">
        <v>27</v>
      </c>
      <c r="P64" s="3" t="s">
        <v>318</v>
      </c>
      <c r="T64" s="8">
        <f>Calculations!H111</f>
        <v>72.513490027601776</v>
      </c>
      <c r="U64" s="8">
        <f>Calculations!I111</f>
        <v>9.9333547983016142E-3</v>
      </c>
      <c r="V64" s="58">
        <f>Calculations!F111</f>
        <v>0</v>
      </c>
      <c r="W64" s="5">
        <v>300</v>
      </c>
      <c r="X64" s="5">
        <v>300</v>
      </c>
      <c r="Y64" s="5">
        <v>300</v>
      </c>
    </row>
    <row r="65" spans="1:25" x14ac:dyDescent="0.25">
      <c r="A65" s="10" t="s">
        <v>233</v>
      </c>
      <c r="B65" s="15" t="s">
        <v>305</v>
      </c>
      <c r="C65" s="56"/>
      <c r="D65" s="56" t="s">
        <v>241</v>
      </c>
      <c r="E65" s="3" t="s">
        <v>234</v>
      </c>
      <c r="F65" s="3" t="s">
        <v>316</v>
      </c>
      <c r="G65" s="13" t="s">
        <v>317</v>
      </c>
      <c r="H65" s="1" t="s">
        <v>242</v>
      </c>
      <c r="I65" s="4" t="s">
        <v>240</v>
      </c>
      <c r="J65" s="59" t="s">
        <v>246</v>
      </c>
      <c r="K65" s="4" t="s">
        <v>26</v>
      </c>
      <c r="L65" s="3" t="s">
        <v>282</v>
      </c>
      <c r="M65" s="3" t="s">
        <v>239</v>
      </c>
      <c r="N65" s="3">
        <v>3</v>
      </c>
      <c r="O65" s="3" t="s">
        <v>27</v>
      </c>
      <c r="P65" s="3" t="s">
        <v>318</v>
      </c>
      <c r="T65" s="8">
        <f>Calculations!H112</f>
        <v>72.733344484731674</v>
      </c>
      <c r="U65" s="8">
        <f>Calculations!I112</f>
        <v>9.9634718472235186E-3</v>
      </c>
      <c r="V65" s="58">
        <f>Calculations!F112</f>
        <v>0</v>
      </c>
      <c r="W65" s="5">
        <v>300</v>
      </c>
      <c r="X65" s="5">
        <v>300</v>
      </c>
      <c r="Y65" s="5">
        <v>300</v>
      </c>
    </row>
    <row r="66" spans="1:25" x14ac:dyDescent="0.25">
      <c r="A66" s="10" t="s">
        <v>233</v>
      </c>
      <c r="B66" s="15" t="s">
        <v>305</v>
      </c>
      <c r="C66" s="56"/>
      <c r="D66" s="56" t="s">
        <v>241</v>
      </c>
      <c r="E66" s="3" t="s">
        <v>234</v>
      </c>
      <c r="F66" s="3" t="s">
        <v>316</v>
      </c>
      <c r="G66" s="13" t="s">
        <v>317</v>
      </c>
      <c r="H66" s="1" t="s">
        <v>242</v>
      </c>
      <c r="I66" s="4" t="s">
        <v>240</v>
      </c>
      <c r="J66" s="59" t="s">
        <v>246</v>
      </c>
      <c r="K66" s="4" t="s">
        <v>26</v>
      </c>
      <c r="L66" s="3" t="s">
        <v>282</v>
      </c>
      <c r="M66" s="3" t="s">
        <v>239</v>
      </c>
      <c r="N66" s="3">
        <v>4</v>
      </c>
      <c r="O66" s="3" t="s">
        <v>27</v>
      </c>
      <c r="P66" s="3" t="s">
        <v>318</v>
      </c>
      <c r="T66" s="8">
        <f>Calculations!H113</f>
        <v>70.095090999172768</v>
      </c>
      <c r="U66" s="8">
        <f>Calculations!I113</f>
        <v>9.602067260160654E-3</v>
      </c>
      <c r="V66" s="58">
        <f>Calculations!F113</f>
        <v>0</v>
      </c>
      <c r="W66" s="5">
        <v>300</v>
      </c>
      <c r="X66" s="5">
        <v>300</v>
      </c>
      <c r="Y66" s="5">
        <v>300</v>
      </c>
    </row>
    <row r="67" spans="1:25" x14ac:dyDescent="0.25">
      <c r="A67" s="10" t="s">
        <v>233</v>
      </c>
      <c r="B67" s="15" t="s">
        <v>305</v>
      </c>
      <c r="C67" s="56"/>
      <c r="D67" s="56" t="s">
        <v>241</v>
      </c>
      <c r="E67" s="3" t="s">
        <v>234</v>
      </c>
      <c r="F67" s="3" t="s">
        <v>316</v>
      </c>
      <c r="G67" s="13" t="s">
        <v>317</v>
      </c>
      <c r="H67" s="1" t="s">
        <v>242</v>
      </c>
      <c r="I67" s="4" t="s">
        <v>240</v>
      </c>
      <c r="J67" s="59" t="s">
        <v>246</v>
      </c>
      <c r="K67" s="4" t="s">
        <v>26</v>
      </c>
      <c r="L67" s="3" t="s">
        <v>282</v>
      </c>
      <c r="M67" s="3" t="s">
        <v>239</v>
      </c>
      <c r="N67" s="3">
        <v>5</v>
      </c>
      <c r="O67" s="3" t="s">
        <v>27</v>
      </c>
      <c r="P67" s="3" t="s">
        <v>318</v>
      </c>
      <c r="T67" s="8">
        <f>Calculations!H114</f>
        <v>74.16239845607609</v>
      </c>
      <c r="U67" s="8">
        <f>Calculations!I114</f>
        <v>1.0159232665215904E-2</v>
      </c>
      <c r="V67" s="58">
        <f>Calculations!F114</f>
        <v>0</v>
      </c>
      <c r="W67" s="5">
        <v>300</v>
      </c>
      <c r="X67" s="5">
        <v>300</v>
      </c>
      <c r="Y67" s="5">
        <v>300</v>
      </c>
    </row>
    <row r="68" spans="1:25" x14ac:dyDescent="0.25">
      <c r="A68" s="10" t="s">
        <v>233</v>
      </c>
      <c r="B68" s="15" t="s">
        <v>305</v>
      </c>
      <c r="C68" s="56"/>
      <c r="D68" s="56" t="s">
        <v>241</v>
      </c>
      <c r="E68" s="3" t="s">
        <v>234</v>
      </c>
      <c r="F68" s="3" t="s">
        <v>316</v>
      </c>
      <c r="G68" s="13" t="s">
        <v>317</v>
      </c>
      <c r="H68" s="1" t="s">
        <v>242</v>
      </c>
      <c r="I68" s="4" t="s">
        <v>240</v>
      </c>
      <c r="J68" s="59" t="s">
        <v>246</v>
      </c>
      <c r="K68" s="4" t="s">
        <v>26</v>
      </c>
      <c r="L68" s="3" t="s">
        <v>282</v>
      </c>
      <c r="M68" s="3" t="s">
        <v>239</v>
      </c>
      <c r="N68" s="3">
        <v>6</v>
      </c>
      <c r="O68" s="3" t="s">
        <v>27</v>
      </c>
      <c r="P68" s="3" t="s">
        <v>318</v>
      </c>
      <c r="T68" s="8">
        <f>Calculations!H115</f>
        <v>67.566764742178805</v>
      </c>
      <c r="U68" s="8">
        <f>Calculations!I115</f>
        <v>9.2557211975587399E-3</v>
      </c>
      <c r="V68" s="58">
        <f>Calculations!F115</f>
        <v>0</v>
      </c>
      <c r="W68" s="5">
        <v>300</v>
      </c>
      <c r="X68" s="5">
        <v>300</v>
      </c>
      <c r="Y68" s="5">
        <v>300</v>
      </c>
    </row>
    <row r="69" spans="1:25" x14ac:dyDescent="0.25">
      <c r="A69" s="10" t="s">
        <v>233</v>
      </c>
      <c r="B69" s="15" t="s">
        <v>305</v>
      </c>
      <c r="C69" s="56"/>
      <c r="D69" s="56" t="s">
        <v>241</v>
      </c>
      <c r="E69" s="3" t="s">
        <v>234</v>
      </c>
      <c r="F69" s="3" t="s">
        <v>316</v>
      </c>
      <c r="G69" s="13" t="s">
        <v>317</v>
      </c>
      <c r="H69" s="1" t="s">
        <v>242</v>
      </c>
      <c r="I69" s="4" t="s">
        <v>240</v>
      </c>
      <c r="J69" s="59" t="s">
        <v>246</v>
      </c>
      <c r="K69" s="4" t="s">
        <v>26</v>
      </c>
      <c r="L69" s="3" t="s">
        <v>282</v>
      </c>
      <c r="M69" s="3" t="s">
        <v>239</v>
      </c>
      <c r="N69" s="3">
        <v>7</v>
      </c>
      <c r="O69" s="3" t="s">
        <v>27</v>
      </c>
      <c r="P69" s="3" t="s">
        <v>318</v>
      </c>
      <c r="T69" s="8">
        <f>Calculations!H116</f>
        <v>66.687346913659169</v>
      </c>
      <c r="U69" s="8">
        <f>Calculations!I116</f>
        <v>9.135253001871119E-3</v>
      </c>
      <c r="V69" s="58">
        <f>Calculations!F116</f>
        <v>0</v>
      </c>
      <c r="W69" s="5">
        <v>300</v>
      </c>
      <c r="X69" s="5">
        <v>300</v>
      </c>
      <c r="Y69" s="5">
        <v>300</v>
      </c>
    </row>
    <row r="70" spans="1:25" x14ac:dyDescent="0.25">
      <c r="A70" s="10" t="s">
        <v>233</v>
      </c>
      <c r="B70" s="15" t="s">
        <v>305</v>
      </c>
      <c r="C70" s="56"/>
      <c r="D70" s="56" t="s">
        <v>241</v>
      </c>
      <c r="E70" s="3" t="s">
        <v>234</v>
      </c>
      <c r="F70" s="3" t="s">
        <v>316</v>
      </c>
      <c r="G70" s="13" t="s">
        <v>317</v>
      </c>
      <c r="H70" s="1" t="s">
        <v>242</v>
      </c>
      <c r="I70" s="4" t="s">
        <v>240</v>
      </c>
      <c r="J70" s="59" t="s">
        <v>246</v>
      </c>
      <c r="K70" s="4" t="s">
        <v>26</v>
      </c>
      <c r="L70" s="3" t="s">
        <v>282</v>
      </c>
      <c r="M70" s="3" t="s">
        <v>239</v>
      </c>
      <c r="N70" s="3">
        <v>8</v>
      </c>
      <c r="O70" s="3" t="s">
        <v>27</v>
      </c>
      <c r="P70" s="3" t="s">
        <v>318</v>
      </c>
      <c r="T70" s="8">
        <f>Calculations!H117</f>
        <v>65.478147399444666</v>
      </c>
      <c r="U70" s="8">
        <f>Calculations!I117</f>
        <v>8.9696092328006398E-3</v>
      </c>
      <c r="V70" s="58">
        <f>Calculations!F117</f>
        <v>0</v>
      </c>
      <c r="W70" s="5">
        <v>300</v>
      </c>
      <c r="X70" s="5">
        <v>300</v>
      </c>
      <c r="Y70" s="5">
        <v>300</v>
      </c>
    </row>
    <row r="71" spans="1:25" x14ac:dyDescent="0.25">
      <c r="A71" s="10" t="s">
        <v>233</v>
      </c>
      <c r="B71" s="15" t="s">
        <v>305</v>
      </c>
      <c r="C71" s="56"/>
      <c r="D71" s="56" t="s">
        <v>241</v>
      </c>
      <c r="E71" s="3" t="s">
        <v>234</v>
      </c>
      <c r="F71" s="3" t="s">
        <v>316</v>
      </c>
      <c r="G71" s="13" t="s">
        <v>317</v>
      </c>
      <c r="H71" s="1" t="s">
        <v>242</v>
      </c>
      <c r="I71" s="4" t="s">
        <v>240</v>
      </c>
      <c r="J71" s="59" t="s">
        <v>246</v>
      </c>
      <c r="K71" s="4" t="s">
        <v>26</v>
      </c>
      <c r="L71" s="3" t="s">
        <v>282</v>
      </c>
      <c r="M71" s="3" t="s">
        <v>239</v>
      </c>
      <c r="N71" s="3">
        <v>9</v>
      </c>
      <c r="O71" s="3" t="s">
        <v>27</v>
      </c>
      <c r="P71" s="3" t="s">
        <v>318</v>
      </c>
      <c r="T71" s="8">
        <f>Calculations!H118</f>
        <v>65.368220170879724</v>
      </c>
      <c r="U71" s="8">
        <f>Calculations!I118</f>
        <v>8.9545507083396893E-3</v>
      </c>
      <c r="V71" s="58">
        <f>Calculations!F118</f>
        <v>0</v>
      </c>
      <c r="W71" s="5">
        <v>300</v>
      </c>
      <c r="X71" s="5">
        <v>300</v>
      </c>
      <c r="Y71" s="5">
        <v>300</v>
      </c>
    </row>
    <row r="72" spans="1:25" x14ac:dyDescent="0.25">
      <c r="A72" s="10" t="s">
        <v>233</v>
      </c>
      <c r="B72" s="15" t="s">
        <v>305</v>
      </c>
      <c r="C72" s="56"/>
      <c r="D72" s="56" t="s">
        <v>241</v>
      </c>
      <c r="E72" s="3" t="s">
        <v>234</v>
      </c>
      <c r="F72" s="3" t="s">
        <v>316</v>
      </c>
      <c r="G72" s="13" t="s">
        <v>317</v>
      </c>
      <c r="H72" s="1" t="s">
        <v>242</v>
      </c>
      <c r="I72" s="4" t="s">
        <v>240</v>
      </c>
      <c r="J72" s="59" t="s">
        <v>246</v>
      </c>
      <c r="K72" s="4" t="s">
        <v>26</v>
      </c>
      <c r="L72" s="3" t="s">
        <v>282</v>
      </c>
      <c r="M72" s="3" t="s">
        <v>239</v>
      </c>
      <c r="N72" s="3">
        <v>10</v>
      </c>
      <c r="O72" s="3" t="s">
        <v>27</v>
      </c>
      <c r="P72" s="3" t="s">
        <v>318</v>
      </c>
      <c r="T72" s="8">
        <f>Calculations!H119</f>
        <v>65.038438485184855</v>
      </c>
      <c r="U72" s="8">
        <f>Calculations!I119</f>
        <v>8.9093751349568293E-3</v>
      </c>
      <c r="V72" s="58">
        <f>Calculations!F119</f>
        <v>0</v>
      </c>
      <c r="W72" s="5">
        <v>300</v>
      </c>
      <c r="X72" s="5">
        <v>300</v>
      </c>
      <c r="Y72" s="5">
        <v>300</v>
      </c>
    </row>
    <row r="73" spans="1:25" x14ac:dyDescent="0.25">
      <c r="A73" s="10" t="s">
        <v>233</v>
      </c>
      <c r="B73" s="15" t="s">
        <v>305</v>
      </c>
      <c r="C73" s="56"/>
      <c r="D73" s="56" t="s">
        <v>241</v>
      </c>
      <c r="E73" s="3" t="s">
        <v>234</v>
      </c>
      <c r="F73" s="3" t="s">
        <v>316</v>
      </c>
      <c r="G73" s="13" t="s">
        <v>317</v>
      </c>
      <c r="H73" s="1" t="s">
        <v>242</v>
      </c>
      <c r="I73" s="4" t="s">
        <v>240</v>
      </c>
      <c r="J73" s="59" t="s">
        <v>246</v>
      </c>
      <c r="K73" s="4" t="s">
        <v>26</v>
      </c>
      <c r="L73" s="3" t="s">
        <v>282</v>
      </c>
      <c r="M73" s="3" t="s">
        <v>239</v>
      </c>
      <c r="N73" s="3">
        <v>11</v>
      </c>
      <c r="O73" s="3" t="s">
        <v>27</v>
      </c>
      <c r="P73" s="3" t="s">
        <v>318</v>
      </c>
      <c r="T73" s="8">
        <f>Calculations!H120</f>
        <v>66.027783542269447</v>
      </c>
      <c r="U73" s="8">
        <f>Calculations!I120</f>
        <v>9.0449018551054042E-3</v>
      </c>
      <c r="V73" s="58">
        <f>Calculations!F120</f>
        <v>0</v>
      </c>
      <c r="W73" s="5">
        <v>300</v>
      </c>
      <c r="X73" s="5">
        <v>300</v>
      </c>
      <c r="Y73" s="5">
        <v>300</v>
      </c>
    </row>
    <row r="74" spans="1:25" x14ac:dyDescent="0.25">
      <c r="A74" s="10" t="s">
        <v>233</v>
      </c>
      <c r="B74" s="15" t="s">
        <v>305</v>
      </c>
      <c r="C74" s="56"/>
      <c r="D74" s="56" t="s">
        <v>241</v>
      </c>
      <c r="E74" s="3" t="s">
        <v>234</v>
      </c>
      <c r="F74" s="3" t="s">
        <v>316</v>
      </c>
      <c r="G74" s="13" t="s">
        <v>317</v>
      </c>
      <c r="H74" s="1" t="s">
        <v>242</v>
      </c>
      <c r="I74" s="4" t="s">
        <v>240</v>
      </c>
      <c r="J74" s="59" t="s">
        <v>246</v>
      </c>
      <c r="K74" s="4" t="s">
        <v>26</v>
      </c>
      <c r="L74" s="3" t="s">
        <v>282</v>
      </c>
      <c r="M74" s="3" t="s">
        <v>239</v>
      </c>
      <c r="N74" s="3">
        <v>12</v>
      </c>
      <c r="O74" s="3" t="s">
        <v>27</v>
      </c>
      <c r="P74" s="3" t="s">
        <v>318</v>
      </c>
      <c r="T74" s="8">
        <f>Calculations!H121</f>
        <v>68.55610979926341</v>
      </c>
      <c r="U74" s="8">
        <f>Calculations!I121</f>
        <v>9.3912479177073165E-3</v>
      </c>
      <c r="V74" s="58">
        <f>Calculations!F121</f>
        <v>0</v>
      </c>
      <c r="W74" s="5">
        <v>300</v>
      </c>
      <c r="X74" s="5">
        <v>300</v>
      </c>
      <c r="Y74" s="5">
        <v>300</v>
      </c>
    </row>
    <row r="75" spans="1:25" x14ac:dyDescent="0.25">
      <c r="A75" s="9" t="s">
        <v>233</v>
      </c>
      <c r="B75" s="15" t="s">
        <v>305</v>
      </c>
      <c r="C75" s="56"/>
      <c r="D75" s="56" t="s">
        <v>241</v>
      </c>
      <c r="E75" s="3" t="s">
        <v>234</v>
      </c>
      <c r="F75" s="3" t="s">
        <v>316</v>
      </c>
      <c r="G75" s="13" t="s">
        <v>317</v>
      </c>
      <c r="H75" s="1" t="s">
        <v>242</v>
      </c>
      <c r="I75" s="4" t="s">
        <v>240</v>
      </c>
      <c r="J75" s="59" t="s">
        <v>246</v>
      </c>
      <c r="K75" s="4" t="s">
        <v>26</v>
      </c>
      <c r="L75" s="3" t="s">
        <v>282</v>
      </c>
      <c r="M75" s="3" t="s">
        <v>239</v>
      </c>
      <c r="N75" s="3">
        <v>13</v>
      </c>
      <c r="O75" s="3" t="s">
        <v>27</v>
      </c>
      <c r="P75" s="3" t="s">
        <v>318</v>
      </c>
      <c r="T75" s="8">
        <f>Calculations!H122</f>
        <v>65.038438485184855</v>
      </c>
      <c r="U75" s="8">
        <f>Calculations!I122</f>
        <v>8.9093751349568293E-3</v>
      </c>
      <c r="V75" s="58">
        <f>Calculations!F122</f>
        <v>0</v>
      </c>
      <c r="W75" s="5">
        <v>300</v>
      </c>
      <c r="X75" s="5">
        <v>300</v>
      </c>
      <c r="Y75" s="5">
        <v>300</v>
      </c>
    </row>
    <row r="76" spans="1:25" x14ac:dyDescent="0.25">
      <c r="A76" s="9" t="s">
        <v>233</v>
      </c>
      <c r="B76" s="15" t="s">
        <v>305</v>
      </c>
      <c r="C76" s="56"/>
      <c r="D76" s="56" t="s">
        <v>241</v>
      </c>
      <c r="E76" s="3" t="s">
        <v>234</v>
      </c>
      <c r="F76" s="3" t="s">
        <v>316</v>
      </c>
      <c r="G76" s="13" t="s">
        <v>317</v>
      </c>
      <c r="H76" s="1" t="s">
        <v>242</v>
      </c>
      <c r="I76" s="4" t="s">
        <v>240</v>
      </c>
      <c r="J76" s="59" t="s">
        <v>246</v>
      </c>
      <c r="K76" s="4" t="s">
        <v>26</v>
      </c>
      <c r="L76" s="3" t="s">
        <v>282</v>
      </c>
      <c r="M76" s="3" t="s">
        <v>239</v>
      </c>
      <c r="N76" s="3">
        <v>14</v>
      </c>
      <c r="O76" s="3" t="s">
        <v>27</v>
      </c>
      <c r="P76" s="3" t="s">
        <v>318</v>
      </c>
      <c r="T76" s="8">
        <f>Calculations!H123</f>
        <v>66.577419685094213</v>
      </c>
      <c r="U76" s="8">
        <f>Calculations!I123</f>
        <v>9.1201944774101668E-3</v>
      </c>
      <c r="V76" s="58">
        <f>Calculations!F123</f>
        <v>0</v>
      </c>
      <c r="W76" s="5">
        <v>300</v>
      </c>
      <c r="X76" s="5">
        <v>300</v>
      </c>
      <c r="Y76" s="5">
        <v>300</v>
      </c>
    </row>
    <row r="77" spans="1:25" x14ac:dyDescent="0.25">
      <c r="A77" s="9" t="s">
        <v>233</v>
      </c>
      <c r="B77" s="15" t="s">
        <v>305</v>
      </c>
      <c r="C77" s="56"/>
      <c r="D77" s="56" t="s">
        <v>241</v>
      </c>
      <c r="E77" s="3" t="s">
        <v>234</v>
      </c>
      <c r="F77" s="3" t="s">
        <v>316</v>
      </c>
      <c r="G77" s="13" t="s">
        <v>317</v>
      </c>
      <c r="H77" s="1" t="s">
        <v>242</v>
      </c>
      <c r="I77" s="4" t="s">
        <v>240</v>
      </c>
      <c r="J77" s="59" t="s">
        <v>246</v>
      </c>
      <c r="K77" s="4" t="s">
        <v>26</v>
      </c>
      <c r="L77" s="3" t="s">
        <v>282</v>
      </c>
      <c r="M77" s="3" t="s">
        <v>239</v>
      </c>
      <c r="N77" s="3">
        <v>15</v>
      </c>
      <c r="O77" s="3" t="s">
        <v>27</v>
      </c>
      <c r="P77" s="3" t="s">
        <v>318</v>
      </c>
      <c r="T77" s="8">
        <f>Calculations!H124</f>
        <v>52.506734428780014</v>
      </c>
      <c r="U77" s="8">
        <f>Calculations!I124</f>
        <v>7.1927033464082215E-3</v>
      </c>
      <c r="V77" s="58">
        <f>Calculations!F124</f>
        <v>0</v>
      </c>
      <c r="W77" s="5">
        <v>300</v>
      </c>
      <c r="X77" s="5">
        <v>300</v>
      </c>
      <c r="Y77" s="5">
        <v>300</v>
      </c>
    </row>
    <row r="78" spans="1:25" x14ac:dyDescent="0.25">
      <c r="A78" s="9" t="s">
        <v>233</v>
      </c>
      <c r="B78" s="15" t="s">
        <v>305</v>
      </c>
      <c r="C78" s="56"/>
      <c r="D78" s="56" t="s">
        <v>241</v>
      </c>
      <c r="E78" s="3" t="s">
        <v>234</v>
      </c>
      <c r="F78" s="3" t="s">
        <v>316</v>
      </c>
      <c r="G78" s="13" t="s">
        <v>317</v>
      </c>
      <c r="H78" s="1" t="s">
        <v>242</v>
      </c>
      <c r="I78" s="4" t="s">
        <v>240</v>
      </c>
      <c r="J78" s="59" t="s">
        <v>246</v>
      </c>
      <c r="K78" s="4" t="s">
        <v>26</v>
      </c>
      <c r="L78" s="3" t="s">
        <v>282</v>
      </c>
      <c r="M78" s="3" t="s">
        <v>239</v>
      </c>
      <c r="N78" s="3">
        <v>16</v>
      </c>
      <c r="O78" s="3" t="s">
        <v>27</v>
      </c>
      <c r="P78" s="3" t="s">
        <v>318</v>
      </c>
      <c r="T78" s="8">
        <f>Calculations!H125</f>
        <v>78.559487598674281</v>
      </c>
      <c r="U78" s="8">
        <f>Calculations!I125</f>
        <v>1.0761573643654012E-2</v>
      </c>
      <c r="V78" s="58">
        <f>Calculations!F125</f>
        <v>0</v>
      </c>
      <c r="W78" s="5">
        <v>300</v>
      </c>
      <c r="X78" s="5">
        <v>300</v>
      </c>
      <c r="Y78" s="5">
        <v>300</v>
      </c>
    </row>
    <row r="79" spans="1:25" x14ac:dyDescent="0.25">
      <c r="A79" s="9" t="s">
        <v>233</v>
      </c>
      <c r="B79" s="15" t="s">
        <v>305</v>
      </c>
      <c r="C79" s="56"/>
      <c r="D79" s="56" t="s">
        <v>241</v>
      </c>
      <c r="E79" s="3" t="s">
        <v>234</v>
      </c>
      <c r="F79" s="3" t="s">
        <v>316</v>
      </c>
      <c r="G79" s="13" t="s">
        <v>317</v>
      </c>
      <c r="H79" s="1" t="s">
        <v>242</v>
      </c>
      <c r="I79" s="4" t="s">
        <v>240</v>
      </c>
      <c r="J79" s="59" t="s">
        <v>246</v>
      </c>
      <c r="K79" s="4" t="s">
        <v>26</v>
      </c>
      <c r="L79" s="3" t="s">
        <v>282</v>
      </c>
      <c r="M79" s="3" t="s">
        <v>239</v>
      </c>
      <c r="N79" s="3" t="s">
        <v>235</v>
      </c>
      <c r="O79" s="3" t="s">
        <v>27</v>
      </c>
      <c r="P79" s="3" t="s">
        <v>318</v>
      </c>
      <c r="T79" s="8">
        <f>Calculations!H128</f>
        <v>70.211724747148452</v>
      </c>
      <c r="U79" s="8">
        <f>Calculations!I128</f>
        <v>9.6180444859107466E-3</v>
      </c>
      <c r="V79" s="58">
        <f>Calculations!F128</f>
        <v>0</v>
      </c>
      <c r="W79" s="5">
        <v>300</v>
      </c>
      <c r="X79" s="5">
        <v>300</v>
      </c>
      <c r="Y79" s="5">
        <v>300</v>
      </c>
    </row>
    <row r="80" spans="1:25" x14ac:dyDescent="0.25">
      <c r="A80" s="9" t="s">
        <v>233</v>
      </c>
      <c r="B80" s="15" t="s">
        <v>305</v>
      </c>
      <c r="C80" s="56"/>
      <c r="D80" s="56" t="s">
        <v>241</v>
      </c>
      <c r="E80" s="3" t="s">
        <v>234</v>
      </c>
      <c r="F80" s="3" t="s">
        <v>316</v>
      </c>
      <c r="G80" s="13" t="s">
        <v>317</v>
      </c>
      <c r="H80" s="1" t="s">
        <v>242</v>
      </c>
      <c r="I80" s="4" t="s">
        <v>240</v>
      </c>
      <c r="J80" s="59" t="s">
        <v>246</v>
      </c>
      <c r="K80" s="4" t="s">
        <v>26</v>
      </c>
      <c r="L80" s="3" t="s">
        <v>282</v>
      </c>
      <c r="M80" s="3" t="s">
        <v>239</v>
      </c>
      <c r="N80" s="3" t="s">
        <v>236</v>
      </c>
      <c r="O80" s="3" t="s">
        <v>27</v>
      </c>
      <c r="P80" s="3" t="s">
        <v>318</v>
      </c>
      <c r="T80" s="8">
        <f>Calculations!H130</f>
        <v>65.991390086497873</v>
      </c>
      <c r="U80" s="8">
        <f>Calculations!I130</f>
        <v>9.0399164502051894E-3</v>
      </c>
      <c r="V80" s="58">
        <f>Calculations!F130</f>
        <v>0</v>
      </c>
      <c r="W80" s="5">
        <v>300</v>
      </c>
      <c r="X80" s="5">
        <v>300</v>
      </c>
      <c r="Y80" s="5">
        <v>300</v>
      </c>
    </row>
    <row r="81" spans="1:25" x14ac:dyDescent="0.25">
      <c r="A81" s="9" t="s">
        <v>233</v>
      </c>
      <c r="B81" s="15" t="s">
        <v>305</v>
      </c>
      <c r="C81" s="56"/>
      <c r="D81" s="56" t="s">
        <v>241</v>
      </c>
      <c r="E81" s="3" t="s">
        <v>234</v>
      </c>
      <c r="F81" s="3" t="s">
        <v>316</v>
      </c>
      <c r="G81" s="13" t="s">
        <v>317</v>
      </c>
      <c r="H81" s="1" t="s">
        <v>242</v>
      </c>
      <c r="I81" s="4" t="s">
        <v>240</v>
      </c>
      <c r="J81" s="59" t="s">
        <v>246</v>
      </c>
      <c r="K81" s="4" t="s">
        <v>26</v>
      </c>
      <c r="L81" s="3" t="s">
        <v>282</v>
      </c>
      <c r="M81" s="3" t="s">
        <v>239</v>
      </c>
      <c r="N81" s="3" t="s">
        <v>237</v>
      </c>
      <c r="O81" s="3" t="s">
        <v>27</v>
      </c>
      <c r="P81" s="3" t="s">
        <v>318</v>
      </c>
      <c r="T81" s="8">
        <f>Calculations!H132</f>
        <v>65.916327058272955</v>
      </c>
      <c r="U81" s="8">
        <f>Calculations!I132</f>
        <v>9.0296338435990348E-3</v>
      </c>
      <c r="V81" s="58">
        <f>Calculations!F132</f>
        <v>0</v>
      </c>
      <c r="W81" s="5">
        <v>300</v>
      </c>
      <c r="X81" s="5">
        <v>300</v>
      </c>
      <c r="Y81" s="5">
        <v>300</v>
      </c>
    </row>
    <row r="82" spans="1:25" x14ac:dyDescent="0.25">
      <c r="A82" s="9" t="s">
        <v>233</v>
      </c>
      <c r="B82" s="15" t="s">
        <v>305</v>
      </c>
      <c r="C82" s="56"/>
      <c r="D82" s="56" t="s">
        <v>241</v>
      </c>
      <c r="E82" s="3" t="s">
        <v>234</v>
      </c>
      <c r="F82" s="3" t="s">
        <v>316</v>
      </c>
      <c r="G82" s="13" t="s">
        <v>317</v>
      </c>
      <c r="H82" s="1" t="s">
        <v>242</v>
      </c>
      <c r="I82" s="4" t="s">
        <v>240</v>
      </c>
      <c r="J82" s="59" t="s">
        <v>246</v>
      </c>
      <c r="K82" s="4" t="s">
        <v>26</v>
      </c>
      <c r="L82" s="3" t="s">
        <v>282</v>
      </c>
      <c r="M82" s="3" t="s">
        <v>239</v>
      </c>
      <c r="N82" s="3" t="s">
        <v>238</v>
      </c>
      <c r="O82" s="3" t="s">
        <v>27</v>
      </c>
      <c r="P82" s="3" t="s">
        <v>318</v>
      </c>
      <c r="T82" s="8">
        <f>Calculations!H134</f>
        <v>66.274341807407566</v>
      </c>
      <c r="U82" s="8">
        <f>Calculations!I134</f>
        <v>9.0786769599188449E-3</v>
      </c>
      <c r="V82" s="58">
        <f>Calculations!F134</f>
        <v>0</v>
      </c>
      <c r="W82" s="5">
        <v>300</v>
      </c>
      <c r="X82" s="5">
        <v>300</v>
      </c>
      <c r="Y82" s="5">
        <v>300</v>
      </c>
    </row>
  </sheetData>
  <mergeCells count="4">
    <mergeCell ref="L1:P1"/>
    <mergeCell ref="Q1:S1"/>
    <mergeCell ref="T1:V1"/>
    <mergeCell ref="W1:Y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1FDE3-59EC-4567-A903-377753FEAD97}">
  <sheetPr>
    <tabColor theme="4"/>
  </sheetPr>
  <dimension ref="B2:U134"/>
  <sheetViews>
    <sheetView showGridLines="0" topLeftCell="A19" zoomScale="90" zoomScaleNormal="90" workbookViewId="0">
      <selection activeCell="K41" sqref="K41"/>
    </sheetView>
  </sheetViews>
  <sheetFormatPr defaultRowHeight="15" x14ac:dyDescent="0.25"/>
  <cols>
    <col min="2" max="2" width="14.28515625" customWidth="1"/>
    <col min="3" max="3" width="58.140625" customWidth="1"/>
    <col min="4" max="4" width="19.140625" customWidth="1"/>
    <col min="5" max="5" width="47.85546875" customWidth="1"/>
    <col min="6" max="6" width="18.7109375" customWidth="1"/>
    <col min="7" max="7" width="18.28515625" customWidth="1"/>
    <col min="8" max="8" width="14.5703125" customWidth="1"/>
    <col min="9" max="9" width="12.85546875" customWidth="1"/>
    <col min="10" max="10" width="14" customWidth="1"/>
    <col min="11" max="11" width="16.140625" customWidth="1"/>
    <col min="14" max="14" width="9.5703125" bestFit="1" customWidth="1"/>
    <col min="21" max="21" width="31.140625" customWidth="1"/>
    <col min="23" max="23" width="14.85546875" customWidth="1"/>
    <col min="24" max="24" width="30.140625" customWidth="1"/>
  </cols>
  <sheetData>
    <row r="2" spans="2:21" ht="21" x14ac:dyDescent="0.35">
      <c r="B2" s="17" t="s">
        <v>30</v>
      </c>
    </row>
    <row r="3" spans="2:21" x14ac:dyDescent="0.25">
      <c r="B3" t="s">
        <v>254</v>
      </c>
    </row>
    <row r="5" spans="2:21" x14ac:dyDescent="0.25">
      <c r="B5" s="16" t="s">
        <v>210</v>
      </c>
    </row>
    <row r="6" spans="2:21" ht="15" customHeight="1" x14ac:dyDescent="0.25">
      <c r="B6" s="93" t="s">
        <v>256</v>
      </c>
      <c r="C6" s="93"/>
      <c r="D6" s="93"/>
      <c r="E6" s="93"/>
      <c r="F6" s="93"/>
      <c r="G6" s="93"/>
      <c r="H6" s="93"/>
      <c r="I6" s="41"/>
      <c r="J6" s="41"/>
      <c r="K6" s="41"/>
      <c r="L6" s="41"/>
      <c r="M6" s="41"/>
      <c r="N6" s="41"/>
    </row>
    <row r="7" spans="2:21" x14ac:dyDescent="0.25">
      <c r="B7" s="93"/>
      <c r="C7" s="93"/>
      <c r="D7" s="93"/>
      <c r="E7" s="93"/>
      <c r="F7" s="93"/>
      <c r="G7" s="93"/>
      <c r="H7" s="93"/>
      <c r="I7" s="41"/>
      <c r="J7" s="41"/>
      <c r="K7" s="41"/>
      <c r="L7" s="41"/>
      <c r="M7" s="41"/>
      <c r="N7" s="41"/>
    </row>
    <row r="8" spans="2:21" x14ac:dyDescent="0.25">
      <c r="B8" s="93"/>
      <c r="C8" s="93"/>
      <c r="D8" s="93"/>
      <c r="E8" s="93"/>
      <c r="F8" s="93"/>
      <c r="G8" s="93"/>
      <c r="H8" s="93"/>
      <c r="I8" s="41"/>
      <c r="J8" s="41"/>
      <c r="K8" s="41"/>
      <c r="L8" s="41"/>
      <c r="M8" s="41"/>
      <c r="N8" s="41"/>
    </row>
    <row r="9" spans="2:21" x14ac:dyDescent="0.25">
      <c r="B9" s="93"/>
      <c r="C9" s="93"/>
      <c r="D9" s="93"/>
      <c r="E9" s="93"/>
      <c r="F9" s="93"/>
      <c r="G9" s="93"/>
      <c r="H9" s="93"/>
      <c r="I9" s="41"/>
      <c r="J9" s="41"/>
      <c r="K9" s="41"/>
      <c r="L9" s="41"/>
      <c r="M9" s="41"/>
      <c r="N9" s="41"/>
    </row>
    <row r="10" spans="2:21" x14ac:dyDescent="0.25">
      <c r="B10" s="93"/>
      <c r="C10" s="93"/>
      <c r="D10" s="93"/>
      <c r="E10" s="93"/>
      <c r="F10" s="93"/>
      <c r="G10" s="93"/>
      <c r="H10" s="93"/>
      <c r="I10" s="41"/>
      <c r="J10" s="41"/>
      <c r="K10" s="41"/>
      <c r="L10" s="41"/>
      <c r="M10" s="41"/>
      <c r="N10" s="41"/>
    </row>
    <row r="11" spans="2:21" x14ac:dyDescent="0.25">
      <c r="B11" s="93"/>
      <c r="C11" s="93"/>
      <c r="D11" s="93"/>
      <c r="E11" s="93"/>
      <c r="F11" s="93"/>
      <c r="G11" s="93"/>
      <c r="H11" s="93"/>
      <c r="I11" s="41"/>
      <c r="J11" s="41"/>
      <c r="K11" s="41"/>
      <c r="L11" s="41"/>
      <c r="M11" s="41"/>
      <c r="N11" s="41"/>
    </row>
    <row r="13" spans="2:21" x14ac:dyDescent="0.25">
      <c r="B13" s="16" t="s">
        <v>60</v>
      </c>
      <c r="G13" s="16" t="s">
        <v>52</v>
      </c>
      <c r="J13" s="33" t="s">
        <v>101</v>
      </c>
    </row>
    <row r="14" spans="2:21" x14ac:dyDescent="0.25">
      <c r="B14" s="19" t="s">
        <v>55</v>
      </c>
      <c r="C14" s="19" t="s">
        <v>32</v>
      </c>
      <c r="D14" s="19" t="s">
        <v>33</v>
      </c>
      <c r="E14" s="19" t="s">
        <v>34</v>
      </c>
      <c r="G14" s="19" t="s">
        <v>53</v>
      </c>
      <c r="H14" s="19" t="s">
        <v>54</v>
      </c>
      <c r="J14" s="19" t="s">
        <v>53</v>
      </c>
      <c r="K14" s="18" t="s">
        <v>84</v>
      </c>
      <c r="L14" s="32" t="s">
        <v>88</v>
      </c>
      <c r="M14" s="18" t="s">
        <v>85</v>
      </c>
      <c r="N14" s="32" t="s">
        <v>88</v>
      </c>
      <c r="O14" s="18" t="s">
        <v>86</v>
      </c>
      <c r="P14" s="32" t="s">
        <v>88</v>
      </c>
      <c r="Q14" s="18" t="s">
        <v>87</v>
      </c>
      <c r="R14" s="32" t="s">
        <v>88</v>
      </c>
      <c r="T14" s="19" t="s">
        <v>91</v>
      </c>
      <c r="U14" s="19" t="s">
        <v>102</v>
      </c>
    </row>
    <row r="15" spans="2:21" x14ac:dyDescent="0.25">
      <c r="B15" s="18">
        <v>1</v>
      </c>
      <c r="C15" s="20" t="s">
        <v>36</v>
      </c>
      <c r="D15" s="18">
        <v>3.86</v>
      </c>
      <c r="E15" s="20" t="s">
        <v>61</v>
      </c>
      <c r="G15" s="18">
        <v>1</v>
      </c>
      <c r="H15" s="18">
        <v>51.4</v>
      </c>
      <c r="J15" s="18">
        <v>1</v>
      </c>
      <c r="K15" s="27">
        <v>45649.07</v>
      </c>
      <c r="L15" s="31">
        <f t="shared" ref="L15:L31" si="0">K15/$K$31</f>
        <v>1.2741991253897663E-2</v>
      </c>
      <c r="M15" s="27">
        <v>0</v>
      </c>
      <c r="N15" s="31">
        <f t="shared" ref="N15:N31" si="1">M15/$M$31</f>
        <v>0</v>
      </c>
      <c r="O15" s="27">
        <v>0</v>
      </c>
      <c r="P15" s="31">
        <f t="shared" ref="P15:P31" si="2">O15/$O$31</f>
        <v>0</v>
      </c>
      <c r="Q15" s="27">
        <v>0</v>
      </c>
      <c r="R15" s="31">
        <f t="shared" ref="R15:R31" si="3">Q15/$Q$31</f>
        <v>0</v>
      </c>
      <c r="T15" s="18" t="s">
        <v>84</v>
      </c>
      <c r="U15" s="26">
        <f>SUMPRODUCT(H15:H30,L15:L30)</f>
        <v>59.393899128088393</v>
      </c>
    </row>
    <row r="16" spans="2:21" x14ac:dyDescent="0.25">
      <c r="B16" s="18">
        <v>2</v>
      </c>
      <c r="C16" s="20" t="s">
        <v>35</v>
      </c>
      <c r="D16" s="18">
        <v>6.5</v>
      </c>
      <c r="E16" s="20" t="s">
        <v>201</v>
      </c>
      <c r="G16" s="18">
        <v>2</v>
      </c>
      <c r="H16" s="18">
        <v>57.3</v>
      </c>
      <c r="J16" s="18">
        <v>2</v>
      </c>
      <c r="K16" s="27">
        <v>235742.83</v>
      </c>
      <c r="L16" s="31">
        <f t="shared" si="0"/>
        <v>6.5802722334301303E-2</v>
      </c>
      <c r="M16" s="27">
        <v>0</v>
      </c>
      <c r="N16" s="31">
        <f t="shared" si="1"/>
        <v>0</v>
      </c>
      <c r="O16" s="27">
        <v>0</v>
      </c>
      <c r="P16" s="31">
        <f t="shared" si="2"/>
        <v>0</v>
      </c>
      <c r="Q16" s="27">
        <v>0</v>
      </c>
      <c r="R16" s="31">
        <f t="shared" si="3"/>
        <v>0</v>
      </c>
      <c r="T16" s="18" t="s">
        <v>85</v>
      </c>
      <c r="U16" s="26">
        <f>SUMPRODUCT(H15:H30,N15:N30)</f>
        <v>63.233106861918266</v>
      </c>
    </row>
    <row r="17" spans="2:21" x14ac:dyDescent="0.25">
      <c r="B17" s="18">
        <v>3</v>
      </c>
      <c r="C17" s="20" t="s">
        <v>38</v>
      </c>
      <c r="D17" s="27">
        <f>D15*D16</f>
        <v>25.09</v>
      </c>
      <c r="E17" s="20" t="s">
        <v>63</v>
      </c>
      <c r="G17" s="18">
        <v>3</v>
      </c>
      <c r="H17" s="18">
        <v>57.1</v>
      </c>
      <c r="J17" s="18">
        <v>3</v>
      </c>
      <c r="K17" s="27">
        <v>1104481.6900000002</v>
      </c>
      <c r="L17" s="31">
        <f t="shared" si="0"/>
        <v>0.30829315984027961</v>
      </c>
      <c r="M17" s="27">
        <v>0</v>
      </c>
      <c r="N17" s="31">
        <f t="shared" si="1"/>
        <v>0</v>
      </c>
      <c r="O17" s="27">
        <v>0</v>
      </c>
      <c r="P17" s="31">
        <f t="shared" si="2"/>
        <v>0</v>
      </c>
      <c r="Q17" s="27">
        <v>0</v>
      </c>
      <c r="R17" s="31">
        <f t="shared" si="3"/>
        <v>0</v>
      </c>
      <c r="T17" s="18" t="s">
        <v>86</v>
      </c>
      <c r="U17" s="26">
        <f>SUMPRODUCT(H15:H30,P15:P30)</f>
        <v>63.301391152539274</v>
      </c>
    </row>
    <row r="18" spans="2:21" x14ac:dyDescent="0.25">
      <c r="B18" s="18">
        <v>4</v>
      </c>
      <c r="C18" s="20" t="s">
        <v>37</v>
      </c>
      <c r="D18" s="18">
        <v>5.5</v>
      </c>
      <c r="E18" s="20" t="s">
        <v>65</v>
      </c>
      <c r="G18" s="18">
        <v>4</v>
      </c>
      <c r="H18" s="18">
        <v>59.5</v>
      </c>
      <c r="J18" s="18">
        <v>4</v>
      </c>
      <c r="K18" s="27">
        <v>540677.77999999991</v>
      </c>
      <c r="L18" s="31">
        <f t="shared" si="0"/>
        <v>0.15091899011166721</v>
      </c>
      <c r="M18" s="27">
        <v>0</v>
      </c>
      <c r="N18" s="31">
        <f t="shared" si="1"/>
        <v>0</v>
      </c>
      <c r="O18" s="27">
        <v>27671.700000000004</v>
      </c>
      <c r="P18" s="31">
        <f t="shared" si="2"/>
        <v>8.0137101726601729E-3</v>
      </c>
      <c r="Q18" s="27">
        <v>0</v>
      </c>
      <c r="R18" s="31">
        <f t="shared" si="3"/>
        <v>0</v>
      </c>
      <c r="T18" s="18" t="s">
        <v>90</v>
      </c>
      <c r="U18" s="26">
        <f>SUMPRODUCT(H15:H30,R15:R30)</f>
        <v>62.975707740150632</v>
      </c>
    </row>
    <row r="19" spans="2:21" x14ac:dyDescent="0.25">
      <c r="B19" s="18">
        <v>5</v>
      </c>
      <c r="C19" s="20" t="s">
        <v>39</v>
      </c>
      <c r="D19" s="18">
        <v>3.34</v>
      </c>
      <c r="E19" s="20" t="s">
        <v>62</v>
      </c>
      <c r="G19" s="18">
        <v>5</v>
      </c>
      <c r="H19" s="18">
        <v>55.8</v>
      </c>
      <c r="J19" s="18">
        <v>5</v>
      </c>
      <c r="K19" s="27">
        <v>92946.220000000016</v>
      </c>
      <c r="L19" s="31">
        <f t="shared" si="0"/>
        <v>2.5944009863132989E-2</v>
      </c>
      <c r="M19" s="27">
        <v>4045.7533333333336</v>
      </c>
      <c r="N19" s="31">
        <f t="shared" si="1"/>
        <v>1.2514703675606247E-3</v>
      </c>
      <c r="O19" s="27">
        <v>69714.899999999994</v>
      </c>
      <c r="P19" s="31">
        <f t="shared" si="2"/>
        <v>2.0189399397795821E-2</v>
      </c>
      <c r="Q19" s="27">
        <v>0</v>
      </c>
      <c r="R19" s="31">
        <f t="shared" si="3"/>
        <v>0</v>
      </c>
    </row>
    <row r="20" spans="2:21" x14ac:dyDescent="0.25">
      <c r="B20" s="18">
        <v>6</v>
      </c>
      <c r="C20" s="20" t="s">
        <v>40</v>
      </c>
      <c r="D20" s="18">
        <v>4.7</v>
      </c>
      <c r="E20" s="20" t="s">
        <v>201</v>
      </c>
      <c r="G20" s="18">
        <v>6</v>
      </c>
      <c r="H20" s="18">
        <v>61.8</v>
      </c>
      <c r="J20" s="18">
        <v>6</v>
      </c>
      <c r="K20" s="27">
        <v>0</v>
      </c>
      <c r="L20" s="31">
        <f t="shared" si="0"/>
        <v>0</v>
      </c>
      <c r="M20" s="27">
        <v>693886.06000000017</v>
      </c>
      <c r="N20" s="31">
        <f t="shared" si="1"/>
        <v>0.21463934427211592</v>
      </c>
      <c r="O20" s="27">
        <v>650207</v>
      </c>
      <c r="P20" s="31">
        <f t="shared" si="2"/>
        <v>0.18829961477736648</v>
      </c>
      <c r="Q20" s="27">
        <v>88012.82</v>
      </c>
      <c r="R20" s="31">
        <f t="shared" si="3"/>
        <v>8.5099543502617309E-2</v>
      </c>
    </row>
    <row r="21" spans="2:21" x14ac:dyDescent="0.25">
      <c r="B21" s="18">
        <v>7</v>
      </c>
      <c r="C21" s="20" t="s">
        <v>41</v>
      </c>
      <c r="D21" s="27">
        <f>D19*D20</f>
        <v>15.698</v>
      </c>
      <c r="E21" s="20" t="s">
        <v>64</v>
      </c>
      <c r="G21" s="18">
        <v>7</v>
      </c>
      <c r="H21" s="18">
        <v>62.6</v>
      </c>
      <c r="J21" s="18">
        <v>7</v>
      </c>
      <c r="K21" s="27">
        <v>0</v>
      </c>
      <c r="L21" s="31">
        <f t="shared" si="0"/>
        <v>0</v>
      </c>
      <c r="M21" s="27">
        <v>0</v>
      </c>
      <c r="N21" s="31">
        <f t="shared" si="1"/>
        <v>0</v>
      </c>
      <c r="O21" s="27">
        <v>6983.46</v>
      </c>
      <c r="P21" s="31">
        <f t="shared" si="2"/>
        <v>2.0224064456598402E-3</v>
      </c>
      <c r="Q21" s="27">
        <v>647440.62</v>
      </c>
      <c r="R21" s="31">
        <f t="shared" si="3"/>
        <v>0.62600995181215091</v>
      </c>
    </row>
    <row r="22" spans="2:21" x14ac:dyDescent="0.25">
      <c r="B22" s="18">
        <v>8</v>
      </c>
      <c r="C22" s="20" t="s">
        <v>42</v>
      </c>
      <c r="D22" s="26">
        <v>1.99</v>
      </c>
      <c r="E22" s="20" t="s">
        <v>65</v>
      </c>
      <c r="G22" s="18">
        <v>8</v>
      </c>
      <c r="H22" s="18">
        <v>63.7</v>
      </c>
      <c r="J22" s="18">
        <v>8</v>
      </c>
      <c r="K22" s="27">
        <v>0</v>
      </c>
      <c r="L22" s="31">
        <f t="shared" si="0"/>
        <v>0</v>
      </c>
      <c r="M22" s="27">
        <v>694422.05</v>
      </c>
      <c r="N22" s="31">
        <f t="shared" si="1"/>
        <v>0.21480514172614804</v>
      </c>
      <c r="O22" s="27">
        <v>749714.51</v>
      </c>
      <c r="P22" s="31">
        <f t="shared" si="2"/>
        <v>0.2171169387994932</v>
      </c>
      <c r="Q22" s="27">
        <v>24900.46</v>
      </c>
      <c r="R22" s="31">
        <f t="shared" si="3"/>
        <v>2.4076240018274405E-2</v>
      </c>
    </row>
    <row r="23" spans="2:21" x14ac:dyDescent="0.25">
      <c r="B23" s="22"/>
      <c r="C23" s="21"/>
      <c r="D23" s="22"/>
      <c r="E23" s="22"/>
      <c r="G23" s="18">
        <v>9</v>
      </c>
      <c r="H23" s="18">
        <v>63.8</v>
      </c>
      <c r="J23" s="18">
        <v>9</v>
      </c>
      <c r="K23" s="27">
        <v>0</v>
      </c>
      <c r="L23" s="31">
        <f t="shared" si="0"/>
        <v>0</v>
      </c>
      <c r="M23" s="27">
        <v>740188.66999999993</v>
      </c>
      <c r="N23" s="31">
        <f t="shared" si="1"/>
        <v>0.22896210188521376</v>
      </c>
      <c r="O23" s="27">
        <v>1176851.1600000001</v>
      </c>
      <c r="P23" s="31">
        <f t="shared" si="2"/>
        <v>0.34081549426305302</v>
      </c>
      <c r="Q23" s="27">
        <v>0</v>
      </c>
      <c r="R23" s="31">
        <f t="shared" si="3"/>
        <v>0</v>
      </c>
    </row>
    <row r="24" spans="2:21" x14ac:dyDescent="0.25">
      <c r="B24" s="18">
        <v>9</v>
      </c>
      <c r="C24" s="23" t="s">
        <v>45</v>
      </c>
      <c r="D24" s="31">
        <f>100%-D25</f>
        <v>0.72799999999999998</v>
      </c>
      <c r="E24" s="23" t="s">
        <v>66</v>
      </c>
      <c r="G24" s="18">
        <v>10</v>
      </c>
      <c r="H24" s="18">
        <v>64.099999999999994</v>
      </c>
      <c r="J24" s="18">
        <v>10</v>
      </c>
      <c r="K24" s="27">
        <v>0</v>
      </c>
      <c r="L24" s="31">
        <f t="shared" si="0"/>
        <v>0</v>
      </c>
      <c r="M24" s="27">
        <v>588602.48</v>
      </c>
      <c r="N24" s="31">
        <f t="shared" si="1"/>
        <v>0.18207203981607756</v>
      </c>
      <c r="O24" s="27">
        <v>503002.58999999991</v>
      </c>
      <c r="P24" s="31">
        <f t="shared" si="2"/>
        <v>0.14566929290059566</v>
      </c>
      <c r="Q24" s="27">
        <v>263640.17</v>
      </c>
      <c r="R24" s="31">
        <f t="shared" si="3"/>
        <v>0.25491352414287394</v>
      </c>
    </row>
    <row r="25" spans="2:21" x14ac:dyDescent="0.25">
      <c r="B25" s="18">
        <v>10</v>
      </c>
      <c r="C25" s="23" t="s">
        <v>46</v>
      </c>
      <c r="D25" s="31">
        <v>0.27200000000000002</v>
      </c>
      <c r="E25" s="23" t="s">
        <v>66</v>
      </c>
      <c r="G25" s="18">
        <v>11</v>
      </c>
      <c r="H25" s="18">
        <v>63.2</v>
      </c>
      <c r="J25" s="18">
        <v>11</v>
      </c>
      <c r="K25" s="27">
        <v>256366.98</v>
      </c>
      <c r="L25" s="31">
        <f t="shared" si="0"/>
        <v>7.1559526118454495E-2</v>
      </c>
      <c r="M25" s="27">
        <v>0</v>
      </c>
      <c r="N25" s="31">
        <f t="shared" si="1"/>
        <v>0</v>
      </c>
      <c r="O25" s="27">
        <v>0</v>
      </c>
      <c r="P25" s="31">
        <f t="shared" si="2"/>
        <v>0</v>
      </c>
      <c r="Q25" s="27">
        <v>0</v>
      </c>
      <c r="R25" s="31">
        <f t="shared" si="3"/>
        <v>0</v>
      </c>
    </row>
    <row r="26" spans="2:21" x14ac:dyDescent="0.25">
      <c r="B26" s="25">
        <v>11</v>
      </c>
      <c r="C26" s="23" t="s">
        <v>58</v>
      </c>
      <c r="D26" s="26">
        <f>(D17*D24)+(D21*D25)</f>
        <v>22.535375999999999</v>
      </c>
      <c r="E26" s="23" t="s">
        <v>67</v>
      </c>
      <c r="G26" s="18">
        <v>12</v>
      </c>
      <c r="H26" s="18">
        <v>60.9</v>
      </c>
      <c r="J26" s="18">
        <v>12</v>
      </c>
      <c r="K26" s="27">
        <v>870614.4</v>
      </c>
      <c r="L26" s="31">
        <f t="shared" si="0"/>
        <v>0.2430139556034189</v>
      </c>
      <c r="M26" s="27">
        <v>0</v>
      </c>
      <c r="N26" s="31">
        <f t="shared" si="1"/>
        <v>0</v>
      </c>
      <c r="O26" s="27">
        <v>0</v>
      </c>
      <c r="P26" s="31">
        <f t="shared" si="2"/>
        <v>0</v>
      </c>
      <c r="Q26" s="27">
        <v>0</v>
      </c>
      <c r="R26" s="31">
        <f t="shared" si="3"/>
        <v>0</v>
      </c>
    </row>
    <row r="27" spans="2:21" x14ac:dyDescent="0.25">
      <c r="B27" s="25">
        <v>12</v>
      </c>
      <c r="C27" s="23" t="s">
        <v>59</v>
      </c>
      <c r="D27" s="26">
        <f>(D18*D24)+(D22*D25)</f>
        <v>4.54528</v>
      </c>
      <c r="E27" s="23" t="s">
        <v>68</v>
      </c>
      <c r="G27" s="18">
        <v>13</v>
      </c>
      <c r="H27" s="18">
        <v>64.099999999999994</v>
      </c>
      <c r="J27" s="18">
        <v>13</v>
      </c>
      <c r="K27" s="27">
        <v>381578.42000000004</v>
      </c>
      <c r="L27" s="31">
        <f t="shared" si="0"/>
        <v>0.1065097030523533</v>
      </c>
      <c r="M27" s="27">
        <v>81064.12999999999</v>
      </c>
      <c r="N27" s="31">
        <f t="shared" si="1"/>
        <v>2.5075517019594765E-2</v>
      </c>
      <c r="O27" s="27">
        <v>76717.02</v>
      </c>
      <c r="P27" s="31">
        <f t="shared" si="2"/>
        <v>2.2217209769915616E-2</v>
      </c>
      <c r="Q27" s="27">
        <v>0</v>
      </c>
      <c r="R27" s="31">
        <f t="shared" si="3"/>
        <v>0</v>
      </c>
    </row>
    <row r="28" spans="2:21" x14ac:dyDescent="0.25">
      <c r="B28" s="22"/>
      <c r="C28" s="24"/>
      <c r="D28" s="22"/>
      <c r="E28" s="24"/>
      <c r="G28" s="18">
        <v>14</v>
      </c>
      <c r="H28" s="18">
        <v>62.7</v>
      </c>
      <c r="J28" s="18">
        <v>14</v>
      </c>
      <c r="K28" s="27">
        <v>0</v>
      </c>
      <c r="L28" s="31">
        <f t="shared" si="0"/>
        <v>0</v>
      </c>
      <c r="M28" s="27">
        <v>217519.74000000005</v>
      </c>
      <c r="N28" s="31">
        <f t="shared" si="1"/>
        <v>6.7285246168284671E-2</v>
      </c>
      <c r="O28" s="27">
        <v>106834.04000000001</v>
      </c>
      <c r="P28" s="31">
        <f t="shared" si="2"/>
        <v>3.0939083364389747E-2</v>
      </c>
      <c r="Q28" s="27">
        <v>7497.090000000002</v>
      </c>
      <c r="R28" s="31">
        <f t="shared" si="3"/>
        <v>7.248931878310879E-3</v>
      </c>
    </row>
    <row r="29" spans="2:21" ht="16.5" customHeight="1" x14ac:dyDescent="0.25">
      <c r="B29" s="18">
        <v>13</v>
      </c>
      <c r="C29" s="23" t="s">
        <v>48</v>
      </c>
      <c r="D29" s="18">
        <v>124.2</v>
      </c>
      <c r="E29" s="23" t="s">
        <v>208</v>
      </c>
      <c r="G29" s="18">
        <v>15</v>
      </c>
      <c r="H29" s="18">
        <v>75.5</v>
      </c>
      <c r="J29" s="18">
        <v>15</v>
      </c>
      <c r="K29" s="27">
        <v>0</v>
      </c>
      <c r="L29" s="31">
        <f t="shared" si="0"/>
        <v>0</v>
      </c>
      <c r="M29" s="27">
        <v>95027.540000000008</v>
      </c>
      <c r="N29" s="31">
        <f t="shared" si="1"/>
        <v>2.9394809968357433E-2</v>
      </c>
      <c r="O29" s="27">
        <v>55128.130000000005</v>
      </c>
      <c r="P29" s="31">
        <f t="shared" si="2"/>
        <v>1.5965078263378559E-2</v>
      </c>
      <c r="Q29" s="27">
        <v>2742.59</v>
      </c>
      <c r="R29" s="31">
        <f t="shared" si="3"/>
        <v>2.6518086457727771E-3</v>
      </c>
    </row>
    <row r="30" spans="2:21" x14ac:dyDescent="0.25">
      <c r="B30" s="18">
        <v>14</v>
      </c>
      <c r="C30" s="23" t="s">
        <v>47</v>
      </c>
      <c r="D30" s="18" t="s">
        <v>200</v>
      </c>
      <c r="E30" s="23" t="s">
        <v>69</v>
      </c>
      <c r="G30" s="18">
        <v>16</v>
      </c>
      <c r="H30" s="18">
        <v>51.8</v>
      </c>
      <c r="J30" s="18">
        <v>16</v>
      </c>
      <c r="K30" s="27">
        <v>54512.170000000013</v>
      </c>
      <c r="L30" s="31">
        <f t="shared" si="0"/>
        <v>1.5215941822494581E-2</v>
      </c>
      <c r="M30" s="27">
        <v>118043.51999999999</v>
      </c>
      <c r="N30" s="31">
        <f t="shared" si="1"/>
        <v>3.6514328776647266E-2</v>
      </c>
      <c r="O30" s="27">
        <v>30220.260000000002</v>
      </c>
      <c r="P30" s="31">
        <f t="shared" si="2"/>
        <v>8.7517718456919993E-3</v>
      </c>
      <c r="Q30" s="27">
        <v>0</v>
      </c>
      <c r="R30" s="31">
        <f t="shared" si="3"/>
        <v>0</v>
      </c>
    </row>
    <row r="31" spans="2:21" x14ac:dyDescent="0.25">
      <c r="B31" s="18">
        <v>15</v>
      </c>
      <c r="C31" s="23" t="s">
        <v>43</v>
      </c>
      <c r="D31" s="18">
        <v>0.77</v>
      </c>
      <c r="E31" s="23" t="s">
        <v>70</v>
      </c>
      <c r="J31" s="18" t="s">
        <v>89</v>
      </c>
      <c r="K31" s="18">
        <v>3582569.56</v>
      </c>
      <c r="L31" s="31">
        <f t="shared" si="0"/>
        <v>1</v>
      </c>
      <c r="M31" s="18">
        <v>3232799.9433333334</v>
      </c>
      <c r="N31" s="31">
        <f t="shared" si="1"/>
        <v>1</v>
      </c>
      <c r="O31" s="18">
        <v>3453044.7699999996</v>
      </c>
      <c r="P31" s="31">
        <f t="shared" si="2"/>
        <v>1</v>
      </c>
      <c r="Q31" s="18">
        <v>1034233.7499999998</v>
      </c>
      <c r="R31" s="31">
        <f t="shared" si="3"/>
        <v>1</v>
      </c>
    </row>
    <row r="32" spans="2:21" x14ac:dyDescent="0.25">
      <c r="B32" s="18">
        <v>16</v>
      </c>
      <c r="C32" s="23" t="s">
        <v>44</v>
      </c>
      <c r="D32" s="18">
        <v>0.98</v>
      </c>
      <c r="E32" s="23" t="s">
        <v>70</v>
      </c>
    </row>
    <row r="33" spans="2:12" x14ac:dyDescent="0.25">
      <c r="B33" s="18">
        <v>17</v>
      </c>
      <c r="C33" s="23" t="s">
        <v>49</v>
      </c>
      <c r="D33" s="18">
        <v>8.34</v>
      </c>
      <c r="E33" s="23" t="s">
        <v>71</v>
      </c>
    </row>
    <row r="34" spans="2:12" x14ac:dyDescent="0.25">
      <c r="B34" s="18">
        <v>18</v>
      </c>
      <c r="C34" s="23" t="s">
        <v>50</v>
      </c>
      <c r="D34" s="26">
        <v>1</v>
      </c>
      <c r="E34" s="23" t="s">
        <v>71</v>
      </c>
    </row>
    <row r="35" spans="2:12" x14ac:dyDescent="0.25">
      <c r="B35" s="18">
        <v>19</v>
      </c>
      <c r="C35" s="23" t="s">
        <v>247</v>
      </c>
      <c r="D35" s="27">
        <f>'EIA RECS'!E28</f>
        <v>257.96931659693166</v>
      </c>
      <c r="E35" s="23" t="s">
        <v>249</v>
      </c>
    </row>
    <row r="36" spans="2:12" x14ac:dyDescent="0.25">
      <c r="B36" s="18">
        <v>20</v>
      </c>
      <c r="C36" s="23" t="s">
        <v>248</v>
      </c>
      <c r="D36" s="27">
        <f>'EIA RECS'!E29</f>
        <v>193.92941176470592</v>
      </c>
      <c r="E36" s="23" t="s">
        <v>250</v>
      </c>
    </row>
    <row r="37" spans="2:12" x14ac:dyDescent="0.25">
      <c r="B37" s="18">
        <v>21</v>
      </c>
      <c r="C37" s="23" t="s">
        <v>56</v>
      </c>
      <c r="D37" s="30">
        <v>100000</v>
      </c>
      <c r="E37" s="23" t="s">
        <v>202</v>
      </c>
    </row>
    <row r="38" spans="2:12" x14ac:dyDescent="0.25">
      <c r="B38" s="18">
        <v>22</v>
      </c>
      <c r="C38" s="23" t="s">
        <v>57</v>
      </c>
      <c r="D38" s="18">
        <v>3412</v>
      </c>
      <c r="E38" s="23" t="s">
        <v>82</v>
      </c>
    </row>
    <row r="39" spans="2:12" x14ac:dyDescent="0.25">
      <c r="B39" s="18">
        <v>23</v>
      </c>
      <c r="C39" s="23" t="s">
        <v>80</v>
      </c>
      <c r="D39" s="18">
        <v>1000</v>
      </c>
      <c r="E39" s="23" t="s">
        <v>81</v>
      </c>
    </row>
    <row r="40" spans="2:12" x14ac:dyDescent="0.25">
      <c r="B40" s="22"/>
      <c r="C40" s="24"/>
      <c r="D40" s="22"/>
      <c r="E40" s="24"/>
    </row>
    <row r="41" spans="2:12" x14ac:dyDescent="0.25">
      <c r="B41" s="18">
        <v>24</v>
      </c>
      <c r="C41" s="23" t="s">
        <v>51</v>
      </c>
      <c r="D41" s="31">
        <v>0.5</v>
      </c>
      <c r="E41" s="23" t="s">
        <v>78</v>
      </c>
    </row>
    <row r="42" spans="2:12" x14ac:dyDescent="0.25">
      <c r="B42" s="25">
        <v>25</v>
      </c>
      <c r="C42" s="23" t="s">
        <v>79</v>
      </c>
      <c r="D42" s="18">
        <v>5.3</v>
      </c>
      <c r="E42" s="23" t="s">
        <v>83</v>
      </c>
    </row>
    <row r="43" spans="2:12" x14ac:dyDescent="0.25">
      <c r="B43" s="22"/>
      <c r="C43" s="24"/>
      <c r="D43" s="22"/>
      <c r="E43" s="24"/>
    </row>
    <row r="44" spans="2:12" x14ac:dyDescent="0.25">
      <c r="B44" s="25">
        <v>26</v>
      </c>
      <c r="C44" s="23" t="s">
        <v>205</v>
      </c>
      <c r="D44" s="18">
        <v>0.05</v>
      </c>
      <c r="E44" s="23" t="s">
        <v>206</v>
      </c>
    </row>
    <row r="45" spans="2:12" x14ac:dyDescent="0.25">
      <c r="B45" s="25">
        <v>27</v>
      </c>
      <c r="C45" s="23" t="s">
        <v>204</v>
      </c>
      <c r="D45" s="18">
        <v>365</v>
      </c>
      <c r="E45" s="23" t="s">
        <v>203</v>
      </c>
    </row>
    <row r="48" spans="2:12" x14ac:dyDescent="0.25">
      <c r="B48" s="16" t="s">
        <v>306</v>
      </c>
      <c r="L48" s="82" t="s">
        <v>285</v>
      </c>
    </row>
    <row r="49" spans="2:21" s="28" customFormat="1" ht="60" x14ac:dyDescent="0.25">
      <c r="B49" s="29" t="s">
        <v>55</v>
      </c>
      <c r="C49" s="29" t="s">
        <v>72</v>
      </c>
      <c r="D49" s="29" t="s">
        <v>73</v>
      </c>
      <c r="E49" s="29" t="s">
        <v>76</v>
      </c>
      <c r="F49" s="29" t="s">
        <v>77</v>
      </c>
      <c r="G49" s="29" t="s">
        <v>74</v>
      </c>
      <c r="H49" s="29" t="s">
        <v>75</v>
      </c>
      <c r="I49" s="29" t="s">
        <v>207</v>
      </c>
      <c r="L49" s="94" t="s">
        <v>286</v>
      </c>
      <c r="M49" s="94"/>
      <c r="N49" s="94"/>
      <c r="O49" s="94"/>
      <c r="P49" s="94"/>
      <c r="Q49" s="94"/>
      <c r="R49" s="94"/>
      <c r="S49" s="94"/>
      <c r="T49" s="94"/>
      <c r="U49" s="94"/>
    </row>
    <row r="50" spans="2:21" x14ac:dyDescent="0.25">
      <c r="B50" s="18">
        <v>28</v>
      </c>
      <c r="C50" s="20" t="s">
        <v>103</v>
      </c>
      <c r="D50" s="18">
        <v>1</v>
      </c>
      <c r="E50" s="26">
        <f t="shared" ref="E50:E65" si="4">$D$27*($D$29-H15)*$D$33*$D$34*$D$35/($D$31*$D$37)</f>
        <v>9.2456063783670768</v>
      </c>
      <c r="F50" s="26">
        <f>E50*$D$41</f>
        <v>4.6228031891835384</v>
      </c>
      <c r="G50" s="18">
        <v>0</v>
      </c>
      <c r="H50" s="26">
        <f t="shared" ref="H50:H65" si="5">G50-($D$42*$D$35/$D$39)</f>
        <v>-1.3672373779637379</v>
      </c>
      <c r="I50" s="52">
        <f>H50*$D$44/$D$45</f>
        <v>-1.8729279150188189E-4</v>
      </c>
      <c r="L50" s="83"/>
    </row>
    <row r="51" spans="2:21" x14ac:dyDescent="0.25">
      <c r="B51" s="18">
        <v>29</v>
      </c>
      <c r="C51" s="20" t="s">
        <v>104</v>
      </c>
      <c r="D51" s="18">
        <v>2</v>
      </c>
      <c r="E51" s="26">
        <f t="shared" si="4"/>
        <v>8.4963058614389748</v>
      </c>
      <c r="F51" s="26">
        <f t="shared" ref="F51:F65" si="6">E51*$D$41</f>
        <v>4.2481529307194874</v>
      </c>
      <c r="G51" s="18">
        <v>0</v>
      </c>
      <c r="H51" s="26">
        <f t="shared" si="5"/>
        <v>-1.3672373779637379</v>
      </c>
      <c r="I51" s="52">
        <f t="shared" ref="I51:I90" si="7">H51*$D$44/$D$45</f>
        <v>-1.8729279150188189E-4</v>
      </c>
    </row>
    <row r="52" spans="2:21" x14ac:dyDescent="0.25">
      <c r="B52" s="18">
        <v>30</v>
      </c>
      <c r="C52" s="20" t="s">
        <v>105</v>
      </c>
      <c r="D52" s="18">
        <v>3</v>
      </c>
      <c r="E52" s="26">
        <f t="shared" si="4"/>
        <v>8.52170587896196</v>
      </c>
      <c r="F52" s="26">
        <f t="shared" si="6"/>
        <v>4.26085293948098</v>
      </c>
      <c r="G52" s="18">
        <v>0</v>
      </c>
      <c r="H52" s="26">
        <f t="shared" si="5"/>
        <v>-1.3672373779637379</v>
      </c>
      <c r="I52" s="52">
        <f t="shared" si="7"/>
        <v>-1.8729279150188189E-4</v>
      </c>
      <c r="L52" s="83"/>
    </row>
    <row r="53" spans="2:21" x14ac:dyDescent="0.25">
      <c r="B53" s="18">
        <v>31</v>
      </c>
      <c r="C53" s="20" t="s">
        <v>106</v>
      </c>
      <c r="D53" s="18">
        <v>4</v>
      </c>
      <c r="E53" s="26">
        <f t="shared" si="4"/>
        <v>8.2169056686861222</v>
      </c>
      <c r="F53" s="26">
        <f t="shared" si="6"/>
        <v>4.1084528343430611</v>
      </c>
      <c r="G53" s="18">
        <v>0</v>
      </c>
      <c r="H53" s="26">
        <f t="shared" si="5"/>
        <v>-1.3672373779637379</v>
      </c>
      <c r="I53" s="52">
        <f t="shared" si="7"/>
        <v>-1.8729279150188189E-4</v>
      </c>
      <c r="L53" s="84" t="s">
        <v>287</v>
      </c>
    </row>
    <row r="54" spans="2:21" x14ac:dyDescent="0.25">
      <c r="B54" s="18">
        <v>32</v>
      </c>
      <c r="C54" s="20" t="s">
        <v>107</v>
      </c>
      <c r="D54" s="18">
        <v>5</v>
      </c>
      <c r="E54" s="26">
        <f t="shared" si="4"/>
        <v>8.6868059928613732</v>
      </c>
      <c r="F54" s="26">
        <f t="shared" si="6"/>
        <v>4.3434029964306866</v>
      </c>
      <c r="G54" s="18">
        <v>0</v>
      </c>
      <c r="H54" s="26">
        <f t="shared" si="5"/>
        <v>-1.3672373779637379</v>
      </c>
      <c r="I54" s="52">
        <f t="shared" si="7"/>
        <v>-1.8729279150188189E-4</v>
      </c>
      <c r="L54" s="84" t="s">
        <v>288</v>
      </c>
    </row>
    <row r="55" spans="2:21" x14ac:dyDescent="0.25">
      <c r="B55" s="18">
        <v>33</v>
      </c>
      <c r="C55" s="20" t="s">
        <v>108</v>
      </c>
      <c r="D55" s="18">
        <v>6</v>
      </c>
      <c r="E55" s="26">
        <f t="shared" si="4"/>
        <v>7.9248054671717787</v>
      </c>
      <c r="F55" s="26">
        <f t="shared" si="6"/>
        <v>3.9624027335858893</v>
      </c>
      <c r="G55" s="18">
        <v>0</v>
      </c>
      <c r="H55" s="26">
        <f t="shared" si="5"/>
        <v>-1.3672373779637379</v>
      </c>
      <c r="I55" s="52">
        <f t="shared" si="7"/>
        <v>-1.8729279150188189E-4</v>
      </c>
      <c r="L55" s="84" t="s">
        <v>289</v>
      </c>
    </row>
    <row r="56" spans="2:21" ht="16.5" x14ac:dyDescent="0.25">
      <c r="B56" s="18">
        <v>34</v>
      </c>
      <c r="C56" s="20" t="s">
        <v>109</v>
      </c>
      <c r="D56" s="18">
        <v>7</v>
      </c>
      <c r="E56" s="26">
        <f t="shared" si="4"/>
        <v>7.8232053970798336</v>
      </c>
      <c r="F56" s="26">
        <f t="shared" si="6"/>
        <v>3.9116026985399168</v>
      </c>
      <c r="G56" s="18">
        <v>0</v>
      </c>
      <c r="H56" s="26">
        <f t="shared" si="5"/>
        <v>-1.3672373779637379</v>
      </c>
      <c r="I56" s="52">
        <f t="shared" si="7"/>
        <v>-1.8729279150188189E-4</v>
      </c>
      <c r="L56" s="84" t="s">
        <v>290</v>
      </c>
    </row>
    <row r="57" spans="2:21" ht="16.5" x14ac:dyDescent="0.25">
      <c r="B57" s="18">
        <v>35</v>
      </c>
      <c r="C57" s="20" t="s">
        <v>110</v>
      </c>
      <c r="D57" s="18">
        <v>8</v>
      </c>
      <c r="E57" s="26">
        <f t="shared" si="4"/>
        <v>7.6835053007034073</v>
      </c>
      <c r="F57" s="26">
        <f t="shared" si="6"/>
        <v>3.8417526503517037</v>
      </c>
      <c r="G57" s="18">
        <v>0</v>
      </c>
      <c r="H57" s="26">
        <f t="shared" si="5"/>
        <v>-1.3672373779637379</v>
      </c>
      <c r="I57" s="52">
        <f t="shared" si="7"/>
        <v>-1.8729279150188189E-4</v>
      </c>
      <c r="L57" s="84" t="s">
        <v>291</v>
      </c>
    </row>
    <row r="58" spans="2:21" ht="16.5" x14ac:dyDescent="0.25">
      <c r="B58" s="18">
        <v>36</v>
      </c>
      <c r="C58" s="20" t="s">
        <v>111</v>
      </c>
      <c r="D58" s="18">
        <v>9</v>
      </c>
      <c r="E58" s="26">
        <f t="shared" si="4"/>
        <v>7.6708052919419139</v>
      </c>
      <c r="F58" s="26">
        <f t="shared" si="6"/>
        <v>3.8354026459709569</v>
      </c>
      <c r="G58" s="18">
        <v>0</v>
      </c>
      <c r="H58" s="26">
        <f t="shared" si="5"/>
        <v>-1.3672373779637379</v>
      </c>
      <c r="I58" s="52">
        <f t="shared" si="7"/>
        <v>-1.8729279150188189E-4</v>
      </c>
      <c r="L58" s="84" t="s">
        <v>292</v>
      </c>
    </row>
    <row r="59" spans="2:21" x14ac:dyDescent="0.25">
      <c r="B59" s="18">
        <v>37</v>
      </c>
      <c r="C59" s="20" t="s">
        <v>112</v>
      </c>
      <c r="D59" s="18">
        <v>10</v>
      </c>
      <c r="E59" s="26">
        <f t="shared" si="4"/>
        <v>7.6327052656574352</v>
      </c>
      <c r="F59" s="26">
        <f t="shared" si="6"/>
        <v>3.8163526328287176</v>
      </c>
      <c r="G59" s="18">
        <v>0</v>
      </c>
      <c r="H59" s="26">
        <f t="shared" si="5"/>
        <v>-1.3672373779637379</v>
      </c>
      <c r="I59" s="52">
        <f t="shared" si="7"/>
        <v>-1.8729279150188189E-4</v>
      </c>
      <c r="L59" s="84" t="s">
        <v>293</v>
      </c>
    </row>
    <row r="60" spans="2:21" x14ac:dyDescent="0.25">
      <c r="B60" s="18">
        <v>38</v>
      </c>
      <c r="C60" s="20" t="s">
        <v>113</v>
      </c>
      <c r="D60" s="18">
        <v>11</v>
      </c>
      <c r="E60" s="26">
        <f t="shared" si="4"/>
        <v>7.7470053445108737</v>
      </c>
      <c r="F60" s="26">
        <f t="shared" si="6"/>
        <v>3.8735026722554369</v>
      </c>
      <c r="G60" s="18">
        <v>0</v>
      </c>
      <c r="H60" s="26">
        <f t="shared" si="5"/>
        <v>-1.3672373779637379</v>
      </c>
      <c r="I60" s="52">
        <f t="shared" si="7"/>
        <v>-1.8729279150188189E-4</v>
      </c>
      <c r="L60" s="84" t="s">
        <v>294</v>
      </c>
    </row>
    <row r="61" spans="2:21" x14ac:dyDescent="0.25">
      <c r="B61" s="18">
        <v>39</v>
      </c>
      <c r="C61" s="20" t="s">
        <v>114</v>
      </c>
      <c r="D61" s="18">
        <v>12</v>
      </c>
      <c r="E61" s="26">
        <f t="shared" si="4"/>
        <v>8.0391055460252172</v>
      </c>
      <c r="F61" s="26">
        <f t="shared" si="6"/>
        <v>4.0195527730126086</v>
      </c>
      <c r="G61" s="18">
        <v>0</v>
      </c>
      <c r="H61" s="26">
        <f t="shared" si="5"/>
        <v>-1.3672373779637379</v>
      </c>
      <c r="I61" s="52">
        <f t="shared" si="7"/>
        <v>-1.8729279150188189E-4</v>
      </c>
      <c r="L61" s="84" t="s">
        <v>295</v>
      </c>
    </row>
    <row r="62" spans="2:21" x14ac:dyDescent="0.25">
      <c r="B62" s="18">
        <v>40</v>
      </c>
      <c r="C62" s="20" t="s">
        <v>115</v>
      </c>
      <c r="D62" s="18">
        <v>13</v>
      </c>
      <c r="E62" s="26">
        <f t="shared" si="4"/>
        <v>7.6327052656574352</v>
      </c>
      <c r="F62" s="26">
        <f t="shared" si="6"/>
        <v>3.8163526328287176</v>
      </c>
      <c r="G62" s="18">
        <v>0</v>
      </c>
      <c r="H62" s="26">
        <f t="shared" si="5"/>
        <v>-1.3672373779637379</v>
      </c>
      <c r="I62" s="52">
        <f t="shared" si="7"/>
        <v>-1.8729279150188189E-4</v>
      </c>
    </row>
    <row r="63" spans="2:21" x14ac:dyDescent="0.25">
      <c r="B63" s="18">
        <v>41</v>
      </c>
      <c r="C63" s="20" t="s">
        <v>116</v>
      </c>
      <c r="D63" s="18">
        <v>14</v>
      </c>
      <c r="E63" s="26">
        <f t="shared" si="4"/>
        <v>7.8105053883183402</v>
      </c>
      <c r="F63" s="26">
        <f t="shared" si="6"/>
        <v>3.9052526941591701</v>
      </c>
      <c r="G63" s="18">
        <v>0</v>
      </c>
      <c r="H63" s="26">
        <f t="shared" si="5"/>
        <v>-1.3672373779637379</v>
      </c>
      <c r="I63" s="52">
        <f t="shared" si="7"/>
        <v>-1.8729279150188189E-4</v>
      </c>
      <c r="L63" s="82" t="s">
        <v>296</v>
      </c>
    </row>
    <row r="64" spans="2:21" ht="17.25" customHeight="1" x14ac:dyDescent="0.25">
      <c r="B64" s="18">
        <v>42</v>
      </c>
      <c r="C64" s="20" t="s">
        <v>117</v>
      </c>
      <c r="D64" s="18">
        <v>15</v>
      </c>
      <c r="E64" s="26">
        <f t="shared" si="4"/>
        <v>6.1849042668472052</v>
      </c>
      <c r="F64" s="26">
        <f t="shared" si="6"/>
        <v>3.0924521334236026</v>
      </c>
      <c r="G64" s="18">
        <v>0</v>
      </c>
      <c r="H64" s="26">
        <f t="shared" si="5"/>
        <v>-1.3672373779637379</v>
      </c>
      <c r="I64" s="52">
        <f t="shared" si="7"/>
        <v>-1.8729279150188189E-4</v>
      </c>
      <c r="L64" s="94" t="s">
        <v>297</v>
      </c>
      <c r="M64" s="94"/>
      <c r="N64" s="94"/>
      <c r="O64" s="94"/>
      <c r="P64" s="94"/>
      <c r="Q64" s="94"/>
      <c r="R64" s="94"/>
      <c r="S64" s="94"/>
      <c r="T64" s="94"/>
      <c r="U64" s="94"/>
    </row>
    <row r="65" spans="2:21" x14ac:dyDescent="0.25">
      <c r="B65" s="18">
        <v>43</v>
      </c>
      <c r="C65" s="20" t="s">
        <v>118</v>
      </c>
      <c r="D65" s="18">
        <v>16</v>
      </c>
      <c r="E65" s="26">
        <f t="shared" si="4"/>
        <v>9.1948063433211029</v>
      </c>
      <c r="F65" s="26">
        <f t="shared" si="6"/>
        <v>4.5974031716605515</v>
      </c>
      <c r="G65" s="18">
        <v>0</v>
      </c>
      <c r="H65" s="26">
        <f t="shared" si="5"/>
        <v>-1.3672373779637379</v>
      </c>
      <c r="I65" s="52">
        <f t="shared" si="7"/>
        <v>-1.8729279150188189E-4</v>
      </c>
      <c r="L65" s="94"/>
      <c r="M65" s="94"/>
      <c r="N65" s="94"/>
      <c r="O65" s="94"/>
      <c r="P65" s="94"/>
      <c r="Q65" s="94"/>
      <c r="R65" s="94"/>
      <c r="S65" s="94"/>
      <c r="T65" s="94"/>
      <c r="U65" s="94"/>
    </row>
    <row r="66" spans="2:21" x14ac:dyDescent="0.25">
      <c r="B66" s="18">
        <v>44</v>
      </c>
      <c r="C66" s="20" t="s">
        <v>120</v>
      </c>
      <c r="D66" s="18">
        <v>1</v>
      </c>
      <c r="E66" s="18">
        <v>0</v>
      </c>
      <c r="F66" s="18">
        <v>0</v>
      </c>
      <c r="G66" s="27">
        <f t="shared" ref="G66:G81" si="8">$D$27*($D$29-H15)*$D$33*$D$34*$D$35/($D$32*$D$38)</f>
        <v>212.90753257837434</v>
      </c>
      <c r="H66" s="27">
        <f>(G66*$D$41)-($D$42*$D$35/$D$39)</f>
        <v>105.08652891122344</v>
      </c>
      <c r="I66" s="52">
        <f t="shared" si="7"/>
        <v>1.4395414919345678E-2</v>
      </c>
      <c r="L66" s="94"/>
      <c r="M66" s="94"/>
      <c r="N66" s="94"/>
      <c r="O66" s="94"/>
      <c r="P66" s="94"/>
      <c r="Q66" s="94"/>
      <c r="R66" s="94"/>
      <c r="S66" s="94"/>
      <c r="T66" s="94"/>
      <c r="U66" s="94"/>
    </row>
    <row r="67" spans="2:21" x14ac:dyDescent="0.25">
      <c r="B67" s="18">
        <v>45</v>
      </c>
      <c r="C67" s="20" t="s">
        <v>119</v>
      </c>
      <c r="D67" s="18">
        <v>2</v>
      </c>
      <c r="E67" s="18">
        <v>0</v>
      </c>
      <c r="F67" s="18">
        <v>0</v>
      </c>
      <c r="G67" s="27">
        <f t="shared" si="8"/>
        <v>195.65266386666542</v>
      </c>
      <c r="H67" s="27">
        <f t="shared" ref="H67:H90" si="9">(G67*$D$41)-($D$42*$D$35/$D$39)</f>
        <v>96.459094555368978</v>
      </c>
      <c r="I67" s="52">
        <f t="shared" si="7"/>
        <v>1.3213574596625888E-2</v>
      </c>
      <c r="L67" s="83"/>
    </row>
    <row r="68" spans="2:21" x14ac:dyDescent="0.25">
      <c r="B68" s="18">
        <v>46</v>
      </c>
      <c r="C68" s="20" t="s">
        <v>121</v>
      </c>
      <c r="D68" s="18">
        <v>3</v>
      </c>
      <c r="E68" s="18">
        <v>0</v>
      </c>
      <c r="F68" s="18">
        <v>0</v>
      </c>
      <c r="G68" s="27">
        <f t="shared" si="8"/>
        <v>196.23757467045212</v>
      </c>
      <c r="H68" s="27">
        <f t="shared" si="9"/>
        <v>96.751549957262327</v>
      </c>
      <c r="I68" s="52">
        <f t="shared" si="7"/>
        <v>1.3253636980446895E-2</v>
      </c>
    </row>
    <row r="69" spans="2:21" x14ac:dyDescent="0.25">
      <c r="B69" s="18">
        <v>47</v>
      </c>
      <c r="C69" s="20" t="s">
        <v>122</v>
      </c>
      <c r="D69" s="18">
        <v>4</v>
      </c>
      <c r="E69" s="18">
        <v>0</v>
      </c>
      <c r="F69" s="18">
        <v>0</v>
      </c>
      <c r="G69" s="27">
        <f t="shared" si="8"/>
        <v>189.21864502501123</v>
      </c>
      <c r="H69" s="27">
        <f t="shared" si="9"/>
        <v>93.242085134541881</v>
      </c>
      <c r="I69" s="52">
        <f t="shared" si="7"/>
        <v>1.2772888374594778E-2</v>
      </c>
      <c r="L69" s="83"/>
    </row>
    <row r="70" spans="2:21" x14ac:dyDescent="0.25">
      <c r="B70" s="18">
        <v>48</v>
      </c>
      <c r="C70" s="20" t="s">
        <v>123</v>
      </c>
      <c r="D70" s="18">
        <v>5</v>
      </c>
      <c r="E70" s="18">
        <v>0</v>
      </c>
      <c r="F70" s="18">
        <v>0</v>
      </c>
      <c r="G70" s="27">
        <f t="shared" si="8"/>
        <v>200.03949489506599</v>
      </c>
      <c r="H70" s="27">
        <f t="shared" si="9"/>
        <v>98.65251006956926</v>
      </c>
      <c r="I70" s="52">
        <f t="shared" si="7"/>
        <v>1.3514042475283461E-2</v>
      </c>
      <c r="L70" s="84"/>
      <c r="M70" s="84"/>
    </row>
    <row r="71" spans="2:21" x14ac:dyDescent="0.25">
      <c r="B71" s="18">
        <v>49</v>
      </c>
      <c r="C71" s="20" t="s">
        <v>124</v>
      </c>
      <c r="D71" s="18">
        <v>6</v>
      </c>
      <c r="E71" s="18">
        <v>0</v>
      </c>
      <c r="F71" s="18">
        <v>0</v>
      </c>
      <c r="G71" s="27">
        <f t="shared" si="8"/>
        <v>182.4921707814637</v>
      </c>
      <c r="H71" s="27">
        <f t="shared" si="9"/>
        <v>89.878848012768117</v>
      </c>
      <c r="I71" s="52">
        <f t="shared" si="7"/>
        <v>1.2312170960653165E-2</v>
      </c>
      <c r="L71" s="84"/>
      <c r="M71" t="s">
        <v>298</v>
      </c>
    </row>
    <row r="72" spans="2:21" x14ac:dyDescent="0.25">
      <c r="B72" s="18">
        <v>50</v>
      </c>
      <c r="C72" s="20" t="s">
        <v>125</v>
      </c>
      <c r="D72" s="18">
        <v>7</v>
      </c>
      <c r="E72" s="18">
        <v>0</v>
      </c>
      <c r="F72" s="18">
        <v>0</v>
      </c>
      <c r="G72" s="27">
        <f t="shared" si="8"/>
        <v>180.15252756631673</v>
      </c>
      <c r="H72" s="27">
        <f t="shared" si="9"/>
        <v>88.709026405194635</v>
      </c>
      <c r="I72" s="52">
        <f t="shared" si="7"/>
        <v>1.2151921425369128E-2</v>
      </c>
      <c r="L72" s="84"/>
      <c r="M72" t="s">
        <v>299</v>
      </c>
    </row>
    <row r="73" spans="2:21" x14ac:dyDescent="0.25">
      <c r="B73" s="18">
        <v>51</v>
      </c>
      <c r="C73" s="20" t="s">
        <v>126</v>
      </c>
      <c r="D73" s="18">
        <v>8</v>
      </c>
      <c r="E73" s="18">
        <v>0</v>
      </c>
      <c r="F73" s="18">
        <v>0</v>
      </c>
      <c r="G73" s="27">
        <f t="shared" si="8"/>
        <v>176.93551814548962</v>
      </c>
      <c r="H73" s="27">
        <f t="shared" si="9"/>
        <v>87.100521694781079</v>
      </c>
      <c r="I73" s="52">
        <f t="shared" si="7"/>
        <v>1.1931578314353574E-2</v>
      </c>
      <c r="L73" s="85" t="s">
        <v>300</v>
      </c>
      <c r="M73" t="s">
        <v>301</v>
      </c>
    </row>
    <row r="74" spans="2:21" x14ac:dyDescent="0.25">
      <c r="B74" s="18">
        <v>52</v>
      </c>
      <c r="C74" s="20" t="s">
        <v>127</v>
      </c>
      <c r="D74" s="18">
        <v>9</v>
      </c>
      <c r="E74" s="18">
        <v>0</v>
      </c>
      <c r="F74" s="18">
        <v>0</v>
      </c>
      <c r="G74" s="27">
        <f t="shared" si="8"/>
        <v>176.64306274359626</v>
      </c>
      <c r="H74" s="27">
        <f t="shared" si="9"/>
        <v>86.954293993834398</v>
      </c>
      <c r="I74" s="52">
        <f t="shared" si="7"/>
        <v>1.1911547122443069E-2</v>
      </c>
    </row>
    <row r="75" spans="2:21" x14ac:dyDescent="0.25">
      <c r="B75" s="18">
        <v>53</v>
      </c>
      <c r="C75" s="20" t="s">
        <v>128</v>
      </c>
      <c r="D75" s="18">
        <v>10</v>
      </c>
      <c r="E75" s="18">
        <v>0</v>
      </c>
      <c r="F75" s="18">
        <v>0</v>
      </c>
      <c r="G75" s="27">
        <f t="shared" si="8"/>
        <v>175.76569653791617</v>
      </c>
      <c r="H75" s="27">
        <f t="shared" si="9"/>
        <v>86.515610890994353</v>
      </c>
      <c r="I75" s="52">
        <f t="shared" si="7"/>
        <v>1.1851453546711556E-2</v>
      </c>
    </row>
    <row r="76" spans="2:21" x14ac:dyDescent="0.25">
      <c r="B76" s="18">
        <v>54</v>
      </c>
      <c r="C76" s="20" t="s">
        <v>129</v>
      </c>
      <c r="D76" s="18">
        <v>11</v>
      </c>
      <c r="E76" s="18">
        <v>0</v>
      </c>
      <c r="F76" s="18">
        <v>0</v>
      </c>
      <c r="G76" s="27">
        <f t="shared" si="8"/>
        <v>178.3977951549565</v>
      </c>
      <c r="H76" s="27">
        <f t="shared" si="9"/>
        <v>87.831660199514516</v>
      </c>
      <c r="I76" s="52">
        <f t="shared" si="7"/>
        <v>1.2031734273906098E-2</v>
      </c>
    </row>
    <row r="77" spans="2:21" x14ac:dyDescent="0.25">
      <c r="B77" s="18">
        <v>55</v>
      </c>
      <c r="C77" s="20" t="s">
        <v>130</v>
      </c>
      <c r="D77" s="18">
        <v>12</v>
      </c>
      <c r="E77" s="18">
        <v>0</v>
      </c>
      <c r="F77" s="18">
        <v>0</v>
      </c>
      <c r="G77" s="27">
        <f t="shared" si="8"/>
        <v>185.12426939850403</v>
      </c>
      <c r="H77" s="27">
        <f t="shared" si="9"/>
        <v>91.194897321288281</v>
      </c>
      <c r="I77" s="52">
        <f t="shared" si="7"/>
        <v>1.2492451687847711E-2</v>
      </c>
    </row>
    <row r="78" spans="2:21" x14ac:dyDescent="0.25">
      <c r="B78" s="18">
        <v>56</v>
      </c>
      <c r="C78" s="20" t="s">
        <v>131</v>
      </c>
      <c r="D78" s="18">
        <v>13</v>
      </c>
      <c r="E78" s="18">
        <v>0</v>
      </c>
      <c r="F78" s="18">
        <v>0</v>
      </c>
      <c r="G78" s="27">
        <f t="shared" si="8"/>
        <v>175.76569653791617</v>
      </c>
      <c r="H78" s="27">
        <f t="shared" si="9"/>
        <v>86.515610890994353</v>
      </c>
      <c r="I78" s="52">
        <f t="shared" si="7"/>
        <v>1.1851453546711556E-2</v>
      </c>
    </row>
    <row r="79" spans="2:21" x14ac:dyDescent="0.25">
      <c r="B79" s="18">
        <v>57</v>
      </c>
      <c r="C79" s="20" t="s">
        <v>132</v>
      </c>
      <c r="D79" s="18">
        <v>14</v>
      </c>
      <c r="E79" s="18">
        <v>0</v>
      </c>
      <c r="F79" s="18">
        <v>0</v>
      </c>
      <c r="G79" s="27">
        <f t="shared" si="8"/>
        <v>179.86007216442334</v>
      </c>
      <c r="H79" s="27">
        <f t="shared" si="9"/>
        <v>88.562798704247939</v>
      </c>
      <c r="I79" s="52">
        <f t="shared" si="7"/>
        <v>1.2131890233458622E-2</v>
      </c>
    </row>
    <row r="80" spans="2:21" x14ac:dyDescent="0.25">
      <c r="B80" s="18">
        <v>58</v>
      </c>
      <c r="C80" s="20" t="s">
        <v>133</v>
      </c>
      <c r="D80" s="18">
        <v>15</v>
      </c>
      <c r="E80" s="18">
        <v>0</v>
      </c>
      <c r="F80" s="18">
        <v>0</v>
      </c>
      <c r="G80" s="27">
        <f t="shared" si="8"/>
        <v>142.42578072207181</v>
      </c>
      <c r="H80" s="27">
        <f t="shared" si="9"/>
        <v>69.845652983072171</v>
      </c>
      <c r="I80" s="52">
        <f t="shared" si="7"/>
        <v>9.5678976689139959E-3</v>
      </c>
    </row>
    <row r="81" spans="2:9" x14ac:dyDescent="0.25">
      <c r="B81" s="18">
        <v>59</v>
      </c>
      <c r="C81" s="20" t="s">
        <v>134</v>
      </c>
      <c r="D81" s="18">
        <v>16</v>
      </c>
      <c r="E81" s="18">
        <v>0</v>
      </c>
      <c r="F81" s="18">
        <v>0</v>
      </c>
      <c r="G81" s="27">
        <f t="shared" si="8"/>
        <v>211.73771097080083</v>
      </c>
      <c r="H81" s="27">
        <f t="shared" si="9"/>
        <v>104.50161810743668</v>
      </c>
      <c r="I81" s="52">
        <f t="shared" si="7"/>
        <v>1.4315290151703656E-2</v>
      </c>
    </row>
    <row r="82" spans="2:9" x14ac:dyDescent="0.25">
      <c r="B82" s="24"/>
      <c r="C82" s="24"/>
      <c r="D82" s="24"/>
      <c r="E82" s="24"/>
      <c r="F82" s="24"/>
      <c r="G82" s="24"/>
      <c r="H82" s="24"/>
      <c r="I82" s="53"/>
    </row>
    <row r="83" spans="2:9" x14ac:dyDescent="0.25">
      <c r="B83" s="18">
        <v>60</v>
      </c>
      <c r="C83" s="20" t="s">
        <v>92</v>
      </c>
      <c r="D83" s="18" t="s">
        <v>100</v>
      </c>
      <c r="E83" s="26">
        <f>$D$27*($D$29-U15)*$D$33*$D$34*$D$35/($D$31*$D$37)</f>
        <v>8.2303804887149177</v>
      </c>
      <c r="F83" s="26">
        <f>E83*$D$41</f>
        <v>4.1151902443574588</v>
      </c>
      <c r="G83" s="18">
        <v>0</v>
      </c>
      <c r="H83" s="26">
        <f>G83-($D$42*$D$35/$D$39)</f>
        <v>-1.3672373779637379</v>
      </c>
      <c r="I83" s="52">
        <f t="shared" si="7"/>
        <v>-1.8729279150188189E-4</v>
      </c>
    </row>
    <row r="84" spans="2:9" x14ac:dyDescent="0.25">
      <c r="B84" s="18">
        <v>61</v>
      </c>
      <c r="C84" s="20" t="s">
        <v>93</v>
      </c>
      <c r="D84" s="18" t="s">
        <v>100</v>
      </c>
      <c r="E84" s="18">
        <v>0</v>
      </c>
      <c r="F84" s="26">
        <v>0</v>
      </c>
      <c r="G84" s="27">
        <f>$D$27*($D$29-U15)*$D$33*$D$34*$D$35/($D$32*$D$38)</f>
        <v>189.52894275637269</v>
      </c>
      <c r="H84" s="27">
        <f t="shared" si="9"/>
        <v>93.39723400022261</v>
      </c>
      <c r="I84" s="52">
        <f t="shared" si="7"/>
        <v>1.2794141643866112E-2</v>
      </c>
    </row>
    <row r="85" spans="2:9" x14ac:dyDescent="0.25">
      <c r="B85" s="18">
        <v>62</v>
      </c>
      <c r="C85" s="20" t="s">
        <v>94</v>
      </c>
      <c r="D85" s="18" t="s">
        <v>100</v>
      </c>
      <c r="E85" s="26">
        <f>$D$27*($D$29-U16)*$D$33*$D$34*$D$35/($D$31*$D$37)</f>
        <v>7.742800770146598</v>
      </c>
      <c r="F85" s="26">
        <f>E85*$D$41</f>
        <v>3.871400385073299</v>
      </c>
      <c r="G85" s="18">
        <v>0</v>
      </c>
      <c r="H85" s="26">
        <f>G85-($D$42*$D$35/$D$39)</f>
        <v>-1.3672373779637379</v>
      </c>
      <c r="I85" s="52">
        <f t="shared" si="7"/>
        <v>-1.8729279150188189E-4</v>
      </c>
    </row>
    <row r="86" spans="2:9" x14ac:dyDescent="0.25">
      <c r="B86" s="18">
        <v>63</v>
      </c>
      <c r="C86" s="20" t="s">
        <v>95</v>
      </c>
      <c r="D86" s="18" t="s">
        <v>100</v>
      </c>
      <c r="E86" s="18">
        <v>0</v>
      </c>
      <c r="F86" s="26">
        <v>0</v>
      </c>
      <c r="G86" s="27">
        <f>$D$27*($D$29-U16)*$D$33*$D$34*$D$35/($D$32*$D$38)</f>
        <v>178.30097234887913</v>
      </c>
      <c r="H86" s="27">
        <f t="shared" si="9"/>
        <v>87.783248796475831</v>
      </c>
      <c r="I86" s="52">
        <f t="shared" si="7"/>
        <v>1.2025102574859703E-2</v>
      </c>
    </row>
    <row r="87" spans="2:9" x14ac:dyDescent="0.25">
      <c r="B87" s="18">
        <v>64</v>
      </c>
      <c r="C87" s="20" t="s">
        <v>96</v>
      </c>
      <c r="D87" s="18" t="s">
        <v>100</v>
      </c>
      <c r="E87" s="26">
        <f>$D$27*($D$29-U17)*$D$33*$D$34*$D$35/($D$31*$D$37)</f>
        <v>7.7341286592550071</v>
      </c>
      <c r="F87" s="26">
        <f>E87*$D$41</f>
        <v>3.8670643296275036</v>
      </c>
      <c r="G87" s="18">
        <v>0</v>
      </c>
      <c r="H87" s="26">
        <f>G87-($D$42*$D$35/$D$39)</f>
        <v>-1.3672373779637379</v>
      </c>
      <c r="I87" s="52">
        <f t="shared" si="7"/>
        <v>-1.8729279150188189E-4</v>
      </c>
    </row>
    <row r="88" spans="2:9" x14ac:dyDescent="0.25">
      <c r="B88" s="18">
        <v>65</v>
      </c>
      <c r="C88" s="20" t="s">
        <v>97</v>
      </c>
      <c r="D88" s="18" t="s">
        <v>100</v>
      </c>
      <c r="E88" s="18">
        <v>0</v>
      </c>
      <c r="F88" s="26">
        <v>0</v>
      </c>
      <c r="G88" s="27">
        <f>$D$27*($D$29-U17)*$D$33*$D$34*$D$35/($D$32*$D$38)</f>
        <v>178.10127125231344</v>
      </c>
      <c r="H88" s="27">
        <f t="shared" si="9"/>
        <v>87.683398248192987</v>
      </c>
      <c r="I88" s="52">
        <f t="shared" si="7"/>
        <v>1.2011424417560682E-2</v>
      </c>
    </row>
    <row r="89" spans="2:9" x14ac:dyDescent="0.25">
      <c r="B89" s="18">
        <v>66</v>
      </c>
      <c r="C89" s="20" t="s">
        <v>98</v>
      </c>
      <c r="D89" s="18" t="s">
        <v>100</v>
      </c>
      <c r="E89" s="26">
        <f>$D$27*($D$29-U18)*$D$33*$D$34*$D$35/($D$31*$D$37)</f>
        <v>7.7754904811630956</v>
      </c>
      <c r="F89" s="26">
        <f>E89*$D$41</f>
        <v>3.8877452405815478</v>
      </c>
      <c r="G89" s="18">
        <v>0</v>
      </c>
      <c r="H89" s="26">
        <f>G89-($D$42*$D$35/$D$39)</f>
        <v>-1.3672373779637379</v>
      </c>
      <c r="I89" s="52">
        <f t="shared" si="7"/>
        <v>-1.8729279150188189E-4</v>
      </c>
    </row>
    <row r="90" spans="2:9" x14ac:dyDescent="0.25">
      <c r="B90" s="18">
        <v>67</v>
      </c>
      <c r="C90" s="20" t="s">
        <v>99</v>
      </c>
      <c r="D90" s="18" t="s">
        <v>100</v>
      </c>
      <c r="E90" s="18">
        <v>0</v>
      </c>
      <c r="F90" s="26">
        <v>0</v>
      </c>
      <c r="G90" s="27">
        <f>$D$27*($D$29-U18)*$D$33*$D$34*$D$35/($D$32*$D$38)</f>
        <v>179.0537499849147</v>
      </c>
      <c r="H90" s="27">
        <f t="shared" si="9"/>
        <v>88.159637614493619</v>
      </c>
      <c r="I90" s="52">
        <f t="shared" si="7"/>
        <v>1.2076662686916935E-2</v>
      </c>
    </row>
    <row r="92" spans="2:9" x14ac:dyDescent="0.25">
      <c r="B92" s="16" t="s">
        <v>307</v>
      </c>
    </row>
    <row r="93" spans="2:9" ht="60" x14ac:dyDescent="0.25">
      <c r="B93" s="29" t="s">
        <v>55</v>
      </c>
      <c r="C93" s="29" t="s">
        <v>72</v>
      </c>
      <c r="D93" s="29" t="s">
        <v>73</v>
      </c>
      <c r="E93" s="29" t="s">
        <v>76</v>
      </c>
      <c r="F93" s="29" t="s">
        <v>77</v>
      </c>
      <c r="G93" s="29" t="s">
        <v>74</v>
      </c>
      <c r="H93" s="29" t="s">
        <v>75</v>
      </c>
      <c r="I93" s="29" t="s">
        <v>207</v>
      </c>
    </row>
    <row r="94" spans="2:9" x14ac:dyDescent="0.25">
      <c r="B94" s="18">
        <v>68</v>
      </c>
      <c r="C94" s="20" t="s">
        <v>103</v>
      </c>
      <c r="D94" s="18">
        <v>1</v>
      </c>
      <c r="E94" s="26">
        <f t="shared" ref="E94:E109" si="10">$D$27*($D$29-H15)*$D$33*$D$34*$D$36/($D$31*$D$37)</f>
        <v>6.9504196468692214</v>
      </c>
      <c r="F94" s="26">
        <f>E94*$D$41</f>
        <v>3.4752098234346107</v>
      </c>
      <c r="G94" s="18">
        <v>0</v>
      </c>
      <c r="H94" s="26">
        <f t="shared" ref="H94:H109" si="11">G94-($D$42*$D$36/$D$39)</f>
        <v>-1.0278258823529414</v>
      </c>
      <c r="I94" s="52">
        <f>H94*$D$44/$D$45</f>
        <v>-1.4079806607574541E-4</v>
      </c>
    </row>
    <row r="95" spans="2:9" x14ac:dyDescent="0.25">
      <c r="B95" s="18">
        <v>69</v>
      </c>
      <c r="C95" s="20" t="s">
        <v>104</v>
      </c>
      <c r="D95" s="18">
        <v>2</v>
      </c>
      <c r="E95" s="26">
        <f t="shared" si="10"/>
        <v>6.3871301425213041</v>
      </c>
      <c r="F95" s="26">
        <f t="shared" ref="F95:F109" si="12">E95*$D$41</f>
        <v>3.193565071260652</v>
      </c>
      <c r="G95" s="18">
        <v>0</v>
      </c>
      <c r="H95" s="26">
        <f t="shared" si="11"/>
        <v>-1.0278258823529414</v>
      </c>
      <c r="I95" s="52">
        <f t="shared" ref="I95:I125" si="13">H95*$D$44/$D$45</f>
        <v>-1.4079806607574541E-4</v>
      </c>
    </row>
    <row r="96" spans="2:9" x14ac:dyDescent="0.25">
      <c r="B96" s="18">
        <v>70</v>
      </c>
      <c r="C96" s="20" t="s">
        <v>105</v>
      </c>
      <c r="D96" s="18">
        <v>3</v>
      </c>
      <c r="E96" s="26">
        <f t="shared" si="10"/>
        <v>6.4062247019907224</v>
      </c>
      <c r="F96" s="26">
        <f t="shared" si="12"/>
        <v>3.2031123509953612</v>
      </c>
      <c r="G96" s="18">
        <v>0</v>
      </c>
      <c r="H96" s="26">
        <f t="shared" si="11"/>
        <v>-1.0278258823529414</v>
      </c>
      <c r="I96" s="52">
        <f t="shared" si="13"/>
        <v>-1.4079806607574541E-4</v>
      </c>
    </row>
    <row r="97" spans="2:9" x14ac:dyDescent="0.25">
      <c r="B97" s="18">
        <v>71</v>
      </c>
      <c r="C97" s="20" t="s">
        <v>106</v>
      </c>
      <c r="D97" s="18">
        <v>4</v>
      </c>
      <c r="E97" s="26">
        <f t="shared" si="10"/>
        <v>6.1770899883576726</v>
      </c>
      <c r="F97" s="26">
        <f t="shared" si="12"/>
        <v>3.0885449941788363</v>
      </c>
      <c r="G97" s="18">
        <v>0</v>
      </c>
      <c r="H97" s="26">
        <f t="shared" si="11"/>
        <v>-1.0278258823529414</v>
      </c>
      <c r="I97" s="52">
        <f t="shared" si="13"/>
        <v>-1.4079806607574541E-4</v>
      </c>
    </row>
    <row r="98" spans="2:9" x14ac:dyDescent="0.25">
      <c r="B98" s="18">
        <v>72</v>
      </c>
      <c r="C98" s="20" t="s">
        <v>107</v>
      </c>
      <c r="D98" s="18">
        <v>5</v>
      </c>
      <c r="E98" s="26">
        <f t="shared" si="10"/>
        <v>6.5303393385419604</v>
      </c>
      <c r="F98" s="26">
        <f t="shared" si="12"/>
        <v>3.2651696692709802</v>
      </c>
      <c r="G98" s="18">
        <v>0</v>
      </c>
      <c r="H98" s="26">
        <f t="shared" si="11"/>
        <v>-1.0278258823529414</v>
      </c>
      <c r="I98" s="52">
        <f t="shared" si="13"/>
        <v>-1.4079806607574541E-4</v>
      </c>
    </row>
    <row r="99" spans="2:9" x14ac:dyDescent="0.25">
      <c r="B99" s="18">
        <v>73</v>
      </c>
      <c r="C99" s="20" t="s">
        <v>108</v>
      </c>
      <c r="D99" s="18">
        <v>6</v>
      </c>
      <c r="E99" s="26">
        <f t="shared" si="10"/>
        <v>5.9575025544593316</v>
      </c>
      <c r="F99" s="26">
        <f t="shared" si="12"/>
        <v>2.9787512772296658</v>
      </c>
      <c r="G99" s="18">
        <v>0</v>
      </c>
      <c r="H99" s="26">
        <f t="shared" si="11"/>
        <v>-1.0278258823529414</v>
      </c>
      <c r="I99" s="52">
        <f t="shared" si="13"/>
        <v>-1.4079806607574541E-4</v>
      </c>
    </row>
    <row r="100" spans="2:9" x14ac:dyDescent="0.25">
      <c r="B100" s="18">
        <v>74</v>
      </c>
      <c r="C100" s="20" t="s">
        <v>109</v>
      </c>
      <c r="D100" s="18">
        <v>7</v>
      </c>
      <c r="E100" s="26">
        <f t="shared" si="10"/>
        <v>5.8811243165816478</v>
      </c>
      <c r="F100" s="26">
        <f t="shared" si="12"/>
        <v>2.9405621582908239</v>
      </c>
      <c r="G100" s="18">
        <v>0</v>
      </c>
      <c r="H100" s="26">
        <f t="shared" si="11"/>
        <v>-1.0278258823529414</v>
      </c>
      <c r="I100" s="52">
        <f t="shared" si="13"/>
        <v>-1.4079806607574541E-4</v>
      </c>
    </row>
    <row r="101" spans="2:9" x14ac:dyDescent="0.25">
      <c r="B101" s="18">
        <v>75</v>
      </c>
      <c r="C101" s="20" t="s">
        <v>110</v>
      </c>
      <c r="D101" s="18">
        <v>8</v>
      </c>
      <c r="E101" s="26">
        <f t="shared" si="10"/>
        <v>5.7761042394998325</v>
      </c>
      <c r="F101" s="26">
        <f t="shared" si="12"/>
        <v>2.8880521197499163</v>
      </c>
      <c r="G101" s="18">
        <v>0</v>
      </c>
      <c r="H101" s="26">
        <f t="shared" si="11"/>
        <v>-1.0278258823529414</v>
      </c>
      <c r="I101" s="52">
        <f t="shared" si="13"/>
        <v>-1.4079806607574541E-4</v>
      </c>
    </row>
    <row r="102" spans="2:9" x14ac:dyDescent="0.25">
      <c r="B102" s="18">
        <v>76</v>
      </c>
      <c r="C102" s="20" t="s">
        <v>111</v>
      </c>
      <c r="D102" s="18">
        <v>9</v>
      </c>
      <c r="E102" s="26">
        <f t="shared" si="10"/>
        <v>5.7665569597651229</v>
      </c>
      <c r="F102" s="26">
        <f t="shared" si="12"/>
        <v>2.8832784798825615</v>
      </c>
      <c r="G102" s="18">
        <v>0</v>
      </c>
      <c r="H102" s="26">
        <f t="shared" si="11"/>
        <v>-1.0278258823529414</v>
      </c>
      <c r="I102" s="52">
        <f t="shared" si="13"/>
        <v>-1.4079806607574541E-4</v>
      </c>
    </row>
    <row r="103" spans="2:9" x14ac:dyDescent="0.25">
      <c r="B103" s="18">
        <v>77</v>
      </c>
      <c r="C103" s="20" t="s">
        <v>112</v>
      </c>
      <c r="D103" s="18">
        <v>10</v>
      </c>
      <c r="E103" s="26">
        <f t="shared" si="10"/>
        <v>5.7379151205609915</v>
      </c>
      <c r="F103" s="26">
        <f t="shared" si="12"/>
        <v>2.8689575602804958</v>
      </c>
      <c r="G103" s="18">
        <v>0</v>
      </c>
      <c r="H103" s="26">
        <f t="shared" si="11"/>
        <v>-1.0278258823529414</v>
      </c>
      <c r="I103" s="52">
        <f t="shared" si="13"/>
        <v>-1.4079806607574541E-4</v>
      </c>
    </row>
    <row r="104" spans="2:9" x14ac:dyDescent="0.25">
      <c r="B104" s="18">
        <v>78</v>
      </c>
      <c r="C104" s="20" t="s">
        <v>113</v>
      </c>
      <c r="D104" s="18">
        <v>11</v>
      </c>
      <c r="E104" s="26">
        <f t="shared" si="10"/>
        <v>5.8238406381733849</v>
      </c>
      <c r="F104" s="26">
        <f t="shared" si="12"/>
        <v>2.9119203190866925</v>
      </c>
      <c r="G104" s="18">
        <v>0</v>
      </c>
      <c r="H104" s="26">
        <f t="shared" si="11"/>
        <v>-1.0278258823529414</v>
      </c>
      <c r="I104" s="52">
        <f t="shared" si="13"/>
        <v>-1.4079806607574541E-4</v>
      </c>
    </row>
    <row r="105" spans="2:9" x14ac:dyDescent="0.25">
      <c r="B105" s="18">
        <v>79</v>
      </c>
      <c r="C105" s="20" t="s">
        <v>114</v>
      </c>
      <c r="D105" s="18">
        <v>12</v>
      </c>
      <c r="E105" s="26">
        <f t="shared" si="10"/>
        <v>6.0434280720717268</v>
      </c>
      <c r="F105" s="26">
        <f t="shared" si="12"/>
        <v>3.0217140360358634</v>
      </c>
      <c r="G105" s="18">
        <v>0</v>
      </c>
      <c r="H105" s="26">
        <f t="shared" si="11"/>
        <v>-1.0278258823529414</v>
      </c>
      <c r="I105" s="52">
        <f t="shared" si="13"/>
        <v>-1.4079806607574541E-4</v>
      </c>
    </row>
    <row r="106" spans="2:9" x14ac:dyDescent="0.25">
      <c r="B106" s="18">
        <v>80</v>
      </c>
      <c r="C106" s="20" t="s">
        <v>115</v>
      </c>
      <c r="D106" s="18">
        <v>13</v>
      </c>
      <c r="E106" s="26">
        <f t="shared" si="10"/>
        <v>5.7379151205609915</v>
      </c>
      <c r="F106" s="26">
        <f t="shared" si="12"/>
        <v>2.8689575602804958</v>
      </c>
      <c r="G106" s="18">
        <v>0</v>
      </c>
      <c r="H106" s="26">
        <f t="shared" si="11"/>
        <v>-1.0278258823529414</v>
      </c>
      <c r="I106" s="52">
        <f t="shared" si="13"/>
        <v>-1.4079806607574541E-4</v>
      </c>
    </row>
    <row r="107" spans="2:9" x14ac:dyDescent="0.25">
      <c r="B107" s="18">
        <v>81</v>
      </c>
      <c r="C107" s="20" t="s">
        <v>116</v>
      </c>
      <c r="D107" s="18">
        <v>14</v>
      </c>
      <c r="E107" s="26">
        <f t="shared" si="10"/>
        <v>5.8715770368469382</v>
      </c>
      <c r="F107" s="26">
        <f t="shared" si="12"/>
        <v>2.9357885184234691</v>
      </c>
      <c r="G107" s="18">
        <v>0</v>
      </c>
      <c r="H107" s="26">
        <f t="shared" si="11"/>
        <v>-1.0278258823529414</v>
      </c>
      <c r="I107" s="52">
        <f t="shared" si="13"/>
        <v>-1.4079806607574541E-4</v>
      </c>
    </row>
    <row r="108" spans="2:9" x14ac:dyDescent="0.25">
      <c r="B108" s="18">
        <v>82</v>
      </c>
      <c r="C108" s="20" t="s">
        <v>117</v>
      </c>
      <c r="D108" s="18">
        <v>15</v>
      </c>
      <c r="E108" s="26">
        <f t="shared" si="10"/>
        <v>4.6495252308039978</v>
      </c>
      <c r="F108" s="26">
        <f t="shared" si="12"/>
        <v>2.3247626154019989</v>
      </c>
      <c r="G108" s="18">
        <v>0</v>
      </c>
      <c r="H108" s="26">
        <f t="shared" si="11"/>
        <v>-1.0278258823529414</v>
      </c>
      <c r="I108" s="52">
        <f t="shared" si="13"/>
        <v>-1.4079806607574541E-4</v>
      </c>
    </row>
    <row r="109" spans="2:9" x14ac:dyDescent="0.25">
      <c r="B109" s="18">
        <v>83</v>
      </c>
      <c r="C109" s="20" t="s">
        <v>118</v>
      </c>
      <c r="D109" s="18">
        <v>16</v>
      </c>
      <c r="E109" s="26">
        <f t="shared" si="10"/>
        <v>6.9122305279303786</v>
      </c>
      <c r="F109" s="26">
        <f t="shared" si="12"/>
        <v>3.4561152639651893</v>
      </c>
      <c r="G109" s="18">
        <v>0</v>
      </c>
      <c r="H109" s="26">
        <f t="shared" si="11"/>
        <v>-1.0278258823529414</v>
      </c>
      <c r="I109" s="52">
        <f t="shared" si="13"/>
        <v>-1.4079806607574541E-4</v>
      </c>
    </row>
    <row r="110" spans="2:9" x14ac:dyDescent="0.25">
      <c r="B110" s="18">
        <v>84</v>
      </c>
      <c r="C110" s="20" t="s">
        <v>120</v>
      </c>
      <c r="D110" s="18">
        <v>1</v>
      </c>
      <c r="E110" s="18">
        <v>0</v>
      </c>
      <c r="F110" s="18">
        <v>0</v>
      </c>
      <c r="G110" s="27">
        <f t="shared" ref="G110:G125" si="14">$D$27*($D$29-H15)*$D$33*$D$34*$D$36/($D$32*$D$38)</f>
        <v>160.05404479057412</v>
      </c>
      <c r="H110" s="27">
        <f t="shared" ref="H110:H125" si="15">(G110*$D$41)-($D$42*$D$36/$D$39)</f>
        <v>78.99919651293412</v>
      </c>
      <c r="I110" s="52">
        <f t="shared" si="13"/>
        <v>1.0821807741497826E-2</v>
      </c>
    </row>
    <row r="111" spans="2:9" x14ac:dyDescent="0.25">
      <c r="B111" s="18">
        <v>85</v>
      </c>
      <c r="C111" s="20" t="s">
        <v>119</v>
      </c>
      <c r="D111" s="18">
        <v>2</v>
      </c>
      <c r="E111" s="18">
        <v>0</v>
      </c>
      <c r="F111" s="18">
        <v>0</v>
      </c>
      <c r="G111" s="27">
        <f t="shared" si="14"/>
        <v>147.08263181990944</v>
      </c>
      <c r="H111" s="27">
        <f t="shared" si="15"/>
        <v>72.513490027601776</v>
      </c>
      <c r="I111" s="52">
        <f t="shared" si="13"/>
        <v>9.9333547983016142E-3</v>
      </c>
    </row>
    <row r="112" spans="2:9" x14ac:dyDescent="0.25">
      <c r="B112" s="18">
        <v>86</v>
      </c>
      <c r="C112" s="20" t="s">
        <v>121</v>
      </c>
      <c r="D112" s="18">
        <v>3</v>
      </c>
      <c r="E112" s="18">
        <v>0</v>
      </c>
      <c r="F112" s="18">
        <v>0</v>
      </c>
      <c r="G112" s="27">
        <f t="shared" si="14"/>
        <v>147.52234073416923</v>
      </c>
      <c r="H112" s="27">
        <f t="shared" si="15"/>
        <v>72.733344484731674</v>
      </c>
      <c r="I112" s="52">
        <f t="shared" si="13"/>
        <v>9.9634718472235186E-3</v>
      </c>
    </row>
    <row r="113" spans="2:9" x14ac:dyDescent="0.25">
      <c r="B113" s="18">
        <v>87</v>
      </c>
      <c r="C113" s="20" t="s">
        <v>122</v>
      </c>
      <c r="D113" s="18">
        <v>4</v>
      </c>
      <c r="E113" s="18">
        <v>0</v>
      </c>
      <c r="F113" s="18">
        <v>0</v>
      </c>
      <c r="G113" s="27">
        <f t="shared" si="14"/>
        <v>142.24583376305142</v>
      </c>
      <c r="H113" s="27">
        <f t="shared" si="15"/>
        <v>70.095090999172768</v>
      </c>
      <c r="I113" s="52">
        <f t="shared" si="13"/>
        <v>9.602067260160654E-3</v>
      </c>
    </row>
    <row r="114" spans="2:9" x14ac:dyDescent="0.25">
      <c r="B114" s="18">
        <v>88</v>
      </c>
      <c r="C114" s="20" t="s">
        <v>123</v>
      </c>
      <c r="D114" s="18">
        <v>5</v>
      </c>
      <c r="E114" s="18">
        <v>0</v>
      </c>
      <c r="F114" s="18">
        <v>0</v>
      </c>
      <c r="G114" s="27">
        <f t="shared" si="14"/>
        <v>150.38044867685807</v>
      </c>
      <c r="H114" s="27">
        <f t="shared" si="15"/>
        <v>74.16239845607609</v>
      </c>
      <c r="I114" s="52">
        <f t="shared" si="13"/>
        <v>1.0159232665215904E-2</v>
      </c>
    </row>
    <row r="115" spans="2:9" x14ac:dyDescent="0.25">
      <c r="B115" s="18">
        <v>89</v>
      </c>
      <c r="C115" s="20" t="s">
        <v>124</v>
      </c>
      <c r="D115" s="18">
        <v>6</v>
      </c>
      <c r="E115" s="18">
        <v>0</v>
      </c>
      <c r="F115" s="18">
        <v>0</v>
      </c>
      <c r="G115" s="27">
        <f t="shared" si="14"/>
        <v>137.18918124906349</v>
      </c>
      <c r="H115" s="27">
        <f t="shared" si="15"/>
        <v>67.566764742178805</v>
      </c>
      <c r="I115" s="52">
        <f t="shared" si="13"/>
        <v>9.2557211975587399E-3</v>
      </c>
    </row>
    <row r="116" spans="2:9" x14ac:dyDescent="0.25">
      <c r="B116" s="18">
        <v>90</v>
      </c>
      <c r="C116" s="20" t="s">
        <v>125</v>
      </c>
      <c r="D116" s="18">
        <v>7</v>
      </c>
      <c r="E116" s="18">
        <v>0</v>
      </c>
      <c r="F116" s="18">
        <v>0</v>
      </c>
      <c r="G116" s="27">
        <f t="shared" si="14"/>
        <v>135.43034559202422</v>
      </c>
      <c r="H116" s="27">
        <f t="shared" si="15"/>
        <v>66.687346913659169</v>
      </c>
      <c r="I116" s="52">
        <f t="shared" si="13"/>
        <v>9.135253001871119E-3</v>
      </c>
    </row>
    <row r="117" spans="2:9" x14ac:dyDescent="0.25">
      <c r="B117" s="18">
        <v>91</v>
      </c>
      <c r="C117" s="20" t="s">
        <v>126</v>
      </c>
      <c r="D117" s="18">
        <v>8</v>
      </c>
      <c r="E117" s="18">
        <v>0</v>
      </c>
      <c r="F117" s="18">
        <v>0</v>
      </c>
      <c r="G117" s="27">
        <f t="shared" si="14"/>
        <v>133.01194656359522</v>
      </c>
      <c r="H117" s="27">
        <f t="shared" si="15"/>
        <v>65.478147399444666</v>
      </c>
      <c r="I117" s="52">
        <f t="shared" si="13"/>
        <v>8.9696092328006398E-3</v>
      </c>
    </row>
    <row r="118" spans="2:9" x14ac:dyDescent="0.25">
      <c r="B118" s="18">
        <v>92</v>
      </c>
      <c r="C118" s="20" t="s">
        <v>127</v>
      </c>
      <c r="D118" s="18">
        <v>9</v>
      </c>
      <c r="E118" s="18">
        <v>0</v>
      </c>
      <c r="F118" s="18">
        <v>0</v>
      </c>
      <c r="G118" s="27">
        <f t="shared" si="14"/>
        <v>132.79209210646533</v>
      </c>
      <c r="H118" s="27">
        <f t="shared" si="15"/>
        <v>65.368220170879724</v>
      </c>
      <c r="I118" s="52">
        <f t="shared" si="13"/>
        <v>8.9545507083396893E-3</v>
      </c>
    </row>
    <row r="119" spans="2:9" x14ac:dyDescent="0.25">
      <c r="B119" s="18">
        <v>93</v>
      </c>
      <c r="C119" s="20" t="s">
        <v>128</v>
      </c>
      <c r="D119" s="18">
        <v>10</v>
      </c>
      <c r="E119" s="18">
        <v>0</v>
      </c>
      <c r="F119" s="18">
        <v>0</v>
      </c>
      <c r="G119" s="27">
        <f t="shared" si="14"/>
        <v>132.1325287350756</v>
      </c>
      <c r="H119" s="27">
        <f t="shared" si="15"/>
        <v>65.038438485184855</v>
      </c>
      <c r="I119" s="52">
        <f t="shared" si="13"/>
        <v>8.9093751349568293E-3</v>
      </c>
    </row>
    <row r="120" spans="2:9" x14ac:dyDescent="0.25">
      <c r="B120" s="18">
        <v>94</v>
      </c>
      <c r="C120" s="20" t="s">
        <v>129</v>
      </c>
      <c r="D120" s="18">
        <v>11</v>
      </c>
      <c r="E120" s="18">
        <v>0</v>
      </c>
      <c r="F120" s="18">
        <v>0</v>
      </c>
      <c r="G120" s="27">
        <f t="shared" si="14"/>
        <v>134.11121884924478</v>
      </c>
      <c r="H120" s="27">
        <f t="shared" si="15"/>
        <v>66.027783542269447</v>
      </c>
      <c r="I120" s="52">
        <f t="shared" si="13"/>
        <v>9.0449018551054042E-3</v>
      </c>
    </row>
    <row r="121" spans="2:9" x14ac:dyDescent="0.25">
      <c r="B121" s="18">
        <v>95</v>
      </c>
      <c r="C121" s="20" t="s">
        <v>130</v>
      </c>
      <c r="D121" s="18">
        <v>12</v>
      </c>
      <c r="E121" s="18">
        <v>0</v>
      </c>
      <c r="F121" s="18">
        <v>0</v>
      </c>
      <c r="G121" s="27">
        <f t="shared" si="14"/>
        <v>139.16787136323271</v>
      </c>
      <c r="H121" s="27">
        <f t="shared" si="15"/>
        <v>68.55610979926341</v>
      </c>
      <c r="I121" s="52">
        <f t="shared" si="13"/>
        <v>9.3912479177073165E-3</v>
      </c>
    </row>
    <row r="122" spans="2:9" x14ac:dyDescent="0.25">
      <c r="B122" s="18">
        <v>96</v>
      </c>
      <c r="C122" s="20" t="s">
        <v>131</v>
      </c>
      <c r="D122" s="18">
        <v>13</v>
      </c>
      <c r="E122" s="18">
        <v>0</v>
      </c>
      <c r="F122" s="18">
        <v>0</v>
      </c>
      <c r="G122" s="27">
        <f t="shared" si="14"/>
        <v>132.1325287350756</v>
      </c>
      <c r="H122" s="27">
        <f t="shared" si="15"/>
        <v>65.038438485184855</v>
      </c>
      <c r="I122" s="52">
        <f t="shared" si="13"/>
        <v>8.9093751349568293E-3</v>
      </c>
    </row>
    <row r="123" spans="2:9" x14ac:dyDescent="0.25">
      <c r="B123" s="18">
        <v>97</v>
      </c>
      <c r="C123" s="20" t="s">
        <v>132</v>
      </c>
      <c r="D123" s="18">
        <v>14</v>
      </c>
      <c r="E123" s="18">
        <v>0</v>
      </c>
      <c r="F123" s="18">
        <v>0</v>
      </c>
      <c r="G123" s="27">
        <f t="shared" si="14"/>
        <v>135.21049113489431</v>
      </c>
      <c r="H123" s="27">
        <f t="shared" si="15"/>
        <v>66.577419685094213</v>
      </c>
      <c r="I123" s="52">
        <f t="shared" si="13"/>
        <v>9.1201944774101668E-3</v>
      </c>
    </row>
    <row r="124" spans="2:9" x14ac:dyDescent="0.25">
      <c r="B124" s="18">
        <v>98</v>
      </c>
      <c r="C124" s="20" t="s">
        <v>133</v>
      </c>
      <c r="D124" s="18">
        <v>15</v>
      </c>
      <c r="E124" s="18">
        <v>0</v>
      </c>
      <c r="F124" s="18">
        <v>0</v>
      </c>
      <c r="G124" s="27">
        <f t="shared" si="14"/>
        <v>107.06912062226591</v>
      </c>
      <c r="H124" s="27">
        <f t="shared" si="15"/>
        <v>52.506734428780014</v>
      </c>
      <c r="I124" s="52">
        <f t="shared" si="13"/>
        <v>7.1927033464082215E-3</v>
      </c>
    </row>
    <row r="125" spans="2:9" x14ac:dyDescent="0.25">
      <c r="B125" s="18">
        <v>99</v>
      </c>
      <c r="C125" s="20" t="s">
        <v>134</v>
      </c>
      <c r="D125" s="18">
        <v>16</v>
      </c>
      <c r="E125" s="18">
        <v>0</v>
      </c>
      <c r="F125" s="18">
        <v>0</v>
      </c>
      <c r="G125" s="27">
        <f t="shared" si="14"/>
        <v>159.17462696205445</v>
      </c>
      <c r="H125" s="27">
        <f t="shared" si="15"/>
        <v>78.559487598674281</v>
      </c>
      <c r="I125" s="52">
        <f t="shared" si="13"/>
        <v>1.0761573643654012E-2</v>
      </c>
    </row>
    <row r="126" spans="2:9" x14ac:dyDescent="0.25">
      <c r="B126" s="24"/>
      <c r="C126" s="24"/>
      <c r="D126" s="24"/>
      <c r="E126" s="24"/>
      <c r="F126" s="24"/>
      <c r="G126" s="24"/>
      <c r="H126" s="24"/>
      <c r="I126" s="53"/>
    </row>
    <row r="127" spans="2:9" x14ac:dyDescent="0.25">
      <c r="B127" s="18">
        <v>100</v>
      </c>
      <c r="C127" s="20" t="s">
        <v>92</v>
      </c>
      <c r="D127" s="18" t="s">
        <v>100</v>
      </c>
      <c r="E127" s="26">
        <f>$D$27*($D$29-U15)*$D$33*$D$34*$D$36/($D$31*$D$37)</f>
        <v>6.1872197354000402</v>
      </c>
      <c r="F127" s="26">
        <f>E127*$D$41</f>
        <v>3.0936098677000201</v>
      </c>
      <c r="G127" s="18">
        <v>0</v>
      </c>
      <c r="H127" s="26">
        <f>G127-($D$42*$D$36/$D$39)</f>
        <v>-1.0278258823529414</v>
      </c>
      <c r="I127" s="52">
        <f t="shared" ref="I127:I134" si="16">H127*$D$44/$D$45</f>
        <v>-1.4079806607574541E-4</v>
      </c>
    </row>
    <row r="128" spans="2:9" x14ac:dyDescent="0.25">
      <c r="B128" s="18">
        <v>101</v>
      </c>
      <c r="C128" s="20" t="s">
        <v>93</v>
      </c>
      <c r="D128" s="18" t="s">
        <v>100</v>
      </c>
      <c r="E128" s="18">
        <v>0</v>
      </c>
      <c r="F128" s="26">
        <v>0</v>
      </c>
      <c r="G128" s="27">
        <f>$D$27*($D$29-U15)*$D$33*$D$34*$D$36/($D$32*$D$38)</f>
        <v>142.47910125900279</v>
      </c>
      <c r="H128" s="27">
        <f>(G128*$D$41)-($D$42*$D$36/$D$39)</f>
        <v>70.211724747148452</v>
      </c>
      <c r="I128" s="52">
        <f t="shared" si="16"/>
        <v>9.6180444859107466E-3</v>
      </c>
    </row>
    <row r="129" spans="2:9" x14ac:dyDescent="0.25">
      <c r="B129" s="18">
        <v>102</v>
      </c>
      <c r="C129" s="20" t="s">
        <v>94</v>
      </c>
      <c r="D129" s="18" t="s">
        <v>100</v>
      </c>
      <c r="E129" s="26">
        <f>$D$27*($D$29-U16)*$D$33*$D$34*$D$36/($D$31*$D$37)</f>
        <v>5.8206798334546646</v>
      </c>
      <c r="F129" s="26">
        <f>E129*$D$41</f>
        <v>2.9103399167273323</v>
      </c>
      <c r="G129" s="18">
        <v>0</v>
      </c>
      <c r="H129" s="26">
        <f>G129-($D$42*$D$36/$D$39)</f>
        <v>-1.0278258823529414</v>
      </c>
      <c r="I129" s="52">
        <f t="shared" si="16"/>
        <v>-1.4079806607574541E-4</v>
      </c>
    </row>
    <row r="130" spans="2:9" x14ac:dyDescent="0.25">
      <c r="B130" s="18">
        <v>103</v>
      </c>
      <c r="C130" s="20" t="s">
        <v>95</v>
      </c>
      <c r="D130" s="18" t="s">
        <v>100</v>
      </c>
      <c r="E130" s="18">
        <v>0</v>
      </c>
      <c r="F130" s="26">
        <v>0</v>
      </c>
      <c r="G130" s="27">
        <f>$D$27*($D$29-U16)*$D$33*$D$34*$D$36/($D$32*$D$38)</f>
        <v>134.03843193770163</v>
      </c>
      <c r="H130" s="27">
        <f>(G130*$D$41)-($D$42*$D$36/$D$39)</f>
        <v>65.991390086497873</v>
      </c>
      <c r="I130" s="52">
        <f t="shared" si="16"/>
        <v>9.0399164502051894E-3</v>
      </c>
    </row>
    <row r="131" spans="2:9" x14ac:dyDescent="0.25">
      <c r="B131" s="18">
        <v>104</v>
      </c>
      <c r="C131" s="20" t="s">
        <v>96</v>
      </c>
      <c r="D131" s="18" t="s">
        <v>100</v>
      </c>
      <c r="E131" s="26">
        <f>$D$27*($D$29-U17)*$D$33*$D$34*$D$36/($D$31*$D$37)</f>
        <v>5.8141605412142141</v>
      </c>
      <c r="F131" s="26">
        <f>E131*$D$41</f>
        <v>2.9070802706071071</v>
      </c>
      <c r="G131" s="18">
        <v>0</v>
      </c>
      <c r="H131" s="26">
        <f>G131-($D$42*$D$36/$D$39)</f>
        <v>-1.0278258823529414</v>
      </c>
      <c r="I131" s="52">
        <f t="shared" si="16"/>
        <v>-1.4079806607574541E-4</v>
      </c>
    </row>
    <row r="132" spans="2:9" x14ac:dyDescent="0.25">
      <c r="B132" s="18">
        <v>105</v>
      </c>
      <c r="C132" s="20" t="s">
        <v>97</v>
      </c>
      <c r="D132" s="18" t="s">
        <v>100</v>
      </c>
      <c r="E132" s="18">
        <v>0</v>
      </c>
      <c r="F132" s="26">
        <v>0</v>
      </c>
      <c r="G132" s="27">
        <f>$D$27*($D$29-U17)*$D$33*$D$34*$D$36/($D$32*$D$38)</f>
        <v>133.8883058812518</v>
      </c>
      <c r="H132" s="27">
        <f>(G132*$D$41)-($D$42*$D$36/$D$39)</f>
        <v>65.916327058272955</v>
      </c>
      <c r="I132" s="52">
        <f t="shared" si="16"/>
        <v>9.0296338435990348E-3</v>
      </c>
    </row>
    <row r="133" spans="2:9" x14ac:dyDescent="0.25">
      <c r="B133" s="18">
        <v>106</v>
      </c>
      <c r="C133" s="20" t="s">
        <v>98</v>
      </c>
      <c r="D133" s="18" t="s">
        <v>100</v>
      </c>
      <c r="E133" s="26">
        <f>$D$27*($D$29-U18)*$D$33*$D$34*$D$36/($D$31*$D$37)</f>
        <v>5.8452544476445087</v>
      </c>
      <c r="F133" s="26">
        <f>E133*$D$41</f>
        <v>2.9226272238222544</v>
      </c>
      <c r="G133" s="18">
        <v>0</v>
      </c>
      <c r="H133" s="26">
        <f>G133-($D$42*$D$36/$D$39)</f>
        <v>-1.0278258823529414</v>
      </c>
      <c r="I133" s="52">
        <f t="shared" si="16"/>
        <v>-1.4079806607574541E-4</v>
      </c>
    </row>
    <row r="134" spans="2:9" x14ac:dyDescent="0.25">
      <c r="B134" s="18">
        <v>107</v>
      </c>
      <c r="C134" s="20" t="s">
        <v>99</v>
      </c>
      <c r="D134" s="18" t="s">
        <v>100</v>
      </c>
      <c r="E134" s="18">
        <v>0</v>
      </c>
      <c r="F134" s="26">
        <v>0</v>
      </c>
      <c r="G134" s="27">
        <f>$D$27*($D$29-U18)*$D$33*$D$34*$D$36/($D$32*$D$38)</f>
        <v>134.60433537952102</v>
      </c>
      <c r="H134" s="27">
        <f>(G134*$D$41)-($D$42*$D$36/$D$39)</f>
        <v>66.274341807407566</v>
      </c>
      <c r="I134" s="52">
        <f t="shared" si="16"/>
        <v>9.0786769599188449E-3</v>
      </c>
    </row>
  </sheetData>
  <mergeCells count="3">
    <mergeCell ref="B6:H11"/>
    <mergeCell ref="L49:U49"/>
    <mergeCell ref="L64:U66"/>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59796-1364-4C60-B658-A9A6267C16CE}">
  <sheetPr>
    <tabColor theme="4"/>
  </sheetPr>
  <dimension ref="B2:N39"/>
  <sheetViews>
    <sheetView showGridLines="0" zoomScale="80" zoomScaleNormal="80" workbookViewId="0">
      <selection activeCell="H32" sqref="H32"/>
    </sheetView>
  </sheetViews>
  <sheetFormatPr defaultRowHeight="15" x14ac:dyDescent="0.25"/>
  <cols>
    <col min="3" max="3" width="49.42578125" customWidth="1"/>
    <col min="5" max="5" width="68" customWidth="1"/>
    <col min="9" max="9" width="50.7109375" customWidth="1"/>
    <col min="11" max="11" width="72" customWidth="1"/>
  </cols>
  <sheetData>
    <row r="2" spans="2:14" ht="21" x14ac:dyDescent="0.35">
      <c r="B2" s="17" t="s">
        <v>30</v>
      </c>
    </row>
    <row r="3" spans="2:14" x14ac:dyDescent="0.25">
      <c r="B3" t="str">
        <f>Calculations!B3</f>
        <v>Updated 8/23/2018</v>
      </c>
    </row>
    <row r="5" spans="2:14" x14ac:dyDescent="0.25">
      <c r="B5" s="16" t="s">
        <v>209</v>
      </c>
    </row>
    <row r="6" spans="2:14" ht="15" customHeight="1" x14ac:dyDescent="0.25">
      <c r="B6" s="93" t="s">
        <v>244</v>
      </c>
      <c r="C6" s="93"/>
      <c r="D6" s="93"/>
      <c r="E6" s="93"/>
      <c r="F6" s="41"/>
      <c r="G6" s="41"/>
      <c r="H6" s="41"/>
      <c r="I6" s="41"/>
      <c r="J6" s="41"/>
      <c r="K6" s="41"/>
      <c r="L6" s="41"/>
      <c r="M6" s="41"/>
      <c r="N6" s="41"/>
    </row>
    <row r="7" spans="2:14" x14ac:dyDescent="0.25">
      <c r="B7" s="93"/>
      <c r="C7" s="93"/>
      <c r="D7" s="93"/>
      <c r="E7" s="93"/>
      <c r="F7" s="41"/>
      <c r="G7" s="41"/>
      <c r="H7" s="41"/>
      <c r="I7" s="41"/>
      <c r="J7" s="41"/>
      <c r="K7" s="41"/>
      <c r="L7" s="41"/>
      <c r="M7" s="41"/>
      <c r="N7" s="41"/>
    </row>
    <row r="8" spans="2:14" x14ac:dyDescent="0.25">
      <c r="B8" s="93"/>
      <c r="C8" s="93"/>
      <c r="D8" s="93"/>
      <c r="E8" s="93"/>
      <c r="F8" s="41"/>
      <c r="G8" s="41"/>
      <c r="H8" s="41"/>
      <c r="I8" s="41"/>
      <c r="J8" s="41"/>
      <c r="K8" s="41"/>
      <c r="L8" s="41"/>
      <c r="M8" s="41"/>
      <c r="N8" s="41"/>
    </row>
    <row r="9" spans="2:14" x14ac:dyDescent="0.25">
      <c r="B9" s="93"/>
      <c r="C9" s="93"/>
      <c r="D9" s="93"/>
      <c r="E9" s="93"/>
      <c r="F9" s="41"/>
      <c r="G9" s="41"/>
      <c r="H9" s="41"/>
      <c r="I9" s="41"/>
      <c r="J9" s="41"/>
      <c r="K9" s="41"/>
      <c r="L9" s="41"/>
      <c r="M9" s="41"/>
      <c r="N9" s="41"/>
    </row>
    <row r="10" spans="2:14" x14ac:dyDescent="0.25">
      <c r="B10" s="93"/>
      <c r="C10" s="93"/>
      <c r="D10" s="93"/>
      <c r="E10" s="93"/>
      <c r="F10" s="41"/>
      <c r="G10" s="41"/>
      <c r="H10" s="41"/>
      <c r="I10" s="41"/>
      <c r="J10" s="41"/>
      <c r="K10" s="41"/>
      <c r="L10" s="41"/>
      <c r="M10" s="41"/>
      <c r="N10" s="41"/>
    </row>
    <row r="11" spans="2:14" x14ac:dyDescent="0.25">
      <c r="B11" s="93"/>
      <c r="C11" s="93"/>
      <c r="D11" s="93"/>
      <c r="E11" s="93"/>
      <c r="F11" s="41"/>
      <c r="G11" s="41"/>
      <c r="H11" s="41"/>
      <c r="I11" s="41"/>
      <c r="J11" s="41"/>
      <c r="K11" s="41"/>
      <c r="L11" s="41"/>
      <c r="M11" s="41"/>
      <c r="N11" s="41"/>
    </row>
    <row r="13" spans="2:14" x14ac:dyDescent="0.25">
      <c r="B13" s="16" t="s">
        <v>309</v>
      </c>
      <c r="H13" s="16" t="s">
        <v>308</v>
      </c>
    </row>
    <row r="14" spans="2:14" x14ac:dyDescent="0.25">
      <c r="B14" s="19" t="s">
        <v>55</v>
      </c>
      <c r="C14" s="19" t="s">
        <v>32</v>
      </c>
      <c r="D14" s="19" t="s">
        <v>33</v>
      </c>
      <c r="E14" s="19" t="s">
        <v>34</v>
      </c>
      <c r="H14" s="19" t="s">
        <v>55</v>
      </c>
      <c r="I14" s="19" t="s">
        <v>32</v>
      </c>
      <c r="J14" s="19" t="s">
        <v>33</v>
      </c>
      <c r="K14" s="19" t="s">
        <v>34</v>
      </c>
    </row>
    <row r="15" spans="2:14" x14ac:dyDescent="0.25">
      <c r="B15" s="18">
        <v>1</v>
      </c>
      <c r="C15" s="20" t="s">
        <v>135</v>
      </c>
      <c r="D15" s="35">
        <f>12.51/10.37</f>
        <v>1.2063645130183223</v>
      </c>
      <c r="E15" s="20" t="s">
        <v>221</v>
      </c>
      <c r="H15" s="18">
        <v>1</v>
      </c>
      <c r="I15" s="20" t="s">
        <v>135</v>
      </c>
      <c r="J15" s="35">
        <f>12.51/10.37</f>
        <v>1.2063645130183223</v>
      </c>
      <c r="K15" s="20" t="s">
        <v>221</v>
      </c>
    </row>
    <row r="16" spans="2:14" x14ac:dyDescent="0.25">
      <c r="B16" s="18">
        <v>2</v>
      </c>
      <c r="C16" s="20" t="s">
        <v>136</v>
      </c>
      <c r="D16" s="35">
        <v>0.18909999999999999</v>
      </c>
      <c r="E16" s="20" t="s">
        <v>220</v>
      </c>
      <c r="H16" s="18">
        <v>2</v>
      </c>
      <c r="I16" s="20" t="s">
        <v>136</v>
      </c>
      <c r="J16" s="35">
        <v>0.18909999999999999</v>
      </c>
      <c r="K16" s="20" t="s">
        <v>220</v>
      </c>
    </row>
    <row r="17" spans="2:12" x14ac:dyDescent="0.25">
      <c r="B17" s="18">
        <v>3</v>
      </c>
      <c r="C17" s="23" t="s">
        <v>137</v>
      </c>
      <c r="D17" s="26">
        <f>AVERAGE(Calculations!F50:F65)</f>
        <v>4.0159808955484388</v>
      </c>
      <c r="E17" s="23" t="s">
        <v>150</v>
      </c>
      <c r="H17" s="18">
        <v>3</v>
      </c>
      <c r="I17" s="23" t="s">
        <v>137</v>
      </c>
      <c r="J17" s="26">
        <f>AVERAGE(Calculations!F94:F109)</f>
        <v>3.0190288636104761</v>
      </c>
      <c r="K17" s="23" t="s">
        <v>150</v>
      </c>
    </row>
    <row r="18" spans="2:12" x14ac:dyDescent="0.25">
      <c r="B18" s="18">
        <v>4</v>
      </c>
      <c r="C18" s="23" t="s">
        <v>139</v>
      </c>
      <c r="D18" s="26">
        <f>AVERAGE(Calculations!H50:H65)</f>
        <v>-1.3672373779637383</v>
      </c>
      <c r="E18" s="23" t="s">
        <v>150</v>
      </c>
      <c r="H18" s="18">
        <v>4</v>
      </c>
      <c r="I18" s="23" t="s">
        <v>139</v>
      </c>
      <c r="J18" s="26">
        <f>AVERAGE(Calculations!H94:H109)</f>
        <v>-1.0278258823529411</v>
      </c>
      <c r="K18" s="23" t="s">
        <v>150</v>
      </c>
    </row>
    <row r="19" spans="2:12" x14ac:dyDescent="0.25">
      <c r="B19" s="18">
        <v>5</v>
      </c>
      <c r="C19" s="23" t="s">
        <v>138</v>
      </c>
      <c r="D19" s="27">
        <f>AVERAGE(Calculations!H66:H81)</f>
        <v>91.112644239505784</v>
      </c>
      <c r="E19" s="23" t="s">
        <v>150</v>
      </c>
      <c r="H19" s="18">
        <v>5</v>
      </c>
      <c r="I19" s="23" t="s">
        <v>138</v>
      </c>
      <c r="J19" s="27">
        <f>AVERAGE(Calculations!H110:H125)</f>
        <v>68.494275733195607</v>
      </c>
      <c r="K19" s="23" t="s">
        <v>150</v>
      </c>
    </row>
    <row r="20" spans="2:12" x14ac:dyDescent="0.25">
      <c r="B20" s="22"/>
      <c r="C20" s="24"/>
      <c r="D20" s="22"/>
      <c r="E20" s="24"/>
      <c r="H20" s="22"/>
      <c r="I20" s="24"/>
      <c r="J20" s="22"/>
      <c r="K20" s="24"/>
    </row>
    <row r="21" spans="2:12" x14ac:dyDescent="0.25">
      <c r="B21" s="18">
        <v>6</v>
      </c>
      <c r="C21" s="23" t="s">
        <v>140</v>
      </c>
      <c r="D21" s="27">
        <f>Calculations!D35</f>
        <v>257.96931659693166</v>
      </c>
      <c r="E21" s="23" t="s">
        <v>249</v>
      </c>
      <c r="H21" s="18">
        <v>6</v>
      </c>
      <c r="I21" s="23" t="s">
        <v>140</v>
      </c>
      <c r="J21" s="27">
        <f>Calculations!D36</f>
        <v>193.92941176470592</v>
      </c>
      <c r="K21" s="23" t="s">
        <v>250</v>
      </c>
    </row>
    <row r="22" spans="2:12" x14ac:dyDescent="0.25">
      <c r="B22" s="18">
        <v>7</v>
      </c>
      <c r="C22" s="23" t="s">
        <v>141</v>
      </c>
      <c r="D22" s="27">
        <f>D21*25%</f>
        <v>64.492329149232916</v>
      </c>
      <c r="E22" s="23" t="s">
        <v>232</v>
      </c>
      <c r="H22" s="18">
        <v>7</v>
      </c>
      <c r="I22" s="23" t="s">
        <v>141</v>
      </c>
      <c r="J22" s="27">
        <f>J21*25%</f>
        <v>48.48235294117648</v>
      </c>
      <c r="K22" s="23" t="s">
        <v>232</v>
      </c>
    </row>
    <row r="23" spans="2:12" x14ac:dyDescent="0.25">
      <c r="B23" s="18">
        <v>8</v>
      </c>
      <c r="C23" s="23" t="s">
        <v>142</v>
      </c>
      <c r="D23" s="27">
        <f>D21</f>
        <v>257.96931659693166</v>
      </c>
      <c r="E23" s="23" t="s">
        <v>143</v>
      </c>
      <c r="H23" s="18">
        <v>8</v>
      </c>
      <c r="I23" s="23" t="s">
        <v>142</v>
      </c>
      <c r="J23" s="27">
        <f>J21</f>
        <v>193.92941176470592</v>
      </c>
      <c r="K23" s="23" t="s">
        <v>143</v>
      </c>
    </row>
    <row r="24" spans="2:12" x14ac:dyDescent="0.25">
      <c r="B24" s="18">
        <v>9</v>
      </c>
      <c r="C24" s="34" t="s">
        <v>144</v>
      </c>
      <c r="D24" s="39">
        <f>'Online Costs'!$F$29</f>
        <v>0.15295979241834171</v>
      </c>
      <c r="E24" s="34" t="s">
        <v>148</v>
      </c>
      <c r="F24" s="40"/>
      <c r="H24" s="18">
        <v>9</v>
      </c>
      <c r="I24" s="34" t="s">
        <v>144</v>
      </c>
      <c r="J24" s="39">
        <f>'Online Costs'!$F$29</f>
        <v>0.15295979241834171</v>
      </c>
      <c r="K24" s="34" t="s">
        <v>148</v>
      </c>
      <c r="L24" s="40"/>
    </row>
    <row r="25" spans="2:12" x14ac:dyDescent="0.25">
      <c r="B25" s="18">
        <v>10</v>
      </c>
      <c r="C25" s="34" t="s">
        <v>145</v>
      </c>
      <c r="D25" s="35">
        <f>'Online Costs'!$F$38</f>
        <v>0.26943269766631839</v>
      </c>
      <c r="E25" s="34" t="s">
        <v>148</v>
      </c>
      <c r="F25" s="40"/>
      <c r="H25" s="18">
        <v>10</v>
      </c>
      <c r="I25" s="34" t="s">
        <v>145</v>
      </c>
      <c r="J25" s="35">
        <f>'Online Costs'!$F$38</f>
        <v>0.26943269766631839</v>
      </c>
      <c r="K25" s="34" t="s">
        <v>148</v>
      </c>
      <c r="L25" s="40"/>
    </row>
    <row r="26" spans="2:12" x14ac:dyDescent="0.25">
      <c r="B26" s="18">
        <v>11</v>
      </c>
      <c r="C26" s="34" t="s">
        <v>146</v>
      </c>
      <c r="D26" s="35">
        <f>'Online Costs'!$F$47</f>
        <v>6.7283333333333334E-2</v>
      </c>
      <c r="E26" s="34" t="s">
        <v>148</v>
      </c>
      <c r="F26" s="40"/>
      <c r="H26" s="18">
        <v>11</v>
      </c>
      <c r="I26" s="34" t="s">
        <v>146</v>
      </c>
      <c r="J26" s="35">
        <f>'Online Costs'!$F$47</f>
        <v>6.7283333333333334E-2</v>
      </c>
      <c r="K26" s="34" t="s">
        <v>148</v>
      </c>
      <c r="L26" s="40"/>
    </row>
    <row r="27" spans="2:12" x14ac:dyDescent="0.25">
      <c r="B27" s="22"/>
      <c r="C27" s="24"/>
      <c r="D27" s="22"/>
      <c r="E27" s="24"/>
      <c r="H27" s="22"/>
      <c r="I27" s="24"/>
      <c r="J27" s="22"/>
      <c r="K27" s="24"/>
    </row>
    <row r="28" spans="2:12" x14ac:dyDescent="0.25">
      <c r="B28" s="18">
        <v>12</v>
      </c>
      <c r="C28" s="34" t="s">
        <v>147</v>
      </c>
      <c r="D28" s="38">
        <v>300</v>
      </c>
      <c r="E28" s="23" t="s">
        <v>149</v>
      </c>
      <c r="H28" s="18">
        <v>12</v>
      </c>
      <c r="I28" s="34" t="s">
        <v>147</v>
      </c>
      <c r="J28" s="38">
        <v>300</v>
      </c>
      <c r="K28" s="23" t="s">
        <v>149</v>
      </c>
    </row>
    <row r="31" spans="2:12" x14ac:dyDescent="0.25">
      <c r="B31" s="16" t="s">
        <v>310</v>
      </c>
      <c r="H31" s="16" t="s">
        <v>311</v>
      </c>
    </row>
    <row r="32" spans="2:12" ht="30" x14ac:dyDescent="0.25">
      <c r="B32" s="29" t="s">
        <v>55</v>
      </c>
      <c r="C32" s="29" t="s">
        <v>243</v>
      </c>
      <c r="D32" s="29" t="s">
        <v>154</v>
      </c>
      <c r="E32" s="29" t="s">
        <v>156</v>
      </c>
      <c r="F32" s="29" t="s">
        <v>155</v>
      </c>
      <c r="H32" s="29" t="s">
        <v>55</v>
      </c>
      <c r="I32" s="29" t="s">
        <v>243</v>
      </c>
      <c r="J32" s="29" t="s">
        <v>154</v>
      </c>
      <c r="K32" s="29" t="s">
        <v>156</v>
      </c>
      <c r="L32" s="29" t="s">
        <v>155</v>
      </c>
    </row>
    <row r="33" spans="2:12" x14ac:dyDescent="0.25">
      <c r="B33" s="18">
        <v>13</v>
      </c>
      <c r="C33" s="20" t="s">
        <v>151</v>
      </c>
      <c r="D33" s="38">
        <f>$D$28</f>
        <v>300</v>
      </c>
      <c r="E33" s="47">
        <f>($D$15*$D$17)+($D$16*$D$18)</f>
        <v>4.5861922491762348</v>
      </c>
      <c r="F33" s="26">
        <f>D33/E33</f>
        <v>65.413742752255004</v>
      </c>
      <c r="H33" s="18">
        <v>13</v>
      </c>
      <c r="I33" s="20" t="s">
        <v>151</v>
      </c>
      <c r="J33" s="38">
        <f>$J$28</f>
        <v>300</v>
      </c>
      <c r="K33" s="47">
        <f>($J$15*$J$17)+($J$16*$J$18)</f>
        <v>3.4476874104847699</v>
      </c>
      <c r="L33" s="26">
        <f>J33/K33</f>
        <v>87.014849167493935</v>
      </c>
    </row>
    <row r="34" spans="2:12" x14ac:dyDescent="0.25">
      <c r="B34" s="18">
        <v>14</v>
      </c>
      <c r="C34" s="20" t="s">
        <v>152</v>
      </c>
      <c r="D34" s="38">
        <f t="shared" ref="D34:D35" si="0">$D$28</f>
        <v>300</v>
      </c>
      <c r="E34" s="47">
        <f>($D$15*$D$17)+($D$16*$D$18)+($D$21*$D$24)</f>
        <v>44.045125366144376</v>
      </c>
      <c r="F34" s="26">
        <f t="shared" ref="F34:F35" si="1">D34/E34</f>
        <v>6.8111964151791771</v>
      </c>
      <c r="H34" s="18">
        <v>14</v>
      </c>
      <c r="I34" s="20" t="s">
        <v>152</v>
      </c>
      <c r="J34" s="38">
        <f t="shared" ref="J34:J35" si="2">$J$28</f>
        <v>300</v>
      </c>
      <c r="K34" s="47">
        <f>($J$15*$J$17)+($J$16*$J$18)+($J$21*$J$24)</f>
        <v>33.111089977825301</v>
      </c>
      <c r="L34" s="26">
        <f t="shared" ref="L34:L35" si="3">J34/K34</f>
        <v>9.0604084674020644</v>
      </c>
    </row>
    <row r="35" spans="2:12" x14ac:dyDescent="0.25">
      <c r="B35" s="36">
        <v>15</v>
      </c>
      <c r="C35" s="37" t="s">
        <v>153</v>
      </c>
      <c r="D35" s="38">
        <f t="shared" si="0"/>
        <v>300</v>
      </c>
      <c r="E35" s="47">
        <f>($D$15*$D$17)+($D$16*$D$18)+($D$21*$D$24)+($D$22*$D$25)+($D$23*$D$26)</f>
        <v>78.778503105969889</v>
      </c>
      <c r="F35" s="26">
        <f t="shared" si="1"/>
        <v>3.8081454733463422</v>
      </c>
      <c r="H35" s="36">
        <v>15</v>
      </c>
      <c r="I35" s="37" t="s">
        <v>153</v>
      </c>
      <c r="J35" s="38">
        <f t="shared" si="2"/>
        <v>300</v>
      </c>
      <c r="K35" s="47">
        <f>($J$15*$J$17)+($J$16*$J$18)+($J$21*$J$24)+($J$22*$J$25)+($J$23*$J$26)</f>
        <v>59.222038374879013</v>
      </c>
      <c r="L35" s="26">
        <f t="shared" si="3"/>
        <v>5.065681766996641</v>
      </c>
    </row>
    <row r="36" spans="2:12" x14ac:dyDescent="0.25">
      <c r="B36" s="24"/>
      <c r="C36" s="24"/>
      <c r="D36" s="24"/>
      <c r="E36" s="24"/>
      <c r="F36" s="24"/>
      <c r="H36" s="24"/>
      <c r="I36" s="24"/>
      <c r="J36" s="24"/>
      <c r="K36" s="24"/>
      <c r="L36" s="24"/>
    </row>
    <row r="37" spans="2:12" x14ac:dyDescent="0.25">
      <c r="B37" s="18">
        <v>16</v>
      </c>
      <c r="C37" s="20" t="s">
        <v>157</v>
      </c>
      <c r="D37" s="38">
        <f>$D$28</f>
        <v>300</v>
      </c>
      <c r="E37" s="47">
        <f>($D$16*$D$19)</f>
        <v>17.229401025690542</v>
      </c>
      <c r="F37" s="26">
        <f>D37/E37</f>
        <v>17.412096889071986</v>
      </c>
      <c r="H37" s="18">
        <v>16</v>
      </c>
      <c r="I37" s="20" t="s">
        <v>157</v>
      </c>
      <c r="J37" s="38">
        <f>$J$28</f>
        <v>300</v>
      </c>
      <c r="K37" s="47">
        <f>($J$16*$J$19)</f>
        <v>12.952267541147288</v>
      </c>
      <c r="L37" s="26">
        <f>J37/K37</f>
        <v>23.161967512402587</v>
      </c>
    </row>
    <row r="38" spans="2:12" x14ac:dyDescent="0.25">
      <c r="B38" s="18">
        <v>17</v>
      </c>
      <c r="C38" s="20" t="s">
        <v>158</v>
      </c>
      <c r="D38" s="38">
        <f t="shared" ref="D38:D39" si="4">$D$28</f>
        <v>300</v>
      </c>
      <c r="E38" s="47">
        <f>($D$16*$D$19)+($D$21*$D$24)</f>
        <v>56.688334142658682</v>
      </c>
      <c r="F38" s="26">
        <f t="shared" ref="F38:F39" si="5">D38/E38</f>
        <v>5.2920941237228254</v>
      </c>
      <c r="H38" s="18">
        <v>17</v>
      </c>
      <c r="I38" s="20" t="s">
        <v>158</v>
      </c>
      <c r="J38" s="38">
        <f t="shared" ref="J38:J39" si="6">$J$28</f>
        <v>300</v>
      </c>
      <c r="K38" s="47">
        <f>($J$16*$J$19)+($J$21*$J$24)</f>
        <v>42.615670108487819</v>
      </c>
      <c r="L38" s="26">
        <f t="shared" ref="L38:L39" si="7">J38/K38</f>
        <v>7.0396640305381144</v>
      </c>
    </row>
    <row r="39" spans="2:12" x14ac:dyDescent="0.25">
      <c r="B39" s="18">
        <v>18</v>
      </c>
      <c r="C39" s="20" t="s">
        <v>159</v>
      </c>
      <c r="D39" s="38">
        <f t="shared" si="4"/>
        <v>300</v>
      </c>
      <c r="E39" s="47">
        <f>($D$16*$D$19)+($D$21*$D$24)+($D$22*$D$25)+($D$23*$D$26)</f>
        <v>91.421711882484203</v>
      </c>
      <c r="F39" s="26">
        <f t="shared" si="5"/>
        <v>3.2814961984700926</v>
      </c>
      <c r="H39" s="18">
        <v>18</v>
      </c>
      <c r="I39" s="20" t="s">
        <v>159</v>
      </c>
      <c r="J39" s="38">
        <f t="shared" si="6"/>
        <v>300</v>
      </c>
      <c r="K39" s="47">
        <f>($J$16*$J$19)+($J$21*$J$24)+($J$22*$J$25)+($J$23*$J$26)</f>
        <v>68.726618505541524</v>
      </c>
      <c r="L39" s="26">
        <f t="shared" si="7"/>
        <v>4.3651209170986727</v>
      </c>
    </row>
  </sheetData>
  <mergeCells count="1">
    <mergeCell ref="B6:E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D1C41-E66D-49FB-99E5-D139BB162974}">
  <sheetPr>
    <tabColor theme="6"/>
  </sheetPr>
  <dimension ref="B2:H47"/>
  <sheetViews>
    <sheetView showGridLines="0" zoomScale="90" zoomScaleNormal="90" workbookViewId="0">
      <selection activeCell="A3" sqref="A3"/>
    </sheetView>
  </sheetViews>
  <sheetFormatPr defaultRowHeight="15" x14ac:dyDescent="0.25"/>
  <cols>
    <col min="2" max="2" width="14.140625" customWidth="1"/>
    <col min="3" max="3" width="19.7109375" customWidth="1"/>
    <col min="4" max="4" width="21.42578125" customWidth="1"/>
    <col min="5" max="5" width="18.7109375" customWidth="1"/>
    <col min="6" max="6" width="12.42578125" customWidth="1"/>
  </cols>
  <sheetData>
    <row r="2" spans="2:7" ht="21" x14ac:dyDescent="0.35">
      <c r="B2" s="17" t="s">
        <v>30</v>
      </c>
    </row>
    <row r="3" spans="2:7" x14ac:dyDescent="0.25">
      <c r="B3" t="str">
        <f>Calculations!B3</f>
        <v>Updated 8/23/2018</v>
      </c>
    </row>
    <row r="5" spans="2:7" x14ac:dyDescent="0.25">
      <c r="B5" s="16" t="s">
        <v>31</v>
      </c>
    </row>
    <row r="6" spans="2:7" ht="15" customHeight="1" x14ac:dyDescent="0.25">
      <c r="B6" s="93" t="s">
        <v>245</v>
      </c>
      <c r="C6" s="93"/>
      <c r="D6" s="93"/>
      <c r="E6" s="93"/>
      <c r="F6" s="93"/>
      <c r="G6" s="93"/>
    </row>
    <row r="7" spans="2:7" x14ac:dyDescent="0.25">
      <c r="B7" s="93"/>
      <c r="C7" s="93"/>
      <c r="D7" s="93"/>
      <c r="E7" s="93"/>
      <c r="F7" s="93"/>
      <c r="G7" s="93"/>
    </row>
    <row r="8" spans="2:7" x14ac:dyDescent="0.25">
      <c r="B8" s="93"/>
      <c r="C8" s="93"/>
      <c r="D8" s="93"/>
      <c r="E8" s="93"/>
      <c r="F8" s="93"/>
      <c r="G8" s="93"/>
    </row>
    <row r="9" spans="2:7" x14ac:dyDescent="0.25">
      <c r="B9" s="41"/>
      <c r="C9" s="41"/>
      <c r="D9" s="41"/>
      <c r="E9" s="41"/>
      <c r="F9" s="41"/>
      <c r="G9" s="41"/>
    </row>
    <row r="10" spans="2:7" x14ac:dyDescent="0.25">
      <c r="B10" s="16" t="s">
        <v>199</v>
      </c>
    </row>
    <row r="11" spans="2:7" x14ac:dyDescent="0.25">
      <c r="B11" s="43" t="s">
        <v>55</v>
      </c>
      <c r="C11" s="43" t="s">
        <v>161</v>
      </c>
      <c r="D11" s="19" t="s">
        <v>162</v>
      </c>
      <c r="E11" s="19" t="s">
        <v>173</v>
      </c>
      <c r="F11" s="19" t="s">
        <v>174</v>
      </c>
      <c r="G11" s="19" t="s">
        <v>163</v>
      </c>
    </row>
    <row r="12" spans="2:7" x14ac:dyDescent="0.25">
      <c r="B12" s="18">
        <v>1</v>
      </c>
      <c r="C12" s="18" t="s">
        <v>160</v>
      </c>
      <c r="D12" s="18" t="s">
        <v>170</v>
      </c>
      <c r="E12" s="18"/>
      <c r="F12" s="44">
        <v>349</v>
      </c>
      <c r="G12" s="45" t="s">
        <v>163</v>
      </c>
    </row>
    <row r="13" spans="2:7" x14ac:dyDescent="0.25">
      <c r="B13" s="18">
        <v>2</v>
      </c>
      <c r="C13" s="18" t="s">
        <v>160</v>
      </c>
      <c r="D13" s="18" t="s">
        <v>164</v>
      </c>
      <c r="E13" s="38">
        <v>297</v>
      </c>
      <c r="F13" s="44"/>
      <c r="G13" s="45" t="s">
        <v>163</v>
      </c>
    </row>
    <row r="14" spans="2:7" x14ac:dyDescent="0.25">
      <c r="B14" s="18">
        <v>3</v>
      </c>
      <c r="C14" s="18" t="s">
        <v>160</v>
      </c>
      <c r="D14" s="18" t="s">
        <v>169</v>
      </c>
      <c r="E14" s="38">
        <v>297</v>
      </c>
      <c r="F14" s="44">
        <v>349</v>
      </c>
      <c r="G14" s="45" t="s">
        <v>163</v>
      </c>
    </row>
    <row r="15" spans="2:7" x14ac:dyDescent="0.25">
      <c r="B15" s="18">
        <v>4</v>
      </c>
      <c r="C15" s="18" t="s">
        <v>160</v>
      </c>
      <c r="D15" s="18" t="s">
        <v>165</v>
      </c>
      <c r="E15" s="38">
        <v>269</v>
      </c>
      <c r="F15" s="18"/>
      <c r="G15" s="45" t="s">
        <v>163</v>
      </c>
    </row>
    <row r="16" spans="2:7" x14ac:dyDescent="0.25">
      <c r="B16" s="18">
        <v>5</v>
      </c>
      <c r="C16" s="18" t="s">
        <v>160</v>
      </c>
      <c r="D16" s="18" t="s">
        <v>166</v>
      </c>
      <c r="E16" s="38">
        <v>299</v>
      </c>
      <c r="F16" s="18"/>
      <c r="G16" s="45" t="s">
        <v>163</v>
      </c>
    </row>
    <row r="17" spans="2:7" x14ac:dyDescent="0.25">
      <c r="B17" s="18">
        <v>6</v>
      </c>
      <c r="C17" s="18" t="s">
        <v>160</v>
      </c>
      <c r="D17" s="18" t="s">
        <v>168</v>
      </c>
      <c r="E17" s="38">
        <v>300</v>
      </c>
      <c r="F17" s="18"/>
      <c r="G17" s="45" t="s">
        <v>163</v>
      </c>
    </row>
    <row r="18" spans="2:7" x14ac:dyDescent="0.25">
      <c r="B18" s="18">
        <v>7</v>
      </c>
      <c r="C18" s="18" t="s">
        <v>160</v>
      </c>
      <c r="D18" s="18" t="s">
        <v>167</v>
      </c>
      <c r="E18" s="38">
        <v>268.95999999999998</v>
      </c>
      <c r="F18" s="18"/>
      <c r="G18" s="45" t="s">
        <v>163</v>
      </c>
    </row>
    <row r="19" spans="2:7" x14ac:dyDescent="0.25">
      <c r="G19" s="42"/>
    </row>
    <row r="20" spans="2:7" x14ac:dyDescent="0.25">
      <c r="B20" s="16" t="s">
        <v>196</v>
      </c>
      <c r="G20" s="42"/>
    </row>
    <row r="21" spans="2:7" x14ac:dyDescent="0.25">
      <c r="B21" s="43" t="s">
        <v>55</v>
      </c>
      <c r="C21" s="43" t="s">
        <v>171</v>
      </c>
      <c r="D21" s="43" t="s">
        <v>172</v>
      </c>
      <c r="E21" s="43" t="s">
        <v>175</v>
      </c>
      <c r="F21" s="43" t="s">
        <v>176</v>
      </c>
      <c r="G21" s="43" t="s">
        <v>163</v>
      </c>
    </row>
    <row r="22" spans="2:7" x14ac:dyDescent="0.25">
      <c r="B22" s="18">
        <v>8</v>
      </c>
      <c r="C22" s="18" t="s">
        <v>184</v>
      </c>
      <c r="D22" s="18">
        <v>89</v>
      </c>
      <c r="E22" s="47">
        <v>11.25</v>
      </c>
      <c r="F22" s="47">
        <f>E22/D22</f>
        <v>0.12640449438202248</v>
      </c>
      <c r="G22" s="45" t="s">
        <v>163</v>
      </c>
    </row>
    <row r="23" spans="2:7" x14ac:dyDescent="0.25">
      <c r="B23" s="18">
        <v>9</v>
      </c>
      <c r="C23" s="18" t="s">
        <v>185</v>
      </c>
      <c r="D23" s="18">
        <v>140</v>
      </c>
      <c r="E23" s="47">
        <v>9.98</v>
      </c>
      <c r="F23" s="47">
        <f>E23/D23</f>
        <v>7.1285714285714286E-2</v>
      </c>
      <c r="G23" s="45" t="s">
        <v>163</v>
      </c>
    </row>
    <row r="24" spans="2:7" x14ac:dyDescent="0.25">
      <c r="B24" s="18">
        <v>10</v>
      </c>
      <c r="C24" s="18" t="s">
        <v>186</v>
      </c>
      <c r="D24" s="18">
        <v>123</v>
      </c>
      <c r="E24" s="47">
        <v>12.87</v>
      </c>
      <c r="F24" s="47">
        <f>E24/D24</f>
        <v>0.10463414634146341</v>
      </c>
      <c r="G24" s="45" t="s">
        <v>163</v>
      </c>
    </row>
    <row r="25" spans="2:7" x14ac:dyDescent="0.25">
      <c r="B25" s="18">
        <v>11</v>
      </c>
      <c r="C25" s="18" t="s">
        <v>187</v>
      </c>
      <c r="D25" s="18">
        <v>96</v>
      </c>
      <c r="E25" s="47">
        <v>17.940000000000001</v>
      </c>
      <c r="F25" s="47">
        <f t="shared" ref="F25:F28" si="0">E25/D25</f>
        <v>0.18687500000000001</v>
      </c>
      <c r="G25" s="45" t="s">
        <v>163</v>
      </c>
    </row>
    <row r="26" spans="2:7" x14ac:dyDescent="0.25">
      <c r="B26" s="18">
        <v>12</v>
      </c>
      <c r="C26" s="18" t="s">
        <v>188</v>
      </c>
      <c r="D26" s="18">
        <v>96</v>
      </c>
      <c r="E26" s="47">
        <v>13.44</v>
      </c>
      <c r="F26" s="47">
        <f t="shared" si="0"/>
        <v>0.13999999999999999</v>
      </c>
      <c r="G26" s="45" t="s">
        <v>163</v>
      </c>
    </row>
    <row r="27" spans="2:7" x14ac:dyDescent="0.25">
      <c r="B27" s="18">
        <v>13</v>
      </c>
      <c r="C27" s="18" t="s">
        <v>189</v>
      </c>
      <c r="D27" s="18">
        <v>75</v>
      </c>
      <c r="E27" s="47">
        <v>17.97</v>
      </c>
      <c r="F27" s="47">
        <f t="shared" si="0"/>
        <v>0.23959999999999998</v>
      </c>
      <c r="G27" s="45" t="s">
        <v>163</v>
      </c>
    </row>
    <row r="28" spans="2:7" x14ac:dyDescent="0.25">
      <c r="B28" s="18">
        <v>14</v>
      </c>
      <c r="C28" s="18" t="s">
        <v>190</v>
      </c>
      <c r="D28" s="18">
        <v>99</v>
      </c>
      <c r="E28" s="47">
        <v>19.989999999999998</v>
      </c>
      <c r="F28" s="47">
        <f t="shared" si="0"/>
        <v>0.20191919191919191</v>
      </c>
      <c r="G28" s="45" t="s">
        <v>163</v>
      </c>
    </row>
    <row r="29" spans="2:7" x14ac:dyDescent="0.25">
      <c r="E29" s="46" t="s">
        <v>182</v>
      </c>
      <c r="F29" s="48">
        <f>AVERAGE(F22:F28)</f>
        <v>0.15295979241834171</v>
      </c>
      <c r="G29" s="42"/>
    </row>
    <row r="30" spans="2:7" x14ac:dyDescent="0.25">
      <c r="G30" s="42"/>
    </row>
    <row r="31" spans="2:7" x14ac:dyDescent="0.25">
      <c r="B31" s="16" t="s">
        <v>183</v>
      </c>
      <c r="G31" s="42"/>
    </row>
    <row r="32" spans="2:7" x14ac:dyDescent="0.25">
      <c r="B32" s="43" t="s">
        <v>55</v>
      </c>
      <c r="C32" s="43" t="s">
        <v>171</v>
      </c>
      <c r="D32" s="19" t="s">
        <v>172</v>
      </c>
      <c r="E32" s="19" t="s">
        <v>175</v>
      </c>
      <c r="F32" s="19" t="s">
        <v>176</v>
      </c>
      <c r="G32" s="19" t="s">
        <v>163</v>
      </c>
    </row>
    <row r="33" spans="2:8" x14ac:dyDescent="0.25">
      <c r="B33" s="18">
        <v>15</v>
      </c>
      <c r="C33" s="18" t="s">
        <v>177</v>
      </c>
      <c r="D33" s="27">
        <f>116/4</f>
        <v>29</v>
      </c>
      <c r="E33" s="47">
        <v>7.49</v>
      </c>
      <c r="F33" s="47">
        <f>E33/D33</f>
        <v>0.25827586206896552</v>
      </c>
      <c r="G33" s="45" t="s">
        <v>163</v>
      </c>
    </row>
    <row r="34" spans="2:8" x14ac:dyDescent="0.25">
      <c r="B34" s="18">
        <v>16</v>
      </c>
      <c r="C34" s="18" t="s">
        <v>178</v>
      </c>
      <c r="D34" s="27">
        <f>55/4</f>
        <v>13.75</v>
      </c>
      <c r="E34" s="47">
        <v>3.82</v>
      </c>
      <c r="F34" s="47">
        <f t="shared" ref="F34:F37" si="1">E34/D34</f>
        <v>0.2778181818181818</v>
      </c>
      <c r="G34" s="45" t="s">
        <v>163</v>
      </c>
    </row>
    <row r="35" spans="2:8" x14ac:dyDescent="0.25">
      <c r="B35" s="18">
        <v>17</v>
      </c>
      <c r="C35" s="18" t="s">
        <v>179</v>
      </c>
      <c r="D35" s="27">
        <v>24</v>
      </c>
      <c r="E35" s="47">
        <v>6.58</v>
      </c>
      <c r="F35" s="47">
        <f t="shared" si="1"/>
        <v>0.27416666666666667</v>
      </c>
      <c r="G35" s="45" t="s">
        <v>163</v>
      </c>
    </row>
    <row r="36" spans="2:8" x14ac:dyDescent="0.25">
      <c r="B36" s="18">
        <v>18</v>
      </c>
      <c r="C36" s="18" t="s">
        <v>180</v>
      </c>
      <c r="D36" s="27">
        <f>64/4</f>
        <v>16</v>
      </c>
      <c r="E36" s="47">
        <v>5.49</v>
      </c>
      <c r="F36" s="47">
        <f t="shared" si="1"/>
        <v>0.34312500000000001</v>
      </c>
      <c r="G36" s="45" t="s">
        <v>163</v>
      </c>
    </row>
    <row r="37" spans="2:8" x14ac:dyDescent="0.25">
      <c r="B37" s="18">
        <v>19</v>
      </c>
      <c r="C37" s="18" t="s">
        <v>181</v>
      </c>
      <c r="D37" s="27">
        <f>90/4</f>
        <v>22.5</v>
      </c>
      <c r="E37" s="47">
        <v>4.3600000000000003</v>
      </c>
      <c r="F37" s="47">
        <f t="shared" si="1"/>
        <v>0.1937777777777778</v>
      </c>
      <c r="G37" s="45" t="s">
        <v>163</v>
      </c>
    </row>
    <row r="38" spans="2:8" x14ac:dyDescent="0.25">
      <c r="E38" s="46" t="s">
        <v>182</v>
      </c>
      <c r="F38" s="48">
        <f>AVERAGE(F33:F37)</f>
        <v>0.26943269766631839</v>
      </c>
      <c r="H38" s="50" t="s">
        <v>198</v>
      </c>
    </row>
    <row r="40" spans="2:8" x14ac:dyDescent="0.25">
      <c r="B40" s="16" t="s">
        <v>197</v>
      </c>
    </row>
    <row r="41" spans="2:8" x14ac:dyDescent="0.25">
      <c r="B41" s="43" t="s">
        <v>55</v>
      </c>
      <c r="C41" s="19" t="s">
        <v>171</v>
      </c>
      <c r="D41" s="19" t="s">
        <v>172</v>
      </c>
      <c r="E41" s="19" t="s">
        <v>175</v>
      </c>
      <c r="F41" s="19" t="s">
        <v>176</v>
      </c>
      <c r="G41" s="49" t="s">
        <v>163</v>
      </c>
    </row>
    <row r="42" spans="2:8" x14ac:dyDescent="0.25">
      <c r="B42" s="18">
        <v>20</v>
      </c>
      <c r="C42" s="18" t="s">
        <v>191</v>
      </c>
      <c r="D42" s="18">
        <v>150</v>
      </c>
      <c r="E42" s="47">
        <v>9.94</v>
      </c>
      <c r="F42" s="47">
        <f>E42/D42</f>
        <v>6.6266666666666668E-2</v>
      </c>
      <c r="G42" s="45" t="s">
        <v>163</v>
      </c>
    </row>
    <row r="43" spans="2:8" x14ac:dyDescent="0.25">
      <c r="B43" s="18">
        <v>21</v>
      </c>
      <c r="C43" s="18" t="s">
        <v>192</v>
      </c>
      <c r="D43" s="18">
        <v>120</v>
      </c>
      <c r="E43" s="18">
        <v>7.99</v>
      </c>
      <c r="F43" s="47">
        <f t="shared" ref="F43:F46" si="2">E43/D43</f>
        <v>6.6583333333333342E-2</v>
      </c>
      <c r="G43" s="45" t="s">
        <v>163</v>
      </c>
    </row>
    <row r="44" spans="2:8" x14ac:dyDescent="0.25">
      <c r="B44" s="18">
        <v>22</v>
      </c>
      <c r="C44" s="18" t="s">
        <v>193</v>
      </c>
      <c r="D44" s="18">
        <v>150</v>
      </c>
      <c r="E44" s="18">
        <v>9.94</v>
      </c>
      <c r="F44" s="47">
        <f t="shared" si="2"/>
        <v>6.6266666666666668E-2</v>
      </c>
      <c r="G44" s="45" t="s">
        <v>163</v>
      </c>
    </row>
    <row r="45" spans="2:8" x14ac:dyDescent="0.25">
      <c r="B45" s="18">
        <v>23</v>
      </c>
      <c r="C45" s="18" t="s">
        <v>194</v>
      </c>
      <c r="D45" s="18">
        <v>150</v>
      </c>
      <c r="E45" s="18">
        <v>8.9700000000000006</v>
      </c>
      <c r="F45" s="47">
        <f t="shared" si="2"/>
        <v>5.9800000000000006E-2</v>
      </c>
      <c r="G45" s="45" t="s">
        <v>163</v>
      </c>
    </row>
    <row r="46" spans="2:8" x14ac:dyDescent="0.25">
      <c r="B46" s="18">
        <v>24</v>
      </c>
      <c r="C46" s="18" t="s">
        <v>195</v>
      </c>
      <c r="D46" s="18">
        <v>60</v>
      </c>
      <c r="E46" s="18">
        <v>4.6500000000000004</v>
      </c>
      <c r="F46" s="47">
        <f t="shared" si="2"/>
        <v>7.7499999999999999E-2</v>
      </c>
      <c r="G46" s="45" t="s">
        <v>163</v>
      </c>
    </row>
    <row r="47" spans="2:8" x14ac:dyDescent="0.25">
      <c r="E47" s="46" t="s">
        <v>182</v>
      </c>
      <c r="F47" s="48">
        <f>AVERAGE(F42:F46)</f>
        <v>6.7283333333333334E-2</v>
      </c>
    </row>
  </sheetData>
  <mergeCells count="1">
    <mergeCell ref="B6:G8"/>
  </mergeCells>
  <hyperlinks>
    <hyperlink ref="G12" r:id="rId1" xr:uid="{8352EF46-279E-4288-BDB0-E275107D02F4}"/>
    <hyperlink ref="G13" r:id="rId2" xr:uid="{69684596-28E8-48C0-ADBF-C7B9544011C7}"/>
    <hyperlink ref="G14" r:id="rId3" xr:uid="{D1B64A2C-EFF0-44A4-80B9-0CE904561E5B}"/>
    <hyperlink ref="G15" r:id="rId4" xr:uid="{D290F108-89C4-4C1F-800E-B6E2E381D0D8}"/>
    <hyperlink ref="G16" r:id="rId5" xr:uid="{F775C87D-A4C7-4A1E-9C9F-BF5CF357958A}"/>
    <hyperlink ref="G17" r:id="rId6" xr:uid="{91E77D7A-FACE-4C79-90B6-1D34A55D9999}"/>
    <hyperlink ref="G18" r:id="rId7" xr:uid="{9854F9D2-8F6F-43D8-AFB3-6ED41968E882}"/>
    <hyperlink ref="G22" r:id="rId8" xr:uid="{EB22AD44-2836-4858-B228-FF106C2DC275}"/>
    <hyperlink ref="G23" r:id="rId9" xr:uid="{D1C745B7-CF5F-4094-911C-24FD5B094768}"/>
    <hyperlink ref="G24" r:id="rId10" xr:uid="{1DAB92D6-8361-44E7-8D04-DC1E007596DD}"/>
    <hyperlink ref="G25" r:id="rId11" xr:uid="{6C8F0591-6016-4D2F-91F8-7E1126DB6DDC}"/>
    <hyperlink ref="G26" r:id="rId12" xr:uid="{2470F65C-FBAF-4E69-8D05-A61E88AC814B}"/>
    <hyperlink ref="G27" r:id="rId13" xr:uid="{5B0D5354-E981-4DF8-8576-76221708E47D}"/>
    <hyperlink ref="G28" r:id="rId14" xr:uid="{9050E5B1-6ADA-42EE-8CE7-B868D8351336}"/>
    <hyperlink ref="G33" r:id="rId15" xr:uid="{81EB7A14-3A9F-46AE-A65E-9AF7A5E8E616}"/>
    <hyperlink ref="G34" r:id="rId16" xr:uid="{A0F2B695-0052-431B-913C-C97F64CAAC1D}"/>
    <hyperlink ref="G35" r:id="rId17" xr:uid="{C97CBE0F-3CBE-4438-9159-C9FF5A698CF8}"/>
    <hyperlink ref="G36" r:id="rId18" xr:uid="{8F39C5E4-631A-458A-8735-0508CDA43EDE}"/>
    <hyperlink ref="G37" r:id="rId19" xr:uid="{F396A48F-7C82-4896-B758-75F8DDB066F3}"/>
    <hyperlink ref="G42" r:id="rId20" xr:uid="{9CD980AF-B6ED-48A7-8D9C-16AEF05E32EE}"/>
    <hyperlink ref="G43" r:id="rId21" xr:uid="{E7B8EC76-EB40-4622-96ED-92DDC7F54EF1}"/>
    <hyperlink ref="G44" r:id="rId22" xr:uid="{5980A210-10E7-430D-9EC9-746BC03C6BD1}"/>
    <hyperlink ref="G45" r:id="rId23" xr:uid="{6B547E67-180B-4394-B1FB-C4BE2D94DC09}"/>
    <hyperlink ref="G46" r:id="rId24" xr:uid="{B67F7985-0F70-40F9-BAB7-CB1D5EDCC447}"/>
  </hyperlinks>
  <pageMargins left="0.7" right="0.7" top="0.75" bottom="0.75" header="0.3" footer="0.3"/>
  <pageSetup orientation="portrait" r:id="rId2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F120C-B4DD-4786-86D1-EEA81BE6180B}">
  <sheetPr>
    <tabColor theme="6"/>
  </sheetPr>
  <dimension ref="B2:J29"/>
  <sheetViews>
    <sheetView showGridLines="0" zoomScale="90" zoomScaleNormal="90" workbookViewId="0">
      <selection activeCell="F4" sqref="F4"/>
    </sheetView>
  </sheetViews>
  <sheetFormatPr defaultRowHeight="15" x14ac:dyDescent="0.25"/>
  <cols>
    <col min="3" max="3" width="36.85546875" customWidth="1"/>
    <col min="4" max="9" width="18.28515625" customWidth="1"/>
    <col min="10" max="10" width="20.85546875" customWidth="1"/>
  </cols>
  <sheetData>
    <row r="2" spans="2:10" ht="21" x14ac:dyDescent="0.35">
      <c r="B2" s="17" t="s">
        <v>30</v>
      </c>
    </row>
    <row r="3" spans="2:10" x14ac:dyDescent="0.25">
      <c r="B3" t="str">
        <f>Calculations!B3</f>
        <v>Updated 8/23/2018</v>
      </c>
    </row>
    <row r="5" spans="2:10" x14ac:dyDescent="0.25">
      <c r="B5" s="16" t="s">
        <v>255</v>
      </c>
    </row>
    <row r="6" spans="2:10" ht="15" customHeight="1" x14ac:dyDescent="0.25">
      <c r="B6" s="93" t="s">
        <v>314</v>
      </c>
      <c r="C6" s="93"/>
      <c r="D6" s="93"/>
      <c r="E6" s="93"/>
      <c r="F6" s="93"/>
      <c r="G6" s="93"/>
      <c r="H6" s="93"/>
      <c r="I6" s="93"/>
      <c r="J6" s="93"/>
    </row>
    <row r="7" spans="2:10" x14ac:dyDescent="0.25">
      <c r="B7" s="93"/>
      <c r="C7" s="93"/>
      <c r="D7" s="93"/>
      <c r="E7" s="93"/>
      <c r="F7" s="93"/>
      <c r="G7" s="93"/>
      <c r="H7" s="93"/>
      <c r="I7" s="93"/>
      <c r="J7" s="93"/>
    </row>
    <row r="8" spans="2:10" x14ac:dyDescent="0.25">
      <c r="B8" s="93"/>
      <c r="C8" s="93"/>
      <c r="D8" s="93"/>
      <c r="E8" s="93"/>
      <c r="F8" s="93"/>
      <c r="G8" s="93"/>
      <c r="H8" s="93"/>
      <c r="I8" s="93"/>
      <c r="J8" s="93"/>
    </row>
    <row r="9" spans="2:10" x14ac:dyDescent="0.25">
      <c r="B9" s="93"/>
      <c r="C9" s="93"/>
      <c r="D9" s="93"/>
      <c r="E9" s="93"/>
      <c r="F9" s="93"/>
      <c r="G9" s="93"/>
      <c r="H9" s="93"/>
      <c r="I9" s="93"/>
      <c r="J9" s="93"/>
    </row>
    <row r="10" spans="2:10" x14ac:dyDescent="0.25">
      <c r="B10" s="93"/>
      <c r="C10" s="93"/>
      <c r="D10" s="93"/>
      <c r="E10" s="93"/>
      <c r="F10" s="93"/>
      <c r="G10" s="93"/>
      <c r="H10" s="93"/>
      <c r="I10" s="93"/>
      <c r="J10" s="93"/>
    </row>
    <row r="11" spans="2:10" x14ac:dyDescent="0.25">
      <c r="B11" s="93"/>
      <c r="C11" s="93"/>
      <c r="D11" s="93"/>
      <c r="E11" s="93"/>
      <c r="F11" s="93"/>
      <c r="G11" s="93"/>
      <c r="H11" s="93"/>
      <c r="I11" s="93"/>
      <c r="J11" s="93"/>
    </row>
    <row r="12" spans="2:10" x14ac:dyDescent="0.25">
      <c r="C12" s="60"/>
      <c r="D12" s="60"/>
      <c r="E12" s="60"/>
      <c r="F12" s="60"/>
      <c r="G12" s="60"/>
      <c r="H12" s="60"/>
      <c r="I12" s="60"/>
    </row>
    <row r="13" spans="2:10" x14ac:dyDescent="0.25">
      <c r="B13" s="16" t="s">
        <v>275</v>
      </c>
    </row>
    <row r="14" spans="2:10" x14ac:dyDescent="0.25">
      <c r="B14" s="71" t="s">
        <v>277</v>
      </c>
      <c r="C14" s="61"/>
      <c r="D14" s="61"/>
      <c r="E14" s="61"/>
      <c r="F14" s="61"/>
      <c r="G14" s="61"/>
      <c r="H14" s="61"/>
    </row>
    <row r="15" spans="2:10" ht="15" customHeight="1" x14ac:dyDescent="0.25">
      <c r="B15" s="103" t="s">
        <v>274</v>
      </c>
      <c r="C15" s="103"/>
      <c r="D15" s="103"/>
      <c r="E15" s="103"/>
      <c r="F15" s="103"/>
      <c r="G15" s="103"/>
      <c r="H15" s="103"/>
      <c r="I15" s="103"/>
      <c r="J15" s="103"/>
    </row>
    <row r="16" spans="2:10" ht="15.75" customHeight="1" x14ac:dyDescent="0.25">
      <c r="C16" s="62"/>
      <c r="D16" s="97" t="s">
        <v>257</v>
      </c>
      <c r="E16" s="98"/>
      <c r="F16" s="98"/>
      <c r="G16" s="98"/>
      <c r="H16" s="98"/>
      <c r="I16" s="99"/>
    </row>
    <row r="17" spans="2:10" ht="16.5" customHeight="1" thickBot="1" x14ac:dyDescent="0.3">
      <c r="C17" s="62"/>
      <c r="D17" s="63"/>
      <c r="E17" s="100" t="s">
        <v>258</v>
      </c>
      <c r="F17" s="101"/>
      <c r="G17" s="101"/>
      <c r="H17" s="101"/>
      <c r="I17" s="102"/>
    </row>
    <row r="18" spans="2:10" s="79" customFormat="1" ht="42" customHeight="1" x14ac:dyDescent="0.25">
      <c r="B18" s="29" t="s">
        <v>55</v>
      </c>
      <c r="C18" s="73" t="s">
        <v>265</v>
      </c>
      <c r="D18" s="74" t="s">
        <v>259</v>
      </c>
      <c r="E18" s="75" t="s">
        <v>260</v>
      </c>
      <c r="F18" s="76" t="s">
        <v>261</v>
      </c>
      <c r="G18" s="74" t="s">
        <v>262</v>
      </c>
      <c r="H18" s="75" t="s">
        <v>263</v>
      </c>
      <c r="I18" s="77" t="s">
        <v>264</v>
      </c>
      <c r="J18" s="78" t="s">
        <v>283</v>
      </c>
    </row>
    <row r="19" spans="2:10" x14ac:dyDescent="0.25">
      <c r="B19" s="80">
        <v>1</v>
      </c>
      <c r="C19" s="72" t="s">
        <v>266</v>
      </c>
      <c r="D19" s="64">
        <v>1.2</v>
      </c>
      <c r="E19" s="68">
        <v>0.7</v>
      </c>
      <c r="F19" s="67" t="s">
        <v>267</v>
      </c>
      <c r="G19" s="64" t="s">
        <v>267</v>
      </c>
      <c r="H19" s="68">
        <v>0.3</v>
      </c>
      <c r="I19" s="70" t="s">
        <v>267</v>
      </c>
      <c r="J19" s="65">
        <f>AVERAGE(0)</f>
        <v>0</v>
      </c>
    </row>
    <row r="20" spans="2:10" x14ac:dyDescent="0.25">
      <c r="B20" s="80">
        <v>2</v>
      </c>
      <c r="C20" s="72" t="s">
        <v>268</v>
      </c>
      <c r="D20" s="64">
        <v>59.8</v>
      </c>
      <c r="E20" s="68">
        <v>41.6</v>
      </c>
      <c r="F20" s="67">
        <v>4.7</v>
      </c>
      <c r="G20" s="64">
        <v>3.5</v>
      </c>
      <c r="H20" s="68">
        <v>6.2</v>
      </c>
      <c r="I20" s="70">
        <v>4</v>
      </c>
      <c r="J20" s="65">
        <f>AVERAGE(1,4)</f>
        <v>2.5</v>
      </c>
    </row>
    <row r="21" spans="2:10" x14ac:dyDescent="0.25">
      <c r="B21" s="80">
        <v>3</v>
      </c>
      <c r="C21" s="72" t="s">
        <v>269</v>
      </c>
      <c r="D21" s="64">
        <v>26.9</v>
      </c>
      <c r="E21" s="68">
        <v>21.6</v>
      </c>
      <c r="F21" s="67">
        <v>1.2</v>
      </c>
      <c r="G21" s="64">
        <v>0.7</v>
      </c>
      <c r="H21" s="68">
        <v>1.6</v>
      </c>
      <c r="I21" s="70">
        <v>1.7</v>
      </c>
      <c r="J21" s="65">
        <f>AVERAGE(5,9)</f>
        <v>7</v>
      </c>
    </row>
    <row r="22" spans="2:10" x14ac:dyDescent="0.25">
      <c r="B22" s="80">
        <v>4</v>
      </c>
      <c r="C22" s="72" t="s">
        <v>270</v>
      </c>
      <c r="D22" s="64">
        <v>8</v>
      </c>
      <c r="E22" s="68">
        <v>6.6</v>
      </c>
      <c r="F22" s="67">
        <v>0.4</v>
      </c>
      <c r="G22" s="64" t="s">
        <v>267</v>
      </c>
      <c r="H22" s="68">
        <v>0.4</v>
      </c>
      <c r="I22" s="70">
        <v>0.5</v>
      </c>
      <c r="J22" s="65">
        <f>AVERAGE(10,15)</f>
        <v>12.5</v>
      </c>
    </row>
    <row r="23" spans="2:10" x14ac:dyDescent="0.25">
      <c r="B23" s="80">
        <v>5</v>
      </c>
      <c r="C23" s="72" t="s">
        <v>271</v>
      </c>
      <c r="D23" s="64">
        <v>1.4</v>
      </c>
      <c r="E23" s="68">
        <v>1.2</v>
      </c>
      <c r="F23" s="67" t="s">
        <v>267</v>
      </c>
      <c r="G23" s="64" t="s">
        <v>267</v>
      </c>
      <c r="H23" s="68" t="s">
        <v>267</v>
      </c>
      <c r="I23" s="70" t="s">
        <v>272</v>
      </c>
      <c r="J23" s="65">
        <f>AVERAGE(15)</f>
        <v>15</v>
      </c>
    </row>
    <row r="24" spans="2:10" ht="15.75" thickBot="1" x14ac:dyDescent="0.3">
      <c r="B24" s="80">
        <v>6</v>
      </c>
      <c r="C24" s="72" t="s">
        <v>273</v>
      </c>
      <c r="D24" s="64">
        <v>20.8</v>
      </c>
      <c r="E24" s="69">
        <v>2.2000000000000002</v>
      </c>
      <c r="F24" s="67">
        <v>0.6</v>
      </c>
      <c r="G24" s="64">
        <v>4.8</v>
      </c>
      <c r="H24" s="69">
        <v>12.6</v>
      </c>
      <c r="I24" s="70">
        <v>0.6</v>
      </c>
      <c r="J24" s="66">
        <f t="shared" ref="J24" si="0">AVERAGE(0)</f>
        <v>0</v>
      </c>
    </row>
    <row r="26" spans="2:10" x14ac:dyDescent="0.25">
      <c r="B26" s="16" t="s">
        <v>276</v>
      </c>
    </row>
    <row r="27" spans="2:10" ht="37.5" customHeight="1" x14ac:dyDescent="0.25">
      <c r="B27" s="29" t="s">
        <v>55</v>
      </c>
      <c r="C27" s="29" t="s">
        <v>278</v>
      </c>
      <c r="D27" s="29" t="s">
        <v>279</v>
      </c>
      <c r="E27" s="29" t="s">
        <v>280</v>
      </c>
      <c r="F27" s="95" t="s">
        <v>34</v>
      </c>
      <c r="G27" s="95"/>
      <c r="H27" s="95"/>
    </row>
    <row r="28" spans="2:10" ht="15" customHeight="1" x14ac:dyDescent="0.25">
      <c r="B28" s="18">
        <v>7</v>
      </c>
      <c r="C28" s="20" t="s">
        <v>313</v>
      </c>
      <c r="D28" s="81">
        <f>SUMPRODUCT(E19:E23,J19:J23)/SUM(E19:E23)</f>
        <v>4.9609483960948397</v>
      </c>
      <c r="E28" s="27">
        <f>D28*52</f>
        <v>257.96931659693166</v>
      </c>
      <c r="F28" s="96" t="s">
        <v>284</v>
      </c>
      <c r="G28" s="96"/>
      <c r="H28" s="96"/>
    </row>
    <row r="29" spans="2:10" x14ac:dyDescent="0.25">
      <c r="B29" s="18">
        <v>8</v>
      </c>
      <c r="C29" s="20" t="s">
        <v>312</v>
      </c>
      <c r="D29" s="81">
        <f>SUMPRODUCT(H19:H22,J19:J22)/SUM(H19:H22)</f>
        <v>3.7294117647058829</v>
      </c>
      <c r="E29" s="27">
        <f>D29*52</f>
        <v>193.92941176470592</v>
      </c>
      <c r="F29" s="96"/>
      <c r="G29" s="96"/>
      <c r="H29" s="96"/>
    </row>
  </sheetData>
  <mergeCells count="6">
    <mergeCell ref="B6:J11"/>
    <mergeCell ref="F27:H27"/>
    <mergeCell ref="F28:H29"/>
    <mergeCell ref="D16:I16"/>
    <mergeCell ref="E17:I17"/>
    <mergeCell ref="B15:J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6C341-22B4-4676-8695-7513FDE1D457}">
  <sheetPr>
    <tabColor theme="6"/>
  </sheetPr>
  <dimension ref="B2:C17"/>
  <sheetViews>
    <sheetView showGridLines="0" zoomScale="90" zoomScaleNormal="90" workbookViewId="0">
      <selection activeCell="C15" sqref="C15"/>
    </sheetView>
  </sheetViews>
  <sheetFormatPr defaultRowHeight="15" x14ac:dyDescent="0.25"/>
  <cols>
    <col min="2" max="2" width="29.140625" customWidth="1"/>
    <col min="3" max="3" width="121.140625" customWidth="1"/>
  </cols>
  <sheetData>
    <row r="2" spans="2:3" ht="21" x14ac:dyDescent="0.35">
      <c r="B2" s="17" t="s">
        <v>30</v>
      </c>
    </row>
    <row r="3" spans="2:3" x14ac:dyDescent="0.25">
      <c r="B3" t="str">
        <f>Calculations!B3</f>
        <v>Updated 8/23/2018</v>
      </c>
    </row>
    <row r="5" spans="2:3" x14ac:dyDescent="0.25">
      <c r="B5" s="16" t="s">
        <v>211</v>
      </c>
    </row>
    <row r="6" spans="2:3" x14ac:dyDescent="0.25">
      <c r="B6" s="29" t="s">
        <v>213</v>
      </c>
      <c r="C6" s="29" t="s">
        <v>212</v>
      </c>
    </row>
    <row r="7" spans="2:3" ht="30" x14ac:dyDescent="0.25">
      <c r="B7" s="51" t="s">
        <v>222</v>
      </c>
      <c r="C7" s="51" t="s">
        <v>218</v>
      </c>
    </row>
    <row r="8" spans="2:3" x14ac:dyDescent="0.25">
      <c r="B8" s="51" t="s">
        <v>223</v>
      </c>
      <c r="C8" s="51" t="s">
        <v>253</v>
      </c>
    </row>
    <row r="9" spans="2:3" ht="30" x14ac:dyDescent="0.25">
      <c r="B9" s="51" t="s">
        <v>225</v>
      </c>
      <c r="C9" s="51" t="s">
        <v>219</v>
      </c>
    </row>
    <row r="10" spans="2:3" ht="45" x14ac:dyDescent="0.25">
      <c r="B10" s="51" t="s">
        <v>226</v>
      </c>
      <c r="C10" s="51" t="s">
        <v>214</v>
      </c>
    </row>
    <row r="11" spans="2:3" ht="45" x14ac:dyDescent="0.25">
      <c r="B11" s="51" t="s">
        <v>227</v>
      </c>
      <c r="C11" s="51" t="s">
        <v>315</v>
      </c>
    </row>
    <row r="12" spans="2:3" ht="30" x14ac:dyDescent="0.25">
      <c r="B12" s="51" t="s">
        <v>224</v>
      </c>
      <c r="C12" s="51" t="s">
        <v>215</v>
      </c>
    </row>
    <row r="13" spans="2:3" ht="45" x14ac:dyDescent="0.25">
      <c r="B13" s="51" t="s">
        <v>228</v>
      </c>
      <c r="C13" s="51" t="s">
        <v>216</v>
      </c>
    </row>
    <row r="14" spans="2:3" ht="45" x14ac:dyDescent="0.25">
      <c r="B14" s="51" t="s">
        <v>251</v>
      </c>
      <c r="C14" s="51" t="s">
        <v>252</v>
      </c>
    </row>
    <row r="15" spans="2:3" ht="30" x14ac:dyDescent="0.25">
      <c r="B15" s="51" t="s">
        <v>229</v>
      </c>
      <c r="C15" s="51" t="s">
        <v>217</v>
      </c>
    </row>
    <row r="16" spans="2:3" ht="30" x14ac:dyDescent="0.25">
      <c r="B16" s="54" t="s">
        <v>135</v>
      </c>
      <c r="C16" s="55" t="s">
        <v>230</v>
      </c>
    </row>
    <row r="17" spans="2:3" ht="30" x14ac:dyDescent="0.25">
      <c r="B17" s="54" t="s">
        <v>136</v>
      </c>
      <c r="C17" s="51" t="s">
        <v>231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Measure Summary</vt:lpstr>
      <vt:lpstr>Calculations</vt:lpstr>
      <vt:lpstr>Economics</vt:lpstr>
      <vt:lpstr>Online Costs</vt:lpstr>
      <vt:lpstr>EIA RECS</vt:lpstr>
      <vt:lpstr>References</vt:lpstr>
    </vt:vector>
  </TitlesOfParts>
  <Company>Sempra Energy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MUrrea</dc:creator>
  <cp:lastModifiedBy>Mendoza, Matthew D</cp:lastModifiedBy>
  <dcterms:created xsi:type="dcterms:W3CDTF">2013-12-03T17:31:42Z</dcterms:created>
  <dcterms:modified xsi:type="dcterms:W3CDTF">2018-12-19T20:15:29Z</dcterms:modified>
</cp:coreProperties>
</file>