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00" windowWidth="24920" windowHeight="10960" activeTab="3"/>
  </bookViews>
  <sheets>
    <sheet name="Survey site 1" sheetId="1" r:id="rId1"/>
    <sheet name="Survey site 2" sheetId="2" r:id="rId2"/>
    <sheet name="Survey site 3" sheetId="3" r:id="rId3"/>
    <sheet name="Survey site 4" sheetId="4" r:id="rId4"/>
    <sheet name="Survey site 5" sheetId="5" r:id="rId5"/>
  </sheets>
  <calcPr calcId="145621"/>
</workbook>
</file>

<file path=xl/calcChain.xml><?xml version="1.0" encoding="utf-8"?>
<calcChain xmlns="http://schemas.openxmlformats.org/spreadsheetml/2006/main">
  <c r="K51" i="1" l="1"/>
  <c r="M51" i="4" l="1"/>
  <c r="L51" i="2" l="1"/>
  <c r="M51" i="5"/>
  <c r="K46" i="1" l="1"/>
  <c r="N47" i="5" l="1"/>
  <c r="N46" i="5"/>
  <c r="M47" i="5" l="1"/>
  <c r="M46" i="5"/>
  <c r="L47" i="5"/>
  <c r="L48" i="5" s="1"/>
  <c r="L46" i="5"/>
  <c r="K47" i="5"/>
  <c r="K46" i="5"/>
  <c r="N48" i="5"/>
  <c r="M48" i="5"/>
  <c r="K48" i="5"/>
  <c r="N48" i="4"/>
  <c r="N47" i="4"/>
  <c r="N46" i="4"/>
  <c r="M47" i="4"/>
  <c r="M48" i="4" s="1"/>
  <c r="M46" i="4"/>
  <c r="L47" i="4"/>
  <c r="L46" i="4"/>
  <c r="K47" i="4"/>
  <c r="K46" i="4"/>
  <c r="L48" i="4"/>
  <c r="K48" i="4"/>
  <c r="N46" i="3"/>
  <c r="M47" i="3"/>
  <c r="M48" i="3" s="1"/>
  <c r="M46" i="3"/>
  <c r="L47" i="3"/>
  <c r="L48" i="3" s="1"/>
  <c r="L46" i="3"/>
  <c r="K47" i="3"/>
  <c r="K46" i="3"/>
  <c r="K48" i="3" s="1"/>
  <c r="M47" i="2"/>
  <c r="M46" i="2"/>
  <c r="L47" i="2"/>
  <c r="L46" i="2"/>
  <c r="L48" i="2" s="1"/>
  <c r="K47" i="2"/>
  <c r="K46" i="2"/>
  <c r="P48" i="1"/>
  <c r="J48" i="1"/>
  <c r="O47" i="1"/>
  <c r="N47" i="1"/>
  <c r="N48" i="1" s="1"/>
  <c r="M47" i="1"/>
  <c r="L47" i="1"/>
  <c r="K47" i="1"/>
  <c r="J47" i="1"/>
  <c r="P46" i="1"/>
  <c r="O46" i="1"/>
  <c r="O48" i="1" s="1"/>
  <c r="N46" i="1"/>
  <c r="M46" i="1"/>
  <c r="M48" i="1" s="1"/>
  <c r="L46" i="1"/>
  <c r="L48" i="1" s="1"/>
  <c r="K48" i="1"/>
  <c r="J46" i="1"/>
  <c r="M48" i="2" l="1"/>
  <c r="K48" i="2"/>
</calcChain>
</file>

<file path=xl/sharedStrings.xml><?xml version="1.0" encoding="utf-8"?>
<sst xmlns="http://schemas.openxmlformats.org/spreadsheetml/2006/main" count="590" uniqueCount="244">
  <si>
    <t xml:space="preserve">Survey Site </t>
  </si>
  <si>
    <t xml:space="preserve">Property Name </t>
  </si>
  <si>
    <t>Property Address</t>
  </si>
  <si>
    <t>Facility Information</t>
  </si>
  <si>
    <t>Building type</t>
  </si>
  <si>
    <t>Number of bathrooms</t>
  </si>
  <si>
    <t>Number of Kitchens</t>
  </si>
  <si>
    <t>Number of rooms</t>
  </si>
  <si>
    <t>Water heater informations</t>
  </si>
  <si>
    <t>heater 1</t>
  </si>
  <si>
    <t>heater 2</t>
  </si>
  <si>
    <t>heater 3</t>
  </si>
  <si>
    <t>Type</t>
  </si>
  <si>
    <t>Model</t>
  </si>
  <si>
    <t>Efficiency</t>
  </si>
  <si>
    <t>Input rating</t>
  </si>
  <si>
    <t>Age</t>
  </si>
  <si>
    <t>Temperature set point</t>
  </si>
  <si>
    <t>Faucets (Guest Room)</t>
  </si>
  <si>
    <t>Number of</t>
  </si>
  <si>
    <t>Location</t>
  </si>
  <si>
    <t>Presence of low flow devices(Y/N)</t>
  </si>
  <si>
    <t>Public restroom faucet</t>
  </si>
  <si>
    <t>Kitchen faucets</t>
  </si>
  <si>
    <t>Showerheads</t>
  </si>
  <si>
    <t>Pre-rinse spray valves</t>
  </si>
  <si>
    <t>Flowrate of Fixtures</t>
  </si>
  <si>
    <t>fixture 4</t>
  </si>
  <si>
    <t>Max flow rate hot water</t>
  </si>
  <si>
    <t>Max flow rate cold water</t>
  </si>
  <si>
    <t>Temperature of water</t>
  </si>
  <si>
    <t>Time takes to reach hot tempeture</t>
  </si>
  <si>
    <t>Hot water temp coming out of faucet</t>
  </si>
  <si>
    <t>Cold water temp coming out of faucet</t>
  </si>
  <si>
    <t>heater 4</t>
  </si>
  <si>
    <t>Southern California Gas Company Hot Water Survey</t>
  </si>
  <si>
    <t>Hotel (4 level w/ basement garage)</t>
  </si>
  <si>
    <t>double handle</t>
  </si>
  <si>
    <t>bathroom</t>
  </si>
  <si>
    <t>Y</t>
  </si>
  <si>
    <t>single/double handle</t>
  </si>
  <si>
    <t>lobby</t>
  </si>
  <si>
    <t>N</t>
  </si>
  <si>
    <t>kitchen</t>
  </si>
  <si>
    <t>single handle</t>
  </si>
  <si>
    <t xml:space="preserve">guest room </t>
  </si>
  <si>
    <t>unknown</t>
  </si>
  <si>
    <t xml:space="preserve">fix. 1 (Rm No. 205/sink) </t>
  </si>
  <si>
    <t>8.71 sec (250ml)</t>
  </si>
  <si>
    <t>8.38 sec (250ml)</t>
  </si>
  <si>
    <t>fix. 2 (Rm No. 205/shower)</t>
  </si>
  <si>
    <t>11.22 sec (2000ml)</t>
  </si>
  <si>
    <t>9.97 sec (2000ml)</t>
  </si>
  <si>
    <t>142F</t>
  </si>
  <si>
    <t>24.6 sec ("dry" start)</t>
  </si>
  <si>
    <t>145.3F</t>
  </si>
  <si>
    <t>73.5F</t>
  </si>
  <si>
    <t>73.2F</t>
  </si>
  <si>
    <t>fix. 3 (Lobby Men's/sink no.1)</t>
  </si>
  <si>
    <t>8.66 sec (2000ml)</t>
  </si>
  <si>
    <t>11.78 sec (2000ml)</t>
  </si>
  <si>
    <t>18.09 sec ("dry start)</t>
  </si>
  <si>
    <t>130.2F</t>
  </si>
  <si>
    <t>72.8F</t>
  </si>
  <si>
    <t>fix. 4 (Lobby Men's/sink no.2)</t>
  </si>
  <si>
    <t>19.91 sec (2000ml)</t>
  </si>
  <si>
    <t>21.12 sec (2000ml)</t>
  </si>
  <si>
    <t>4.32 sec ("run" start)</t>
  </si>
  <si>
    <t>131.1F</t>
  </si>
  <si>
    <t>72.6F</t>
  </si>
  <si>
    <t>fix. 5 (Kitchen/sink no.1)</t>
  </si>
  <si>
    <t>4.54 sec (2000ml)</t>
  </si>
  <si>
    <t>3.62 sec (2000ml)</t>
  </si>
  <si>
    <t>16.81 sec ("dry" start)</t>
  </si>
  <si>
    <t>130.1F</t>
  </si>
  <si>
    <t>71.8F</t>
  </si>
  <si>
    <t>Time to reach hot temperature</t>
  </si>
  <si>
    <t>fix. 6 (Kitchen/sink no. 2)</t>
  </si>
  <si>
    <t>4.21 sec (2000ml)</t>
  </si>
  <si>
    <t>3.72 sec (2000ml)</t>
  </si>
  <si>
    <t>19.32 sec ("dry" start)</t>
  </si>
  <si>
    <t>129.4F</t>
  </si>
  <si>
    <t>71.5F</t>
  </si>
  <si>
    <t>fix. 7 (Kitchen/pre-rinse spray)</t>
  </si>
  <si>
    <t>16.03 sec (2000ml); single handle spray (hot &amp; cold)</t>
  </si>
  <si>
    <t>Avg. Occupancy Rate</t>
  </si>
  <si>
    <t>74,360 sq. ft. / 1982</t>
  </si>
  <si>
    <t>Motel (2 level)</t>
  </si>
  <si>
    <t>22,194 sq.ft. / 1970's</t>
  </si>
  <si>
    <t>Estimate of sq. ft. / Year built</t>
  </si>
  <si>
    <t>Avg, Occupancy Rate</t>
  </si>
  <si>
    <t>guest room</t>
  </si>
  <si>
    <t>fix. 1 (Rm No. 116/sink)</t>
  </si>
  <si>
    <t>1.5 sec (250ml)</t>
  </si>
  <si>
    <t>2.84 sec (250ml)</t>
  </si>
  <si>
    <t>28.65 sec ("dry" start)</t>
  </si>
  <si>
    <t>138.2F</t>
  </si>
  <si>
    <t>fix. 2 (Rm No. 116/showerhead)</t>
  </si>
  <si>
    <t>12.75 sec (2000ml)</t>
  </si>
  <si>
    <t>13.16 sec (2000ml)</t>
  </si>
  <si>
    <t>fix. 3 (Rm No. 116/tub faucet)</t>
  </si>
  <si>
    <t>3.47 sec (2000ml)</t>
  </si>
  <si>
    <t>3.53 sec (2000ml)</t>
  </si>
  <si>
    <t>22,080 sq.ft. / 1970's</t>
  </si>
  <si>
    <t>Y and N</t>
  </si>
  <si>
    <t>fix. 1 (Guest Rm/sink no.1)</t>
  </si>
  <si>
    <t>2.10 sec (250ml)</t>
  </si>
  <si>
    <t>2.03 sec (250ml)</t>
  </si>
  <si>
    <t>35.8 sec ("dry" start)</t>
  </si>
  <si>
    <t>70.4F</t>
  </si>
  <si>
    <t>1.72 sec (250ml)</t>
  </si>
  <si>
    <t>1,35 sec (250ml)</t>
  </si>
  <si>
    <t>6.23 sec (2000ml)</t>
  </si>
  <si>
    <t>6.10 sec (2000ml)</t>
  </si>
  <si>
    <t>128.2F</t>
  </si>
  <si>
    <t>14.75 sec (2000ml); max rate</t>
  </si>
  <si>
    <t>guest bathroom</t>
  </si>
  <si>
    <t>Hotel (3 level)</t>
  </si>
  <si>
    <t>68,885 sq.ft. / 1987</t>
  </si>
  <si>
    <t>1 (not in use)</t>
  </si>
  <si>
    <t>lobby areas</t>
  </si>
  <si>
    <t>fix. 1 (Rm No. 131/sink)</t>
  </si>
  <si>
    <t>2.67 sec (250ml)</t>
  </si>
  <si>
    <t>2.65 sec (250ml)</t>
  </si>
  <si>
    <t>124.3F</t>
  </si>
  <si>
    <t>72.7F</t>
  </si>
  <si>
    <t>17.8 sec ("dry" start)</t>
  </si>
  <si>
    <t>fix. 2 (Rm No. 131/Tub faucet)</t>
  </si>
  <si>
    <t>7.81 sec (2000ml)</t>
  </si>
  <si>
    <t>8.31 sec (2000ml)</t>
  </si>
  <si>
    <t>124.1F</t>
  </si>
  <si>
    <t>fix. 3 (Rm No. 131/showerhead)</t>
  </si>
  <si>
    <t>14.81 sec (2000ml)</t>
  </si>
  <si>
    <t>13.41 sec (2000ml)</t>
  </si>
  <si>
    <t>fix. 4 (Lobby Men's/sink)</t>
  </si>
  <si>
    <t>1.91 sec (250ml)</t>
  </si>
  <si>
    <t>1.83 sec (250ml)</t>
  </si>
  <si>
    <t>125.2F</t>
  </si>
  <si>
    <t>72.9F</t>
  </si>
  <si>
    <t>Hotel (2 level)</t>
  </si>
  <si>
    <t>Lobby</t>
  </si>
  <si>
    <t>guestroom</t>
  </si>
  <si>
    <t>fix. 1 (Rm No. 104/sink)</t>
  </si>
  <si>
    <t>1.81 sec (250ml)</t>
  </si>
  <si>
    <t>1.78 sec (250ml)</t>
  </si>
  <si>
    <t>6.85 sec ("run" start)</t>
  </si>
  <si>
    <t>fix. 2 (Rm No. 104/tub faucet)</t>
  </si>
  <si>
    <t>7.72 sec (2000ml)</t>
  </si>
  <si>
    <t>123.9F</t>
  </si>
  <si>
    <t>fix. 3 (Rm No. 104/showerhead)</t>
  </si>
  <si>
    <t>12.50 sec (2000ml)</t>
  </si>
  <si>
    <t>12.29 sec (2000ml)</t>
  </si>
  <si>
    <t>fix. 4 (Lobby Restroom/sink)</t>
  </si>
  <si>
    <t>71.3F</t>
  </si>
  <si>
    <t>70.6F</t>
  </si>
  <si>
    <t>87.4F</t>
  </si>
  <si>
    <t xml:space="preserve">Raypak </t>
  </si>
  <si>
    <t>WH1-0401</t>
  </si>
  <si>
    <t>399,000 BTU/HR</t>
  </si>
  <si>
    <t>135F</t>
  </si>
  <si>
    <t>Rheem</t>
  </si>
  <si>
    <t>G76-180</t>
  </si>
  <si>
    <t>heater 2 (laundry only)</t>
  </si>
  <si>
    <t>180,000 BTU/HR</t>
  </si>
  <si>
    <t>37,000 sq.ft. / 1970</t>
  </si>
  <si>
    <t>AO Smith</t>
  </si>
  <si>
    <t>BTL 199 200</t>
  </si>
  <si>
    <t>199,000 BTU/HR</t>
  </si>
  <si>
    <t>BTN 200 108</t>
  </si>
  <si>
    <t>heater 3 (laundry only)</t>
  </si>
  <si>
    <t>Bradford White</t>
  </si>
  <si>
    <t>U100T88R3N</t>
  </si>
  <si>
    <t>85,000 BTU/HR</t>
  </si>
  <si>
    <t>124F</t>
  </si>
  <si>
    <t>71.1F</t>
  </si>
  <si>
    <t>73F</t>
  </si>
  <si>
    <t>128.8F</t>
  </si>
  <si>
    <t>71F</t>
  </si>
  <si>
    <t>129.1F</t>
  </si>
  <si>
    <t>129F</t>
  </si>
  <si>
    <t>71.6F</t>
  </si>
  <si>
    <t>137.8F</t>
  </si>
  <si>
    <t>75.1F</t>
  </si>
  <si>
    <t>76F</t>
  </si>
  <si>
    <t>138F</t>
  </si>
  <si>
    <t>75.8F</t>
  </si>
  <si>
    <t>68.5F</t>
  </si>
  <si>
    <t>fix. 2 (Rm No. 101/sink no. 2)</t>
  </si>
  <si>
    <t>fix. 3 (Rm No. 101/Tub faucet)</t>
  </si>
  <si>
    <t>fix. 4 (Rm No. 101/Showerhead)</t>
  </si>
  <si>
    <t>UCG100H2703N</t>
  </si>
  <si>
    <t>178F</t>
  </si>
  <si>
    <t>Rinnai Corporation</t>
  </si>
  <si>
    <t>270,000 BTU/HR</t>
  </si>
  <si>
    <t>RL94e (HA.CA-004999)</t>
  </si>
  <si>
    <t>RL94e (GG.CA-073213)</t>
  </si>
  <si>
    <t>SG60T12YXS10</t>
  </si>
  <si>
    <t>45,000 BTU/HR</t>
  </si>
  <si>
    <t>100T88B3N</t>
  </si>
  <si>
    <t>heater 4 (laundry only)</t>
  </si>
  <si>
    <t>heater 5 (laundry only)</t>
  </si>
  <si>
    <t>G100UN</t>
  </si>
  <si>
    <t>75,100 BTU/HR</t>
  </si>
  <si>
    <t>155F</t>
  </si>
  <si>
    <t>145F</t>
  </si>
  <si>
    <t xml:space="preserve">American Water Heater </t>
  </si>
  <si>
    <t>BCN3100T754NV 100</t>
  </si>
  <si>
    <t>140F</t>
  </si>
  <si>
    <t>=</t>
  </si>
  <si>
    <t xml:space="preserve">gal </t>
  </si>
  <si>
    <t>1 min</t>
  </si>
  <si>
    <t>s</t>
  </si>
  <si>
    <t xml:space="preserve">1 mL </t>
  </si>
  <si>
    <t>Fixture Flow Rates (GPM)</t>
  </si>
  <si>
    <t>Max hot</t>
  </si>
  <si>
    <t>Max cold</t>
  </si>
  <si>
    <t>Average</t>
  </si>
  <si>
    <t>Fix. 1 (guest room sink)</t>
  </si>
  <si>
    <t>Fix. 3 (restroom sink)</t>
  </si>
  <si>
    <t>Fix. 4 (restroom sink)</t>
  </si>
  <si>
    <t>Fix. 5 (kitchen sink)</t>
  </si>
  <si>
    <t>Fix. 6 (kitchen sink)</t>
  </si>
  <si>
    <t>Fix. 7 (kitchen pre-rinse spray)</t>
  </si>
  <si>
    <t xml:space="preserve">Fix. 2 (showerhead) </t>
  </si>
  <si>
    <t>Fix. 3 (tub faucet)</t>
  </si>
  <si>
    <t>Fix. 2 (guest room sink)</t>
  </si>
  <si>
    <t>Fix. 4 (showerhead)</t>
  </si>
  <si>
    <t>Fix. 2 (showerhead)</t>
  </si>
  <si>
    <t>Fix. 2 (tub faucet)</t>
  </si>
  <si>
    <t>Fix. 3 (showerhead)</t>
  </si>
  <si>
    <t>1.94 sec (250ml)</t>
  </si>
  <si>
    <t>1.62 sec (250ml)</t>
  </si>
  <si>
    <t xml:space="preserve">Raypack Hi Delta Water Heater </t>
  </si>
  <si>
    <t>W9-1802</t>
  </si>
  <si>
    <t>1,800,000 BTU/HR</t>
  </si>
  <si>
    <t xml:space="preserve">Raypack Raytherm Water Heater </t>
  </si>
  <si>
    <t>W2-0824</t>
  </si>
  <si>
    <t>825,000 BTU/HR</t>
  </si>
  <si>
    <t>Hotel 1</t>
  </si>
  <si>
    <t>N/A</t>
  </si>
  <si>
    <t>Hotel 2</t>
  </si>
  <si>
    <t>Hotel 3</t>
  </si>
  <si>
    <t>Hotel 5</t>
  </si>
  <si>
    <t>Hotel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</si>
</sst>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000%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0" fillId="2" borderId="1" xfId="0" applyFill="1" applyBorder="1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Fill="1"/>
    <xf numFmtId="0" fontId="0" fillId="0" borderId="0" xfId="0" applyFill="1" applyBorder="1"/>
    <xf numFmtId="0" fontId="2" fillId="0" borderId="0" xfId="0" applyFont="1" applyFill="1" applyBorder="1"/>
    <xf numFmtId="0" fontId="0" fillId="0" borderId="0" xfId="0" applyAlignment="1">
      <alignment horizontal="left"/>
    </xf>
    <xf numFmtId="3" fontId="0" fillId="2" borderId="1" xfId="0" applyNumberFormat="1" applyFill="1" applyBorder="1"/>
    <xf numFmtId="0" fontId="0" fillId="2" borderId="0" xfId="0" applyFill="1" applyBorder="1"/>
    <xf numFmtId="0" fontId="3" fillId="0" borderId="0" xfId="0" applyFont="1"/>
    <xf numFmtId="9" fontId="0" fillId="2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/>
    <xf numFmtId="0" fontId="0" fillId="2" borderId="6" xfId="0" applyFill="1" applyBorder="1"/>
    <xf numFmtId="0" fontId="0" fillId="0" borderId="7" xfId="0" applyBorder="1"/>
    <xf numFmtId="0" fontId="0" fillId="2" borderId="8" xfId="0" applyFill="1" applyBorder="1"/>
    <xf numFmtId="0" fontId="0" fillId="0" borderId="8" xfId="0" applyBorder="1"/>
    <xf numFmtId="0" fontId="0" fillId="0" borderId="1" xfId="0" applyBorder="1"/>
    <xf numFmtId="2" fontId="0" fillId="0" borderId="1" xfId="0" applyNumberFormat="1" applyBorder="1"/>
    <xf numFmtId="0" fontId="0" fillId="0" borderId="9" xfId="0" applyBorder="1"/>
    <xf numFmtId="9" fontId="0" fillId="2" borderId="0" xfId="0" applyNumberFormat="1" applyFill="1" applyBorder="1" applyAlignment="1">
      <alignment horizontal="left"/>
    </xf>
    <xf numFmtId="0" fontId="0" fillId="0" borderId="1" xfId="0" applyFill="1" applyBorder="1"/>
    <xf numFmtId="0" fontId="4" fillId="0" borderId="8" xfId="0" applyFont="1" applyBorder="1"/>
    <xf numFmtId="2" fontId="4" fillId="0" borderId="8" xfId="0" applyNumberFormat="1" applyFont="1" applyBorder="1"/>
    <xf numFmtId="0" fontId="0" fillId="0" borderId="9" xfId="0" applyFill="1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4" fillId="0" borderId="8" xfId="0" applyFont="1" applyFill="1" applyBorder="1"/>
    <xf numFmtId="9" fontId="0" fillId="2" borderId="1" xfId="0" applyNumberFormat="1" applyFill="1" applyBorder="1"/>
    <xf numFmtId="0" fontId="4" fillId="3" borderId="8" xfId="0" applyFont="1" applyFill="1" applyBorder="1"/>
    <xf numFmtId="0" fontId="0" fillId="3" borderId="1" xfId="0" applyFill="1" applyBorder="1"/>
    <xf numFmtId="9" fontId="0" fillId="0" borderId="0" xfId="1" applyFont="1"/>
    <xf numFmtId="164" fontId="0" fillId="0" borderId="0" xfId="0" applyNumberFormat="1"/>
    <xf numFmtId="0" fontId="0" fillId="2" borderId="1" xfId="0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workbookViewId="0">
      <selection activeCell="D4" sqref="D4:F5"/>
    </sheetView>
  </sheetViews>
  <sheetFormatPr defaultRowHeight="14.5" x14ac:dyDescent="0.35"/>
  <cols>
    <col min="1" max="1" width="3.7265625" customWidth="1"/>
    <col min="2" max="2" width="3.1796875" customWidth="1"/>
    <col min="3" max="3" width="31.1796875" customWidth="1"/>
    <col min="4" max="4" width="23.7265625" customWidth="1"/>
    <col min="5" max="5" width="26" customWidth="1"/>
    <col min="6" max="6" width="26.54296875" customWidth="1"/>
    <col min="7" max="7" width="26.1796875" customWidth="1"/>
    <col min="8" max="8" width="23.1796875" customWidth="1"/>
    <col min="9" max="9" width="16.26953125" customWidth="1"/>
    <col min="10" max="10" width="12.1796875" customWidth="1"/>
    <col min="11" max="11" width="13.26953125" customWidth="1"/>
    <col min="12" max="12" width="12.54296875" customWidth="1"/>
    <col min="13" max="13" width="10.81640625" customWidth="1"/>
  </cols>
  <sheetData>
    <row r="1" spans="1:9" x14ac:dyDescent="0.35">
      <c r="A1" s="41" t="s">
        <v>35</v>
      </c>
      <c r="B1" s="41"/>
      <c r="C1" s="41"/>
      <c r="D1" s="41"/>
      <c r="E1" s="41"/>
      <c r="F1" s="41"/>
      <c r="G1" s="41"/>
    </row>
    <row r="2" spans="1:9" x14ac:dyDescent="0.35">
      <c r="A2" s="41"/>
      <c r="B2" s="41"/>
      <c r="C2" s="41"/>
      <c r="D2" s="41"/>
      <c r="E2" s="41"/>
      <c r="F2" s="41"/>
      <c r="G2" s="41"/>
    </row>
    <row r="3" spans="1:9" ht="15.75" x14ac:dyDescent="0.25">
      <c r="A3" s="1" t="s">
        <v>0</v>
      </c>
      <c r="B3" s="1"/>
      <c r="C3" s="1"/>
      <c r="D3" s="8">
        <v>1</v>
      </c>
    </row>
    <row r="4" spans="1:9" ht="15.75" x14ac:dyDescent="0.25">
      <c r="A4" s="1" t="s">
        <v>1</v>
      </c>
      <c r="B4" s="1"/>
      <c r="C4" s="1"/>
      <c r="D4" s="40" t="s">
        <v>238</v>
      </c>
      <c r="E4" s="40"/>
      <c r="F4" s="40"/>
    </row>
    <row r="5" spans="1:9" ht="15.75" x14ac:dyDescent="0.25">
      <c r="A5" s="1" t="s">
        <v>2</v>
      </c>
      <c r="B5" s="1"/>
      <c r="C5" s="1"/>
      <c r="D5" s="40" t="s">
        <v>239</v>
      </c>
      <c r="E5" s="40"/>
      <c r="F5" s="40"/>
    </row>
    <row r="6" spans="1:9" ht="15" x14ac:dyDescent="0.25">
      <c r="B6" t="s">
        <v>3</v>
      </c>
    </row>
    <row r="7" spans="1:9" ht="15" x14ac:dyDescent="0.25">
      <c r="C7" s="4" t="s">
        <v>4</v>
      </c>
      <c r="D7" s="2" t="s">
        <v>36</v>
      </c>
    </row>
    <row r="8" spans="1:9" ht="15" x14ac:dyDescent="0.25">
      <c r="C8" s="4" t="s">
        <v>89</v>
      </c>
      <c r="D8" s="9" t="s">
        <v>86</v>
      </c>
    </row>
    <row r="9" spans="1:9" ht="15" x14ac:dyDescent="0.25">
      <c r="C9" s="4" t="s">
        <v>85</v>
      </c>
      <c r="D9" s="12">
        <v>0.85</v>
      </c>
    </row>
    <row r="10" spans="1:9" ht="15" x14ac:dyDescent="0.25">
      <c r="B10" t="s">
        <v>5</v>
      </c>
      <c r="D10" s="13">
        <v>82</v>
      </c>
    </row>
    <row r="11" spans="1:9" ht="15" x14ac:dyDescent="0.25">
      <c r="B11" t="s">
        <v>6</v>
      </c>
      <c r="D11" s="13">
        <v>1</v>
      </c>
    </row>
    <row r="12" spans="1:9" ht="15" x14ac:dyDescent="0.25">
      <c r="B12" t="s">
        <v>7</v>
      </c>
      <c r="D12" s="13">
        <v>80</v>
      </c>
      <c r="G12" s="5"/>
    </row>
    <row r="13" spans="1:9" ht="15" x14ac:dyDescent="0.25">
      <c r="B13" t="s">
        <v>8</v>
      </c>
      <c r="D13" s="3" t="s">
        <v>9</v>
      </c>
      <c r="E13" s="3" t="s">
        <v>10</v>
      </c>
      <c r="F13" s="3" t="s">
        <v>11</v>
      </c>
      <c r="G13" s="3" t="s">
        <v>199</v>
      </c>
      <c r="H13" s="3" t="s">
        <v>200</v>
      </c>
      <c r="I13" s="3"/>
    </row>
    <row r="14" spans="1:9" ht="15" x14ac:dyDescent="0.25">
      <c r="C14" s="4" t="s">
        <v>12</v>
      </c>
      <c r="D14" s="2" t="s">
        <v>170</v>
      </c>
      <c r="E14" s="2" t="s">
        <v>192</v>
      </c>
      <c r="F14" s="2" t="s">
        <v>192</v>
      </c>
      <c r="G14" s="2" t="s">
        <v>160</v>
      </c>
      <c r="H14" s="2" t="s">
        <v>170</v>
      </c>
      <c r="I14" s="10"/>
    </row>
    <row r="15" spans="1:9" ht="15" x14ac:dyDescent="0.25">
      <c r="C15" s="4" t="s">
        <v>13</v>
      </c>
      <c r="D15" s="2" t="s">
        <v>190</v>
      </c>
      <c r="E15" s="2" t="s">
        <v>194</v>
      </c>
      <c r="F15" s="2" t="s">
        <v>195</v>
      </c>
      <c r="G15" s="2" t="s">
        <v>196</v>
      </c>
      <c r="H15" s="2" t="s">
        <v>198</v>
      </c>
      <c r="I15" s="10"/>
    </row>
    <row r="16" spans="1:9" ht="15" x14ac:dyDescent="0.25">
      <c r="C16" s="4" t="s">
        <v>14</v>
      </c>
      <c r="D16" s="12">
        <v>0.82</v>
      </c>
      <c r="E16" s="12">
        <v>0.82</v>
      </c>
      <c r="F16" s="12">
        <v>0.82</v>
      </c>
      <c r="G16" s="12">
        <v>0.8</v>
      </c>
      <c r="H16" s="12">
        <v>0.8</v>
      </c>
      <c r="I16" s="27"/>
    </row>
    <row r="17" spans="2:9" ht="15" x14ac:dyDescent="0.25">
      <c r="C17" s="4" t="s">
        <v>15</v>
      </c>
      <c r="D17" s="2" t="s">
        <v>193</v>
      </c>
      <c r="E17" s="2" t="s">
        <v>167</v>
      </c>
      <c r="F17" s="2" t="s">
        <v>167</v>
      </c>
      <c r="G17" s="2" t="s">
        <v>197</v>
      </c>
      <c r="H17" s="2" t="s">
        <v>172</v>
      </c>
      <c r="I17" s="10"/>
    </row>
    <row r="18" spans="2:9" ht="15" x14ac:dyDescent="0.25">
      <c r="C18" s="4" t="s">
        <v>16</v>
      </c>
      <c r="D18" s="13">
        <v>2014</v>
      </c>
      <c r="E18" s="13">
        <v>2015</v>
      </c>
      <c r="F18" s="13">
        <v>2016</v>
      </c>
      <c r="G18" s="13">
        <v>2012</v>
      </c>
      <c r="H18" s="13">
        <v>2011</v>
      </c>
      <c r="I18" s="15"/>
    </row>
    <row r="19" spans="2:9" ht="15" x14ac:dyDescent="0.25">
      <c r="C19" s="4" t="s">
        <v>17</v>
      </c>
      <c r="D19" s="2" t="s">
        <v>191</v>
      </c>
      <c r="E19" s="2"/>
      <c r="F19" s="2"/>
      <c r="G19" s="2"/>
      <c r="H19" s="2"/>
      <c r="I19" s="10"/>
    </row>
    <row r="20" spans="2:9" ht="15" x14ac:dyDescent="0.25">
      <c r="B20" t="s">
        <v>18</v>
      </c>
      <c r="G20" s="6"/>
    </row>
    <row r="21" spans="2:9" ht="15" x14ac:dyDescent="0.25">
      <c r="C21" s="4" t="s">
        <v>19</v>
      </c>
      <c r="D21" s="13">
        <v>80</v>
      </c>
      <c r="G21" s="5"/>
    </row>
    <row r="22" spans="2:9" ht="15" x14ac:dyDescent="0.25">
      <c r="C22" s="4" t="s">
        <v>12</v>
      </c>
      <c r="D22" s="2" t="s">
        <v>37</v>
      </c>
    </row>
    <row r="23" spans="2:9" x14ac:dyDescent="0.35">
      <c r="C23" s="4" t="s">
        <v>20</v>
      </c>
      <c r="D23" s="2" t="s">
        <v>38</v>
      </c>
    </row>
    <row r="24" spans="2:9" x14ac:dyDescent="0.35">
      <c r="C24" s="4" t="s">
        <v>21</v>
      </c>
      <c r="D24" s="2" t="s">
        <v>39</v>
      </c>
    </row>
    <row r="25" spans="2:9" x14ac:dyDescent="0.35">
      <c r="B25" t="s">
        <v>22</v>
      </c>
    </row>
    <row r="26" spans="2:9" x14ac:dyDescent="0.35">
      <c r="C26" s="4" t="s">
        <v>19</v>
      </c>
      <c r="D26" s="13">
        <v>2</v>
      </c>
    </row>
    <row r="27" spans="2:9" x14ac:dyDescent="0.35">
      <c r="C27" s="4" t="s">
        <v>12</v>
      </c>
      <c r="D27" s="2" t="s">
        <v>40</v>
      </c>
    </row>
    <row r="28" spans="2:9" x14ac:dyDescent="0.35">
      <c r="C28" s="4" t="s">
        <v>20</v>
      </c>
      <c r="D28" s="2" t="s">
        <v>41</v>
      </c>
    </row>
    <row r="29" spans="2:9" x14ac:dyDescent="0.35">
      <c r="C29" s="4" t="s">
        <v>21</v>
      </c>
      <c r="D29" s="2" t="s">
        <v>42</v>
      </c>
    </row>
    <row r="30" spans="2:9" x14ac:dyDescent="0.35">
      <c r="B30" t="s">
        <v>23</v>
      </c>
    </row>
    <row r="31" spans="2:9" x14ac:dyDescent="0.35">
      <c r="C31" s="4" t="s">
        <v>19</v>
      </c>
      <c r="D31" s="13">
        <v>3</v>
      </c>
    </row>
    <row r="32" spans="2:9" x14ac:dyDescent="0.35">
      <c r="C32" s="4" t="s">
        <v>12</v>
      </c>
      <c r="D32" s="2" t="s">
        <v>37</v>
      </c>
    </row>
    <row r="33" spans="2:16" x14ac:dyDescent="0.35">
      <c r="C33" s="4" t="s">
        <v>20</v>
      </c>
      <c r="D33" s="2" t="s">
        <v>43</v>
      </c>
    </row>
    <row r="34" spans="2:16" x14ac:dyDescent="0.35">
      <c r="C34" s="4" t="s">
        <v>21</v>
      </c>
      <c r="D34" s="2" t="s">
        <v>42</v>
      </c>
    </row>
    <row r="35" spans="2:16" x14ac:dyDescent="0.35">
      <c r="B35" t="s">
        <v>24</v>
      </c>
    </row>
    <row r="36" spans="2:16" x14ac:dyDescent="0.35">
      <c r="C36" s="4" t="s">
        <v>19</v>
      </c>
      <c r="D36" s="13">
        <v>80</v>
      </c>
    </row>
    <row r="37" spans="2:16" x14ac:dyDescent="0.35">
      <c r="C37" s="4" t="s">
        <v>12</v>
      </c>
      <c r="D37" s="2" t="s">
        <v>44</v>
      </c>
    </row>
    <row r="38" spans="2:16" x14ac:dyDescent="0.35">
      <c r="C38" s="4" t="s">
        <v>20</v>
      </c>
      <c r="D38" s="2" t="s">
        <v>45</v>
      </c>
    </row>
    <row r="39" spans="2:16" x14ac:dyDescent="0.35">
      <c r="C39" s="4" t="s">
        <v>21</v>
      </c>
      <c r="D39" s="2" t="s">
        <v>46</v>
      </c>
    </row>
    <row r="40" spans="2:16" x14ac:dyDescent="0.35">
      <c r="B40" t="s">
        <v>25</v>
      </c>
      <c r="I40" t="s">
        <v>212</v>
      </c>
      <c r="J40" t="s">
        <v>208</v>
      </c>
      <c r="K40">
        <v>2.6417200000000002E-4</v>
      </c>
      <c r="L40" t="s">
        <v>209</v>
      </c>
    </row>
    <row r="41" spans="2:16" x14ac:dyDescent="0.35">
      <c r="C41" s="4" t="s">
        <v>19</v>
      </c>
      <c r="D41" s="13">
        <v>1</v>
      </c>
      <c r="I41" t="s">
        <v>210</v>
      </c>
      <c r="J41" t="s">
        <v>208</v>
      </c>
      <c r="K41">
        <v>60</v>
      </c>
      <c r="L41" t="s">
        <v>211</v>
      </c>
    </row>
    <row r="42" spans="2:16" x14ac:dyDescent="0.35">
      <c r="C42" s="4" t="s">
        <v>12</v>
      </c>
      <c r="D42" s="2" t="s">
        <v>44</v>
      </c>
    </row>
    <row r="43" spans="2:16" x14ac:dyDescent="0.35">
      <c r="C43" s="4" t="s">
        <v>20</v>
      </c>
      <c r="D43" s="2" t="s">
        <v>43</v>
      </c>
    </row>
    <row r="44" spans="2:16" x14ac:dyDescent="0.35">
      <c r="C44" s="4" t="s">
        <v>21</v>
      </c>
      <c r="D44" s="2" t="s">
        <v>46</v>
      </c>
      <c r="I44" s="42" t="s">
        <v>213</v>
      </c>
      <c r="J44" s="43"/>
      <c r="K44" s="43"/>
      <c r="L44" s="43"/>
      <c r="M44" s="43"/>
      <c r="N44" s="43"/>
      <c r="O44" s="43"/>
      <c r="P44" s="44"/>
    </row>
    <row r="45" spans="2:16" ht="58" x14ac:dyDescent="0.35">
      <c r="B45" t="s">
        <v>26</v>
      </c>
      <c r="D45" s="3" t="s">
        <v>47</v>
      </c>
      <c r="E45" s="3" t="s">
        <v>50</v>
      </c>
      <c r="F45" s="8" t="s">
        <v>58</v>
      </c>
      <c r="G45" s="8" t="s">
        <v>64</v>
      </c>
      <c r="I45" s="24"/>
      <c r="J45" s="32" t="s">
        <v>217</v>
      </c>
      <c r="K45" s="32" t="s">
        <v>227</v>
      </c>
      <c r="L45" s="32" t="s">
        <v>218</v>
      </c>
      <c r="M45" s="32" t="s">
        <v>219</v>
      </c>
      <c r="N45" s="32" t="s">
        <v>220</v>
      </c>
      <c r="O45" s="32" t="s">
        <v>221</v>
      </c>
      <c r="P45" s="32" t="s">
        <v>222</v>
      </c>
    </row>
    <row r="46" spans="2:16" x14ac:dyDescent="0.35">
      <c r="C46" s="7" t="s">
        <v>28</v>
      </c>
      <c r="D46" s="2" t="s">
        <v>48</v>
      </c>
      <c r="E46" s="2" t="s">
        <v>51</v>
      </c>
      <c r="F46" s="2" t="s">
        <v>59</v>
      </c>
      <c r="G46" s="2" t="s">
        <v>65</v>
      </c>
      <c r="I46" s="28" t="s">
        <v>214</v>
      </c>
      <c r="J46" s="25">
        <f>ROUND((K40*250)/(8.71/K41),2)</f>
        <v>0.45</v>
      </c>
      <c r="K46" s="24">
        <f>ROUND((K40*2000)/(11.22/K41),2)</f>
        <v>2.83</v>
      </c>
      <c r="L46" s="24">
        <f>ROUND((K40*2000)/(8.66/K41),2)</f>
        <v>3.66</v>
      </c>
      <c r="M46" s="24">
        <f>ROUND((K40*2000)/(19.91/K41),2)</f>
        <v>1.59</v>
      </c>
      <c r="N46" s="24">
        <f>ROUND((K40*2000)/(4.54/K41),2)</f>
        <v>6.98</v>
      </c>
      <c r="O46" s="24">
        <f>ROUND((K40*2000)/(4.21/K41),2)</f>
        <v>7.53</v>
      </c>
      <c r="P46" s="24">
        <f>ROUND((K40*2000)/(16.03/K41),2)</f>
        <v>1.98</v>
      </c>
    </row>
    <row r="47" spans="2:16" ht="15" thickBot="1" x14ac:dyDescent="0.4">
      <c r="C47" s="7" t="s">
        <v>29</v>
      </c>
      <c r="D47" s="2" t="s">
        <v>49</v>
      </c>
      <c r="E47" s="2" t="s">
        <v>52</v>
      </c>
      <c r="F47" s="2" t="s">
        <v>60</v>
      </c>
      <c r="G47" s="2" t="s">
        <v>66</v>
      </c>
      <c r="I47" s="31" t="s">
        <v>215</v>
      </c>
      <c r="J47" s="26">
        <f>ROUND((K40*250)/(8.38/K41),2)</f>
        <v>0.47</v>
      </c>
      <c r="K47" s="26">
        <f>ROUND((K40*2000)/(9.97/K41),2)</f>
        <v>3.18</v>
      </c>
      <c r="L47" s="26">
        <f>ROUND((K40*2000)/(11.78/K41),2)</f>
        <v>2.69</v>
      </c>
      <c r="M47" s="26">
        <f>ROUND((K40*2000)/(21.12/K41),2)</f>
        <v>1.5</v>
      </c>
      <c r="N47" s="26">
        <f>ROUND((K40*2000)/(3.62/K41),2)</f>
        <v>8.76</v>
      </c>
      <c r="O47" s="26">
        <f>ROUND((K40*2000)/(3.72/K41),2)</f>
        <v>8.52</v>
      </c>
      <c r="P47" s="26"/>
    </row>
    <row r="48" spans="2:16" x14ac:dyDescent="0.35">
      <c r="B48" t="s">
        <v>30</v>
      </c>
      <c r="I48" s="29" t="s">
        <v>216</v>
      </c>
      <c r="J48" s="30">
        <f>AVERAGE(J46:J47)</f>
        <v>0.45999999999999996</v>
      </c>
      <c r="K48" s="36">
        <f>AVERAGE(K46:K47)</f>
        <v>3.0049999999999999</v>
      </c>
      <c r="L48" s="29">
        <f>AVERAGE(L46:L47)</f>
        <v>3.1749999999999998</v>
      </c>
      <c r="M48" s="29">
        <f>AVERAGE(M46:M47)</f>
        <v>1.5449999999999999</v>
      </c>
      <c r="N48" s="29">
        <f t="shared" ref="N48:P48" si="0">AVERAGE(N46:N47)</f>
        <v>7.87</v>
      </c>
      <c r="O48" s="29">
        <f t="shared" si="0"/>
        <v>8.0250000000000004</v>
      </c>
      <c r="P48" s="29">
        <f t="shared" si="0"/>
        <v>1.98</v>
      </c>
    </row>
    <row r="49" spans="3:11" x14ac:dyDescent="0.35">
      <c r="C49" s="7" t="s">
        <v>31</v>
      </c>
      <c r="D49" s="2" t="s">
        <v>54</v>
      </c>
      <c r="E49" s="2"/>
      <c r="F49" s="2" t="s">
        <v>61</v>
      </c>
      <c r="G49" s="2" t="s">
        <v>67</v>
      </c>
    </row>
    <row r="50" spans="3:11" x14ac:dyDescent="0.35">
      <c r="C50" s="7" t="s">
        <v>32</v>
      </c>
      <c r="D50" s="2" t="s">
        <v>53</v>
      </c>
      <c r="E50" s="2" t="s">
        <v>55</v>
      </c>
      <c r="F50" s="2" t="s">
        <v>62</v>
      </c>
      <c r="G50" s="2" t="s">
        <v>68</v>
      </c>
    </row>
    <row r="51" spans="3:11" x14ac:dyDescent="0.35">
      <c r="C51" s="7" t="s">
        <v>33</v>
      </c>
      <c r="D51" s="2" t="s">
        <v>56</v>
      </c>
      <c r="E51" s="2" t="s">
        <v>57</v>
      </c>
      <c r="F51" s="2" t="s">
        <v>63</v>
      </c>
      <c r="G51" s="2" t="s">
        <v>69</v>
      </c>
      <c r="K51" s="38">
        <f>K46/(K46+K47)</f>
        <v>0.47088186356073214</v>
      </c>
    </row>
    <row r="53" spans="3:11" x14ac:dyDescent="0.35">
      <c r="D53" s="14" t="s">
        <v>70</v>
      </c>
      <c r="E53" s="3" t="s">
        <v>77</v>
      </c>
      <c r="F53" s="15" t="s">
        <v>83</v>
      </c>
    </row>
    <row r="54" spans="3:11" x14ac:dyDescent="0.35">
      <c r="C54" s="7" t="s">
        <v>28</v>
      </c>
      <c r="D54" s="19" t="s">
        <v>71</v>
      </c>
      <c r="E54" s="2" t="s">
        <v>78</v>
      </c>
      <c r="F54" s="20" t="s">
        <v>84</v>
      </c>
      <c r="G54" s="21"/>
    </row>
    <row r="55" spans="3:11" x14ac:dyDescent="0.35">
      <c r="C55" s="7" t="s">
        <v>29</v>
      </c>
      <c r="D55" s="16" t="s">
        <v>72</v>
      </c>
      <c r="E55" s="22" t="s">
        <v>79</v>
      </c>
      <c r="F55" s="17"/>
      <c r="G55" s="18"/>
    </row>
    <row r="57" spans="3:11" x14ac:dyDescent="0.35">
      <c r="C57" s="11" t="s">
        <v>76</v>
      </c>
      <c r="D57" s="10" t="s">
        <v>73</v>
      </c>
      <c r="E57" t="s">
        <v>80</v>
      </c>
    </row>
    <row r="58" spans="3:11" x14ac:dyDescent="0.35">
      <c r="C58" s="11" t="s">
        <v>32</v>
      </c>
      <c r="D58" s="19" t="s">
        <v>74</v>
      </c>
      <c r="E58" s="24" t="s">
        <v>81</v>
      </c>
    </row>
    <row r="59" spans="3:11" x14ac:dyDescent="0.35">
      <c r="C59" s="11" t="s">
        <v>33</v>
      </c>
      <c r="D59" s="16" t="s">
        <v>75</v>
      </c>
      <c r="E59" s="23" t="s">
        <v>82</v>
      </c>
    </row>
  </sheetData>
  <mergeCells count="4">
    <mergeCell ref="D5:F5"/>
    <mergeCell ref="D4:F4"/>
    <mergeCell ref="A1:G2"/>
    <mergeCell ref="I44:P44"/>
  </mergeCells>
  <pageMargins left="0.7" right="0.7" top="0.75" bottom="0.75" header="0.3" footer="0.3"/>
  <pageSetup scale="67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workbookViewId="0">
      <selection activeCell="D4" sqref="D4:F5"/>
    </sheetView>
  </sheetViews>
  <sheetFormatPr defaultRowHeight="14.5" x14ac:dyDescent="0.35"/>
  <cols>
    <col min="1" max="1" width="3.7265625" customWidth="1"/>
    <col min="2" max="2" width="3.1796875" customWidth="1"/>
    <col min="3" max="3" width="31.1796875" customWidth="1"/>
    <col min="4" max="7" width="24.453125" customWidth="1"/>
    <col min="11" max="11" width="11.1796875" customWidth="1"/>
    <col min="12" max="12" width="15.26953125" customWidth="1"/>
    <col min="13" max="13" width="11.453125" customWidth="1"/>
  </cols>
  <sheetData>
    <row r="1" spans="1:7" x14ac:dyDescent="0.35">
      <c r="A1" s="41" t="s">
        <v>35</v>
      </c>
      <c r="B1" s="41"/>
      <c r="C1" s="41"/>
      <c r="D1" s="41"/>
      <c r="E1" s="41"/>
      <c r="F1" s="41"/>
      <c r="G1" s="41"/>
    </row>
    <row r="2" spans="1:7" x14ac:dyDescent="0.35">
      <c r="A2" s="41"/>
      <c r="B2" s="41"/>
      <c r="C2" s="41"/>
      <c r="D2" s="41"/>
      <c r="E2" s="41"/>
      <c r="F2" s="41"/>
      <c r="G2" s="41"/>
    </row>
    <row r="3" spans="1:7" ht="15.5" x14ac:dyDescent="0.35">
      <c r="A3" s="1" t="s">
        <v>0</v>
      </c>
      <c r="B3" s="1"/>
      <c r="C3" s="1"/>
      <c r="D3" s="8">
        <v>2</v>
      </c>
    </row>
    <row r="4" spans="1:7" ht="15.75" customHeight="1" x14ac:dyDescent="0.35">
      <c r="A4" s="1" t="s">
        <v>1</v>
      </c>
      <c r="B4" s="1"/>
      <c r="C4" s="1"/>
      <c r="D4" s="40" t="s">
        <v>240</v>
      </c>
      <c r="E4" s="40"/>
      <c r="F4" s="40"/>
    </row>
    <row r="5" spans="1:7" ht="15.75" customHeight="1" x14ac:dyDescent="0.35">
      <c r="A5" s="1" t="s">
        <v>2</v>
      </c>
      <c r="B5" s="1"/>
      <c r="C5" s="1"/>
      <c r="D5" s="40" t="s">
        <v>239</v>
      </c>
      <c r="E5" s="40"/>
      <c r="F5" s="40"/>
    </row>
    <row r="6" spans="1:7" x14ac:dyDescent="0.35">
      <c r="B6" t="s">
        <v>3</v>
      </c>
    </row>
    <row r="7" spans="1:7" ht="15" x14ac:dyDescent="0.25">
      <c r="C7" s="4" t="s">
        <v>4</v>
      </c>
      <c r="D7" s="2" t="s">
        <v>87</v>
      </c>
    </row>
    <row r="8" spans="1:7" ht="15" x14ac:dyDescent="0.25">
      <c r="C8" s="4" t="s">
        <v>89</v>
      </c>
      <c r="D8" s="2" t="s">
        <v>88</v>
      </c>
    </row>
    <row r="9" spans="1:7" ht="15" x14ac:dyDescent="0.25">
      <c r="C9" s="4" t="s">
        <v>90</v>
      </c>
      <c r="D9" s="12">
        <v>0.8</v>
      </c>
    </row>
    <row r="10" spans="1:7" ht="15" x14ac:dyDescent="0.25">
      <c r="B10" t="s">
        <v>5</v>
      </c>
      <c r="D10" s="13">
        <v>61</v>
      </c>
    </row>
    <row r="11" spans="1:7" ht="15" x14ac:dyDescent="0.25">
      <c r="B11" t="s">
        <v>6</v>
      </c>
      <c r="D11" s="13">
        <v>0</v>
      </c>
    </row>
    <row r="12" spans="1:7" ht="15" x14ac:dyDescent="0.25">
      <c r="B12" t="s">
        <v>7</v>
      </c>
      <c r="D12" s="13">
        <v>60</v>
      </c>
      <c r="G12" s="5"/>
    </row>
    <row r="13" spans="1:7" ht="15" x14ac:dyDescent="0.25">
      <c r="B13" t="s">
        <v>8</v>
      </c>
      <c r="D13" s="3" t="s">
        <v>9</v>
      </c>
      <c r="E13" s="3" t="s">
        <v>10</v>
      </c>
      <c r="F13" s="3" t="s">
        <v>169</v>
      </c>
      <c r="G13" s="3" t="s">
        <v>34</v>
      </c>
    </row>
    <row r="14" spans="1:7" ht="15" x14ac:dyDescent="0.25">
      <c r="C14" s="4" t="s">
        <v>12</v>
      </c>
      <c r="D14" s="2" t="s">
        <v>160</v>
      </c>
      <c r="E14" s="2" t="s">
        <v>205</v>
      </c>
      <c r="F14" s="2" t="s">
        <v>160</v>
      </c>
      <c r="G14" s="2"/>
    </row>
    <row r="15" spans="1:7" ht="15" x14ac:dyDescent="0.25">
      <c r="C15" s="4" t="s">
        <v>13</v>
      </c>
      <c r="D15" s="2" t="s">
        <v>201</v>
      </c>
      <c r="E15" s="2" t="s">
        <v>206</v>
      </c>
      <c r="F15" s="2" t="s">
        <v>201</v>
      </c>
      <c r="G15" s="2"/>
    </row>
    <row r="16" spans="1:7" ht="15" x14ac:dyDescent="0.25">
      <c r="C16" s="4" t="s">
        <v>14</v>
      </c>
      <c r="D16" s="12">
        <v>0.8</v>
      </c>
      <c r="E16" s="12">
        <v>0.8</v>
      </c>
      <c r="F16" s="12">
        <v>0.8</v>
      </c>
      <c r="G16" s="2"/>
    </row>
    <row r="17" spans="2:7" ht="15" x14ac:dyDescent="0.25">
      <c r="C17" s="4" t="s">
        <v>15</v>
      </c>
      <c r="D17" s="2" t="s">
        <v>202</v>
      </c>
      <c r="E17" s="2" t="s">
        <v>202</v>
      </c>
      <c r="F17" s="2" t="s">
        <v>202</v>
      </c>
      <c r="G17" s="2"/>
    </row>
    <row r="18" spans="2:7" ht="15" x14ac:dyDescent="0.25">
      <c r="C18" s="4" t="s">
        <v>16</v>
      </c>
      <c r="D18" s="13">
        <v>2014</v>
      </c>
      <c r="E18" s="13">
        <v>2013</v>
      </c>
      <c r="F18" s="13">
        <v>2014</v>
      </c>
      <c r="G18" s="2"/>
    </row>
    <row r="19" spans="2:7" ht="15" x14ac:dyDescent="0.25">
      <c r="C19" s="4" t="s">
        <v>17</v>
      </c>
      <c r="D19" s="2" t="s">
        <v>203</v>
      </c>
      <c r="E19" s="2" t="s">
        <v>203</v>
      </c>
      <c r="F19" s="2" t="s">
        <v>204</v>
      </c>
      <c r="G19" s="2"/>
    </row>
    <row r="20" spans="2:7" ht="15" x14ac:dyDescent="0.25">
      <c r="B20" t="s">
        <v>18</v>
      </c>
      <c r="G20" s="6"/>
    </row>
    <row r="21" spans="2:7" ht="15" x14ac:dyDescent="0.25">
      <c r="C21" s="4" t="s">
        <v>19</v>
      </c>
      <c r="D21" s="13">
        <v>60</v>
      </c>
      <c r="F21" s="6">
        <v>60</v>
      </c>
      <c r="G21" s="5"/>
    </row>
    <row r="22" spans="2:7" ht="15" x14ac:dyDescent="0.25">
      <c r="C22" s="4" t="s">
        <v>12</v>
      </c>
      <c r="D22" s="2" t="s">
        <v>37</v>
      </c>
      <c r="F22" s="6" t="s">
        <v>37</v>
      </c>
    </row>
    <row r="23" spans="2:7" x14ac:dyDescent="0.35">
      <c r="C23" s="4" t="s">
        <v>20</v>
      </c>
      <c r="D23" s="2" t="s">
        <v>38</v>
      </c>
      <c r="F23" s="6" t="s">
        <v>38</v>
      </c>
    </row>
    <row r="24" spans="2:7" x14ac:dyDescent="0.35">
      <c r="C24" s="4" t="s">
        <v>21</v>
      </c>
      <c r="D24" s="2" t="s">
        <v>42</v>
      </c>
      <c r="F24" s="6" t="s">
        <v>42</v>
      </c>
    </row>
    <row r="25" spans="2:7" x14ac:dyDescent="0.35">
      <c r="B25" t="s">
        <v>22</v>
      </c>
    </row>
    <row r="26" spans="2:7" x14ac:dyDescent="0.35">
      <c r="C26" s="4" t="s">
        <v>19</v>
      </c>
      <c r="D26" s="13">
        <v>0</v>
      </c>
      <c r="F26" s="6">
        <v>0</v>
      </c>
    </row>
    <row r="27" spans="2:7" x14ac:dyDescent="0.35">
      <c r="C27" s="4" t="s">
        <v>12</v>
      </c>
      <c r="D27" s="2"/>
    </row>
    <row r="28" spans="2:7" x14ac:dyDescent="0.35">
      <c r="C28" s="4" t="s">
        <v>20</v>
      </c>
      <c r="D28" s="2"/>
    </row>
    <row r="29" spans="2:7" x14ac:dyDescent="0.35">
      <c r="C29" s="4" t="s">
        <v>21</v>
      </c>
      <c r="D29" s="2"/>
    </row>
    <row r="30" spans="2:7" x14ac:dyDescent="0.35">
      <c r="B30" t="s">
        <v>23</v>
      </c>
    </row>
    <row r="31" spans="2:7" x14ac:dyDescent="0.35">
      <c r="C31" s="4" t="s">
        <v>19</v>
      </c>
      <c r="D31" s="13">
        <v>0</v>
      </c>
      <c r="F31" s="6">
        <v>0</v>
      </c>
    </row>
    <row r="32" spans="2:7" x14ac:dyDescent="0.35">
      <c r="C32" s="4" t="s">
        <v>12</v>
      </c>
      <c r="D32" s="2"/>
    </row>
    <row r="33" spans="2:13" x14ac:dyDescent="0.35">
      <c r="C33" s="4" t="s">
        <v>20</v>
      </c>
      <c r="D33" s="2"/>
    </row>
    <row r="34" spans="2:13" x14ac:dyDescent="0.35">
      <c r="C34" s="4" t="s">
        <v>21</v>
      </c>
      <c r="D34" s="2"/>
    </row>
    <row r="35" spans="2:13" x14ac:dyDescent="0.35">
      <c r="B35" t="s">
        <v>24</v>
      </c>
    </row>
    <row r="36" spans="2:13" x14ac:dyDescent="0.35">
      <c r="C36" s="4" t="s">
        <v>19</v>
      </c>
      <c r="D36" s="13">
        <v>60</v>
      </c>
      <c r="F36" s="6">
        <v>60</v>
      </c>
    </row>
    <row r="37" spans="2:13" x14ac:dyDescent="0.35">
      <c r="C37" s="4" t="s">
        <v>12</v>
      </c>
      <c r="D37" s="2" t="s">
        <v>44</v>
      </c>
      <c r="F37" s="6" t="s">
        <v>44</v>
      </c>
    </row>
    <row r="38" spans="2:13" x14ac:dyDescent="0.35">
      <c r="C38" s="4" t="s">
        <v>20</v>
      </c>
      <c r="D38" s="2" t="s">
        <v>91</v>
      </c>
      <c r="F38" s="6" t="s">
        <v>91</v>
      </c>
    </row>
    <row r="39" spans="2:13" x14ac:dyDescent="0.35">
      <c r="C39" s="4" t="s">
        <v>21</v>
      </c>
      <c r="D39" s="2" t="s">
        <v>46</v>
      </c>
      <c r="F39" s="6" t="s">
        <v>46</v>
      </c>
    </row>
    <row r="40" spans="2:13" x14ac:dyDescent="0.35">
      <c r="B40" t="s">
        <v>25</v>
      </c>
      <c r="J40" t="s">
        <v>212</v>
      </c>
      <c r="K40" t="s">
        <v>208</v>
      </c>
      <c r="L40">
        <v>2.6417200000000002E-4</v>
      </c>
      <c r="M40" t="s">
        <v>209</v>
      </c>
    </row>
    <row r="41" spans="2:13" x14ac:dyDescent="0.35">
      <c r="C41" s="4" t="s">
        <v>19</v>
      </c>
      <c r="D41" s="13">
        <v>0</v>
      </c>
      <c r="F41" s="6">
        <v>0</v>
      </c>
      <c r="J41" t="s">
        <v>210</v>
      </c>
      <c r="K41" t="s">
        <v>208</v>
      </c>
      <c r="L41">
        <v>60</v>
      </c>
      <c r="M41" t="s">
        <v>211</v>
      </c>
    </row>
    <row r="42" spans="2:13" x14ac:dyDescent="0.35">
      <c r="C42" s="4" t="s">
        <v>12</v>
      </c>
      <c r="D42" s="2"/>
    </row>
    <row r="43" spans="2:13" x14ac:dyDescent="0.35">
      <c r="C43" s="4" t="s">
        <v>20</v>
      </c>
      <c r="D43" s="2"/>
    </row>
    <row r="44" spans="2:13" x14ac:dyDescent="0.35">
      <c r="C44" s="4" t="s">
        <v>21</v>
      </c>
      <c r="D44" s="2"/>
      <c r="J44" s="42" t="s">
        <v>213</v>
      </c>
      <c r="K44" s="43"/>
      <c r="L44" s="43"/>
      <c r="M44" s="44"/>
    </row>
    <row r="45" spans="2:13" ht="29" x14ac:dyDescent="0.35">
      <c r="B45" t="s">
        <v>26</v>
      </c>
      <c r="D45" s="3" t="s">
        <v>92</v>
      </c>
      <c r="E45" s="8" t="s">
        <v>97</v>
      </c>
      <c r="F45" s="8" t="s">
        <v>100</v>
      </c>
      <c r="G45" s="3" t="s">
        <v>27</v>
      </c>
      <c r="J45" s="24"/>
      <c r="K45" s="32" t="s">
        <v>217</v>
      </c>
      <c r="L45" s="32" t="s">
        <v>223</v>
      </c>
      <c r="M45" s="32" t="s">
        <v>224</v>
      </c>
    </row>
    <row r="46" spans="2:13" x14ac:dyDescent="0.35">
      <c r="C46" s="7" t="s">
        <v>28</v>
      </c>
      <c r="D46" s="2" t="s">
        <v>94</v>
      </c>
      <c r="E46" s="2" t="s">
        <v>98</v>
      </c>
      <c r="F46" s="2" t="s">
        <v>101</v>
      </c>
      <c r="G46" s="2"/>
      <c r="J46" s="28" t="s">
        <v>214</v>
      </c>
      <c r="K46" s="25">
        <f>ROUND((L40*250)/(2.84/L41),2)</f>
        <v>1.4</v>
      </c>
      <c r="L46" s="24">
        <f>ROUND((L40*2000)/(12.75/L41),2)</f>
        <v>2.4900000000000002</v>
      </c>
      <c r="M46" s="24">
        <f>ROUND((L40*2000)/(3.47/L41),2)</f>
        <v>9.14</v>
      </c>
    </row>
    <row r="47" spans="2:13" ht="15" thickBot="1" x14ac:dyDescent="0.4">
      <c r="C47" s="7" t="s">
        <v>29</v>
      </c>
      <c r="D47" s="2" t="s">
        <v>93</v>
      </c>
      <c r="E47" s="2" t="s">
        <v>99</v>
      </c>
      <c r="F47" s="2" t="s">
        <v>102</v>
      </c>
      <c r="G47" s="2"/>
      <c r="J47" s="31" t="s">
        <v>215</v>
      </c>
      <c r="K47" s="26">
        <f>ROUND((L40*250)/(1.5/L41),2)</f>
        <v>2.64</v>
      </c>
      <c r="L47" s="26">
        <f>ROUND((L40*2000)/(13.16/L41),2)</f>
        <v>2.41</v>
      </c>
      <c r="M47" s="26">
        <f>ROUND((L40*2000)/(3.53/L41),2)</f>
        <v>8.98</v>
      </c>
    </row>
    <row r="48" spans="2:13" x14ac:dyDescent="0.35">
      <c r="B48" t="s">
        <v>30</v>
      </c>
      <c r="J48" s="29" t="s">
        <v>216</v>
      </c>
      <c r="K48" s="30">
        <f>AVERAGE(K46:K47)</f>
        <v>2.02</v>
      </c>
      <c r="L48" s="36">
        <f>AVERAGE(L46:L47)</f>
        <v>2.4500000000000002</v>
      </c>
      <c r="M48" s="29">
        <f>AVERAGE(M46:M47)</f>
        <v>9.06</v>
      </c>
    </row>
    <row r="49" spans="3:12" x14ac:dyDescent="0.35">
      <c r="C49" s="7" t="s">
        <v>31</v>
      </c>
      <c r="D49" s="2" t="s">
        <v>95</v>
      </c>
      <c r="E49" s="2"/>
      <c r="F49" s="2" t="s">
        <v>95</v>
      </c>
      <c r="G49" s="2"/>
    </row>
    <row r="50" spans="3:12" x14ac:dyDescent="0.35">
      <c r="C50" s="7" t="s">
        <v>32</v>
      </c>
      <c r="D50" s="2" t="s">
        <v>96</v>
      </c>
      <c r="E50" s="2" t="s">
        <v>181</v>
      </c>
      <c r="F50" s="2" t="s">
        <v>184</v>
      </c>
      <c r="G50" s="2"/>
    </row>
    <row r="51" spans="3:12" x14ac:dyDescent="0.35">
      <c r="C51" s="7" t="s">
        <v>33</v>
      </c>
      <c r="D51" s="2" t="s">
        <v>182</v>
      </c>
      <c r="E51" s="2" t="s">
        <v>183</v>
      </c>
      <c r="F51" s="2" t="s">
        <v>185</v>
      </c>
      <c r="G51" s="2"/>
      <c r="L51" s="38">
        <f>L46/(L46+L47)</f>
        <v>0.50816326530612244</v>
      </c>
    </row>
  </sheetData>
  <mergeCells count="4">
    <mergeCell ref="J44:M44"/>
    <mergeCell ref="A1:G2"/>
    <mergeCell ref="D4:F4"/>
    <mergeCell ref="D5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zoomScale="110" zoomScaleNormal="110" workbookViewId="0">
      <selection activeCell="D4" sqref="D4:F5"/>
    </sheetView>
  </sheetViews>
  <sheetFormatPr defaultRowHeight="14.5" x14ac:dyDescent="0.35"/>
  <cols>
    <col min="1" max="1" width="3.7265625" customWidth="1"/>
    <col min="2" max="2" width="3.1796875" customWidth="1"/>
    <col min="3" max="3" width="31.1796875" customWidth="1"/>
    <col min="4" max="7" width="24.453125" customWidth="1"/>
    <col min="11" max="11" width="12.1796875" customWidth="1"/>
    <col min="12" max="12" width="11.453125" customWidth="1"/>
    <col min="13" max="13" width="10.7265625" customWidth="1"/>
    <col min="14" max="14" width="14.54296875" customWidth="1"/>
  </cols>
  <sheetData>
    <row r="1" spans="1:7" x14ac:dyDescent="0.35">
      <c r="A1" s="41" t="s">
        <v>35</v>
      </c>
      <c r="B1" s="41"/>
      <c r="C1" s="41"/>
      <c r="D1" s="41"/>
      <c r="E1" s="41"/>
      <c r="F1" s="41"/>
      <c r="G1" s="41"/>
    </row>
    <row r="2" spans="1:7" x14ac:dyDescent="0.35">
      <c r="A2" s="41"/>
      <c r="B2" s="41"/>
      <c r="C2" s="41"/>
      <c r="D2" s="41"/>
      <c r="E2" s="41"/>
      <c r="F2" s="41"/>
      <c r="G2" s="41"/>
    </row>
    <row r="3" spans="1:7" ht="15.5" x14ac:dyDescent="0.35">
      <c r="A3" s="1" t="s">
        <v>0</v>
      </c>
      <c r="B3" s="1"/>
      <c r="C3" s="1"/>
      <c r="D3" s="8">
        <v>3</v>
      </c>
    </row>
    <row r="4" spans="1:7" ht="15.75" customHeight="1" x14ac:dyDescent="0.35">
      <c r="A4" s="1" t="s">
        <v>1</v>
      </c>
      <c r="B4" s="1"/>
      <c r="C4" s="1"/>
      <c r="D4" s="40" t="s">
        <v>241</v>
      </c>
      <c r="E4" s="40"/>
      <c r="F4" s="40"/>
    </row>
    <row r="5" spans="1:7" ht="15.75" customHeight="1" x14ac:dyDescent="0.35">
      <c r="A5" s="1" t="s">
        <v>2</v>
      </c>
      <c r="B5" s="1"/>
      <c r="C5" s="1"/>
      <c r="D5" s="40" t="s">
        <v>239</v>
      </c>
      <c r="E5" s="40"/>
      <c r="F5" s="40"/>
    </row>
    <row r="6" spans="1:7" x14ac:dyDescent="0.35">
      <c r="B6" t="s">
        <v>3</v>
      </c>
    </row>
    <row r="7" spans="1:7" ht="15" x14ac:dyDescent="0.25">
      <c r="C7" s="4" t="s">
        <v>4</v>
      </c>
      <c r="D7" s="2" t="s">
        <v>87</v>
      </c>
    </row>
    <row r="8" spans="1:7" ht="15" x14ac:dyDescent="0.25">
      <c r="C8" s="4" t="s">
        <v>89</v>
      </c>
      <c r="D8" s="2" t="s">
        <v>103</v>
      </c>
    </row>
    <row r="9" spans="1:7" ht="15" x14ac:dyDescent="0.25">
      <c r="C9" s="4" t="s">
        <v>85</v>
      </c>
      <c r="D9" s="12">
        <v>0.8</v>
      </c>
    </row>
    <row r="10" spans="1:7" ht="15" x14ac:dyDescent="0.25">
      <c r="B10" t="s">
        <v>5</v>
      </c>
      <c r="D10" s="13">
        <v>36</v>
      </c>
    </row>
    <row r="11" spans="1:7" ht="15" x14ac:dyDescent="0.25">
      <c r="B11" t="s">
        <v>6</v>
      </c>
      <c r="D11" s="13">
        <v>0</v>
      </c>
    </row>
    <row r="12" spans="1:7" ht="15" x14ac:dyDescent="0.25">
      <c r="B12" t="s">
        <v>7</v>
      </c>
      <c r="D12" s="13">
        <v>35</v>
      </c>
      <c r="G12" s="5"/>
    </row>
    <row r="13" spans="1:7" ht="15" x14ac:dyDescent="0.25">
      <c r="B13" t="s">
        <v>8</v>
      </c>
      <c r="D13" s="3" t="s">
        <v>9</v>
      </c>
      <c r="E13" s="3" t="s">
        <v>10</v>
      </c>
      <c r="F13" s="3" t="s">
        <v>169</v>
      </c>
      <c r="G13" s="3" t="s">
        <v>34</v>
      </c>
    </row>
    <row r="14" spans="1:7" ht="15" x14ac:dyDescent="0.25">
      <c r="C14" s="4" t="s">
        <v>12</v>
      </c>
      <c r="D14" s="2" t="s">
        <v>165</v>
      </c>
      <c r="E14" s="2" t="s">
        <v>165</v>
      </c>
      <c r="F14" s="2" t="s">
        <v>170</v>
      </c>
      <c r="G14" s="2"/>
    </row>
    <row r="15" spans="1:7" ht="15" x14ac:dyDescent="0.25">
      <c r="C15" s="4" t="s">
        <v>13</v>
      </c>
      <c r="D15" s="2" t="s">
        <v>166</v>
      </c>
      <c r="E15" s="2" t="s">
        <v>168</v>
      </c>
      <c r="F15" s="2" t="s">
        <v>171</v>
      </c>
      <c r="G15" s="2"/>
    </row>
    <row r="16" spans="1:7" ht="15" x14ac:dyDescent="0.25">
      <c r="C16" s="4" t="s">
        <v>14</v>
      </c>
      <c r="D16" s="12">
        <v>0.8</v>
      </c>
      <c r="E16" s="12">
        <v>0.8</v>
      </c>
      <c r="F16" s="12">
        <v>0.8</v>
      </c>
      <c r="G16" s="2"/>
    </row>
    <row r="17" spans="2:7" ht="15" x14ac:dyDescent="0.25">
      <c r="C17" s="4" t="s">
        <v>15</v>
      </c>
      <c r="D17" s="2" t="s">
        <v>167</v>
      </c>
      <c r="E17" s="2" t="s">
        <v>167</v>
      </c>
      <c r="F17" s="2" t="s">
        <v>172</v>
      </c>
      <c r="G17" s="2"/>
    </row>
    <row r="18" spans="2:7" ht="15" x14ac:dyDescent="0.25">
      <c r="C18" s="4" t="s">
        <v>16</v>
      </c>
      <c r="D18" s="13">
        <v>2016</v>
      </c>
      <c r="E18" s="13">
        <v>2009</v>
      </c>
      <c r="F18" s="13">
        <v>2013</v>
      </c>
      <c r="G18" s="2"/>
    </row>
    <row r="19" spans="2:7" ht="15" x14ac:dyDescent="0.25">
      <c r="C19" s="4" t="s">
        <v>17</v>
      </c>
      <c r="D19" s="2" t="s">
        <v>207</v>
      </c>
      <c r="E19" s="2" t="s">
        <v>207</v>
      </c>
      <c r="F19" s="2" t="s">
        <v>207</v>
      </c>
      <c r="G19" s="2"/>
    </row>
    <row r="20" spans="2:7" ht="15" x14ac:dyDescent="0.25">
      <c r="B20" t="s">
        <v>18</v>
      </c>
      <c r="G20" s="6"/>
    </row>
    <row r="21" spans="2:7" x14ac:dyDescent="0.35">
      <c r="C21" s="4" t="s">
        <v>19</v>
      </c>
      <c r="D21" s="13">
        <v>70</v>
      </c>
      <c r="G21" s="5"/>
    </row>
    <row r="22" spans="2:7" x14ac:dyDescent="0.35">
      <c r="C22" s="4" t="s">
        <v>12</v>
      </c>
      <c r="D22" s="2" t="s">
        <v>37</v>
      </c>
    </row>
    <row r="23" spans="2:7" x14ac:dyDescent="0.35">
      <c r="C23" s="4" t="s">
        <v>20</v>
      </c>
      <c r="D23" s="2" t="s">
        <v>38</v>
      </c>
    </row>
    <row r="24" spans="2:7" x14ac:dyDescent="0.35">
      <c r="C24" s="4" t="s">
        <v>21</v>
      </c>
      <c r="D24" s="2" t="s">
        <v>104</v>
      </c>
    </row>
    <row r="25" spans="2:7" x14ac:dyDescent="0.35">
      <c r="B25" t="s">
        <v>22</v>
      </c>
    </row>
    <row r="26" spans="2:7" x14ac:dyDescent="0.35">
      <c r="C26" s="4" t="s">
        <v>19</v>
      </c>
      <c r="D26" s="13">
        <v>0</v>
      </c>
    </row>
    <row r="27" spans="2:7" x14ac:dyDescent="0.35">
      <c r="C27" s="4" t="s">
        <v>12</v>
      </c>
      <c r="D27" s="2"/>
    </row>
    <row r="28" spans="2:7" x14ac:dyDescent="0.35">
      <c r="C28" s="4" t="s">
        <v>20</v>
      </c>
      <c r="D28" s="2"/>
    </row>
    <row r="29" spans="2:7" x14ac:dyDescent="0.35">
      <c r="C29" s="4" t="s">
        <v>21</v>
      </c>
      <c r="D29" s="2"/>
    </row>
    <row r="30" spans="2:7" x14ac:dyDescent="0.35">
      <c r="B30" t="s">
        <v>23</v>
      </c>
    </row>
    <row r="31" spans="2:7" x14ac:dyDescent="0.35">
      <c r="C31" s="4" t="s">
        <v>19</v>
      </c>
      <c r="D31" s="13">
        <v>0</v>
      </c>
    </row>
    <row r="32" spans="2:7" x14ac:dyDescent="0.35">
      <c r="C32" s="4" t="s">
        <v>12</v>
      </c>
      <c r="D32" s="2"/>
    </row>
    <row r="33" spans="2:14" x14ac:dyDescent="0.35">
      <c r="C33" s="4" t="s">
        <v>20</v>
      </c>
      <c r="D33" s="2"/>
    </row>
    <row r="34" spans="2:14" x14ac:dyDescent="0.35">
      <c r="C34" s="4" t="s">
        <v>21</v>
      </c>
      <c r="D34" s="2"/>
    </row>
    <row r="35" spans="2:14" x14ac:dyDescent="0.35">
      <c r="B35" t="s">
        <v>24</v>
      </c>
    </row>
    <row r="36" spans="2:14" x14ac:dyDescent="0.35">
      <c r="C36" s="4" t="s">
        <v>19</v>
      </c>
      <c r="D36" s="13">
        <v>35</v>
      </c>
    </row>
    <row r="37" spans="2:14" x14ac:dyDescent="0.35">
      <c r="C37" s="4" t="s">
        <v>12</v>
      </c>
      <c r="D37" s="2" t="s">
        <v>44</v>
      </c>
    </row>
    <row r="38" spans="2:14" x14ac:dyDescent="0.35">
      <c r="C38" s="4" t="s">
        <v>20</v>
      </c>
      <c r="D38" s="2" t="s">
        <v>116</v>
      </c>
    </row>
    <row r="39" spans="2:14" x14ac:dyDescent="0.35">
      <c r="C39" s="4" t="s">
        <v>21</v>
      </c>
      <c r="D39" s="2" t="s">
        <v>46</v>
      </c>
    </row>
    <row r="40" spans="2:14" x14ac:dyDescent="0.35">
      <c r="B40" t="s">
        <v>25</v>
      </c>
      <c r="J40" t="s">
        <v>212</v>
      </c>
      <c r="K40" t="s">
        <v>208</v>
      </c>
      <c r="L40">
        <v>2.6417200000000002E-4</v>
      </c>
      <c r="M40" t="s">
        <v>209</v>
      </c>
    </row>
    <row r="41" spans="2:14" x14ac:dyDescent="0.35">
      <c r="C41" s="4" t="s">
        <v>19</v>
      </c>
      <c r="D41" s="13">
        <v>0</v>
      </c>
      <c r="J41" t="s">
        <v>210</v>
      </c>
      <c r="K41" t="s">
        <v>208</v>
      </c>
      <c r="L41">
        <v>60</v>
      </c>
      <c r="M41" t="s">
        <v>211</v>
      </c>
    </row>
    <row r="42" spans="2:14" x14ac:dyDescent="0.35">
      <c r="C42" s="4" t="s">
        <v>12</v>
      </c>
      <c r="D42" s="2"/>
    </row>
    <row r="43" spans="2:14" x14ac:dyDescent="0.35">
      <c r="C43" s="4" t="s">
        <v>20</v>
      </c>
      <c r="D43" s="2"/>
    </row>
    <row r="44" spans="2:14" x14ac:dyDescent="0.35">
      <c r="C44" s="4" t="s">
        <v>21</v>
      </c>
      <c r="D44" s="2"/>
      <c r="J44" s="45" t="s">
        <v>213</v>
      </c>
      <c r="K44" s="45"/>
      <c r="L44" s="45"/>
      <c r="M44" s="45"/>
      <c r="N44" s="45"/>
    </row>
    <row r="45" spans="2:14" ht="29" x14ac:dyDescent="0.35">
      <c r="B45" t="s">
        <v>26</v>
      </c>
      <c r="D45" s="3" t="s">
        <v>105</v>
      </c>
      <c r="E45" s="8" t="s">
        <v>187</v>
      </c>
      <c r="F45" s="8" t="s">
        <v>188</v>
      </c>
      <c r="G45" s="8" t="s">
        <v>189</v>
      </c>
      <c r="J45" s="24"/>
      <c r="K45" s="32" t="s">
        <v>217</v>
      </c>
      <c r="L45" s="32" t="s">
        <v>225</v>
      </c>
      <c r="M45" s="32" t="s">
        <v>224</v>
      </c>
      <c r="N45" s="33" t="s">
        <v>226</v>
      </c>
    </row>
    <row r="46" spans="2:14" x14ac:dyDescent="0.35">
      <c r="C46" s="7" t="s">
        <v>28</v>
      </c>
      <c r="D46" s="2" t="s">
        <v>106</v>
      </c>
      <c r="E46" s="2" t="s">
        <v>110</v>
      </c>
      <c r="F46" s="2" t="s">
        <v>112</v>
      </c>
      <c r="G46" s="2" t="s">
        <v>115</v>
      </c>
      <c r="J46" s="28" t="s">
        <v>214</v>
      </c>
      <c r="K46" s="25">
        <f>ROUND((L40*250)/(2.1/L41),2)</f>
        <v>1.89</v>
      </c>
      <c r="L46" s="24">
        <f>ROUND((L40*250)/(1.72/L41),2)</f>
        <v>2.2999999999999998</v>
      </c>
      <c r="M46" s="24">
        <f>ROUND((L40*2000)/(6.23/L41),2)</f>
        <v>5.09</v>
      </c>
      <c r="N46" s="37">
        <f>ROUND((L40*2000)/(14.75/L41),2)</f>
        <v>2.15</v>
      </c>
    </row>
    <row r="47" spans="2:14" ht="15" thickBot="1" x14ac:dyDescent="0.4">
      <c r="C47" s="7" t="s">
        <v>29</v>
      </c>
      <c r="D47" s="2" t="s">
        <v>107</v>
      </c>
      <c r="E47" s="2" t="s">
        <v>111</v>
      </c>
      <c r="F47" s="2" t="s">
        <v>113</v>
      </c>
      <c r="G47" s="2"/>
      <c r="J47" s="31" t="s">
        <v>215</v>
      </c>
      <c r="K47" s="26">
        <f>ROUND((L40*250)/(2.03/L41),2)</f>
        <v>1.95</v>
      </c>
      <c r="L47" s="26">
        <f>ROUND((L40*250)/(1.35/L41),2)</f>
        <v>2.94</v>
      </c>
      <c r="M47" s="26">
        <f>ROUND((L40*2000)/(6.1/L41),2)</f>
        <v>5.2</v>
      </c>
      <c r="N47" s="26"/>
    </row>
    <row r="48" spans="2:14" x14ac:dyDescent="0.35">
      <c r="B48" t="s">
        <v>30</v>
      </c>
      <c r="J48" s="29" t="s">
        <v>216</v>
      </c>
      <c r="K48" s="30">
        <f>AVERAGE(K46:K47)</f>
        <v>1.92</v>
      </c>
      <c r="L48" s="29">
        <f>AVERAGE(L46:L47)</f>
        <v>2.62</v>
      </c>
      <c r="M48" s="29">
        <f>AVERAGE(M46:M47)</f>
        <v>5.1449999999999996</v>
      </c>
      <c r="N48" s="23"/>
    </row>
    <row r="49" spans="3:7" x14ac:dyDescent="0.35">
      <c r="C49" s="7" t="s">
        <v>31</v>
      </c>
      <c r="D49" s="2" t="s">
        <v>108</v>
      </c>
      <c r="E49" s="2"/>
      <c r="F49" s="2"/>
      <c r="G49" s="2"/>
    </row>
    <row r="50" spans="3:7" x14ac:dyDescent="0.35">
      <c r="C50" s="7" t="s">
        <v>32</v>
      </c>
      <c r="D50" s="2" t="s">
        <v>114</v>
      </c>
      <c r="E50" s="2" t="s">
        <v>176</v>
      </c>
      <c r="F50" s="2" t="s">
        <v>178</v>
      </c>
      <c r="G50" s="2" t="s">
        <v>179</v>
      </c>
    </row>
    <row r="51" spans="3:7" x14ac:dyDescent="0.35">
      <c r="C51" s="7" t="s">
        <v>33</v>
      </c>
      <c r="D51" s="2" t="s">
        <v>109</v>
      </c>
      <c r="E51" s="2" t="s">
        <v>177</v>
      </c>
      <c r="F51" s="2" t="s">
        <v>153</v>
      </c>
      <c r="G51" s="2" t="s">
        <v>180</v>
      </c>
    </row>
  </sheetData>
  <mergeCells count="4">
    <mergeCell ref="A1:G2"/>
    <mergeCell ref="D4:F4"/>
    <mergeCell ref="D5:F5"/>
    <mergeCell ref="J44:N4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topLeftCell="A30" zoomScale="90" zoomScaleNormal="90" workbookViewId="0">
      <selection activeCell="I10" sqref="I10"/>
    </sheetView>
  </sheetViews>
  <sheetFormatPr defaultRowHeight="14.5" x14ac:dyDescent="0.35"/>
  <cols>
    <col min="1" max="1" width="3.7265625" customWidth="1"/>
    <col min="2" max="2" width="3.1796875" customWidth="1"/>
    <col min="3" max="3" width="29.54296875" customWidth="1"/>
    <col min="4" max="4" width="25.1796875" customWidth="1"/>
    <col min="5" max="5" width="26.08984375" customWidth="1"/>
    <col min="6" max="6" width="26.90625" customWidth="1"/>
    <col min="7" max="7" width="23.7265625" customWidth="1"/>
    <col min="10" max="10" width="9.1796875" customWidth="1"/>
    <col min="11" max="11" width="10.81640625" customWidth="1"/>
    <col min="12" max="12" width="10.54296875" customWidth="1"/>
    <col min="13" max="13" width="13.36328125" customWidth="1"/>
    <col min="14" max="14" width="12.7265625" customWidth="1"/>
  </cols>
  <sheetData>
    <row r="1" spans="1:7" x14ac:dyDescent="0.35">
      <c r="A1" s="41" t="s">
        <v>35</v>
      </c>
      <c r="B1" s="41"/>
      <c r="C1" s="41"/>
      <c r="D1" s="41"/>
      <c r="E1" s="41"/>
      <c r="F1" s="41"/>
      <c r="G1" s="41"/>
    </row>
    <row r="2" spans="1:7" x14ac:dyDescent="0.35">
      <c r="A2" s="41"/>
      <c r="B2" s="41"/>
      <c r="C2" s="41"/>
      <c r="D2" s="41"/>
      <c r="E2" s="41"/>
      <c r="F2" s="41"/>
      <c r="G2" s="41"/>
    </row>
    <row r="3" spans="1:7" ht="15.5" x14ac:dyDescent="0.35">
      <c r="A3" s="1" t="s">
        <v>0</v>
      </c>
      <c r="B3" s="1"/>
      <c r="C3" s="1"/>
      <c r="D3" s="8">
        <v>4</v>
      </c>
    </row>
    <row r="4" spans="1:7" ht="15.75" customHeight="1" x14ac:dyDescent="0.35">
      <c r="A4" s="1" t="s">
        <v>1</v>
      </c>
      <c r="B4" s="1"/>
      <c r="C4" s="1"/>
      <c r="D4" s="40" t="s">
        <v>243</v>
      </c>
      <c r="E4" s="40"/>
      <c r="F4" s="40"/>
    </row>
    <row r="5" spans="1:7" ht="15.75" customHeight="1" x14ac:dyDescent="0.35">
      <c r="A5" s="1" t="s">
        <v>2</v>
      </c>
      <c r="B5" s="1"/>
      <c r="C5" s="1"/>
      <c r="D5" s="40" t="s">
        <v>239</v>
      </c>
      <c r="E5" s="40"/>
      <c r="F5" s="40"/>
    </row>
    <row r="6" spans="1:7" x14ac:dyDescent="0.35">
      <c r="B6" t="s">
        <v>3</v>
      </c>
    </row>
    <row r="7" spans="1:7" ht="15" x14ac:dyDescent="0.25">
      <c r="C7" s="4" t="s">
        <v>4</v>
      </c>
      <c r="D7" s="2" t="s">
        <v>117</v>
      </c>
    </row>
    <row r="8" spans="1:7" ht="15" x14ac:dyDescent="0.25">
      <c r="C8" s="4" t="s">
        <v>89</v>
      </c>
      <c r="D8" s="2" t="s">
        <v>118</v>
      </c>
    </row>
    <row r="9" spans="1:7" ht="15" x14ac:dyDescent="0.25">
      <c r="C9" s="4" t="s">
        <v>85</v>
      </c>
      <c r="D9" s="12">
        <v>0.8</v>
      </c>
    </row>
    <row r="10" spans="1:7" ht="15" x14ac:dyDescent="0.25">
      <c r="B10" t="s">
        <v>5</v>
      </c>
      <c r="D10" s="13">
        <v>146</v>
      </c>
    </row>
    <row r="11" spans="1:7" ht="15" x14ac:dyDescent="0.25">
      <c r="B11" t="s">
        <v>6</v>
      </c>
      <c r="D11" s="13" t="s">
        <v>119</v>
      </c>
    </row>
    <row r="12" spans="1:7" ht="15" x14ac:dyDescent="0.25">
      <c r="B12" t="s">
        <v>7</v>
      </c>
      <c r="D12" s="13">
        <v>140</v>
      </c>
      <c r="G12" s="5"/>
    </row>
    <row r="13" spans="1:7" ht="15" x14ac:dyDescent="0.25">
      <c r="B13" t="s">
        <v>8</v>
      </c>
      <c r="D13" s="3" t="s">
        <v>9</v>
      </c>
      <c r="E13" s="3" t="s">
        <v>10</v>
      </c>
      <c r="F13" s="3" t="s">
        <v>11</v>
      </c>
      <c r="G13" s="3" t="s">
        <v>34</v>
      </c>
    </row>
    <row r="14" spans="1:7" ht="15" x14ac:dyDescent="0.25">
      <c r="C14" s="4" t="s">
        <v>12</v>
      </c>
      <c r="D14" s="2" t="s">
        <v>232</v>
      </c>
      <c r="E14" s="2" t="s">
        <v>235</v>
      </c>
      <c r="F14" s="2"/>
      <c r="G14" s="2"/>
    </row>
    <row r="15" spans="1:7" ht="15" x14ac:dyDescent="0.25">
      <c r="C15" s="4" t="s">
        <v>13</v>
      </c>
      <c r="D15" s="2" t="s">
        <v>233</v>
      </c>
      <c r="E15" s="2" t="s">
        <v>236</v>
      </c>
      <c r="F15" s="2"/>
      <c r="G15" s="2"/>
    </row>
    <row r="16" spans="1:7" ht="15" x14ac:dyDescent="0.25">
      <c r="C16" s="4" t="s">
        <v>14</v>
      </c>
      <c r="D16" s="35">
        <v>0.85</v>
      </c>
      <c r="E16" s="35">
        <v>0.82</v>
      </c>
      <c r="F16" s="2"/>
      <c r="G16" s="2"/>
    </row>
    <row r="17" spans="2:7" ht="15" x14ac:dyDescent="0.25">
      <c r="C17" s="4" t="s">
        <v>15</v>
      </c>
      <c r="D17" s="2" t="s">
        <v>234</v>
      </c>
      <c r="E17" s="2" t="s">
        <v>237</v>
      </c>
      <c r="F17" s="2"/>
      <c r="G17" s="2"/>
    </row>
    <row r="18" spans="2:7" ht="15" x14ac:dyDescent="0.25">
      <c r="C18" s="4" t="s">
        <v>16</v>
      </c>
      <c r="D18" s="2">
        <v>2000</v>
      </c>
      <c r="E18" s="2">
        <v>1997</v>
      </c>
      <c r="F18" s="2"/>
      <c r="G18" s="2"/>
    </row>
    <row r="19" spans="2:7" ht="15" x14ac:dyDescent="0.25">
      <c r="C19" s="4" t="s">
        <v>17</v>
      </c>
      <c r="D19" s="2"/>
      <c r="E19" s="2"/>
      <c r="F19" s="2"/>
      <c r="G19" s="2"/>
    </row>
    <row r="20" spans="2:7" ht="15" x14ac:dyDescent="0.25">
      <c r="B20" t="s">
        <v>18</v>
      </c>
      <c r="G20" s="6"/>
    </row>
    <row r="21" spans="2:7" ht="15" x14ac:dyDescent="0.25">
      <c r="C21" s="4" t="s">
        <v>19</v>
      </c>
      <c r="D21" s="13">
        <v>140</v>
      </c>
      <c r="G21" s="5"/>
    </row>
    <row r="22" spans="2:7" ht="15" x14ac:dyDescent="0.25">
      <c r="C22" s="4" t="s">
        <v>12</v>
      </c>
      <c r="D22" s="2" t="s">
        <v>44</v>
      </c>
    </row>
    <row r="23" spans="2:7" ht="15" x14ac:dyDescent="0.25">
      <c r="C23" s="4" t="s">
        <v>20</v>
      </c>
      <c r="D23" s="2" t="s">
        <v>38</v>
      </c>
    </row>
    <row r="24" spans="2:7" ht="15" x14ac:dyDescent="0.25">
      <c r="C24" s="4" t="s">
        <v>21</v>
      </c>
      <c r="D24" s="2" t="s">
        <v>39</v>
      </c>
    </row>
    <row r="25" spans="2:7" ht="15" x14ac:dyDescent="0.25">
      <c r="B25" t="s">
        <v>22</v>
      </c>
    </row>
    <row r="26" spans="2:7" ht="15" x14ac:dyDescent="0.25">
      <c r="C26" s="4" t="s">
        <v>19</v>
      </c>
      <c r="D26" s="13">
        <v>3</v>
      </c>
    </row>
    <row r="27" spans="2:7" ht="15" x14ac:dyDescent="0.25">
      <c r="C27" s="4" t="s">
        <v>12</v>
      </c>
      <c r="D27" s="2" t="s">
        <v>37</v>
      </c>
    </row>
    <row r="28" spans="2:7" ht="15" x14ac:dyDescent="0.25">
      <c r="C28" s="4" t="s">
        <v>20</v>
      </c>
      <c r="D28" s="2" t="s">
        <v>120</v>
      </c>
    </row>
    <row r="29" spans="2:7" ht="15" x14ac:dyDescent="0.25">
      <c r="C29" s="4" t="s">
        <v>21</v>
      </c>
      <c r="D29" s="2" t="s">
        <v>39</v>
      </c>
    </row>
    <row r="30" spans="2:7" ht="15" x14ac:dyDescent="0.25">
      <c r="B30" t="s">
        <v>23</v>
      </c>
    </row>
    <row r="31" spans="2:7" ht="15" x14ac:dyDescent="0.25">
      <c r="C31" s="4" t="s">
        <v>19</v>
      </c>
      <c r="D31" s="13">
        <v>0</v>
      </c>
    </row>
    <row r="32" spans="2:7" ht="15" x14ac:dyDescent="0.25">
      <c r="C32" s="4" t="s">
        <v>12</v>
      </c>
      <c r="D32" s="2"/>
    </row>
    <row r="33" spans="2:14" ht="15" x14ac:dyDescent="0.25">
      <c r="C33" s="4" t="s">
        <v>20</v>
      </c>
      <c r="D33" s="2"/>
    </row>
    <row r="34" spans="2:14" x14ac:dyDescent="0.35">
      <c r="C34" s="4" t="s">
        <v>21</v>
      </c>
      <c r="D34" s="2"/>
    </row>
    <row r="35" spans="2:14" x14ac:dyDescent="0.35">
      <c r="B35" t="s">
        <v>24</v>
      </c>
    </row>
    <row r="36" spans="2:14" x14ac:dyDescent="0.35">
      <c r="C36" s="4" t="s">
        <v>19</v>
      </c>
      <c r="D36" s="13">
        <v>140</v>
      </c>
    </row>
    <row r="37" spans="2:14" x14ac:dyDescent="0.35">
      <c r="C37" s="4" t="s">
        <v>12</v>
      </c>
      <c r="D37" s="2" t="s">
        <v>44</v>
      </c>
    </row>
    <row r="38" spans="2:14" x14ac:dyDescent="0.35">
      <c r="C38" s="4" t="s">
        <v>20</v>
      </c>
      <c r="D38" s="2" t="s">
        <v>38</v>
      </c>
    </row>
    <row r="39" spans="2:14" x14ac:dyDescent="0.35">
      <c r="C39" s="4" t="s">
        <v>21</v>
      </c>
      <c r="D39" s="2" t="s">
        <v>46</v>
      </c>
    </row>
    <row r="40" spans="2:14" x14ac:dyDescent="0.35">
      <c r="B40" t="s">
        <v>25</v>
      </c>
      <c r="J40" t="s">
        <v>212</v>
      </c>
      <c r="K40" t="s">
        <v>208</v>
      </c>
      <c r="L40">
        <v>2.6417200000000002E-4</v>
      </c>
      <c r="M40" t="s">
        <v>209</v>
      </c>
    </row>
    <row r="41" spans="2:14" x14ac:dyDescent="0.35">
      <c r="C41" s="4" t="s">
        <v>19</v>
      </c>
      <c r="D41" s="13">
        <v>0</v>
      </c>
      <c r="J41" t="s">
        <v>210</v>
      </c>
      <c r="K41" t="s">
        <v>208</v>
      </c>
      <c r="L41">
        <v>60</v>
      </c>
      <c r="M41" t="s">
        <v>211</v>
      </c>
    </row>
    <row r="42" spans="2:14" x14ac:dyDescent="0.35">
      <c r="C42" s="4" t="s">
        <v>12</v>
      </c>
      <c r="D42" s="2"/>
    </row>
    <row r="43" spans="2:14" x14ac:dyDescent="0.35">
      <c r="C43" s="4" t="s">
        <v>20</v>
      </c>
      <c r="D43" s="2"/>
    </row>
    <row r="44" spans="2:14" x14ac:dyDescent="0.35">
      <c r="C44" s="4" t="s">
        <v>21</v>
      </c>
      <c r="D44" s="2"/>
      <c r="J44" s="45" t="s">
        <v>213</v>
      </c>
      <c r="K44" s="45"/>
      <c r="L44" s="45"/>
      <c r="M44" s="45"/>
      <c r="N44" s="45"/>
    </row>
    <row r="45" spans="2:14" ht="43.5" x14ac:dyDescent="0.35">
      <c r="B45" t="s">
        <v>26</v>
      </c>
      <c r="D45" s="3" t="s">
        <v>121</v>
      </c>
      <c r="E45" s="8" t="s">
        <v>127</v>
      </c>
      <c r="F45" s="8" t="s">
        <v>131</v>
      </c>
      <c r="G45" s="3" t="s">
        <v>134</v>
      </c>
      <c r="J45" s="24"/>
      <c r="K45" s="32" t="s">
        <v>217</v>
      </c>
      <c r="L45" s="32" t="s">
        <v>228</v>
      </c>
      <c r="M45" s="32" t="s">
        <v>229</v>
      </c>
      <c r="N45" s="33" t="s">
        <v>219</v>
      </c>
    </row>
    <row r="46" spans="2:14" x14ac:dyDescent="0.35">
      <c r="C46" s="7" t="s">
        <v>28</v>
      </c>
      <c r="D46" s="2" t="s">
        <v>122</v>
      </c>
      <c r="E46" s="2" t="s">
        <v>128</v>
      </c>
      <c r="F46" s="2" t="s">
        <v>132</v>
      </c>
      <c r="G46" s="2" t="s">
        <v>135</v>
      </c>
      <c r="J46" s="28" t="s">
        <v>214</v>
      </c>
      <c r="K46" s="25">
        <f>ROUND((L40*250)/(2.67/L41),2)</f>
        <v>1.48</v>
      </c>
      <c r="L46" s="24">
        <f>ROUND((L40*2000)/(7.81/L41),2)</f>
        <v>4.0599999999999996</v>
      </c>
      <c r="M46" s="24">
        <f>ROUND((L40*2000)/(14.81/L41),2)</f>
        <v>2.14</v>
      </c>
      <c r="N46" s="24">
        <f>ROUND((L40*250)/(1.91/L41),2)</f>
        <v>2.0699999999999998</v>
      </c>
    </row>
    <row r="47" spans="2:14" ht="15" thickBot="1" x14ac:dyDescent="0.4">
      <c r="C47" s="7" t="s">
        <v>29</v>
      </c>
      <c r="D47" s="2" t="s">
        <v>123</v>
      </c>
      <c r="E47" s="2" t="s">
        <v>129</v>
      </c>
      <c r="F47" s="2" t="s">
        <v>133</v>
      </c>
      <c r="G47" s="2" t="s">
        <v>136</v>
      </c>
      <c r="J47" s="31" t="s">
        <v>215</v>
      </c>
      <c r="K47" s="26">
        <f>ROUND((L40*250)/(2.65/L41),2)</f>
        <v>1.5</v>
      </c>
      <c r="L47" s="26">
        <f>ROUND((L40*2000)/(8.31/L41),2)</f>
        <v>3.81</v>
      </c>
      <c r="M47" s="26">
        <f>ROUND((L40*2000)/(13.41/L41),2)</f>
        <v>2.36</v>
      </c>
      <c r="N47" s="26">
        <f>ROUND((L40*250)/(1.83/L41),2)</f>
        <v>2.17</v>
      </c>
    </row>
    <row r="48" spans="2:14" x14ac:dyDescent="0.35">
      <c r="B48" t="s">
        <v>30</v>
      </c>
      <c r="J48" s="29" t="s">
        <v>216</v>
      </c>
      <c r="K48" s="30">
        <f>AVERAGE(K46:K47)</f>
        <v>1.49</v>
      </c>
      <c r="L48" s="29">
        <f>AVERAGE(L46:L47)</f>
        <v>3.9349999999999996</v>
      </c>
      <c r="M48" s="36">
        <f>AVERAGE(M46:M47)</f>
        <v>2.25</v>
      </c>
      <c r="N48" s="29">
        <f>AVERAGE(N46:N47)</f>
        <v>2.12</v>
      </c>
    </row>
    <row r="49" spans="3:14" x14ac:dyDescent="0.35">
      <c r="C49" s="7" t="s">
        <v>31</v>
      </c>
      <c r="D49" s="2" t="s">
        <v>126</v>
      </c>
      <c r="E49" s="2"/>
      <c r="F49" s="2"/>
      <c r="G49" s="2"/>
    </row>
    <row r="50" spans="3:14" x14ac:dyDescent="0.35">
      <c r="C50" s="7" t="s">
        <v>32</v>
      </c>
      <c r="D50" s="2" t="s">
        <v>124</v>
      </c>
      <c r="E50" s="2" t="s">
        <v>130</v>
      </c>
      <c r="F50" s="2" t="s">
        <v>148</v>
      </c>
      <c r="G50" s="2" t="s">
        <v>137</v>
      </c>
    </row>
    <row r="51" spans="3:14" x14ac:dyDescent="0.35">
      <c r="C51" s="7" t="s">
        <v>33</v>
      </c>
      <c r="D51" s="2" t="s">
        <v>125</v>
      </c>
      <c r="E51" s="2" t="s">
        <v>138</v>
      </c>
      <c r="F51" s="2" t="s">
        <v>175</v>
      </c>
      <c r="G51" s="2" t="s">
        <v>138</v>
      </c>
      <c r="M51" s="38">
        <f>M46/(M46+M47)</f>
        <v>0.47555555555555556</v>
      </c>
    </row>
    <row r="53" spans="3:14" x14ac:dyDescent="0.35">
      <c r="N53" s="39"/>
    </row>
  </sheetData>
  <mergeCells count="4">
    <mergeCell ref="A1:G2"/>
    <mergeCell ref="D4:F4"/>
    <mergeCell ref="D5:F5"/>
    <mergeCell ref="J44:N4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workbookViewId="0">
      <selection activeCell="D5" sqref="D4:F5"/>
    </sheetView>
  </sheetViews>
  <sheetFormatPr defaultRowHeight="14.5" x14ac:dyDescent="0.35"/>
  <cols>
    <col min="1" max="1" width="3.7265625" customWidth="1"/>
    <col min="2" max="2" width="3.1796875" customWidth="1"/>
    <col min="3" max="3" width="31.1796875" customWidth="1"/>
    <col min="4" max="7" width="24.453125" customWidth="1"/>
    <col min="9" max="9" width="29.453125" customWidth="1"/>
    <col min="11" max="11" width="12.7265625" customWidth="1"/>
    <col min="12" max="12" width="11.26953125" customWidth="1"/>
    <col min="13" max="13" width="15.54296875" customWidth="1"/>
    <col min="14" max="14" width="12.1796875" customWidth="1"/>
  </cols>
  <sheetData>
    <row r="1" spans="1:7" x14ac:dyDescent="0.35">
      <c r="A1" s="41" t="s">
        <v>35</v>
      </c>
      <c r="B1" s="41"/>
      <c r="C1" s="41"/>
      <c r="D1" s="41"/>
      <c r="E1" s="41"/>
      <c r="F1" s="41"/>
      <c r="G1" s="41"/>
    </row>
    <row r="2" spans="1:7" x14ac:dyDescent="0.35">
      <c r="A2" s="41"/>
      <c r="B2" s="41"/>
      <c r="C2" s="41"/>
      <c r="D2" s="41"/>
      <c r="E2" s="41"/>
      <c r="F2" s="41"/>
      <c r="G2" s="41"/>
    </row>
    <row r="3" spans="1:7" ht="15.5" x14ac:dyDescent="0.35">
      <c r="A3" s="1" t="s">
        <v>0</v>
      </c>
      <c r="B3" s="1"/>
      <c r="C3" s="1"/>
      <c r="D3" s="8">
        <v>5</v>
      </c>
    </row>
    <row r="4" spans="1:7" ht="15.75" customHeight="1" x14ac:dyDescent="0.35">
      <c r="A4" s="1" t="s">
        <v>1</v>
      </c>
      <c r="B4" s="1"/>
      <c r="C4" s="1"/>
      <c r="D4" s="40" t="s">
        <v>242</v>
      </c>
      <c r="E4" s="40"/>
      <c r="F4" s="40"/>
    </row>
    <row r="5" spans="1:7" ht="15.75" customHeight="1" x14ac:dyDescent="0.35">
      <c r="A5" s="1" t="s">
        <v>2</v>
      </c>
      <c r="B5" s="1"/>
      <c r="C5" s="1"/>
      <c r="D5" s="40" t="s">
        <v>239</v>
      </c>
      <c r="E5" s="40"/>
      <c r="F5" s="40"/>
    </row>
    <row r="6" spans="1:7" x14ac:dyDescent="0.35">
      <c r="B6" t="s">
        <v>3</v>
      </c>
    </row>
    <row r="7" spans="1:7" ht="15" x14ac:dyDescent="0.25">
      <c r="C7" s="4" t="s">
        <v>4</v>
      </c>
      <c r="D7" s="2" t="s">
        <v>139</v>
      </c>
    </row>
    <row r="8" spans="1:7" ht="15" x14ac:dyDescent="0.25">
      <c r="C8" s="4" t="s">
        <v>89</v>
      </c>
      <c r="D8" s="13" t="s">
        <v>164</v>
      </c>
    </row>
    <row r="9" spans="1:7" ht="15" x14ac:dyDescent="0.25">
      <c r="C9" s="4" t="s">
        <v>85</v>
      </c>
      <c r="D9" s="12">
        <v>0.85</v>
      </c>
    </row>
    <row r="10" spans="1:7" ht="15" x14ac:dyDescent="0.25">
      <c r="B10" t="s">
        <v>5</v>
      </c>
      <c r="D10" s="13">
        <v>87</v>
      </c>
    </row>
    <row r="11" spans="1:7" ht="15" x14ac:dyDescent="0.25">
      <c r="B11" t="s">
        <v>6</v>
      </c>
      <c r="D11" s="13">
        <v>0</v>
      </c>
    </row>
    <row r="12" spans="1:7" ht="15" x14ac:dyDescent="0.25">
      <c r="B12" t="s">
        <v>7</v>
      </c>
      <c r="D12" s="13">
        <v>86</v>
      </c>
      <c r="G12" s="5"/>
    </row>
    <row r="13" spans="1:7" ht="15" x14ac:dyDescent="0.25">
      <c r="B13" t="s">
        <v>8</v>
      </c>
      <c r="D13" s="3" t="s">
        <v>9</v>
      </c>
      <c r="E13" s="3" t="s">
        <v>162</v>
      </c>
      <c r="F13" s="3" t="s">
        <v>11</v>
      </c>
      <c r="G13" s="3" t="s">
        <v>34</v>
      </c>
    </row>
    <row r="14" spans="1:7" ht="15" x14ac:dyDescent="0.25">
      <c r="C14" s="4" t="s">
        <v>12</v>
      </c>
      <c r="D14" s="2" t="s">
        <v>156</v>
      </c>
      <c r="E14" s="2" t="s">
        <v>160</v>
      </c>
      <c r="F14" s="2"/>
      <c r="G14" s="2"/>
    </row>
    <row r="15" spans="1:7" ht="15" x14ac:dyDescent="0.25">
      <c r="C15" s="4" t="s">
        <v>13</v>
      </c>
      <c r="D15" s="2" t="s">
        <v>157</v>
      </c>
      <c r="E15" s="2" t="s">
        <v>161</v>
      </c>
      <c r="F15" s="2"/>
      <c r="G15" s="2"/>
    </row>
    <row r="16" spans="1:7" ht="15" x14ac:dyDescent="0.25">
      <c r="C16" s="4" t="s">
        <v>14</v>
      </c>
      <c r="D16" s="12">
        <v>0.82</v>
      </c>
      <c r="E16" s="12">
        <v>0.8</v>
      </c>
      <c r="F16" s="2"/>
      <c r="G16" s="2"/>
    </row>
    <row r="17" spans="2:7" ht="15" x14ac:dyDescent="0.25">
      <c r="C17" s="4" t="s">
        <v>15</v>
      </c>
      <c r="D17" s="2" t="s">
        <v>158</v>
      </c>
      <c r="E17" s="2" t="s">
        <v>163</v>
      </c>
      <c r="F17" s="2"/>
      <c r="G17" s="2"/>
    </row>
    <row r="18" spans="2:7" ht="15" x14ac:dyDescent="0.25">
      <c r="C18" s="4" t="s">
        <v>16</v>
      </c>
      <c r="D18" s="13">
        <v>2007</v>
      </c>
      <c r="E18" s="13">
        <v>2011</v>
      </c>
      <c r="F18" s="2"/>
      <c r="G18" s="2"/>
    </row>
    <row r="19" spans="2:7" ht="15" x14ac:dyDescent="0.25">
      <c r="C19" s="4" t="s">
        <v>17</v>
      </c>
      <c r="D19" s="2"/>
      <c r="E19" s="2" t="s">
        <v>159</v>
      </c>
      <c r="F19" s="2"/>
      <c r="G19" s="2"/>
    </row>
    <row r="20" spans="2:7" ht="15" x14ac:dyDescent="0.25">
      <c r="B20" t="s">
        <v>18</v>
      </c>
      <c r="G20" s="6"/>
    </row>
    <row r="21" spans="2:7" ht="15" x14ac:dyDescent="0.25">
      <c r="C21" s="4" t="s">
        <v>19</v>
      </c>
      <c r="D21" s="13">
        <v>86</v>
      </c>
      <c r="G21" s="5"/>
    </row>
    <row r="22" spans="2:7" ht="15" x14ac:dyDescent="0.25">
      <c r="C22" s="4" t="s">
        <v>12</v>
      </c>
      <c r="D22" s="2" t="s">
        <v>44</v>
      </c>
    </row>
    <row r="23" spans="2:7" x14ac:dyDescent="0.35">
      <c r="C23" s="4" t="s">
        <v>20</v>
      </c>
      <c r="D23" s="2" t="s">
        <v>38</v>
      </c>
    </row>
    <row r="24" spans="2:7" x14ac:dyDescent="0.35">
      <c r="C24" s="4" t="s">
        <v>21</v>
      </c>
      <c r="D24" s="2" t="s">
        <v>39</v>
      </c>
    </row>
    <row r="25" spans="2:7" x14ac:dyDescent="0.35">
      <c r="B25" t="s">
        <v>22</v>
      </c>
    </row>
    <row r="26" spans="2:7" x14ac:dyDescent="0.35">
      <c r="C26" s="4" t="s">
        <v>19</v>
      </c>
      <c r="D26" s="13">
        <v>1</v>
      </c>
    </row>
    <row r="27" spans="2:7" x14ac:dyDescent="0.35">
      <c r="C27" s="4" t="s">
        <v>12</v>
      </c>
      <c r="D27" s="2" t="s">
        <v>44</v>
      </c>
    </row>
    <row r="28" spans="2:7" x14ac:dyDescent="0.35">
      <c r="C28" s="4" t="s">
        <v>20</v>
      </c>
      <c r="D28" s="2" t="s">
        <v>140</v>
      </c>
    </row>
    <row r="29" spans="2:7" x14ac:dyDescent="0.35">
      <c r="C29" s="4" t="s">
        <v>21</v>
      </c>
      <c r="D29" s="2" t="s">
        <v>46</v>
      </c>
    </row>
    <row r="30" spans="2:7" x14ac:dyDescent="0.35">
      <c r="B30" t="s">
        <v>23</v>
      </c>
    </row>
    <row r="31" spans="2:7" x14ac:dyDescent="0.35">
      <c r="C31" s="4" t="s">
        <v>19</v>
      </c>
      <c r="D31" s="13">
        <v>0</v>
      </c>
    </row>
    <row r="32" spans="2:7" x14ac:dyDescent="0.35">
      <c r="C32" s="4" t="s">
        <v>12</v>
      </c>
      <c r="D32" s="2"/>
    </row>
    <row r="33" spans="2:14" x14ac:dyDescent="0.35">
      <c r="C33" s="4" t="s">
        <v>20</v>
      </c>
      <c r="D33" s="2"/>
    </row>
    <row r="34" spans="2:14" x14ac:dyDescent="0.35">
      <c r="C34" s="4" t="s">
        <v>21</v>
      </c>
      <c r="D34" s="2"/>
    </row>
    <row r="35" spans="2:14" x14ac:dyDescent="0.35">
      <c r="B35" t="s">
        <v>24</v>
      </c>
    </row>
    <row r="36" spans="2:14" x14ac:dyDescent="0.35">
      <c r="C36" s="4" t="s">
        <v>19</v>
      </c>
      <c r="D36" s="13">
        <v>86</v>
      </c>
    </row>
    <row r="37" spans="2:14" x14ac:dyDescent="0.35">
      <c r="C37" s="4" t="s">
        <v>12</v>
      </c>
      <c r="D37" s="2" t="s">
        <v>44</v>
      </c>
    </row>
    <row r="38" spans="2:14" x14ac:dyDescent="0.35">
      <c r="C38" s="4" t="s">
        <v>20</v>
      </c>
      <c r="D38" s="2" t="s">
        <v>141</v>
      </c>
    </row>
    <row r="39" spans="2:14" x14ac:dyDescent="0.35">
      <c r="C39" s="4" t="s">
        <v>21</v>
      </c>
      <c r="D39" s="2" t="s">
        <v>46</v>
      </c>
    </row>
    <row r="40" spans="2:14" x14ac:dyDescent="0.35">
      <c r="B40" t="s">
        <v>25</v>
      </c>
      <c r="D40" s="8"/>
      <c r="J40" t="s">
        <v>212</v>
      </c>
      <c r="K40" t="s">
        <v>208</v>
      </c>
      <c r="L40">
        <v>2.6417200000000002E-4</v>
      </c>
      <c r="M40" t="s">
        <v>209</v>
      </c>
    </row>
    <row r="41" spans="2:14" x14ac:dyDescent="0.35">
      <c r="C41" s="4" t="s">
        <v>19</v>
      </c>
      <c r="D41" s="13">
        <v>0</v>
      </c>
      <c r="J41" t="s">
        <v>210</v>
      </c>
      <c r="K41" t="s">
        <v>208</v>
      </c>
      <c r="L41">
        <v>60</v>
      </c>
      <c r="M41" t="s">
        <v>211</v>
      </c>
    </row>
    <row r="42" spans="2:14" x14ac:dyDescent="0.35">
      <c r="C42" s="4" t="s">
        <v>12</v>
      </c>
      <c r="D42" s="2"/>
    </row>
    <row r="43" spans="2:14" x14ac:dyDescent="0.35">
      <c r="C43" s="4" t="s">
        <v>20</v>
      </c>
      <c r="D43" s="2"/>
    </row>
    <row r="44" spans="2:14" x14ac:dyDescent="0.35">
      <c r="C44" s="4" t="s">
        <v>21</v>
      </c>
      <c r="D44" s="2"/>
      <c r="J44" s="45" t="s">
        <v>213</v>
      </c>
      <c r="K44" s="45"/>
      <c r="L44" s="45"/>
      <c r="M44" s="45"/>
      <c r="N44" s="45"/>
    </row>
    <row r="45" spans="2:14" ht="43.5" x14ac:dyDescent="0.35">
      <c r="B45" t="s">
        <v>26</v>
      </c>
      <c r="D45" s="3" t="s">
        <v>142</v>
      </c>
      <c r="E45" s="8" t="s">
        <v>146</v>
      </c>
      <c r="F45" s="8" t="s">
        <v>149</v>
      </c>
      <c r="G45" s="8" t="s">
        <v>152</v>
      </c>
      <c r="I45" s="8"/>
      <c r="J45" s="24"/>
      <c r="K45" s="32" t="s">
        <v>217</v>
      </c>
      <c r="L45" s="32" t="s">
        <v>228</v>
      </c>
      <c r="M45" s="32" t="s">
        <v>229</v>
      </c>
      <c r="N45" s="33" t="s">
        <v>219</v>
      </c>
    </row>
    <row r="46" spans="2:14" x14ac:dyDescent="0.35">
      <c r="C46" s="7" t="s">
        <v>28</v>
      </c>
      <c r="D46" s="2" t="s">
        <v>143</v>
      </c>
      <c r="E46" s="2" t="s">
        <v>113</v>
      </c>
      <c r="F46" s="2" t="s">
        <v>150</v>
      </c>
      <c r="G46" s="2" t="s">
        <v>230</v>
      </c>
      <c r="J46" s="28" t="s">
        <v>214</v>
      </c>
      <c r="K46" s="25">
        <f>ROUND((L40*250)/(1.81/L41),2)</f>
        <v>2.19</v>
      </c>
      <c r="L46" s="24">
        <f>ROUND((L40*2000)/(6.1/L41),2)</f>
        <v>5.2</v>
      </c>
      <c r="M46" s="24">
        <f>ROUND((L40*2000)/(12.5/L41),2)</f>
        <v>2.54</v>
      </c>
      <c r="N46" s="28">
        <f>ROUND((L40*250)/(1.94/L41),2)</f>
        <v>2.04</v>
      </c>
    </row>
    <row r="47" spans="2:14" ht="15" thickBot="1" x14ac:dyDescent="0.4">
      <c r="C47" s="7" t="s">
        <v>29</v>
      </c>
      <c r="D47" s="2" t="s">
        <v>144</v>
      </c>
      <c r="E47" s="2" t="s">
        <v>147</v>
      </c>
      <c r="F47" s="2" t="s">
        <v>151</v>
      </c>
      <c r="G47" s="2" t="s">
        <v>231</v>
      </c>
      <c r="J47" s="31" t="s">
        <v>215</v>
      </c>
      <c r="K47" s="26">
        <f>ROUND((L40*250)/(1.78/L41),2)</f>
        <v>2.23</v>
      </c>
      <c r="L47" s="26">
        <f>ROUND((L40*2000)/(7.72/L41),2)</f>
        <v>4.1100000000000003</v>
      </c>
      <c r="M47" s="26">
        <f>ROUND((L40*2000)/(12.29/L41),2)</f>
        <v>2.58</v>
      </c>
      <c r="N47" s="31">
        <f>ROUND((L40*250)/(1.62/L41),2)</f>
        <v>2.4500000000000002</v>
      </c>
    </row>
    <row r="48" spans="2:14" x14ac:dyDescent="0.35">
      <c r="B48" t="s">
        <v>30</v>
      </c>
      <c r="J48" s="29" t="s">
        <v>216</v>
      </c>
      <c r="K48" s="30">
        <f>AVERAGE(K46:K47)</f>
        <v>2.21</v>
      </c>
      <c r="L48" s="29">
        <f>AVERAGE(L46:L47)</f>
        <v>4.6550000000000002</v>
      </c>
      <c r="M48" s="36">
        <f>AVERAGE(M46:M47)</f>
        <v>2.56</v>
      </c>
      <c r="N48" s="34">
        <f>AVERAGE(N46:N47)</f>
        <v>2.2450000000000001</v>
      </c>
    </row>
    <row r="49" spans="3:13" x14ac:dyDescent="0.35">
      <c r="C49" s="7" t="s">
        <v>31</v>
      </c>
      <c r="D49" s="2" t="s">
        <v>145</v>
      </c>
      <c r="E49" s="2"/>
      <c r="F49" s="2"/>
      <c r="G49" s="2"/>
    </row>
    <row r="50" spans="3:13" x14ac:dyDescent="0.35">
      <c r="C50" s="7" t="s">
        <v>32</v>
      </c>
      <c r="D50" s="2" t="s">
        <v>130</v>
      </c>
      <c r="E50" s="2" t="s">
        <v>148</v>
      </c>
      <c r="F50" s="2" t="s">
        <v>173</v>
      </c>
      <c r="G50" s="2" t="s">
        <v>155</v>
      </c>
    </row>
    <row r="51" spans="3:13" x14ac:dyDescent="0.35">
      <c r="C51" s="7" t="s">
        <v>33</v>
      </c>
      <c r="D51" s="2" t="s">
        <v>154</v>
      </c>
      <c r="E51" s="2" t="s">
        <v>153</v>
      </c>
      <c r="F51" s="2" t="s">
        <v>174</v>
      </c>
      <c r="G51" s="2" t="s">
        <v>186</v>
      </c>
      <c r="M51" s="38">
        <f>M46/(M46+M47)</f>
        <v>0.49609375</v>
      </c>
    </row>
  </sheetData>
  <mergeCells count="4">
    <mergeCell ref="A1:G2"/>
    <mergeCell ref="D4:F4"/>
    <mergeCell ref="D5:F5"/>
    <mergeCell ref="J44:N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Survey site 1</vt:lpstr>
      <vt:lpstr>Survey site 2</vt:lpstr>
      <vt:lpstr>Survey site 3</vt:lpstr>
      <vt:lpstr>Survey site 4</vt:lpstr>
      <vt:lpstr>Survey site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Myung Koh</dc:creator>
  <cp:lastModifiedBy>Bashar, Raad</cp:lastModifiedBy>
  <cp:lastPrinted>2016-12-02T22:43:48Z</cp:lastPrinted>
  <dcterms:created xsi:type="dcterms:W3CDTF">2016-12-02T22:20:49Z</dcterms:created>
  <dcterms:modified xsi:type="dcterms:W3CDTF">2017-05-01T18:26:46Z</dcterms:modified>
</cp:coreProperties>
</file>