
<file path=[Content_Types].xml><?xml version="1.0" encoding="utf-8"?>
<Types xmlns="http://schemas.openxmlformats.org/package/2006/content-types">
  <Default Extension="bin" ContentType="application/vnd.openxmlformats-officedocument.spreadsheetml.printerSettings"/>
  <Default Extension="png" ContentType="image/png"/>
  <Default Extension="tmp"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dmendoz\OneDrive - Sempra Energy\User Folders\Desktop\Current Projects &amp; Tasks\Commercial Low Flow Showerhead\"/>
    </mc:Choice>
  </mc:AlternateContent>
  <bookViews>
    <workbookView xWindow="30" yWindow="180" windowWidth="13065" windowHeight="8250" tabRatio="868"/>
  </bookViews>
  <sheets>
    <sheet name="Showerhead Calculations" sheetId="1" r:id="rId1"/>
    <sheet name="Savings for 1.5 gpm " sheetId="4" r:id="rId2"/>
    <sheet name="Savings for 1.8 gpm " sheetId="7" r:id="rId3"/>
    <sheet name="SoCal Lodging Stats Summary" sheetId="9" r:id="rId4"/>
    <sheet name="US Lodging Stats" sheetId="5" r:id="rId5"/>
    <sheet name="Water Temperatures" sheetId="8" r:id="rId6"/>
    <sheet name="Building Weights" sheetId="6" r:id="rId7"/>
    <sheet name="Showerhead Calculations (Old)" sheetId="10" r:id="rId8"/>
  </sheets>
  <definedNames>
    <definedName name="_Toc371403225" localSheetId="1">'Water Temperatures'!$A$1</definedName>
  </definedNames>
  <calcPr calcId="171027"/>
</workbook>
</file>

<file path=xl/calcChain.xml><?xml version="1.0" encoding="utf-8"?>
<calcChain xmlns="http://schemas.openxmlformats.org/spreadsheetml/2006/main">
  <c r="P47" i="9" l="1"/>
  <c r="L45" i="9"/>
  <c r="L46" i="9"/>
  <c r="L47" i="9"/>
  <c r="L48" i="9"/>
  <c r="L49" i="9"/>
  <c r="L50" i="9"/>
  <c r="L51" i="9"/>
  <c r="L52" i="9"/>
  <c r="L44" i="9"/>
  <c r="K45" i="9"/>
  <c r="K46" i="9"/>
  <c r="K47" i="9"/>
  <c r="K48" i="9"/>
  <c r="K49" i="9"/>
  <c r="K50" i="9"/>
  <c r="K51" i="9"/>
  <c r="K52" i="9"/>
  <c r="J45" i="9"/>
  <c r="J46" i="9"/>
  <c r="J47" i="9"/>
  <c r="J48" i="9"/>
  <c r="J49" i="9"/>
  <c r="J50" i="9"/>
  <c r="J51" i="9"/>
  <c r="J52" i="9"/>
  <c r="K44" i="9"/>
  <c r="J44" i="9"/>
  <c r="D53" i="1" l="1"/>
  <c r="K40" i="9"/>
  <c r="J40" i="9"/>
  <c r="K27" i="9"/>
  <c r="J27" i="9"/>
  <c r="K14" i="9"/>
  <c r="J14" i="9"/>
  <c r="D14" i="9"/>
  <c r="C14" i="9"/>
  <c r="D3" i="1" s="1"/>
  <c r="I25" i="1" s="1"/>
  <c r="D27" i="9"/>
  <c r="C27" i="9"/>
  <c r="D40" i="9"/>
  <c r="C40" i="9"/>
  <c r="D53" i="9"/>
  <c r="C53" i="9"/>
  <c r="E26" i="9"/>
  <c r="E52" i="9"/>
  <c r="E51" i="9"/>
  <c r="E50" i="9"/>
  <c r="E49" i="9"/>
  <c r="E48" i="9"/>
  <c r="E47" i="9"/>
  <c r="E46" i="9"/>
  <c r="E45" i="9"/>
  <c r="E44" i="9"/>
  <c r="L39" i="9"/>
  <c r="L38" i="9"/>
  <c r="L37" i="9"/>
  <c r="L36" i="9"/>
  <c r="L35" i="9"/>
  <c r="L34" i="9"/>
  <c r="L33" i="9"/>
  <c r="L32" i="9"/>
  <c r="L31" i="9"/>
  <c r="E39" i="9"/>
  <c r="E38" i="9"/>
  <c r="E37" i="9"/>
  <c r="E36" i="9"/>
  <c r="E35" i="9"/>
  <c r="E34" i="9"/>
  <c r="E33" i="9"/>
  <c r="E32" i="9"/>
  <c r="E31" i="9"/>
  <c r="L26" i="9"/>
  <c r="L25" i="9"/>
  <c r="L24" i="9"/>
  <c r="L23" i="9"/>
  <c r="L22" i="9"/>
  <c r="L21" i="9"/>
  <c r="L20" i="9"/>
  <c r="L19" i="9"/>
  <c r="L18" i="9"/>
  <c r="E19" i="9"/>
  <c r="E20" i="9"/>
  <c r="E21" i="9"/>
  <c r="E22" i="9"/>
  <c r="E23" i="9"/>
  <c r="E24" i="9"/>
  <c r="E25" i="9"/>
  <c r="L6" i="9"/>
  <c r="L7" i="9"/>
  <c r="L8" i="9"/>
  <c r="L9" i="9"/>
  <c r="L10" i="9"/>
  <c r="L11" i="9"/>
  <c r="L12" i="9"/>
  <c r="L13" i="9"/>
  <c r="E6" i="9"/>
  <c r="E7" i="9"/>
  <c r="E8" i="9"/>
  <c r="E9" i="9"/>
  <c r="E10" i="9"/>
  <c r="E11" i="9"/>
  <c r="E12" i="9"/>
  <c r="E13" i="9"/>
  <c r="E18" i="9"/>
  <c r="L5" i="9"/>
  <c r="E5" i="9"/>
  <c r="E53" i="9" l="1"/>
  <c r="E27" i="9"/>
  <c r="L40" i="9"/>
  <c r="E14" i="9"/>
  <c r="E40" i="9"/>
  <c r="L14" i="9"/>
  <c r="L27" i="9"/>
  <c r="D61" i="1"/>
  <c r="D49" i="10"/>
  <c r="D46" i="10"/>
  <c r="D45" i="10"/>
  <c r="D47" i="10" s="1"/>
  <c r="H24" i="10"/>
  <c r="E24" i="10"/>
  <c r="D24" i="10"/>
  <c r="F23" i="10"/>
  <c r="E23" i="10"/>
  <c r="I22" i="10"/>
  <c r="I21" i="10"/>
  <c r="I20" i="10"/>
  <c r="H19" i="10"/>
  <c r="H23" i="10" s="1"/>
  <c r="G19" i="10"/>
  <c r="G24" i="10" s="1"/>
  <c r="F19" i="10"/>
  <c r="F24" i="10" s="1"/>
  <c r="D19" i="10"/>
  <c r="D23" i="10" s="1"/>
  <c r="D15" i="10"/>
  <c r="D14" i="10"/>
  <c r="D10" i="10"/>
  <c r="D9" i="10"/>
  <c r="D4" i="10"/>
  <c r="D52" i="10" l="1"/>
  <c r="D48" i="10"/>
  <c r="I19" i="10"/>
  <c r="I23" i="10" s="1"/>
  <c r="I24" i="10" s="1"/>
  <c r="G23" i="10"/>
  <c r="D50" i="1"/>
  <c r="D49" i="1"/>
  <c r="D51" i="10" l="1"/>
  <c r="D53" i="10" s="1"/>
  <c r="D50" i="10"/>
  <c r="D60" i="10" s="1"/>
  <c r="E60" i="10" l="1"/>
  <c r="E65" i="10" s="1"/>
  <c r="D65" i="10"/>
  <c r="F65" i="10" s="1"/>
  <c r="F60" i="10"/>
  <c r="I24" i="1"/>
  <c r="D51" i="1" l="1"/>
  <c r="D4" i="8" l="1"/>
  <c r="D5" i="8"/>
  <c r="D6" i="8"/>
  <c r="D7" i="8"/>
  <c r="D8" i="8"/>
  <c r="D9" i="8"/>
  <c r="D10" i="8"/>
  <c r="D11" i="8"/>
  <c r="D12" i="8"/>
  <c r="D13" i="8"/>
  <c r="D14" i="8"/>
  <c r="D15" i="8"/>
  <c r="D16" i="8"/>
  <c r="D17" i="8"/>
  <c r="D18" i="8"/>
  <c r="D3" i="8"/>
  <c r="D36" i="1" l="1"/>
  <c r="D37" i="1" s="1"/>
  <c r="D59" i="1" s="1"/>
  <c r="D59" i="10"/>
  <c r="D36" i="10"/>
  <c r="I25" i="10"/>
  <c r="D58" i="1"/>
  <c r="I26" i="1"/>
  <c r="I28" i="1" s="1"/>
  <c r="E3" i="8"/>
  <c r="E4" i="8"/>
  <c r="E5" i="8"/>
  <c r="E6" i="8"/>
  <c r="E7" i="8"/>
  <c r="E8" i="8"/>
  <c r="E9" i="8"/>
  <c r="E10" i="8"/>
  <c r="E11" i="8"/>
  <c r="E12" i="8"/>
  <c r="E13" i="8"/>
  <c r="E14" i="8"/>
  <c r="E15" i="8"/>
  <c r="E16" i="8"/>
  <c r="E17" i="8"/>
  <c r="E18" i="8"/>
  <c r="D19" i="8"/>
  <c r="D60" i="1" l="1"/>
  <c r="D37" i="10"/>
  <c r="D38" i="10"/>
  <c r="I26" i="10"/>
  <c r="I29" i="10"/>
  <c r="D64" i="10"/>
  <c r="E59" i="10"/>
  <c r="E64" i="10" s="1"/>
  <c r="E19" i="8"/>
  <c r="E24" i="1"/>
  <c r="E23" i="1"/>
  <c r="F59" i="10" l="1"/>
  <c r="I28" i="10"/>
  <c r="I30" i="10" s="1"/>
  <c r="I27" i="10"/>
  <c r="D58" i="10" s="1"/>
  <c r="F64" i="10"/>
  <c r="D40" i="10"/>
  <c r="D39" i="10"/>
  <c r="L14" i="5"/>
  <c r="D46" i="1"/>
  <c r="D45" i="1"/>
  <c r="I20" i="1"/>
  <c r="H19" i="1"/>
  <c r="H23" i="1" s="1"/>
  <c r="G19" i="1"/>
  <c r="G23" i="1" s="1"/>
  <c r="F19" i="1"/>
  <c r="F23" i="1" s="1"/>
  <c r="D19" i="1"/>
  <c r="D23" i="1" s="1"/>
  <c r="D4" i="1"/>
  <c r="E58" i="10" l="1"/>
  <c r="F58" i="10" s="1"/>
  <c r="H58" i="10"/>
  <c r="D63" i="10"/>
  <c r="D9" i="1"/>
  <c r="I21" i="1"/>
  <c r="I22" i="1"/>
  <c r="D47" i="1"/>
  <c r="D48" i="1" s="1"/>
  <c r="F24" i="1"/>
  <c r="G24" i="1"/>
  <c r="D10" i="1"/>
  <c r="I19" i="1"/>
  <c r="D24" i="1"/>
  <c r="H24" i="1"/>
  <c r="H63" i="10" l="1"/>
  <c r="E63" i="10"/>
  <c r="I63" i="10" s="1"/>
  <c r="I58" i="10"/>
  <c r="I23" i="1"/>
  <c r="D14" i="1"/>
  <c r="D15" i="1"/>
  <c r="D52" i="1" s="1"/>
  <c r="D67" i="1" s="1"/>
  <c r="E67" i="1" s="1"/>
  <c r="D38" i="1"/>
  <c r="F63" i="10" l="1"/>
  <c r="D39" i="1"/>
  <c r="D65" i="1" s="1"/>
  <c r="E65" i="1" s="1"/>
  <c r="C6" i="7"/>
  <c r="C6" i="4"/>
  <c r="I6" i="4"/>
  <c r="D40" i="1"/>
  <c r="E59" i="1"/>
  <c r="I29" i="1" l="1"/>
  <c r="D64" i="1" s="1"/>
  <c r="I27" i="1"/>
  <c r="C28" i="7"/>
  <c r="C30" i="7"/>
  <c r="C32" i="7"/>
  <c r="C34" i="7"/>
  <c r="C36" i="7"/>
  <c r="C38" i="7"/>
  <c r="C40" i="7"/>
  <c r="C29" i="7"/>
  <c r="C33" i="7"/>
  <c r="C37" i="7"/>
  <c r="C41" i="7"/>
  <c r="C26" i="7"/>
  <c r="C27" i="7"/>
  <c r="C31" i="7"/>
  <c r="C35" i="7"/>
  <c r="C39" i="7"/>
  <c r="I28" i="4"/>
  <c r="I30" i="4"/>
  <c r="I32" i="4"/>
  <c r="I34" i="4"/>
  <c r="I36" i="4"/>
  <c r="I38" i="4"/>
  <c r="I40" i="4"/>
  <c r="I29" i="4"/>
  <c r="I33" i="4"/>
  <c r="I37" i="4"/>
  <c r="I41" i="4"/>
  <c r="I26" i="4"/>
  <c r="I27" i="4"/>
  <c r="I31" i="4"/>
  <c r="I35" i="4"/>
  <c r="I39" i="4"/>
  <c r="C27" i="4"/>
  <c r="C29" i="4"/>
  <c r="C31" i="4"/>
  <c r="C33" i="4"/>
  <c r="C35" i="4"/>
  <c r="C37" i="4"/>
  <c r="C39" i="4"/>
  <c r="C28" i="4"/>
  <c r="C32" i="4"/>
  <c r="C36" i="4"/>
  <c r="C40" i="4"/>
  <c r="C26" i="4"/>
  <c r="C41" i="4"/>
  <c r="C30" i="4"/>
  <c r="C34" i="4"/>
  <c r="C38" i="4"/>
  <c r="E61" i="1"/>
  <c r="F61" i="1" s="1"/>
  <c r="J6" i="4"/>
  <c r="D6" i="4"/>
  <c r="E6" i="4" s="1"/>
  <c r="D6" i="7"/>
  <c r="E64" i="1" l="1"/>
  <c r="E66" i="1" s="1"/>
  <c r="D66" i="1"/>
  <c r="C5" i="4"/>
  <c r="I5" i="4"/>
  <c r="I11" i="4" s="1"/>
  <c r="C5" i="7"/>
  <c r="C25" i="7" s="1"/>
  <c r="I30" i="1"/>
  <c r="D41" i="4"/>
  <c r="E41" i="4" s="1"/>
  <c r="D28" i="4"/>
  <c r="E28" i="4" s="1"/>
  <c r="D30" i="4"/>
  <c r="E30" i="4" s="1"/>
  <c r="D32" i="4"/>
  <c r="E32" i="4" s="1"/>
  <c r="D34" i="4"/>
  <c r="E34" i="4" s="1"/>
  <c r="D36" i="4"/>
  <c r="E36" i="4" s="1"/>
  <c r="D38" i="4"/>
  <c r="E38" i="4" s="1"/>
  <c r="D40" i="4"/>
  <c r="E40" i="4" s="1"/>
  <c r="D26" i="4"/>
  <c r="E26" i="4" s="1"/>
  <c r="D29" i="4"/>
  <c r="E29" i="4" s="1"/>
  <c r="D33" i="4"/>
  <c r="E33" i="4" s="1"/>
  <c r="D37" i="4"/>
  <c r="E37" i="4" s="1"/>
  <c r="D27" i="4"/>
  <c r="E27" i="4" s="1"/>
  <c r="D31" i="4"/>
  <c r="E31" i="4" s="1"/>
  <c r="D35" i="4"/>
  <c r="E35" i="4" s="1"/>
  <c r="D39" i="4"/>
  <c r="E39" i="4" s="1"/>
  <c r="J27" i="4"/>
  <c r="K27" i="4" s="1"/>
  <c r="J29" i="4"/>
  <c r="K29" i="4" s="1"/>
  <c r="J31" i="4"/>
  <c r="K31" i="4" s="1"/>
  <c r="J33" i="4"/>
  <c r="K33" i="4" s="1"/>
  <c r="J35" i="4"/>
  <c r="K35" i="4" s="1"/>
  <c r="J37" i="4"/>
  <c r="K37" i="4" s="1"/>
  <c r="J39" i="4"/>
  <c r="K39" i="4" s="1"/>
  <c r="J41" i="4"/>
  <c r="K41" i="4" s="1"/>
  <c r="J26" i="4"/>
  <c r="K26" i="4" s="1"/>
  <c r="J30" i="4"/>
  <c r="K30" i="4" s="1"/>
  <c r="J34" i="4"/>
  <c r="K34" i="4" s="1"/>
  <c r="J38" i="4"/>
  <c r="K38" i="4" s="1"/>
  <c r="J28" i="4"/>
  <c r="K28" i="4" s="1"/>
  <c r="J32" i="4"/>
  <c r="K32" i="4" s="1"/>
  <c r="J36" i="4"/>
  <c r="K36" i="4" s="1"/>
  <c r="J40" i="4"/>
  <c r="K40" i="4" s="1"/>
  <c r="D27" i="7"/>
  <c r="D29" i="7"/>
  <c r="E29" i="7" s="1"/>
  <c r="D31" i="7"/>
  <c r="E31" i="7" s="1"/>
  <c r="D33" i="7"/>
  <c r="E33" i="7" s="1"/>
  <c r="D35" i="7"/>
  <c r="E35" i="7" s="1"/>
  <c r="D37" i="7"/>
  <c r="E37" i="7" s="1"/>
  <c r="D39" i="7"/>
  <c r="E39" i="7" s="1"/>
  <c r="D41" i="7"/>
  <c r="E41" i="7" s="1"/>
  <c r="D26" i="7"/>
  <c r="E26" i="7" s="1"/>
  <c r="D30" i="7"/>
  <c r="E30" i="7" s="1"/>
  <c r="D34" i="7"/>
  <c r="E34" i="7" s="1"/>
  <c r="D38" i="7"/>
  <c r="E38" i="7" s="1"/>
  <c r="D28" i="7"/>
  <c r="E28" i="7" s="1"/>
  <c r="D32" i="7"/>
  <c r="E32" i="7" s="1"/>
  <c r="D36" i="7"/>
  <c r="E36" i="7" s="1"/>
  <c r="D40" i="7"/>
  <c r="E40" i="7" s="1"/>
  <c r="E27" i="7"/>
  <c r="F67" i="1"/>
  <c r="K6" i="4"/>
  <c r="F65" i="1"/>
  <c r="F59" i="1"/>
  <c r="F66" i="1" l="1"/>
  <c r="D5" i="4"/>
  <c r="D16" i="4" s="1"/>
  <c r="C10" i="4"/>
  <c r="C23" i="4"/>
  <c r="I19" i="4"/>
  <c r="I24" i="4"/>
  <c r="J5" i="4"/>
  <c r="J11" i="4" s="1"/>
  <c r="K11" i="4" s="1"/>
  <c r="C20" i="4"/>
  <c r="C16" i="4"/>
  <c r="C24" i="4"/>
  <c r="C12" i="4"/>
  <c r="C19" i="4"/>
  <c r="C15" i="4"/>
  <c r="C13" i="4"/>
  <c r="C11" i="4"/>
  <c r="I12" i="4"/>
  <c r="C18" i="4"/>
  <c r="C17" i="4"/>
  <c r="I23" i="4"/>
  <c r="I21" i="4"/>
  <c r="C19" i="7"/>
  <c r="C22" i="4"/>
  <c r="C21" i="7"/>
  <c r="I13" i="4"/>
  <c r="C23" i="7"/>
  <c r="E58" i="1"/>
  <c r="C13" i="7"/>
  <c r="D15" i="4"/>
  <c r="D23" i="4"/>
  <c r="D10" i="4"/>
  <c r="D12" i="4"/>
  <c r="D22" i="4"/>
  <c r="D13" i="4"/>
  <c r="C18" i="7"/>
  <c r="C22" i="7"/>
  <c r="C16" i="7"/>
  <c r="D5" i="7"/>
  <c r="D17" i="7" s="1"/>
  <c r="C17" i="7"/>
  <c r="I20" i="4"/>
  <c r="I17" i="4"/>
  <c r="I16" i="4"/>
  <c r="I18" i="4"/>
  <c r="C10" i="7"/>
  <c r="C14" i="7"/>
  <c r="I25" i="4"/>
  <c r="C20" i="7"/>
  <c r="C12" i="7"/>
  <c r="I14" i="4"/>
  <c r="I10" i="4"/>
  <c r="I22" i="4"/>
  <c r="I15" i="4"/>
  <c r="C15" i="7"/>
  <c r="C24" i="7"/>
  <c r="C11" i="7"/>
  <c r="C25" i="4"/>
  <c r="C21" i="4"/>
  <c r="C14" i="4"/>
  <c r="E60" i="1" l="1"/>
  <c r="F60" i="1" s="1"/>
  <c r="D19" i="4"/>
  <c r="E19" i="4" s="1"/>
  <c r="D18" i="4"/>
  <c r="E18" i="4" s="1"/>
  <c r="D24" i="4"/>
  <c r="E24" i="4" s="1"/>
  <c r="D21" i="4"/>
  <c r="E21" i="4" s="1"/>
  <c r="D11" i="4"/>
  <c r="D25" i="4"/>
  <c r="E5" i="4"/>
  <c r="J17" i="4"/>
  <c r="K17" i="4" s="1"/>
  <c r="D14" i="4"/>
  <c r="E14" i="4" s="1"/>
  <c r="D17" i="4"/>
  <c r="E17" i="4" s="1"/>
  <c r="D20" i="4"/>
  <c r="E20" i="4" s="1"/>
  <c r="D23" i="7"/>
  <c r="E23" i="7" s="1"/>
  <c r="J10" i="4"/>
  <c r="K10" i="4" s="1"/>
  <c r="E15" i="4"/>
  <c r="J23" i="4"/>
  <c r="K23" i="4" s="1"/>
  <c r="J21" i="4"/>
  <c r="K21" i="4" s="1"/>
  <c r="J24" i="4"/>
  <c r="K24" i="4" s="1"/>
  <c r="J13" i="4"/>
  <c r="K13" i="4" s="1"/>
  <c r="J25" i="4"/>
  <c r="K25" i="4" s="1"/>
  <c r="J19" i="4"/>
  <c r="K19" i="4" s="1"/>
  <c r="J15" i="4"/>
  <c r="K15" i="4" s="1"/>
  <c r="E22" i="4"/>
  <c r="E12" i="4"/>
  <c r="J18" i="4"/>
  <c r="K18" i="4" s="1"/>
  <c r="J12" i="4"/>
  <c r="K12" i="4" s="1"/>
  <c r="J14" i="4"/>
  <c r="K14" i="4" s="1"/>
  <c r="J16" i="4"/>
  <c r="K16" i="4" s="1"/>
  <c r="E23" i="4"/>
  <c r="K5" i="4"/>
  <c r="J20" i="4"/>
  <c r="K20" i="4" s="1"/>
  <c r="J22" i="4"/>
  <c r="K22" i="4" s="1"/>
  <c r="D11" i="7"/>
  <c r="E11" i="7" s="1"/>
  <c r="D20" i="7"/>
  <c r="E20" i="7" s="1"/>
  <c r="D14" i="7"/>
  <c r="E14" i="7" s="1"/>
  <c r="E10" i="4"/>
  <c r="D12" i="7"/>
  <c r="E12" i="7" s="1"/>
  <c r="D18" i="7"/>
  <c r="E18" i="7" s="1"/>
  <c r="D16" i="7"/>
  <c r="E16" i="7" s="1"/>
  <c r="D21" i="7"/>
  <c r="E21" i="7" s="1"/>
  <c r="E16" i="4"/>
  <c r="E13" i="4"/>
  <c r="E11" i="4"/>
  <c r="E17" i="7"/>
  <c r="D24" i="7"/>
  <c r="E24" i="7" s="1"/>
  <c r="D22" i="7"/>
  <c r="E22" i="7" s="1"/>
  <c r="D10" i="7"/>
  <c r="E10" i="7" s="1"/>
  <c r="D13" i="7"/>
  <c r="E13" i="7" s="1"/>
  <c r="D25" i="7"/>
  <c r="E25" i="7" s="1"/>
  <c r="D15" i="7"/>
  <c r="E15" i="7" s="1"/>
  <c r="F58" i="1"/>
  <c r="E25" i="4"/>
  <c r="E5" i="7"/>
  <c r="D19" i="7"/>
  <c r="E19" i="7" s="1"/>
  <c r="F64" i="1" l="1"/>
</calcChain>
</file>

<file path=xl/sharedStrings.xml><?xml version="1.0" encoding="utf-8"?>
<sst xmlns="http://schemas.openxmlformats.org/spreadsheetml/2006/main" count="884" uniqueCount="206">
  <si>
    <t>School</t>
  </si>
  <si>
    <t>Value</t>
  </si>
  <si>
    <t>Occupancy Rate</t>
  </si>
  <si>
    <t>days</t>
  </si>
  <si>
    <t>guests per room</t>
  </si>
  <si>
    <t>minutes</t>
  </si>
  <si>
    <t>Gallons</t>
  </si>
  <si>
    <t xml:space="preserve">Average Number of Guests per Room: </t>
  </si>
  <si>
    <t>Operating days per year</t>
  </si>
  <si>
    <t>Climate Zone</t>
  </si>
  <si>
    <t>Single-Family</t>
  </si>
  <si>
    <t>Multi-Family</t>
  </si>
  <si>
    <t>Weighted Average Ground Water Temperatures</t>
  </si>
  <si>
    <t>U.S. LODGING INDUSTRY KEY STATISTICS</t>
  </si>
  <si>
    <t>YEAR</t>
  </si>
  <si>
    <t>Number of Properties</t>
  </si>
  <si>
    <t>Number of Rooms (in millions)</t>
  </si>
  <si>
    <t>Average Occupancy Rate</t>
  </si>
  <si>
    <t>Average Room Rate</t>
  </si>
  <si>
    <t>Rev Par</t>
  </si>
  <si>
    <t>Sales (in billions)</t>
  </si>
  <si>
    <t>Pre Tax Profits Billions</t>
  </si>
  <si>
    <t>SOURCE:  AH&amp;LA Lodging Industry Profiles &amp; Smith Travel Research</t>
  </si>
  <si>
    <t>Commercial Building Weights</t>
  </si>
  <si>
    <t xml:space="preserve"> = cell range that is being weighted and sums to 1.0</t>
  </si>
  <si>
    <t>IOU Weights by Climate Zone &amp; Vintage</t>
  </si>
  <si>
    <t>IOU Specific: SCG</t>
  </si>
  <si>
    <t>Res Offset Column:</t>
  </si>
  <si>
    <t>Offset Col</t>
  </si>
  <si>
    <t>Column =&gt;</t>
  </si>
  <si>
    <t>Vintage
Row</t>
  </si>
  <si>
    <t>Summed
Vintage
&amp; CZ
Row</t>
  </si>
  <si>
    <t>Climate</t>
  </si>
  <si>
    <t>Vintage</t>
  </si>
  <si>
    <t>Assembly</t>
  </si>
  <si>
    <t>Education - Primary School</t>
  </si>
  <si>
    <t>Education - Secondary School</t>
  </si>
  <si>
    <t>Education - Community College</t>
  </si>
  <si>
    <t>Education - University</t>
  </si>
  <si>
    <t>Education - Relocatable Classroom</t>
  </si>
  <si>
    <t>Grocery</t>
  </si>
  <si>
    <t>Health/Medical - Hospital</t>
  </si>
  <si>
    <t>Health/Medical - Nursing Home</t>
  </si>
  <si>
    <t>Lodging - Hotel</t>
  </si>
  <si>
    <t>Lodging - Motel</t>
  </si>
  <si>
    <t>Manufacturing - Bio/Tech</t>
  </si>
  <si>
    <t>Manufacturing - Light Industrial</t>
  </si>
  <si>
    <t>Office - Large</t>
  </si>
  <si>
    <t>Office - Small</t>
  </si>
  <si>
    <t>Restaurant - Sit-Down</t>
  </si>
  <si>
    <t>Restaurant - Fast-Food</t>
  </si>
  <si>
    <t>Retail - Multistory Large</t>
  </si>
  <si>
    <t>Retail - Single-Story Large</t>
  </si>
  <si>
    <t>Retail - Small</t>
  </si>
  <si>
    <t>Storage - Conditioned</t>
  </si>
  <si>
    <t>Storage - Unconditioned</t>
  </si>
  <si>
    <t>Warehouse - Refrigerated</t>
  </si>
  <si>
    <t>Single Family - Htg&amp;Clg</t>
  </si>
  <si>
    <t>Single Family - Htg Only</t>
  </si>
  <si>
    <t>Multi Family - Htg&amp;Clg</t>
  </si>
  <si>
    <t>Multi Family - Htg Only</t>
  </si>
  <si>
    <t>Mobile Home - Htg&amp;Clg</t>
  </si>
  <si>
    <t>Mobile Home - Htg Only</t>
  </si>
  <si>
    <t>Mobile Home Vintages</t>
  </si>
  <si>
    <t>CZ01</t>
  </si>
  <si>
    <t>75</t>
  </si>
  <si>
    <t>Before 1976</t>
  </si>
  <si>
    <t>85</t>
  </si>
  <si>
    <t>1976 - 1994</t>
  </si>
  <si>
    <t>96</t>
  </si>
  <si>
    <t>00</t>
  </si>
  <si>
    <t>1995 - 2005</t>
  </si>
  <si>
    <t>03</t>
  </si>
  <si>
    <t>06</t>
  </si>
  <si>
    <t>After 2005</t>
  </si>
  <si>
    <t>05</t>
  </si>
  <si>
    <t>CZ02</t>
  </si>
  <si>
    <t>CZ03</t>
  </si>
  <si>
    <t>CZ04</t>
  </si>
  <si>
    <t>CZ05</t>
  </si>
  <si>
    <t>CZ06</t>
  </si>
  <si>
    <t>CZ07</t>
  </si>
  <si>
    <t>CZ08</t>
  </si>
  <si>
    <t>CZ09</t>
  </si>
  <si>
    <t>CZ10</t>
  </si>
  <si>
    <t>CZ11</t>
  </si>
  <si>
    <t>CZ12</t>
  </si>
  <si>
    <t>CZ13</t>
  </si>
  <si>
    <t>CZ14</t>
  </si>
  <si>
    <t>CZ15</t>
  </si>
  <si>
    <t>CZ16</t>
  </si>
  <si>
    <t>Weight</t>
  </si>
  <si>
    <t xml:space="preserve">Calculated from values provided in 2013 SCG Low-Flow Showerheads Work Paper </t>
  </si>
  <si>
    <t>lb/gallon</t>
  </si>
  <si>
    <t>Gallons per Minute</t>
  </si>
  <si>
    <r>
      <rPr>
        <vertAlign val="superscript"/>
        <sz val="11"/>
        <color theme="1"/>
        <rFont val="Calibri"/>
        <family val="2"/>
        <scheme val="minor"/>
      </rPr>
      <t>o</t>
    </r>
    <r>
      <rPr>
        <sz val="11"/>
        <color theme="1"/>
        <rFont val="Calibri"/>
        <family val="2"/>
        <scheme val="minor"/>
      </rPr>
      <t>F</t>
    </r>
  </si>
  <si>
    <t>Therms</t>
  </si>
  <si>
    <r>
      <t>BTU/lb</t>
    </r>
    <r>
      <rPr>
        <vertAlign val="superscript"/>
        <sz val="11"/>
        <color theme="1"/>
        <rFont val="Calibri"/>
        <family val="2"/>
        <scheme val="minor"/>
      </rPr>
      <t>o</t>
    </r>
    <r>
      <rPr>
        <sz val="11"/>
        <color theme="1"/>
        <rFont val="Calibri"/>
        <family val="2"/>
        <scheme val="minor"/>
      </rPr>
      <t>F</t>
    </r>
  </si>
  <si>
    <t>Annual Shower Utilization (minutes per year)</t>
  </si>
  <si>
    <t>Total annual metered shower water consumption from two schools (gallons)</t>
  </si>
  <si>
    <t>Constants</t>
  </si>
  <si>
    <t>Minutes</t>
  </si>
  <si>
    <t>Hotel1</t>
  </si>
  <si>
    <t>Hotel3</t>
  </si>
  <si>
    <t>Hotel4</t>
  </si>
  <si>
    <t>Occupancy rate during testing</t>
  </si>
  <si>
    <t>Post Shower Water Consumption Per Shower Per Year</t>
  </si>
  <si>
    <t>Base Gas Consumption Per Shower Per Year</t>
  </si>
  <si>
    <t>Water Savings Per Shower Per Year</t>
  </si>
  <si>
    <t>Supply</t>
  </si>
  <si>
    <t>Occupancy</t>
  </si>
  <si>
    <t>LA County</t>
  </si>
  <si>
    <t>SD County</t>
  </si>
  <si>
    <t>Orange County</t>
  </si>
  <si>
    <t>Santa Barbara County</t>
  </si>
  <si>
    <t>Ventura County</t>
  </si>
  <si>
    <t>Coachella Valley</t>
  </si>
  <si>
    <t>Inland Empire</t>
  </si>
  <si>
    <t>San Louis Obispo County</t>
  </si>
  <si>
    <t>SoCal Coastal</t>
  </si>
  <si>
    <t>Data From:  Planning and Management Consultants, Ltd., Aquacraft, Inc., and John Olaf Nelson Water Resources Management. "Commercial and Institutional End Uses of Water</t>
  </si>
  <si>
    <t>Data From:  "Waste Not, Want Not: The Potential for Urban Water Conservation in California". Pacific Institute</t>
  </si>
  <si>
    <t>Southern California Lodging Forecast; PKF Consulting USA</t>
  </si>
  <si>
    <t>2013/14 Work Paper Disposition</t>
  </si>
  <si>
    <t>Average</t>
  </si>
  <si>
    <t>Base School Therms/Gallon Consumed</t>
  </si>
  <si>
    <t>Table 4.31 Page 94 Planning and Management Consultants, Ltd., Aquacraft, Inc., and John Olaf Nelson Water Resources Management. "Commercial and Institutional End Uses of Water".  For the American Water Works Association.  2000.</t>
  </si>
  <si>
    <t>Table 4.33 Page 96 Planning and Management Consultants, Ltd., Aquacraft, Inc., and John Olaf Nelson Water Resources Management. "Commercial and Institutional End Uses of Water".  For the American Water Works Association.  2000.</t>
  </si>
  <si>
    <t>Appendix D; Table D-7 Page 5; Gleick, P., Haasz, D., Henges-Jeck, C., Srinivasan, V., Wolff, G., Cushing, K. K., et al. (2003). Waste Not, Want Not: The Potential for Urban Water Conservation in California. Pacific Institute.</t>
  </si>
  <si>
    <t>Occupants Per Room</t>
  </si>
  <si>
    <t>This value applies the national average occupants per room of 1.4</t>
  </si>
  <si>
    <t xml:space="preserve">This value takes the consumption for occuped rooms and then applies the average occupancy factor and occupants per room to calculate </t>
  </si>
  <si>
    <t xml:space="preserve">Table 4.25 Page 88 &amp; Table 6.10 Page 131; Planning and Management Consultants, Ltd., Aquacraft, Inc., and John Olaf Nelson Water Resources Management. "Commercial and Institutional End Uses of Water".  For the American Water Works Association.  2000.  </t>
  </si>
  <si>
    <t>Total number of showers</t>
  </si>
  <si>
    <t>Schools: Calculation 1</t>
  </si>
  <si>
    <t>2013 Lodging Industry Profile. At A Glance Statistical Figures. American Hotel and Lodging Association (40% family/60% business)</t>
  </si>
  <si>
    <t>Table 6.10 Page 131 Planning and Management Consultants, Ltd., Aquacraft, Inc., and John Olaf Nelson Water Resources Management. "Commercial and Institutional End Uses of Water".  For the American Water Works Association.  2000.</t>
  </si>
  <si>
    <t>Hotel5</t>
  </si>
  <si>
    <t>Hotel 2</t>
  </si>
  <si>
    <t>Annual metered shower water consumption from five hotels (gallons)</t>
  </si>
  <si>
    <t>Base Water Consumption Per Shower Per Year</t>
  </si>
  <si>
    <t>Post Water Consumption Per Shower Per Year</t>
  </si>
  <si>
    <t>Therms/Gallon</t>
  </si>
  <si>
    <t>School 1</t>
  </si>
  <si>
    <t>School 2</t>
  </si>
  <si>
    <t>Combined</t>
  </si>
  <si>
    <t>Units</t>
  </si>
  <si>
    <t>Schools</t>
  </si>
  <si>
    <t>Baseline Natural Gas Consumption (Therms/Year)</t>
  </si>
  <si>
    <t>Post-Installation Natural Gas Consumption (Therms/Year)</t>
  </si>
  <si>
    <t>Natural Gas Savings (Therms/Year)</t>
  </si>
  <si>
    <r>
      <t>Baseline Water Consumption, U</t>
    </r>
    <r>
      <rPr>
        <sz val="8"/>
        <color theme="0"/>
        <rFont val="Calibri"/>
        <family val="2"/>
        <scheme val="minor"/>
      </rPr>
      <t>B</t>
    </r>
    <r>
      <rPr>
        <sz val="11"/>
        <color theme="0"/>
        <rFont val="Calibri"/>
        <family val="2"/>
        <scheme val="minor"/>
      </rPr>
      <t xml:space="preserve"> (Gallons/Year)</t>
    </r>
  </si>
  <si>
    <r>
      <t>Post-Installation Water Consumption, U</t>
    </r>
    <r>
      <rPr>
        <sz val="8"/>
        <color theme="0"/>
        <rFont val="Calibri"/>
        <family val="2"/>
        <scheme val="minor"/>
      </rPr>
      <t>P</t>
    </r>
    <r>
      <rPr>
        <sz val="11"/>
        <color theme="0"/>
        <rFont val="Calibri"/>
        <family val="2"/>
        <scheme val="minor"/>
      </rPr>
      <t xml:space="preserve"> (Gallons/Year)</t>
    </r>
  </si>
  <si>
    <r>
      <t>Water Savings, U</t>
    </r>
    <r>
      <rPr>
        <sz val="8"/>
        <color theme="0"/>
        <rFont val="Calibri"/>
        <family val="2"/>
        <scheme val="minor"/>
      </rPr>
      <t>S</t>
    </r>
    <r>
      <rPr>
        <sz val="11"/>
        <color theme="0"/>
        <rFont val="Calibri"/>
        <family val="2"/>
        <scheme val="minor"/>
      </rPr>
      <t xml:space="preserve"> (Gallons/Year)</t>
    </r>
  </si>
  <si>
    <t>Total or Weighted Average</t>
  </si>
  <si>
    <t>Base Water Consumption Per Occupant Per Year</t>
  </si>
  <si>
    <t>Base Water Consumption Per Shower Per Year (normalized to published occupants per room value)</t>
  </si>
  <si>
    <t>therms</t>
  </si>
  <si>
    <t>gallons</t>
  </si>
  <si>
    <t>Table 4.27 Page 89 Planning and Management Consultants, Ltd., Aquacraft, Inc., and John Olaf Nelson Water Resources Management. "Commercial and Institutional End Uses of Water".  For the American Water Works Association.  2000.</t>
  </si>
  <si>
    <r>
      <t>School Supply Water Temperature (T</t>
    </r>
    <r>
      <rPr>
        <sz val="8"/>
        <color theme="0"/>
        <rFont val="Calibri"/>
        <family val="2"/>
        <scheme val="minor"/>
      </rPr>
      <t>supply)</t>
    </r>
  </si>
  <si>
    <r>
      <t>Mixed Water Temperature (T</t>
    </r>
    <r>
      <rPr>
        <sz val="8"/>
        <color theme="0"/>
        <rFont val="Calibri"/>
        <family val="2"/>
        <scheme val="minor"/>
      </rPr>
      <t>H</t>
    </r>
    <r>
      <rPr>
        <sz val="11"/>
        <color theme="0"/>
        <rFont val="Calibri"/>
        <family val="2"/>
        <scheme val="minor"/>
      </rPr>
      <t>)</t>
    </r>
  </si>
  <si>
    <r>
      <t>Water Density (</t>
    </r>
    <r>
      <rPr>
        <sz val="11"/>
        <color theme="0"/>
        <rFont val="Symbol"/>
        <family val="1"/>
        <charset val="2"/>
      </rPr>
      <t>r</t>
    </r>
    <r>
      <rPr>
        <sz val="11"/>
        <color theme="0"/>
        <rFont val="Calibri"/>
        <family val="2"/>
        <scheme val="minor"/>
      </rPr>
      <t>)</t>
    </r>
  </si>
  <si>
    <r>
      <t>Base Flow Rate (V</t>
    </r>
    <r>
      <rPr>
        <sz val="11"/>
        <color theme="0"/>
        <rFont val="Calibri"/>
        <family val="2"/>
        <scheme val="minor"/>
      </rPr>
      <t>)</t>
    </r>
  </si>
  <si>
    <r>
      <t>Post Flow Rate (V</t>
    </r>
    <r>
      <rPr>
        <sz val="11"/>
        <color theme="0"/>
        <rFont val="Calibri"/>
        <family val="2"/>
        <scheme val="minor"/>
      </rPr>
      <t>)</t>
    </r>
  </si>
  <si>
    <r>
      <t>Recovery Efficiency (E</t>
    </r>
    <r>
      <rPr>
        <sz val="8"/>
        <color theme="0"/>
        <rFont val="Calibri"/>
        <family val="2"/>
        <scheme val="minor"/>
      </rPr>
      <t>T</t>
    </r>
    <r>
      <rPr>
        <sz val="11"/>
        <color theme="0"/>
        <rFont val="Calibri"/>
        <family val="2"/>
        <scheme val="minor"/>
      </rPr>
      <t>)</t>
    </r>
  </si>
  <si>
    <r>
      <t>Specific Heat of Water (C</t>
    </r>
    <r>
      <rPr>
        <sz val="8"/>
        <color theme="0"/>
        <rFont val="Calibri"/>
        <family val="2"/>
        <scheme val="minor"/>
      </rPr>
      <t>p</t>
    </r>
    <r>
      <rPr>
        <sz val="11"/>
        <color theme="0"/>
        <rFont val="Calibri"/>
        <family val="2"/>
        <scheme val="minor"/>
      </rPr>
      <t>)</t>
    </r>
  </si>
  <si>
    <t>Location, Climate Zone</t>
  </si>
  <si>
    <t>ALL</t>
  </si>
  <si>
    <t>1st baseline</t>
  </si>
  <si>
    <t>2nd baseline</t>
  </si>
  <si>
    <r>
      <t>Sources (</t>
    </r>
    <r>
      <rPr>
        <b/>
        <i/>
        <u/>
        <sz val="14"/>
        <color theme="1"/>
        <rFont val="Calibri"/>
        <family val="2"/>
        <scheme val="minor"/>
      </rPr>
      <t>attached below</t>
    </r>
    <r>
      <rPr>
        <b/>
        <sz val="14"/>
        <color theme="1"/>
        <rFont val="Calibri"/>
        <family val="2"/>
        <scheme val="minor"/>
      </rPr>
      <t>)</t>
    </r>
  </si>
  <si>
    <t>2013 SCG Low-Flow Showerheads Work Paper / and Field study at 5 hotels in SoCal/ or Title-20 code</t>
  </si>
  <si>
    <t>Average Water use (minute per shower per day)</t>
  </si>
  <si>
    <t>gpm</t>
  </si>
  <si>
    <t>Table PBA1. COMMERCIAL BUILDINGS ENERGY CONSUMPTION SURVEY (CBECS); http://www.eia.gov/consumption/commercial/data/2012/bc/cfm/pba1.php</t>
  </si>
  <si>
    <t>Shower water use in hotels is measured as minutes/room/day and in hospitals as minutes/patient/day.</t>
  </si>
  <si>
    <t>Lodging: Calculation 1</t>
  </si>
  <si>
    <t>Lodging: Calculation 2</t>
  </si>
  <si>
    <t>Lodging 1</t>
  </si>
  <si>
    <t>Lodging 2</t>
  </si>
  <si>
    <r>
      <t>Lodging Supply Water Temperature (T</t>
    </r>
    <r>
      <rPr>
        <sz val="8"/>
        <color theme="0"/>
        <rFont val="Calibri"/>
        <family val="2"/>
        <scheme val="minor"/>
      </rPr>
      <t>supply)</t>
    </r>
  </si>
  <si>
    <t>Base Lodging Therms/Gallon Consumed</t>
  </si>
  <si>
    <t>Lodging</t>
  </si>
  <si>
    <t xml:space="preserve">Minutes Per Room Per Day Usage </t>
  </si>
  <si>
    <t>Estimate for 2015</t>
  </si>
  <si>
    <t>Forecast for 2016</t>
  </si>
  <si>
    <t>Operating days per year, (55hrs/wk*40wk/yr /10hrs/day)</t>
  </si>
  <si>
    <t>Data for 2014</t>
  </si>
  <si>
    <r>
      <t>Baseline Water Consumption, W</t>
    </r>
    <r>
      <rPr>
        <sz val="8"/>
        <color theme="0"/>
        <rFont val="Calibri"/>
        <family val="2"/>
        <scheme val="minor"/>
      </rPr>
      <t>B</t>
    </r>
    <r>
      <rPr>
        <sz val="11"/>
        <color theme="0"/>
        <rFont val="Calibri"/>
        <family val="2"/>
        <scheme val="minor"/>
      </rPr>
      <t xml:space="preserve"> (Gallons/Year)</t>
    </r>
  </si>
  <si>
    <r>
      <t>Post-Installation Water Consumption, W</t>
    </r>
    <r>
      <rPr>
        <sz val="8"/>
        <color theme="0"/>
        <rFont val="Calibri"/>
        <family val="2"/>
        <scheme val="minor"/>
      </rPr>
      <t>P</t>
    </r>
    <r>
      <rPr>
        <sz val="11"/>
        <color theme="0"/>
        <rFont val="Calibri"/>
        <family val="2"/>
        <scheme val="minor"/>
      </rPr>
      <t xml:space="preserve"> (Gallons/Year)</t>
    </r>
  </si>
  <si>
    <r>
      <t>Water Savings, W</t>
    </r>
    <r>
      <rPr>
        <sz val="8"/>
        <color theme="0"/>
        <rFont val="Calibri"/>
        <family val="2"/>
        <scheme val="minor"/>
      </rPr>
      <t>S</t>
    </r>
    <r>
      <rPr>
        <sz val="11"/>
        <color theme="0"/>
        <rFont val="Calibri"/>
        <family val="2"/>
        <scheme val="minor"/>
      </rPr>
      <t xml:space="preserve"> (Gallons/Year)</t>
    </r>
  </si>
  <si>
    <t>Data for 2013</t>
  </si>
  <si>
    <t>Data for 2012</t>
  </si>
  <si>
    <t>Data for 2011</t>
  </si>
  <si>
    <t>Data for 2010</t>
  </si>
  <si>
    <t>Occupied Rooms</t>
  </si>
  <si>
    <t>Annual Supply</t>
  </si>
  <si>
    <t>Average Occupancy Rate from 2010-2014</t>
  </si>
  <si>
    <t>Total</t>
  </si>
  <si>
    <t>Lodging (Case 1)</t>
  </si>
  <si>
    <t>Lodging (Case 2)</t>
  </si>
  <si>
    <t>Lodging Average (Case 1 &amp; Case 2)</t>
  </si>
  <si>
    <t>Sample Water Savings Calculation</t>
  </si>
  <si>
    <t>Sample Gas Savings Calculation</t>
  </si>
  <si>
    <t>Average Occupancy Rate for each County (2011-2014)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</si>
</sst>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8" formatCode="&quot;$&quot;#,##0.00_);[Red]\(&quot;$&quot;#,##0.00\)"/>
    <numFmt numFmtId="44" formatCode="_(&quot;$&quot;* #,##0.00_);_(&quot;$&quot;* \(#,##0.00\);_(&quot;$&quot;* &quot;-&quot;??_);_(@_)"/>
    <numFmt numFmtId="43" formatCode="_(* #,##0.00_);_(* \(#,##0.00\);_(* &quot;-&quot;??_);_(@_)"/>
    <numFmt numFmtId="164" formatCode="0.0%"/>
    <numFmt numFmtId="165" formatCode="&quot;$&quot;#,##0.00"/>
    <numFmt numFmtId="166" formatCode="0.0000"/>
    <numFmt numFmtId="167" formatCode="&quot;$&quot;#,##0.0_);[Red]\(&quot;$&quot;#,##0.0\)"/>
    <numFmt numFmtId="168" formatCode="0.00000"/>
    <numFmt numFmtId="169" formatCode="0.00000000"/>
    <numFmt numFmtId="170" formatCode="0.0"/>
  </numFmts>
  <fonts count="29">
    <font>
      <sz val="11"/>
      <color theme="1"/>
      <name val="Calibri"/>
      <family val="2"/>
      <scheme val="minor"/>
    </font>
    <font>
      <sz val="11"/>
      <color theme="1"/>
      <name val="Calibri"/>
      <family val="2"/>
      <scheme val="minor"/>
    </font>
    <font>
      <sz val="10"/>
      <name val="Arial"/>
      <family val="2"/>
    </font>
    <font>
      <sz val="11"/>
      <name val="Calibri"/>
      <family val="2"/>
      <scheme val="minor"/>
    </font>
    <font>
      <u/>
      <sz val="11"/>
      <color theme="10"/>
      <name val="Calibri"/>
      <family val="2"/>
      <scheme val="minor"/>
    </font>
    <font>
      <b/>
      <sz val="10"/>
      <name val="Arial"/>
      <family val="2"/>
    </font>
    <font>
      <sz val="12"/>
      <name val="Arial MT"/>
    </font>
    <font>
      <u/>
      <sz val="10"/>
      <color indexed="12"/>
      <name val="Arial"/>
      <family val="2"/>
    </font>
    <font>
      <u/>
      <sz val="11"/>
      <color theme="10"/>
      <name val="Calibri"/>
      <family val="2"/>
    </font>
    <font>
      <b/>
      <sz val="11"/>
      <color theme="1"/>
      <name val="Times New Roman"/>
      <family val="1"/>
    </font>
    <font>
      <b/>
      <sz val="14"/>
      <name val="Arial"/>
      <family val="2"/>
    </font>
    <font>
      <sz val="14"/>
      <name val="Arial"/>
      <family val="2"/>
    </font>
    <font>
      <sz val="10"/>
      <color indexed="12"/>
      <name val="Arial"/>
      <family val="2"/>
    </font>
    <font>
      <vertAlign val="superscript"/>
      <sz val="11"/>
      <color theme="1"/>
      <name val="Calibri"/>
      <family val="2"/>
      <scheme val="minor"/>
    </font>
    <font>
      <b/>
      <sz val="11"/>
      <color rgb="FFFF0000"/>
      <name val="Calibri"/>
      <family val="2"/>
      <scheme val="minor"/>
    </font>
    <font>
      <b/>
      <sz val="11"/>
      <color theme="0"/>
      <name val="Calibri"/>
      <family val="2"/>
      <scheme val="minor"/>
    </font>
    <font>
      <sz val="11"/>
      <color theme="0"/>
      <name val="Calibri"/>
      <family val="2"/>
      <scheme val="minor"/>
    </font>
    <font>
      <sz val="8"/>
      <color theme="0"/>
      <name val="Calibri"/>
      <family val="2"/>
      <scheme val="minor"/>
    </font>
    <font>
      <sz val="11"/>
      <color theme="0"/>
      <name val="Symbol"/>
      <family val="1"/>
      <charset val="2"/>
    </font>
    <font>
      <b/>
      <sz val="11"/>
      <name val="Calibri"/>
      <family val="2"/>
      <scheme val="minor"/>
    </font>
    <font>
      <i/>
      <sz val="11"/>
      <color theme="1"/>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b/>
      <i/>
      <u/>
      <sz val="14"/>
      <color theme="1"/>
      <name val="Calibri"/>
      <family val="2"/>
      <scheme val="minor"/>
    </font>
    <font>
      <b/>
      <sz val="11"/>
      <color theme="1"/>
      <name val="Calibri"/>
      <family val="2"/>
      <scheme val="minor"/>
    </font>
    <font>
      <b/>
      <i/>
      <sz val="11"/>
      <color theme="1"/>
      <name val="Calibri"/>
      <family val="2"/>
      <scheme val="minor"/>
    </font>
    <font>
      <b/>
      <i/>
      <sz val="11"/>
      <color theme="0"/>
      <name val="Calibri"/>
      <family val="2"/>
      <scheme val="minor"/>
    </font>
    <font>
      <b/>
      <i/>
      <sz val="11"/>
      <color rgb="FFFF0000"/>
      <name val="Calibri"/>
      <family val="2"/>
      <scheme val="minor"/>
    </font>
  </fonts>
  <fills count="11">
    <fill>
      <patternFill patternType="none"/>
    </fill>
    <fill>
      <patternFill patternType="gray125"/>
    </fill>
    <fill>
      <patternFill patternType="solid">
        <fgColor rgb="FFFFFF00"/>
        <bgColor indexed="64"/>
      </patternFill>
    </fill>
    <fill>
      <patternFill patternType="solid">
        <fgColor indexed="47"/>
        <bgColor indexed="64"/>
      </patternFill>
    </fill>
    <fill>
      <patternFill patternType="solid">
        <fgColor rgb="FF054B56"/>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3" tint="0.39997558519241921"/>
        <bgColor indexed="64"/>
      </patternFill>
    </fill>
    <fill>
      <patternFill patternType="solid">
        <fgColor rgb="FF92D050"/>
        <bgColor indexed="64"/>
      </patternFill>
    </fill>
    <fill>
      <patternFill patternType="solid">
        <fgColor rgb="FFFFC000"/>
        <bgColor indexed="64"/>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right style="thin">
        <color indexed="64"/>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style="medium">
        <color indexed="64"/>
      </top>
      <bottom/>
      <diagonal/>
    </border>
    <border>
      <left/>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style="medium">
        <color indexed="64"/>
      </left>
      <right style="thick">
        <color auto="1"/>
      </right>
      <top style="thin">
        <color indexed="64"/>
      </top>
      <bottom style="thin">
        <color indexed="64"/>
      </bottom>
      <diagonal/>
    </border>
    <border>
      <left style="thick">
        <color auto="1"/>
      </left>
      <right/>
      <top/>
      <bottom style="thick">
        <color auto="1"/>
      </bottom>
      <diagonal/>
    </border>
    <border>
      <left style="medium">
        <color indexed="64"/>
      </left>
      <right/>
      <top/>
      <bottom style="thick">
        <color auto="1"/>
      </bottom>
      <diagonal/>
    </border>
    <border>
      <left style="medium">
        <color indexed="64"/>
      </left>
      <right style="thick">
        <color auto="1"/>
      </right>
      <top/>
      <bottom style="thick">
        <color auto="1"/>
      </bottom>
      <diagonal/>
    </border>
    <border>
      <left style="medium">
        <color indexed="64"/>
      </left>
      <right style="thick">
        <color auto="1"/>
      </right>
      <top/>
      <bottom style="medium">
        <color indexed="64"/>
      </bottom>
      <diagonal/>
    </border>
    <border>
      <left style="medium">
        <color indexed="64"/>
      </left>
      <right/>
      <top style="thin">
        <color indexed="64"/>
      </top>
      <bottom style="thick">
        <color auto="1"/>
      </bottom>
      <diagonal/>
    </border>
    <border>
      <left style="medium">
        <color indexed="64"/>
      </left>
      <right/>
      <top style="medium">
        <color indexed="64"/>
      </top>
      <bottom style="medium">
        <color indexed="64"/>
      </bottom>
      <diagonal/>
    </border>
    <border>
      <left style="medium">
        <color indexed="64"/>
      </left>
      <right style="thick">
        <color auto="1"/>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thick">
        <color auto="1"/>
      </bottom>
      <diagonal/>
    </border>
    <border>
      <left style="medium">
        <color indexed="64"/>
      </left>
      <right style="medium">
        <color indexed="64"/>
      </right>
      <top style="medium">
        <color indexed="64"/>
      </top>
      <bottom style="thick">
        <color auto="1"/>
      </bottom>
      <diagonal/>
    </border>
    <border>
      <left style="medium">
        <color indexed="64"/>
      </left>
      <right style="thin">
        <color indexed="64"/>
      </right>
      <top/>
      <bottom style="thick">
        <color auto="1"/>
      </bottom>
      <diagonal/>
    </border>
    <border>
      <left style="medium">
        <color indexed="64"/>
      </left>
      <right style="medium">
        <color indexed="64"/>
      </right>
      <top/>
      <bottom style="thick">
        <color auto="1"/>
      </bottom>
      <diagonal/>
    </border>
    <border>
      <left style="thick">
        <color auto="1"/>
      </left>
      <right style="medium">
        <color indexed="64"/>
      </right>
      <top/>
      <bottom style="thin">
        <color indexed="64"/>
      </bottom>
      <diagonal/>
    </border>
    <border>
      <left style="thick">
        <color auto="1"/>
      </left>
      <right style="medium">
        <color indexed="64"/>
      </right>
      <top/>
      <bottom style="thick">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1" fillId="0" borderId="0"/>
    <xf numFmtId="0" fontId="2" fillId="0" borderId="0">
      <alignment readingOrder="1"/>
    </xf>
    <xf numFmtId="0" fontId="4" fillId="0" borderId="0" applyNumberFormat="0" applyFill="0" applyBorder="0" applyAlignment="0" applyProtection="0"/>
    <xf numFmtId="44" fontId="2" fillId="0" borderId="0" applyFont="0" applyFill="0" applyBorder="0" applyAlignment="0" applyProtection="0"/>
    <xf numFmtId="0" fontId="8"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2" fillId="0" borderId="0"/>
    <xf numFmtId="0" fontId="6" fillId="0" borderId="0"/>
    <xf numFmtId="9" fontId="2" fillId="0" borderId="0" applyFon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216">
    <xf numFmtId="0" fontId="0" fillId="0" borderId="0" xfId="0"/>
    <xf numFmtId="0" fontId="1" fillId="0" borderId="0" xfId="1" applyFont="1"/>
    <xf numFmtId="9" fontId="0" fillId="0" borderId="0" xfId="0" applyNumberFormat="1"/>
    <xf numFmtId="10" fontId="0" fillId="0" borderId="0" xfId="0" applyNumberFormat="1"/>
    <xf numFmtId="0" fontId="0" fillId="0" borderId="0" xfId="0" applyFill="1" applyBorder="1" applyAlignment="1" applyProtection="1">
      <alignment horizontal="left" vertical="top"/>
    </xf>
    <xf numFmtId="0" fontId="3" fillId="0" borderId="0" xfId="0" applyFont="1" applyFill="1" applyBorder="1" applyAlignment="1" applyProtection="1">
      <alignment vertical="top"/>
    </xf>
    <xf numFmtId="0" fontId="0" fillId="0" borderId="0" xfId="0" applyBorder="1" applyAlignment="1" applyProtection="1">
      <alignment vertical="top"/>
    </xf>
    <xf numFmtId="0" fontId="0" fillId="0" borderId="0" xfId="0" applyFont="1" applyFill="1" applyBorder="1" applyAlignment="1" applyProtection="1">
      <alignment horizontal="left" vertical="top"/>
    </xf>
    <xf numFmtId="0" fontId="0" fillId="0" borderId="0" xfId="0" applyFont="1" applyFill="1" applyBorder="1" applyAlignment="1" applyProtection="1">
      <alignment horizontal="right" vertical="top"/>
    </xf>
    <xf numFmtId="0" fontId="0" fillId="0" borderId="0" xfId="0" applyBorder="1" applyAlignment="1" applyProtection="1">
      <alignment horizontal="left" vertical="top"/>
    </xf>
    <xf numFmtId="0" fontId="0" fillId="0" borderId="0" xfId="0"/>
    <xf numFmtId="0" fontId="0" fillId="0" borderId="0" xfId="0" applyAlignment="1">
      <alignment horizontal="left"/>
    </xf>
    <xf numFmtId="0" fontId="0" fillId="0" borderId="0" xfId="0" applyAlignment="1"/>
    <xf numFmtId="0" fontId="0" fillId="0" borderId="0" xfId="0" applyAlignment="1">
      <alignment horizontal="right"/>
    </xf>
    <xf numFmtId="0" fontId="2" fillId="0" borderId="0" xfId="7"/>
    <xf numFmtId="0" fontId="2" fillId="0" borderId="1" xfId="7" applyBorder="1" applyAlignment="1">
      <alignment horizontal="center" wrapText="1"/>
    </xf>
    <xf numFmtId="0" fontId="5" fillId="0" borderId="1" xfId="7" applyFont="1" applyBorder="1" applyAlignment="1">
      <alignment horizontal="center" wrapText="1"/>
    </xf>
    <xf numFmtId="3" fontId="2" fillId="0" borderId="1" xfId="7" applyNumberFormat="1" applyBorder="1" applyAlignment="1">
      <alignment horizontal="center" wrapText="1"/>
    </xf>
    <xf numFmtId="8" fontId="2" fillId="0" borderId="1" xfId="7" applyNumberFormat="1" applyBorder="1" applyAlignment="1">
      <alignment horizontal="center" wrapText="1"/>
    </xf>
    <xf numFmtId="8" fontId="2" fillId="0" borderId="1" xfId="9" applyNumberFormat="1" applyFont="1" applyBorder="1" applyAlignment="1">
      <alignment horizontal="center" wrapText="1"/>
    </xf>
    <xf numFmtId="0" fontId="2" fillId="0" borderId="0" xfId="7" applyBorder="1" applyAlignment="1">
      <alignment horizontal="center" wrapText="1"/>
    </xf>
    <xf numFmtId="0" fontId="5" fillId="0" borderId="1" xfId="7" applyFont="1" applyBorder="1" applyAlignment="1">
      <alignment horizontal="center"/>
    </xf>
    <xf numFmtId="165" fontId="2" fillId="0" borderId="1" xfId="7" applyNumberFormat="1" applyBorder="1" applyAlignment="1">
      <alignment horizontal="center"/>
    </xf>
    <xf numFmtId="165" fontId="2" fillId="0" borderId="1" xfId="7" applyNumberFormat="1" applyBorder="1"/>
    <xf numFmtId="0" fontId="2" fillId="0" borderId="1" xfId="7" applyFont="1" applyBorder="1" applyAlignment="1">
      <alignment horizontal="center" wrapText="1"/>
    </xf>
    <xf numFmtId="3" fontId="2" fillId="0" borderId="1" xfId="7" applyNumberFormat="1" applyFont="1" applyBorder="1" applyAlignment="1">
      <alignment horizontal="center" wrapText="1"/>
    </xf>
    <xf numFmtId="8" fontId="2" fillId="0" borderId="1" xfId="7" applyNumberFormat="1" applyFont="1" applyBorder="1" applyAlignment="1">
      <alignment horizontal="center" wrapText="1"/>
    </xf>
    <xf numFmtId="8" fontId="2" fillId="0" borderId="1" xfId="7" applyNumberFormat="1" applyFont="1" applyBorder="1" applyAlignment="1">
      <alignment horizontal="center"/>
    </xf>
    <xf numFmtId="165" fontId="2" fillId="0" borderId="1" xfId="7" applyNumberFormat="1" applyFont="1" applyBorder="1" applyAlignment="1">
      <alignment horizontal="center" wrapText="1"/>
    </xf>
    <xf numFmtId="165" fontId="2" fillId="0" borderId="1" xfId="7" applyNumberFormat="1" applyFont="1" applyBorder="1" applyAlignment="1">
      <alignment horizontal="center"/>
    </xf>
    <xf numFmtId="0" fontId="2" fillId="0" borderId="2" xfId="7" applyBorder="1" applyAlignment="1">
      <alignment horizontal="center" wrapText="1"/>
    </xf>
    <xf numFmtId="0" fontId="2" fillId="0" borderId="0" xfId="7" applyBorder="1"/>
    <xf numFmtId="0" fontId="2" fillId="0" borderId="4" xfId="7" applyBorder="1"/>
    <xf numFmtId="164" fontId="2" fillId="0" borderId="1" xfId="7" applyNumberFormat="1" applyFont="1" applyBorder="1" applyAlignment="1">
      <alignment horizontal="center" wrapText="1"/>
    </xf>
    <xf numFmtId="164" fontId="2" fillId="0" borderId="1" xfId="7" applyNumberFormat="1" applyBorder="1" applyAlignment="1">
      <alignment horizontal="center" wrapText="1"/>
    </xf>
    <xf numFmtId="167" fontId="2" fillId="0" borderId="1" xfId="7" applyNumberFormat="1" applyFont="1" applyBorder="1" applyAlignment="1">
      <alignment horizontal="center" wrapText="1"/>
    </xf>
    <xf numFmtId="167" fontId="2" fillId="0" borderId="1" xfId="7" applyNumberFormat="1" applyBorder="1" applyAlignment="1">
      <alignment horizontal="center"/>
    </xf>
    <xf numFmtId="0" fontId="0" fillId="0" borderId="0" xfId="0" applyAlignment="1">
      <alignment horizontal="center"/>
    </xf>
    <xf numFmtId="0" fontId="10" fillId="0" borderId="0" xfId="0" applyFont="1"/>
    <xf numFmtId="0" fontId="0" fillId="3" borderId="0" xfId="0" applyFill="1"/>
    <xf numFmtId="0" fontId="0" fillId="0" borderId="0" xfId="0" quotePrefix="1"/>
    <xf numFmtId="0" fontId="11" fillId="0" borderId="0" xfId="0" applyFont="1"/>
    <xf numFmtId="0" fontId="0" fillId="0" borderId="0" xfId="0" applyAlignment="1">
      <alignment horizontal="center" wrapText="1"/>
    </xf>
    <xf numFmtId="0" fontId="0" fillId="0" borderId="0" xfId="0" applyBorder="1" applyAlignment="1">
      <alignment horizontal="center"/>
    </xf>
    <xf numFmtId="0" fontId="0" fillId="0" borderId="0" xfId="0" applyBorder="1" applyAlignment="1">
      <alignment horizontal="center" textRotation="90"/>
    </xf>
    <xf numFmtId="0" fontId="0" fillId="2" borderId="0" xfId="0" applyFill="1" applyBorder="1" applyAlignment="1">
      <alignment horizontal="center" textRotation="90"/>
    </xf>
    <xf numFmtId="0" fontId="12" fillId="0" borderId="0" xfId="0" applyFont="1" applyBorder="1" applyAlignment="1">
      <alignment horizontal="center" textRotation="90"/>
    </xf>
    <xf numFmtId="0" fontId="0" fillId="0" borderId="9" xfId="0" applyBorder="1" applyAlignment="1">
      <alignment horizontal="center" vertical="center"/>
    </xf>
    <xf numFmtId="0" fontId="0" fillId="0" borderId="13" xfId="0" applyBorder="1" applyAlignment="1">
      <alignment horizontal="center"/>
    </xf>
    <xf numFmtId="168" fontId="0" fillId="3" borderId="14" xfId="0" applyNumberFormat="1" applyFill="1" applyBorder="1" applyAlignment="1">
      <alignment horizontal="center"/>
    </xf>
    <xf numFmtId="168" fontId="0" fillId="2" borderId="14" xfId="0" applyNumberFormat="1" applyFill="1" applyBorder="1" applyAlignment="1">
      <alignment horizontal="center"/>
    </xf>
    <xf numFmtId="168" fontId="0" fillId="0" borderId="14" xfId="0" applyNumberFormat="1" applyBorder="1" applyAlignment="1">
      <alignment horizontal="center"/>
    </xf>
    <xf numFmtId="168" fontId="0" fillId="0" borderId="10" xfId="0" applyNumberFormat="1" applyBorder="1" applyAlignment="1">
      <alignment horizontal="center"/>
    </xf>
    <xf numFmtId="166" fontId="0" fillId="0" borderId="14" xfId="0" applyNumberFormat="1" applyBorder="1" applyAlignment="1">
      <alignment horizontal="center"/>
    </xf>
    <xf numFmtId="166" fontId="0" fillId="0" borderId="10" xfId="0" applyNumberFormat="1" applyBorder="1" applyAlignment="1">
      <alignment horizontal="center"/>
    </xf>
    <xf numFmtId="0" fontId="2" fillId="0" borderId="0" xfId="0" applyFont="1" applyBorder="1" applyAlignment="1">
      <alignment horizontal="center"/>
    </xf>
    <xf numFmtId="0" fontId="2" fillId="0" borderId="0" xfId="0" applyFont="1" applyAlignment="1">
      <alignment horizontal="left"/>
    </xf>
    <xf numFmtId="0" fontId="0" fillId="0" borderId="5" xfId="0" applyBorder="1" applyAlignment="1">
      <alignment horizontal="center" vertical="center"/>
    </xf>
    <xf numFmtId="0" fontId="0" fillId="0" borderId="4" xfId="0" applyBorder="1" applyAlignment="1">
      <alignment horizontal="center"/>
    </xf>
    <xf numFmtId="168" fontId="0" fillId="3" borderId="0" xfId="0" applyNumberFormat="1" applyFill="1" applyBorder="1" applyAlignment="1">
      <alignment horizontal="center"/>
    </xf>
    <xf numFmtId="168" fontId="0" fillId="2" borderId="0" xfId="0" applyNumberFormat="1" applyFill="1" applyBorder="1" applyAlignment="1">
      <alignment horizontal="center"/>
    </xf>
    <xf numFmtId="168" fontId="0" fillId="0" borderId="0" xfId="0" applyNumberFormat="1" applyBorder="1" applyAlignment="1">
      <alignment horizontal="center"/>
    </xf>
    <xf numFmtId="168" fontId="0" fillId="0" borderId="6" xfId="0" applyNumberFormat="1" applyBorder="1" applyAlignment="1">
      <alignment horizontal="center"/>
    </xf>
    <xf numFmtId="166" fontId="0" fillId="0" borderId="0" xfId="0" applyNumberFormat="1" applyBorder="1" applyAlignment="1">
      <alignment horizontal="center"/>
    </xf>
    <xf numFmtId="166" fontId="0" fillId="0" borderId="6" xfId="0" applyNumberFormat="1" applyBorder="1" applyAlignment="1">
      <alignment horizontal="center"/>
    </xf>
    <xf numFmtId="0" fontId="0" fillId="0" borderId="0" xfId="0" quotePrefix="1" applyBorder="1" applyAlignment="1">
      <alignment horizontal="center"/>
    </xf>
    <xf numFmtId="0" fontId="0" fillId="0" borderId="15" xfId="0" applyBorder="1" applyAlignment="1">
      <alignment horizontal="center" vertical="center"/>
    </xf>
    <xf numFmtId="168" fontId="0" fillId="3" borderId="11" xfId="0" applyNumberFormat="1" applyFill="1" applyBorder="1" applyAlignment="1">
      <alignment horizontal="center"/>
    </xf>
    <xf numFmtId="168" fontId="0" fillId="2" borderId="3" xfId="0" applyNumberFormat="1" applyFill="1" applyBorder="1" applyAlignment="1">
      <alignment horizontal="center"/>
    </xf>
    <xf numFmtId="168" fontId="0" fillId="0" borderId="3" xfId="0" applyNumberFormat="1" applyBorder="1" applyAlignment="1">
      <alignment horizontal="center"/>
    </xf>
    <xf numFmtId="168" fontId="0" fillId="0" borderId="16" xfId="0" applyNumberFormat="1" applyBorder="1" applyAlignment="1">
      <alignment horizontal="center"/>
    </xf>
    <xf numFmtId="166" fontId="0" fillId="0" borderId="3" xfId="0" applyNumberFormat="1" applyBorder="1" applyAlignment="1">
      <alignment horizontal="center"/>
    </xf>
    <xf numFmtId="166" fontId="0" fillId="0" borderId="16" xfId="0" applyNumberFormat="1" applyBorder="1" applyAlignment="1">
      <alignment horizontal="center"/>
    </xf>
    <xf numFmtId="0" fontId="0" fillId="0" borderId="17" xfId="0" applyBorder="1" applyAlignment="1">
      <alignment horizontal="center" vertical="center"/>
    </xf>
    <xf numFmtId="0" fontId="0" fillId="0" borderId="12" xfId="0" applyBorder="1" applyAlignment="1">
      <alignment horizontal="center"/>
    </xf>
    <xf numFmtId="0" fontId="0" fillId="0" borderId="7" xfId="0" applyBorder="1" applyAlignment="1">
      <alignment horizontal="center" vertical="center"/>
    </xf>
    <xf numFmtId="0" fontId="0" fillId="0" borderId="18" xfId="0" applyBorder="1" applyAlignment="1">
      <alignment horizontal="center"/>
    </xf>
    <xf numFmtId="168" fontId="0" fillId="3" borderId="19" xfId="0" applyNumberFormat="1" applyFill="1" applyBorder="1" applyAlignment="1">
      <alignment horizontal="center"/>
    </xf>
    <xf numFmtId="168" fontId="0" fillId="2" borderId="20" xfId="0" applyNumberFormat="1" applyFill="1" applyBorder="1" applyAlignment="1">
      <alignment horizontal="center"/>
    </xf>
    <xf numFmtId="168" fontId="0" fillId="0" borderId="20" xfId="0" applyNumberFormat="1" applyBorder="1" applyAlignment="1">
      <alignment horizontal="center"/>
    </xf>
    <xf numFmtId="168" fontId="0" fillId="0" borderId="8" xfId="0" applyNumberFormat="1" applyBorder="1" applyAlignment="1">
      <alignment horizontal="center"/>
    </xf>
    <xf numFmtId="166" fontId="0" fillId="0" borderId="20" xfId="0" applyNumberFormat="1" applyBorder="1" applyAlignment="1">
      <alignment horizontal="center"/>
    </xf>
    <xf numFmtId="166" fontId="0" fillId="0" borderId="8" xfId="0" applyNumberFormat="1" applyBorder="1" applyAlignment="1">
      <alignment horizontal="center"/>
    </xf>
    <xf numFmtId="0" fontId="9" fillId="0" borderId="0" xfId="0" applyFont="1" applyAlignment="1">
      <alignment horizontal="left" vertical="center"/>
    </xf>
    <xf numFmtId="0" fontId="0" fillId="0" borderId="0" xfId="0" applyFill="1"/>
    <xf numFmtId="0" fontId="14" fillId="0" borderId="0" xfId="0" applyFont="1"/>
    <xf numFmtId="0" fontId="0" fillId="0" borderId="0" xfId="0" applyBorder="1"/>
    <xf numFmtId="0" fontId="15" fillId="4" borderId="0" xfId="0" applyFont="1" applyFill="1" applyBorder="1"/>
    <xf numFmtId="0" fontId="15" fillId="4" borderId="0" xfId="0" applyFont="1" applyFill="1" applyBorder="1" applyAlignment="1">
      <alignment wrapText="1"/>
    </xf>
    <xf numFmtId="1" fontId="0" fillId="0" borderId="20" xfId="0" applyNumberFormat="1" applyBorder="1"/>
    <xf numFmtId="1" fontId="0" fillId="0" borderId="10" xfId="0" applyNumberFormat="1" applyBorder="1"/>
    <xf numFmtId="1" fontId="0" fillId="0" borderId="21" xfId="0" applyNumberFormat="1" applyBorder="1"/>
    <xf numFmtId="1" fontId="0" fillId="0" borderId="23" xfId="0" applyNumberFormat="1" applyBorder="1"/>
    <xf numFmtId="1" fontId="0" fillId="0" borderId="7" xfId="0" applyNumberFormat="1" applyBorder="1"/>
    <xf numFmtId="1" fontId="0" fillId="0" borderId="8" xfId="0" applyNumberFormat="1" applyBorder="1"/>
    <xf numFmtId="1" fontId="0" fillId="0" borderId="14" xfId="0" applyNumberFormat="1" applyBorder="1"/>
    <xf numFmtId="0" fontId="15" fillId="0" borderId="0" xfId="0" applyFont="1" applyFill="1" applyBorder="1"/>
    <xf numFmtId="2" fontId="0" fillId="0" borderId="7" xfId="0" applyNumberFormat="1" applyBorder="1"/>
    <xf numFmtId="1" fontId="0" fillId="0" borderId="22" xfId="0" applyNumberFormat="1" applyBorder="1"/>
    <xf numFmtId="2" fontId="0" fillId="0" borderId="9" xfId="0" applyNumberFormat="1" applyBorder="1"/>
    <xf numFmtId="2" fontId="0" fillId="0" borderId="10" xfId="0" applyNumberFormat="1" applyBorder="1"/>
    <xf numFmtId="2" fontId="0" fillId="0" borderId="21" xfId="0" applyNumberFormat="1" applyBorder="1"/>
    <xf numFmtId="2" fontId="0" fillId="0" borderId="23" xfId="0" applyNumberFormat="1" applyBorder="1"/>
    <xf numFmtId="2" fontId="0" fillId="0" borderId="8" xfId="0" applyNumberFormat="1" applyBorder="1"/>
    <xf numFmtId="2" fontId="0" fillId="0" borderId="0" xfId="0" applyNumberFormat="1" applyFill="1" applyBorder="1" applyAlignment="1" applyProtection="1">
      <alignment horizontal="right" vertical="top"/>
    </xf>
    <xf numFmtId="2" fontId="0" fillId="0" borderId="0" xfId="0" applyNumberFormat="1"/>
    <xf numFmtId="2" fontId="0" fillId="0" borderId="0" xfId="0" applyNumberFormat="1" applyFill="1"/>
    <xf numFmtId="2" fontId="0" fillId="2" borderId="0" xfId="0" applyNumberFormat="1" applyFill="1" applyAlignment="1"/>
    <xf numFmtId="2" fontId="0" fillId="0" borderId="0" xfId="0" applyNumberFormat="1" applyBorder="1" applyAlignment="1" applyProtection="1">
      <alignment horizontal="right" vertical="top"/>
    </xf>
    <xf numFmtId="2" fontId="0" fillId="0" borderId="0" xfId="0" applyNumberFormat="1" applyFill="1" applyAlignment="1"/>
    <xf numFmtId="2" fontId="0" fillId="2" borderId="0" xfId="0" applyNumberFormat="1" applyFill="1"/>
    <xf numFmtId="169" fontId="0" fillId="0" borderId="0" xfId="0" applyNumberFormat="1"/>
    <xf numFmtId="2" fontId="0" fillId="0" borderId="0" xfId="0" applyNumberFormat="1" applyBorder="1"/>
    <xf numFmtId="168" fontId="0" fillId="0" borderId="0" xfId="0" applyNumberFormat="1"/>
    <xf numFmtId="1" fontId="0" fillId="2" borderId="21" xfId="0" applyNumberFormat="1" applyFill="1" applyBorder="1"/>
    <xf numFmtId="2" fontId="0" fillId="0" borderId="24" xfId="0" applyNumberFormat="1" applyBorder="1"/>
    <xf numFmtId="2" fontId="0" fillId="0" borderId="15" xfId="0" applyNumberFormat="1" applyBorder="1"/>
    <xf numFmtId="1" fontId="0" fillId="0" borderId="0" xfId="0" applyNumberFormat="1" applyBorder="1"/>
    <xf numFmtId="0" fontId="15" fillId="4" borderId="25" xfId="0" applyFont="1" applyFill="1" applyBorder="1"/>
    <xf numFmtId="0" fontId="15" fillId="4" borderId="26" xfId="0" applyFont="1" applyFill="1" applyBorder="1" applyAlignment="1">
      <alignment wrapText="1"/>
    </xf>
    <xf numFmtId="0" fontId="15" fillId="4" borderId="27" xfId="0" applyFont="1" applyFill="1" applyBorder="1" applyAlignment="1">
      <alignment wrapText="1"/>
    </xf>
    <xf numFmtId="0" fontId="15" fillId="4" borderId="28" xfId="0" applyFont="1" applyFill="1" applyBorder="1"/>
    <xf numFmtId="1" fontId="0" fillId="2" borderId="29" xfId="0" applyNumberFormat="1" applyFill="1" applyBorder="1"/>
    <xf numFmtId="0" fontId="15" fillId="4" borderId="30" xfId="0" applyFont="1" applyFill="1" applyBorder="1"/>
    <xf numFmtId="1" fontId="0" fillId="0" borderId="31" xfId="0" applyNumberFormat="1" applyBorder="1"/>
    <xf numFmtId="1" fontId="0" fillId="0" borderId="32" xfId="0" applyNumberFormat="1" applyBorder="1"/>
    <xf numFmtId="2" fontId="0" fillId="0" borderId="33" xfId="0" applyNumberFormat="1" applyBorder="1"/>
    <xf numFmtId="2" fontId="0" fillId="0" borderId="34" xfId="0" applyNumberFormat="1" applyBorder="1"/>
    <xf numFmtId="2" fontId="0" fillId="0" borderId="35" xfId="0" applyNumberFormat="1" applyBorder="1"/>
    <xf numFmtId="2" fontId="0" fillId="0" borderId="37" xfId="0" applyNumberFormat="1" applyBorder="1"/>
    <xf numFmtId="2" fontId="0" fillId="0" borderId="36" xfId="0" applyNumberFormat="1" applyBorder="1"/>
    <xf numFmtId="0" fontId="19" fillId="2" borderId="28" xfId="0" applyFont="1" applyFill="1" applyBorder="1"/>
    <xf numFmtId="0" fontId="0" fillId="0" borderId="0" xfId="0" applyFill="1" applyBorder="1" applyAlignment="1" applyProtection="1">
      <alignment horizontal="left"/>
    </xf>
    <xf numFmtId="164" fontId="0" fillId="0" borderId="0" xfId="0" applyNumberFormat="1"/>
    <xf numFmtId="0" fontId="0" fillId="0" borderId="0" xfId="0" applyFont="1"/>
    <xf numFmtId="2" fontId="0" fillId="0" borderId="14" xfId="0" applyNumberFormat="1" applyBorder="1"/>
    <xf numFmtId="2" fontId="0" fillId="0" borderId="22" xfId="0" applyNumberFormat="1" applyBorder="1"/>
    <xf numFmtId="2" fontId="0" fillId="0" borderId="20" xfId="0" applyNumberFormat="1" applyBorder="1"/>
    <xf numFmtId="0" fontId="20" fillId="0" borderId="0" xfId="0" applyFont="1" applyFill="1" applyBorder="1" applyAlignment="1" applyProtection="1">
      <alignment horizontal="left" vertical="top"/>
    </xf>
    <xf numFmtId="0" fontId="0" fillId="2" borderId="0" xfId="0" applyFill="1"/>
    <xf numFmtId="0" fontId="15" fillId="7" borderId="25" xfId="0" applyFont="1" applyFill="1" applyBorder="1"/>
    <xf numFmtId="0" fontId="15" fillId="7" borderId="26" xfId="0" applyFont="1" applyFill="1" applyBorder="1" applyAlignment="1">
      <alignment wrapText="1"/>
    </xf>
    <xf numFmtId="0" fontId="15" fillId="7" borderId="27" xfId="0" applyFont="1" applyFill="1" applyBorder="1" applyAlignment="1">
      <alignment wrapText="1"/>
    </xf>
    <xf numFmtId="0" fontId="21" fillId="6" borderId="0" xfId="0" applyFont="1" applyFill="1" applyAlignment="1">
      <alignment horizontal="center"/>
    </xf>
    <xf numFmtId="0" fontId="21" fillId="6" borderId="0" xfId="0" applyFont="1" applyFill="1"/>
    <xf numFmtId="0" fontId="21" fillId="5" borderId="0" xfId="0" applyFont="1" applyFill="1" applyAlignment="1">
      <alignment horizontal="center"/>
    </xf>
    <xf numFmtId="0" fontId="21" fillId="5" borderId="0" xfId="0" applyFont="1" applyFill="1"/>
    <xf numFmtId="0" fontId="22" fillId="0" borderId="0" xfId="0" applyFont="1"/>
    <xf numFmtId="0" fontId="20" fillId="0" borderId="0" xfId="0" applyFont="1" applyAlignment="1">
      <alignment horizontal="right"/>
    </xf>
    <xf numFmtId="0" fontId="23" fillId="2" borderId="0" xfId="0" applyFont="1" applyFill="1"/>
    <xf numFmtId="2" fontId="0" fillId="8" borderId="33" xfId="0" applyNumberFormat="1" applyFill="1" applyBorder="1"/>
    <xf numFmtId="2" fontId="0" fillId="0" borderId="38" xfId="0" applyNumberFormat="1" applyBorder="1"/>
    <xf numFmtId="2" fontId="0" fillId="0" borderId="39" xfId="0" applyNumberFormat="1" applyBorder="1"/>
    <xf numFmtId="2" fontId="0" fillId="0" borderId="32" xfId="0" applyNumberFormat="1" applyBorder="1"/>
    <xf numFmtId="2" fontId="0" fillId="0" borderId="31" xfId="0" applyNumberFormat="1" applyBorder="1"/>
    <xf numFmtId="2" fontId="0" fillId="0" borderId="40" xfId="0" applyNumberFormat="1" applyBorder="1"/>
    <xf numFmtId="2" fontId="0" fillId="0" borderId="41" xfId="0" applyNumberFormat="1" applyBorder="1"/>
    <xf numFmtId="1" fontId="0" fillId="0" borderId="0" xfId="0" applyNumberFormat="1"/>
    <xf numFmtId="170" fontId="21" fillId="5" borderId="0" xfId="0" applyNumberFormat="1" applyFont="1" applyFill="1" applyBorder="1"/>
    <xf numFmtId="2" fontId="21" fillId="5" borderId="0" xfId="0" applyNumberFormat="1" applyFont="1" applyFill="1" applyBorder="1"/>
    <xf numFmtId="170" fontId="21" fillId="6" borderId="0" xfId="0" applyNumberFormat="1" applyFont="1" applyFill="1" applyBorder="1"/>
    <xf numFmtId="2" fontId="21" fillId="6" borderId="0" xfId="0" applyNumberFormat="1" applyFont="1" applyFill="1" applyBorder="1"/>
    <xf numFmtId="0" fontId="4" fillId="0" borderId="0" xfId="3"/>
    <xf numFmtId="0" fontId="19" fillId="2" borderId="42" xfId="0" applyFont="1" applyFill="1" applyBorder="1"/>
    <xf numFmtId="0" fontId="0" fillId="9" borderId="0" xfId="0" applyFill="1" applyBorder="1" applyAlignment="1">
      <alignment horizontal="center" textRotation="90"/>
    </xf>
    <xf numFmtId="168" fontId="0" fillId="9" borderId="14" xfId="0" applyNumberFormat="1" applyFill="1" applyBorder="1" applyAlignment="1">
      <alignment horizontal="center"/>
    </xf>
    <xf numFmtId="168" fontId="0" fillId="9" borderId="0" xfId="0" applyNumberFormat="1" applyFill="1" applyBorder="1" applyAlignment="1">
      <alignment horizontal="center"/>
    </xf>
    <xf numFmtId="168" fontId="0" fillId="9" borderId="3" xfId="0" applyNumberFormat="1" applyFill="1" applyBorder="1" applyAlignment="1">
      <alignment horizontal="center"/>
    </xf>
    <xf numFmtId="168" fontId="0" fillId="9" borderId="20" xfId="0" applyNumberFormat="1" applyFill="1" applyBorder="1" applyAlignment="1">
      <alignment horizontal="center"/>
    </xf>
    <xf numFmtId="0" fontId="0" fillId="8" borderId="0" xfId="0" applyFill="1" applyBorder="1" applyAlignment="1" applyProtection="1">
      <alignment horizontal="right" vertical="top"/>
    </xf>
    <xf numFmtId="0" fontId="19" fillId="2" borderId="43" xfId="0" applyFont="1" applyFill="1" applyBorder="1"/>
    <xf numFmtId="3" fontId="0" fillId="0" borderId="0" xfId="0" applyNumberFormat="1"/>
    <xf numFmtId="0" fontId="25" fillId="0" borderId="0" xfId="0" applyFont="1"/>
    <xf numFmtId="1" fontId="25" fillId="0" borderId="0" xfId="0" applyNumberFormat="1" applyFont="1"/>
    <xf numFmtId="43" fontId="0" fillId="0" borderId="0" xfId="10" applyFont="1"/>
    <xf numFmtId="9" fontId="0" fillId="0" borderId="0" xfId="11" applyFont="1"/>
    <xf numFmtId="2" fontId="0" fillId="0" borderId="44" xfId="0" applyNumberFormat="1" applyBorder="1"/>
    <xf numFmtId="2" fontId="0" fillId="0" borderId="45" xfId="0" applyNumberFormat="1" applyBorder="1"/>
    <xf numFmtId="2" fontId="0" fillId="0" borderId="46" xfId="0" applyNumberFormat="1" applyBorder="1"/>
    <xf numFmtId="2" fontId="0" fillId="0" borderId="47" xfId="0" applyNumberFormat="1" applyBorder="1"/>
    <xf numFmtId="0" fontId="25" fillId="0" borderId="0" xfId="0" applyFont="1" applyAlignment="1">
      <alignment horizontal="right"/>
    </xf>
    <xf numFmtId="43" fontId="25" fillId="0" borderId="0" xfId="10" applyFont="1"/>
    <xf numFmtId="10" fontId="25" fillId="0" borderId="0" xfId="0" applyNumberFormat="1" applyFont="1"/>
    <xf numFmtId="0" fontId="0" fillId="10" borderId="0" xfId="0" applyFill="1"/>
    <xf numFmtId="2" fontId="0" fillId="0" borderId="5" xfId="0" applyNumberFormat="1" applyBorder="1"/>
    <xf numFmtId="1" fontId="0" fillId="0" borderId="49" xfId="0" applyNumberFormat="1" applyBorder="1"/>
    <xf numFmtId="2" fontId="0" fillId="0" borderId="49" xfId="0" applyNumberFormat="1" applyBorder="1"/>
    <xf numFmtId="2" fontId="26" fillId="2" borderId="23" xfId="0" applyNumberFormat="1" applyFont="1" applyFill="1" applyBorder="1"/>
    <xf numFmtId="2" fontId="26" fillId="2" borderId="48" xfId="0" applyNumberFormat="1" applyFont="1" applyFill="1" applyBorder="1"/>
    <xf numFmtId="0" fontId="27" fillId="4" borderId="0" xfId="0" applyFont="1" applyFill="1" applyBorder="1" applyAlignment="1">
      <alignment horizontal="center" vertical="center"/>
    </xf>
    <xf numFmtId="1" fontId="26" fillId="2" borderId="23" xfId="0" applyNumberFormat="1" applyFont="1" applyFill="1" applyBorder="1"/>
    <xf numFmtId="1" fontId="26" fillId="2" borderId="8" xfId="0" applyNumberFormat="1" applyFont="1" applyFill="1" applyBorder="1"/>
    <xf numFmtId="0" fontId="5" fillId="0" borderId="0" xfId="7" applyFont="1" applyAlignment="1">
      <alignment horizontal="left"/>
    </xf>
    <xf numFmtId="0" fontId="5" fillId="0" borderId="0" xfId="7" applyFont="1" applyBorder="1" applyAlignment="1">
      <alignment horizontal="left"/>
    </xf>
    <xf numFmtId="0" fontId="2" fillId="0" borderId="0" xfId="7" applyAlignment="1"/>
    <xf numFmtId="0" fontId="10" fillId="2" borderId="0" xfId="7" applyFont="1" applyFill="1" applyBorder="1" applyAlignment="1">
      <alignment horizontal="center"/>
    </xf>
    <xf numFmtId="0" fontId="10" fillId="2" borderId="0" xfId="7" applyFont="1" applyFill="1" applyBorder="1" applyAlignment="1"/>
    <xf numFmtId="0" fontId="0" fillId="0" borderId="0" xfId="0" applyAlignment="1">
      <alignment horizontal="center"/>
    </xf>
    <xf numFmtId="43" fontId="0" fillId="0" borderId="0" xfId="0" applyNumberFormat="1"/>
    <xf numFmtId="10" fontId="0" fillId="0" borderId="0" xfId="11" applyNumberFormat="1" applyFont="1"/>
    <xf numFmtId="0" fontId="0" fillId="10" borderId="0" xfId="0" applyFill="1" applyBorder="1"/>
    <xf numFmtId="0" fontId="0" fillId="2" borderId="9" xfId="0" applyFill="1" applyBorder="1"/>
    <xf numFmtId="0" fontId="0" fillId="2" borderId="14" xfId="0" applyFill="1" applyBorder="1"/>
    <xf numFmtId="10" fontId="0" fillId="2" borderId="14" xfId="11" applyNumberFormat="1" applyFont="1" applyFill="1" applyBorder="1" applyAlignment="1">
      <alignment vertical="center"/>
    </xf>
    <xf numFmtId="0" fontId="0" fillId="2" borderId="10" xfId="0" applyFill="1" applyBorder="1"/>
    <xf numFmtId="0" fontId="0" fillId="2" borderId="5" xfId="0" applyFill="1" applyBorder="1"/>
    <xf numFmtId="10" fontId="0" fillId="2" borderId="0" xfId="11" applyNumberFormat="1" applyFont="1" applyFill="1" applyBorder="1" applyAlignment="1">
      <alignment vertical="center"/>
    </xf>
    <xf numFmtId="10" fontId="28" fillId="2" borderId="0" xfId="11" applyNumberFormat="1" applyFont="1" applyFill="1" applyBorder="1" applyAlignment="1">
      <alignment vertical="center"/>
    </xf>
    <xf numFmtId="0" fontId="0" fillId="2" borderId="0" xfId="0" applyFill="1" applyBorder="1"/>
    <xf numFmtId="0" fontId="0" fillId="2" borderId="6" xfId="0" applyFill="1" applyBorder="1"/>
    <xf numFmtId="0" fontId="0" fillId="2" borderId="7" xfId="0" applyFill="1" applyBorder="1"/>
    <xf numFmtId="0" fontId="0" fillId="2" borderId="20" xfId="0" applyFill="1" applyBorder="1"/>
    <xf numFmtId="0" fontId="0" fillId="2" borderId="8" xfId="0" applyFill="1" applyBorder="1"/>
    <xf numFmtId="0" fontId="25" fillId="2" borderId="35" xfId="0" applyFont="1" applyFill="1" applyBorder="1" applyAlignment="1">
      <alignment horizontal="center"/>
    </xf>
    <xf numFmtId="0" fontId="25" fillId="2" borderId="50" xfId="0" applyFont="1" applyFill="1" applyBorder="1" applyAlignment="1">
      <alignment horizontal="center"/>
    </xf>
    <xf numFmtId="0" fontId="25" fillId="2" borderId="51" xfId="0" applyFont="1" applyFill="1" applyBorder="1" applyAlignment="1">
      <alignment horizontal="center"/>
    </xf>
  </cellXfs>
  <cellStyles count="12">
    <cellStyle name="Comma" xfId="10" builtinId="3"/>
    <cellStyle name="Currency 2" xfId="4"/>
    <cellStyle name="Hyperlink 2" xfId="6"/>
    <cellStyle name="Hyperlink 3" xfId="5"/>
    <cellStyle name="Hyperlink 4" xfId="3"/>
    <cellStyle name="Normal" xfId="0" builtinId="0"/>
    <cellStyle name="Normal 13" xfId="2"/>
    <cellStyle name="Normal 16" xfId="1"/>
    <cellStyle name="Normal 2" xfId="7"/>
    <cellStyle name="Normal 4" xfId="8"/>
    <cellStyle name="Percent" xfId="11" builtinId="5"/>
    <cellStyle name="Percent 2" xfId="9"/>
  </cellStyles>
  <dxfs count="1">
    <dxf>
      <font>
        <condense val="0"/>
        <extend val="0"/>
        <color indexed="10"/>
      </font>
    </dxf>
  </dxfs>
  <tableStyles count="0" defaultTableStyle="TableStyleMedium2" defaultPivotStyle="PivotStyleLight16"/>
  <colors>
    <mruColors>
      <color rgb="FF054B5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_rels/drawing2.xml.rels><?xml version="1.0" encoding="UTF-8" standalone="yes"?>
<Relationships xmlns="http://schemas.openxmlformats.org/package/2006/relationships"><Relationship Id="rId2" Type="http://schemas.openxmlformats.org/officeDocument/2006/relationships/image" Target="../media/image10.tmp"/><Relationship Id="rId1" Type="http://schemas.openxmlformats.org/officeDocument/2006/relationships/image" Target="../media/image9.tmp"/></Relationships>
</file>

<file path=xl/drawings/_rels/drawing3.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0</xdr:col>
      <xdr:colOff>338667</xdr:colOff>
      <xdr:row>86</xdr:row>
      <xdr:rowOff>176389</xdr:rowOff>
    </xdr:from>
    <xdr:to>
      <xdr:col>4</xdr:col>
      <xdr:colOff>1006123</xdr:colOff>
      <xdr:row>100</xdr:row>
      <xdr:rowOff>176389</xdr:rowOff>
    </xdr:to>
    <xdr:pic>
      <xdr:nvPicPr>
        <xdr:cNvPr id="4" name="Picture 3">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667" y="18111611"/>
          <a:ext cx="6537678" cy="256822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101</xdr:row>
      <xdr:rowOff>0</xdr:rowOff>
    </xdr:from>
    <xdr:to>
      <xdr:col>4</xdr:col>
      <xdr:colOff>610306</xdr:colOff>
      <xdr:row>119</xdr:row>
      <xdr:rowOff>161925</xdr:rowOff>
    </xdr:to>
    <xdr:pic>
      <xdr:nvPicPr>
        <xdr:cNvPr id="5" name="Picture 4">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9600" y="19516725"/>
          <a:ext cx="5934075" cy="3590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120</xdr:row>
      <xdr:rowOff>0</xdr:rowOff>
    </xdr:from>
    <xdr:to>
      <xdr:col>4</xdr:col>
      <xdr:colOff>686506</xdr:colOff>
      <xdr:row>138</xdr:row>
      <xdr:rowOff>123825</xdr:rowOff>
    </xdr:to>
    <xdr:pic>
      <xdr:nvPicPr>
        <xdr:cNvPr id="6" name="Picture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9600" y="23136225"/>
          <a:ext cx="6010275" cy="3552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139</xdr:row>
      <xdr:rowOff>0</xdr:rowOff>
    </xdr:from>
    <xdr:to>
      <xdr:col>4</xdr:col>
      <xdr:colOff>648406</xdr:colOff>
      <xdr:row>165</xdr:row>
      <xdr:rowOff>123826</xdr:rowOff>
    </xdr:to>
    <xdr:pic>
      <xdr:nvPicPr>
        <xdr:cNvPr id="8" name="Picture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09600" y="26755725"/>
          <a:ext cx="5972175" cy="5076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87</xdr:row>
      <xdr:rowOff>0</xdr:rowOff>
    </xdr:from>
    <xdr:to>
      <xdr:col>16</xdr:col>
      <xdr:colOff>481540</xdr:colOff>
      <xdr:row>107</xdr:row>
      <xdr:rowOff>133350</xdr:rowOff>
    </xdr:to>
    <xdr:pic>
      <xdr:nvPicPr>
        <xdr:cNvPr id="10" name="Picture 9">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877175" y="16849725"/>
          <a:ext cx="6238875" cy="394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392206</xdr:colOff>
      <xdr:row>125</xdr:row>
      <xdr:rowOff>123265</xdr:rowOff>
    </xdr:from>
    <xdr:to>
      <xdr:col>17</xdr:col>
      <xdr:colOff>228869</xdr:colOff>
      <xdr:row>137</xdr:row>
      <xdr:rowOff>132791</xdr:rowOff>
    </xdr:to>
    <xdr:pic>
      <xdr:nvPicPr>
        <xdr:cNvPr id="11" name="Picture 10">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247530" y="26894118"/>
          <a:ext cx="6155951" cy="22955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109</xdr:row>
      <xdr:rowOff>0</xdr:rowOff>
    </xdr:from>
    <xdr:to>
      <xdr:col>16</xdr:col>
      <xdr:colOff>255762</xdr:colOff>
      <xdr:row>123</xdr:row>
      <xdr:rowOff>133349</xdr:rowOff>
    </xdr:to>
    <xdr:pic>
      <xdr:nvPicPr>
        <xdr:cNvPr id="13" name="Picture 12">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7877175" y="23707725"/>
          <a:ext cx="6010275" cy="2800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71</xdr:row>
      <xdr:rowOff>0</xdr:rowOff>
    </xdr:from>
    <xdr:ext cx="5647619" cy="2190476"/>
    <xdr:pic>
      <xdr:nvPicPr>
        <xdr:cNvPr id="12" name="Picture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8"/>
        <a:stretch>
          <a:fillRect/>
        </a:stretch>
      </xdr:blipFill>
      <xdr:spPr>
        <a:xfrm>
          <a:off x="609600" y="17805400"/>
          <a:ext cx="5647619" cy="219047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13</xdr:col>
      <xdr:colOff>482147</xdr:colOff>
      <xdr:row>0</xdr:row>
      <xdr:rowOff>152400</xdr:rowOff>
    </xdr:from>
    <xdr:to>
      <xdr:col>21</xdr:col>
      <xdr:colOff>240659</xdr:colOff>
      <xdr:row>18</xdr:row>
      <xdr:rowOff>154065</xdr:rowOff>
    </xdr:to>
    <xdr:pic>
      <xdr:nvPicPr>
        <xdr:cNvPr id="2" name="Picture 1" descr="Screen Clipping">
          <a:extLst>
            <a:ext uri="{FF2B5EF4-FFF2-40B4-BE49-F238E27FC236}">
              <a16:creationId xmlns:a16="http://schemas.microsoft.com/office/drawing/2014/main" id="{990018DB-C0C4-4FBD-AC25-F675238EE0D2}"/>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111672" y="152400"/>
          <a:ext cx="4444812" cy="3430665"/>
        </a:xfrm>
        <a:prstGeom prst="rect">
          <a:avLst/>
        </a:prstGeom>
      </xdr:spPr>
    </xdr:pic>
    <xdr:clientData/>
  </xdr:twoCellAnchor>
  <xdr:twoCellAnchor editAs="oneCell">
    <xdr:from>
      <xdr:col>14</xdr:col>
      <xdr:colOff>1479</xdr:colOff>
      <xdr:row>19</xdr:row>
      <xdr:rowOff>106680</xdr:rowOff>
    </xdr:from>
    <xdr:to>
      <xdr:col>21</xdr:col>
      <xdr:colOff>278129</xdr:colOff>
      <xdr:row>38</xdr:row>
      <xdr:rowOff>178380</xdr:rowOff>
    </xdr:to>
    <xdr:pic>
      <xdr:nvPicPr>
        <xdr:cNvPr id="3" name="Picture 2" descr="Screen Clipping">
          <a:extLst>
            <a:ext uri="{FF2B5EF4-FFF2-40B4-BE49-F238E27FC236}">
              <a16:creationId xmlns:a16="http://schemas.microsoft.com/office/drawing/2014/main" id="{01FC473F-3C65-44F9-99A5-D0A75FA460F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8116779" y="3726180"/>
          <a:ext cx="4477175" cy="3691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338667</xdr:colOff>
      <xdr:row>84</xdr:row>
      <xdr:rowOff>176389</xdr:rowOff>
    </xdr:from>
    <xdr:to>
      <xdr:col>4</xdr:col>
      <xdr:colOff>1006123</xdr:colOff>
      <xdr:row>98</xdr:row>
      <xdr:rowOff>176389</xdr:rowOff>
    </xdr:to>
    <xdr:pic>
      <xdr:nvPicPr>
        <xdr:cNvPr id="2" name="Picture 1">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8667" y="18702514"/>
          <a:ext cx="6268156" cy="2667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99</xdr:row>
      <xdr:rowOff>0</xdr:rowOff>
    </xdr:from>
    <xdr:to>
      <xdr:col>4</xdr:col>
      <xdr:colOff>610306</xdr:colOff>
      <xdr:row>117</xdr:row>
      <xdr:rowOff>161925</xdr:rowOff>
    </xdr:to>
    <xdr:pic>
      <xdr:nvPicPr>
        <xdr:cNvPr id="3" name="Picture 2">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52425" y="21383625"/>
          <a:ext cx="5858581" cy="3590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118</xdr:row>
      <xdr:rowOff>0</xdr:rowOff>
    </xdr:from>
    <xdr:to>
      <xdr:col>4</xdr:col>
      <xdr:colOff>686506</xdr:colOff>
      <xdr:row>136</xdr:row>
      <xdr:rowOff>123825</xdr:rowOff>
    </xdr:to>
    <xdr:pic>
      <xdr:nvPicPr>
        <xdr:cNvPr id="4" name="Picture 3">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52425" y="25003125"/>
          <a:ext cx="5934781" cy="3552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137</xdr:row>
      <xdr:rowOff>0</xdr:rowOff>
    </xdr:from>
    <xdr:to>
      <xdr:col>4</xdr:col>
      <xdr:colOff>648406</xdr:colOff>
      <xdr:row>163</xdr:row>
      <xdr:rowOff>123826</xdr:rowOff>
    </xdr:to>
    <xdr:pic>
      <xdr:nvPicPr>
        <xdr:cNvPr id="5" name="Picture 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52425" y="28622625"/>
          <a:ext cx="5896681" cy="50768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85</xdr:row>
      <xdr:rowOff>0</xdr:rowOff>
    </xdr:from>
    <xdr:to>
      <xdr:col>16</xdr:col>
      <xdr:colOff>481540</xdr:colOff>
      <xdr:row>105</xdr:row>
      <xdr:rowOff>133350</xdr:rowOff>
    </xdr:to>
    <xdr:pic>
      <xdr:nvPicPr>
        <xdr:cNvPr id="6" name="Picture 5">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8277225" y="18716625"/>
          <a:ext cx="6167965" cy="39433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392206</xdr:colOff>
      <xdr:row>123</xdr:row>
      <xdr:rowOff>123265</xdr:rowOff>
    </xdr:from>
    <xdr:to>
      <xdr:col>17</xdr:col>
      <xdr:colOff>228869</xdr:colOff>
      <xdr:row>135</xdr:row>
      <xdr:rowOff>132791</xdr:rowOff>
    </xdr:to>
    <xdr:pic>
      <xdr:nvPicPr>
        <xdr:cNvPr id="7" name="Picture 6">
          <a:extLst>
            <a:ext uri="{FF2B5EF4-FFF2-40B4-BE49-F238E27FC236}">
              <a16:creationId xmlns:a16="http://schemas.microsoft.com/office/drawing/2014/main" id="{00000000-0008-0000-0000-00000B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8669431" y="26078890"/>
          <a:ext cx="6132688" cy="22955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0</xdr:colOff>
      <xdr:row>107</xdr:row>
      <xdr:rowOff>0</xdr:rowOff>
    </xdr:from>
    <xdr:to>
      <xdr:col>16</xdr:col>
      <xdr:colOff>255762</xdr:colOff>
      <xdr:row>121</xdr:row>
      <xdr:rowOff>133349</xdr:rowOff>
    </xdr:to>
    <xdr:pic>
      <xdr:nvPicPr>
        <xdr:cNvPr id="8" name="Picture 7">
          <a:extLst>
            <a:ext uri="{FF2B5EF4-FFF2-40B4-BE49-F238E27FC236}">
              <a16:creationId xmlns:a16="http://schemas.microsoft.com/office/drawing/2014/main" id="{00000000-0008-0000-0000-00000D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8277225" y="22907625"/>
          <a:ext cx="5942187" cy="28003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0</xdr:colOff>
      <xdr:row>69</xdr:row>
      <xdr:rowOff>0</xdr:rowOff>
    </xdr:from>
    <xdr:ext cx="5647619" cy="2190476"/>
    <xdr:pic>
      <xdr:nvPicPr>
        <xdr:cNvPr id="9" name="Picture 8">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8"/>
        <a:stretch>
          <a:fillRect/>
        </a:stretch>
      </xdr:blipFill>
      <xdr:spPr>
        <a:xfrm>
          <a:off x="352425" y="15668625"/>
          <a:ext cx="5647619" cy="2190476"/>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70"/>
  <sheetViews>
    <sheetView tabSelected="1" topLeftCell="A28" zoomScale="90" zoomScaleNormal="90" workbookViewId="0">
      <selection activeCell="K52" sqref="K52"/>
    </sheetView>
  </sheetViews>
  <sheetFormatPr defaultRowHeight="15"/>
  <cols>
    <col min="1" max="1" width="5.28515625" customWidth="1"/>
    <col min="2" max="2" width="5.140625" customWidth="1"/>
    <col min="3" max="3" width="59.28515625" customWidth="1"/>
    <col min="4" max="4" width="14.28515625" customWidth="1"/>
    <col min="5" max="5" width="15.28515625" customWidth="1"/>
    <col min="6" max="6" width="14.28515625" customWidth="1"/>
    <col min="7" max="8" width="10.5703125" customWidth="1"/>
    <col min="9" max="9" width="10.7109375" customWidth="1"/>
  </cols>
  <sheetData>
    <row r="1" spans="1:14" s="10" customFormat="1" ht="9.4" customHeight="1"/>
    <row r="2" spans="1:14" s="10" customFormat="1" ht="18.75">
      <c r="A2" s="10" t="s">
        <v>100</v>
      </c>
      <c r="D2" s="88" t="s">
        <v>1</v>
      </c>
      <c r="E2" s="88" t="s">
        <v>146</v>
      </c>
      <c r="L2" s="149" t="s">
        <v>171</v>
      </c>
      <c r="M2" s="139"/>
      <c r="N2" s="139"/>
    </row>
    <row r="3" spans="1:14" s="10" customFormat="1">
      <c r="C3" s="87" t="s">
        <v>2</v>
      </c>
      <c r="D3" s="133">
        <f>'SoCal Lodging Stats Summary'!P47</f>
        <v>0.73166007500391705</v>
      </c>
      <c r="E3"/>
      <c r="L3" s="6" t="s">
        <v>122</v>
      </c>
    </row>
    <row r="4" spans="1:14" s="12" customFormat="1">
      <c r="C4" s="87" t="s">
        <v>7</v>
      </c>
      <c r="D4" s="8">
        <f>2*0.4+1*0.6</f>
        <v>1.4</v>
      </c>
      <c r="E4" s="7" t="s">
        <v>4</v>
      </c>
      <c r="L4" s="6" t="s">
        <v>135</v>
      </c>
    </row>
    <row r="5" spans="1:14" s="10" customFormat="1">
      <c r="C5" s="87" t="s">
        <v>8</v>
      </c>
      <c r="D5">
        <v>365</v>
      </c>
      <c r="E5" t="s">
        <v>3</v>
      </c>
      <c r="L5"/>
    </row>
    <row r="6" spans="1:14" s="10" customFormat="1">
      <c r="C6" s="87" t="s">
        <v>163</v>
      </c>
      <c r="D6" s="110">
        <v>2.25</v>
      </c>
      <c r="E6" s="9" t="s">
        <v>94</v>
      </c>
      <c r="L6" s="134" t="s">
        <v>172</v>
      </c>
    </row>
    <row r="7" spans="1:14" s="10" customFormat="1">
      <c r="C7" s="87" t="s">
        <v>164</v>
      </c>
      <c r="D7" s="169">
        <v>1.5</v>
      </c>
      <c r="E7" s="9" t="s">
        <v>94</v>
      </c>
    </row>
    <row r="8" spans="1:14" s="10" customFormat="1" ht="17.25">
      <c r="C8" s="87" t="s">
        <v>161</v>
      </c>
      <c r="D8" s="10">
        <v>104</v>
      </c>
      <c r="E8" s="4" t="s">
        <v>95</v>
      </c>
      <c r="L8" s="10" t="s">
        <v>123</v>
      </c>
    </row>
    <row r="9" spans="1:14" s="10" customFormat="1" ht="17.25">
      <c r="C9" s="87" t="s">
        <v>181</v>
      </c>
      <c r="D9" s="113">
        <f>'Water Temperatures'!D19</f>
        <v>63.258539120881032</v>
      </c>
      <c r="E9" s="4" t="s">
        <v>95</v>
      </c>
      <c r="L9" s="10" t="s">
        <v>92</v>
      </c>
    </row>
    <row r="10" spans="1:14" s="10" customFormat="1" ht="17.25">
      <c r="C10" s="87" t="s">
        <v>160</v>
      </c>
      <c r="D10" s="113">
        <f>'Water Temperatures'!E19</f>
        <v>63.89620511247503</v>
      </c>
      <c r="E10" s="4" t="s">
        <v>95</v>
      </c>
      <c r="L10" s="10" t="s">
        <v>92</v>
      </c>
    </row>
    <row r="11" spans="1:14">
      <c r="C11" s="87" t="s">
        <v>162</v>
      </c>
      <c r="D11" s="10">
        <v>8.33</v>
      </c>
      <c r="E11" s="4" t="s">
        <v>93</v>
      </c>
    </row>
    <row r="12" spans="1:14" ht="17.25">
      <c r="C12" s="87" t="s">
        <v>166</v>
      </c>
      <c r="D12" s="10">
        <v>1</v>
      </c>
      <c r="E12" s="4" t="s">
        <v>97</v>
      </c>
    </row>
    <row r="13" spans="1:14">
      <c r="C13" s="87" t="s">
        <v>165</v>
      </c>
      <c r="D13" s="10">
        <v>0.78</v>
      </c>
      <c r="E13" s="4"/>
    </row>
    <row r="14" spans="1:14" s="10" customFormat="1">
      <c r="C14" s="87" t="s">
        <v>182</v>
      </c>
      <c r="D14" s="111">
        <f>($D$8-D9)*$D$11/$D$13/100000</f>
        <v>4.3509790913212948E-3</v>
      </c>
      <c r="E14" s="4" t="s">
        <v>142</v>
      </c>
    </row>
    <row r="15" spans="1:14" s="10" customFormat="1">
      <c r="C15" s="87" t="s">
        <v>125</v>
      </c>
      <c r="D15" s="10">
        <f>($D$8-D10)*$D$11/$D$13/100000</f>
        <v>4.282879633501064E-3</v>
      </c>
      <c r="E15" s="4" t="s">
        <v>142</v>
      </c>
    </row>
    <row r="16" spans="1:14" s="10" customFormat="1">
      <c r="C16" s="5"/>
      <c r="E16" s="4"/>
    </row>
    <row r="17" spans="1:12" s="10" customFormat="1">
      <c r="C17" s="5"/>
      <c r="E17" s="4"/>
    </row>
    <row r="18" spans="1:12" s="10" customFormat="1" ht="48" customHeight="1">
      <c r="A18" s="10" t="s">
        <v>177</v>
      </c>
      <c r="D18" s="87" t="s">
        <v>102</v>
      </c>
      <c r="E18" s="87" t="s">
        <v>138</v>
      </c>
      <c r="F18" s="87" t="s">
        <v>103</v>
      </c>
      <c r="G18" s="87" t="s">
        <v>104</v>
      </c>
      <c r="H18" s="87" t="s">
        <v>137</v>
      </c>
      <c r="I18" s="88" t="s">
        <v>154</v>
      </c>
      <c r="J18" s="87" t="s">
        <v>146</v>
      </c>
    </row>
    <row r="19" spans="1:12" s="10" customFormat="1">
      <c r="C19" s="87" t="s">
        <v>139</v>
      </c>
      <c r="D19" s="86">
        <f>1510*1000</f>
        <v>1510000</v>
      </c>
      <c r="E19" s="86">
        <v>4803000</v>
      </c>
      <c r="F19" s="86">
        <f>1921*1000</f>
        <v>1921000</v>
      </c>
      <c r="G19" s="86">
        <f>1842*1000</f>
        <v>1842000</v>
      </c>
      <c r="H19" s="86">
        <f>1655*1000</f>
        <v>1655000</v>
      </c>
      <c r="I19" s="86">
        <f>SUM(D19:H19)</f>
        <v>11731000</v>
      </c>
      <c r="J19" s="86" t="s">
        <v>6</v>
      </c>
      <c r="L19" s="10" t="s">
        <v>132</v>
      </c>
    </row>
    <row r="20" spans="1:12" s="10" customFormat="1">
      <c r="C20" s="87" t="s">
        <v>133</v>
      </c>
      <c r="D20" s="10">
        <v>148</v>
      </c>
      <c r="E20" s="1">
        <v>297</v>
      </c>
      <c r="F20" s="10">
        <v>140</v>
      </c>
      <c r="G20" s="10">
        <v>168</v>
      </c>
      <c r="H20" s="10">
        <v>208</v>
      </c>
      <c r="I20" s="86">
        <f>SUM(D20:H20)</f>
        <v>961</v>
      </c>
      <c r="J20" s="86"/>
      <c r="L20" s="10" t="s">
        <v>159</v>
      </c>
    </row>
    <row r="21" spans="1:12" s="10" customFormat="1">
      <c r="C21" s="87" t="s">
        <v>105</v>
      </c>
      <c r="D21" s="10">
        <v>0.9</v>
      </c>
      <c r="E21" s="1">
        <v>0.7</v>
      </c>
      <c r="F21" s="10">
        <v>0.8</v>
      </c>
      <c r="G21" s="10">
        <v>0.9</v>
      </c>
      <c r="H21" s="10">
        <v>0.9</v>
      </c>
      <c r="I21" s="112">
        <f>SUMPRODUCT(D21:H21,D20:H20)/I20</f>
        <v>0.82362122788761716</v>
      </c>
      <c r="J21" s="86"/>
      <c r="L21" s="10" t="s">
        <v>136</v>
      </c>
    </row>
    <row r="22" spans="1:12" s="10" customFormat="1">
      <c r="C22" s="87" t="s">
        <v>129</v>
      </c>
      <c r="D22" s="10">
        <v>2</v>
      </c>
      <c r="E22" s="10">
        <v>1.2</v>
      </c>
      <c r="F22" s="10">
        <v>1.3</v>
      </c>
      <c r="G22" s="10">
        <v>2</v>
      </c>
      <c r="H22" s="10">
        <v>3</v>
      </c>
      <c r="I22" s="112">
        <f>SUMPRODUCT(D22:H22,D20:H20)/I20</f>
        <v>1.8672216441207077</v>
      </c>
      <c r="J22" s="86"/>
      <c r="L22" s="10" t="s">
        <v>136</v>
      </c>
    </row>
    <row r="23" spans="1:12" s="10" customFormat="1">
      <c r="C23" s="87" t="s">
        <v>140</v>
      </c>
      <c r="D23" s="105">
        <f>D19/D20</f>
        <v>10202.702702702703</v>
      </c>
      <c r="E23" s="105">
        <f>E19/E20</f>
        <v>16171.717171717171</v>
      </c>
      <c r="F23" s="105">
        <f t="shared" ref="F23:H23" si="0">F19/F20</f>
        <v>13721.428571428571</v>
      </c>
      <c r="G23" s="10">
        <f t="shared" si="0"/>
        <v>10964.285714285714</v>
      </c>
      <c r="H23" s="105">
        <f t="shared" si="0"/>
        <v>7956.7307692307695</v>
      </c>
      <c r="I23" s="105">
        <f>I19/I20</f>
        <v>12207.075962539022</v>
      </c>
      <c r="J23" s="4" t="s">
        <v>6</v>
      </c>
      <c r="L23" s="10" t="s">
        <v>131</v>
      </c>
    </row>
    <row r="24" spans="1:12" s="10" customFormat="1">
      <c r="C24" s="87" t="s">
        <v>155</v>
      </c>
      <c r="D24" s="105">
        <f>D19/D20/D21/D22</f>
        <v>5668.1681681681684</v>
      </c>
      <c r="E24" s="105">
        <f>E19/E20/E21/E22</f>
        <v>19252.044252044252</v>
      </c>
      <c r="F24" s="105">
        <f t="shared" ref="F24:H24" si="1">F19/F20/F21/F22</f>
        <v>13193.681318681318</v>
      </c>
      <c r="G24" s="10">
        <f t="shared" si="1"/>
        <v>6091.269841269841</v>
      </c>
      <c r="H24" s="105">
        <f t="shared" si="1"/>
        <v>2946.9373219373224</v>
      </c>
      <c r="I24" s="105">
        <f>I23/I21/I22</f>
        <v>7937.5823260348952</v>
      </c>
      <c r="J24" s="4" t="s">
        <v>6</v>
      </c>
    </row>
    <row r="25" spans="1:12" s="10" customFormat="1" ht="30">
      <c r="C25" s="88" t="s">
        <v>156</v>
      </c>
      <c r="I25" s="107">
        <f>I24*$D$3*$D$4</f>
        <v>8130.6569120230406</v>
      </c>
      <c r="J25" s="132" t="s">
        <v>6</v>
      </c>
      <c r="L25" s="10" t="s">
        <v>130</v>
      </c>
    </row>
    <row r="26" spans="1:12" s="10" customFormat="1">
      <c r="C26" s="87" t="s">
        <v>98</v>
      </c>
      <c r="I26" s="106">
        <f>I25/$D$6</f>
        <v>3613.6252942324627</v>
      </c>
      <c r="J26" s="10" t="s">
        <v>101</v>
      </c>
    </row>
    <row r="27" spans="1:12" s="10" customFormat="1">
      <c r="C27" s="87" t="s">
        <v>184</v>
      </c>
      <c r="I27" s="110">
        <f>I26/$D$3/$D$5</f>
        <v>13.531342778019912</v>
      </c>
      <c r="J27" s="10" t="s">
        <v>101</v>
      </c>
    </row>
    <row r="28" spans="1:12" s="10" customFormat="1">
      <c r="C28" s="87" t="s">
        <v>106</v>
      </c>
      <c r="I28" s="104">
        <f>$D$7*I26</f>
        <v>5420.437941348694</v>
      </c>
      <c r="J28" s="4" t="s">
        <v>6</v>
      </c>
    </row>
    <row r="29" spans="1:12" s="10" customFormat="1">
      <c r="C29" s="87" t="s">
        <v>107</v>
      </c>
      <c r="I29" s="106">
        <f>I25*D14</f>
        <v>35.376318222919217</v>
      </c>
      <c r="J29" s="4" t="s">
        <v>96</v>
      </c>
    </row>
    <row r="30" spans="1:12" s="10" customFormat="1">
      <c r="C30" s="87" t="s">
        <v>108</v>
      </c>
      <c r="I30" s="106">
        <f>I25-I28</f>
        <v>2710.2189706743466</v>
      </c>
      <c r="J30" s="4" t="s">
        <v>6</v>
      </c>
    </row>
    <row r="31" spans="1:12" s="10" customFormat="1" ht="16.149999999999999" customHeight="1">
      <c r="C31" s="5"/>
    </row>
    <row r="32" spans="1:12" s="10" customFormat="1">
      <c r="H32" s="148"/>
      <c r="J32" s="138"/>
      <c r="K32"/>
    </row>
    <row r="33" spans="1:12" s="10" customFormat="1">
      <c r="C33" s="5"/>
    </row>
    <row r="34" spans="1:12">
      <c r="A34" t="s">
        <v>178</v>
      </c>
      <c r="D34" s="88" t="s">
        <v>1</v>
      </c>
      <c r="E34" s="88" t="s">
        <v>146</v>
      </c>
    </row>
    <row r="35" spans="1:12">
      <c r="C35" s="87" t="s">
        <v>184</v>
      </c>
      <c r="D35" s="139">
        <v>16.2</v>
      </c>
      <c r="E35" s="10" t="s">
        <v>5</v>
      </c>
      <c r="F35" s="10"/>
      <c r="I35" s="84"/>
      <c r="L35" s="10" t="s">
        <v>128</v>
      </c>
    </row>
    <row r="36" spans="1:12">
      <c r="C36" s="87" t="s">
        <v>98</v>
      </c>
      <c r="D36" s="106">
        <f>D35*$D$3*$D$5</f>
        <v>4326.3060234981613</v>
      </c>
      <c r="E36" t="s">
        <v>5</v>
      </c>
      <c r="F36" s="10"/>
    </row>
    <row r="37" spans="1:12" s="10" customFormat="1">
      <c r="C37" s="87" t="s">
        <v>140</v>
      </c>
      <c r="D37" s="109">
        <f>$D$6*D36</f>
        <v>9734.1885528708626</v>
      </c>
      <c r="E37" s="4" t="s">
        <v>6</v>
      </c>
      <c r="I37"/>
    </row>
    <row r="38" spans="1:12" s="12" customFormat="1">
      <c r="C38" s="87" t="s">
        <v>141</v>
      </c>
      <c r="D38" s="108">
        <f>$D$7*D36</f>
        <v>6489.4590352472424</v>
      </c>
      <c r="E38" s="4" t="s">
        <v>6</v>
      </c>
      <c r="I38" s="10"/>
    </row>
    <row r="39" spans="1:12" s="12" customFormat="1">
      <c r="C39" s="87" t="s">
        <v>107</v>
      </c>
      <c r="D39" s="105">
        <f>D14*D37</f>
        <v>42.353250864520213</v>
      </c>
      <c r="E39" s="4" t="s">
        <v>96</v>
      </c>
      <c r="F39" s="6"/>
    </row>
    <row r="40" spans="1:12" s="12" customFormat="1">
      <c r="C40" s="87" t="s">
        <v>108</v>
      </c>
      <c r="D40" s="105">
        <f>D37-D38</f>
        <v>3244.7295176236203</v>
      </c>
      <c r="E40" s="4" t="s">
        <v>6</v>
      </c>
      <c r="F40" s="6"/>
    </row>
    <row r="41" spans="1:12">
      <c r="C41" s="5"/>
      <c r="D41" s="10"/>
      <c r="E41" s="4"/>
      <c r="I41" s="12"/>
    </row>
    <row r="42" spans="1:12" s="10" customFormat="1">
      <c r="C42" s="5"/>
      <c r="E42" s="4"/>
      <c r="I42" s="12"/>
    </row>
    <row r="43" spans="1:12">
      <c r="I43" s="10"/>
    </row>
    <row r="44" spans="1:12">
      <c r="A44" t="s">
        <v>134</v>
      </c>
      <c r="D44" s="88" t="s">
        <v>145</v>
      </c>
      <c r="E44" s="87" t="s">
        <v>143</v>
      </c>
      <c r="F44" s="87" t="s">
        <v>144</v>
      </c>
      <c r="G44" s="87" t="s">
        <v>146</v>
      </c>
    </row>
    <row r="45" spans="1:12">
      <c r="C45" s="87" t="s">
        <v>99</v>
      </c>
      <c r="D45">
        <f>E45+F45</f>
        <v>258000</v>
      </c>
      <c r="E45">
        <v>115000</v>
      </c>
      <c r="F45">
        <v>143000</v>
      </c>
      <c r="G45" t="s">
        <v>6</v>
      </c>
      <c r="L45" t="s">
        <v>126</v>
      </c>
    </row>
    <row r="46" spans="1:12">
      <c r="C46" s="87" t="s">
        <v>133</v>
      </c>
      <c r="D46" s="10">
        <f>E46+F46</f>
        <v>59</v>
      </c>
      <c r="E46">
        <v>25</v>
      </c>
      <c r="F46">
        <v>34</v>
      </c>
      <c r="L46" s="10" t="s">
        <v>127</v>
      </c>
    </row>
    <row r="47" spans="1:12">
      <c r="C47" s="87" t="s">
        <v>140</v>
      </c>
      <c r="D47" s="107">
        <f>D45/D46</f>
        <v>4372.8813559322034</v>
      </c>
      <c r="G47" s="4" t="s">
        <v>6</v>
      </c>
    </row>
    <row r="48" spans="1:12">
      <c r="C48" s="87" t="s">
        <v>98</v>
      </c>
      <c r="D48" s="105">
        <f>D47/2.25</f>
        <v>1943.5028248587571</v>
      </c>
      <c r="G48" s="4" t="s">
        <v>5</v>
      </c>
    </row>
    <row r="49" spans="3:20" s="10" customFormat="1">
      <c r="C49" s="87" t="s">
        <v>187</v>
      </c>
      <c r="D49" s="173">
        <f>55*40/10</f>
        <v>220</v>
      </c>
      <c r="G49" s="4" t="s">
        <v>3</v>
      </c>
      <c r="L49" s="10" t="s">
        <v>175</v>
      </c>
      <c r="T49" s="162"/>
    </row>
    <row r="50" spans="3:20" s="10" customFormat="1">
      <c r="C50" s="87" t="s">
        <v>173</v>
      </c>
      <c r="D50" s="110">
        <f>D48/D49</f>
        <v>8.8341037493579861</v>
      </c>
      <c r="G50" s="4" t="s">
        <v>5</v>
      </c>
    </row>
    <row r="51" spans="3:20">
      <c r="C51" s="87" t="s">
        <v>141</v>
      </c>
      <c r="D51" s="108">
        <f>$D$7*D48</f>
        <v>2915.2542372881358</v>
      </c>
      <c r="G51" s="4" t="s">
        <v>6</v>
      </c>
    </row>
    <row r="52" spans="3:20">
      <c r="C52" s="87" t="s">
        <v>107</v>
      </c>
      <c r="D52" s="105">
        <f>D47*D15</f>
        <v>18.728524499038549</v>
      </c>
      <c r="G52" s="4" t="s">
        <v>157</v>
      </c>
    </row>
    <row r="53" spans="3:20">
      <c r="C53" s="87" t="s">
        <v>108</v>
      </c>
      <c r="D53" s="105">
        <f>D47-D51</f>
        <v>1457.6271186440677</v>
      </c>
      <c r="G53" s="4" t="s">
        <v>158</v>
      </c>
    </row>
    <row r="54" spans="3:20" s="10" customFormat="1">
      <c r="G54" s="138"/>
      <c r="I54"/>
    </row>
    <row r="55" spans="3:20" s="10" customFormat="1">
      <c r="D55" s="105"/>
      <c r="G55" s="4"/>
    </row>
    <row r="56" spans="3:20">
      <c r="C56" s="5"/>
      <c r="D56" s="10"/>
      <c r="E56" s="4"/>
      <c r="I56" s="10"/>
    </row>
    <row r="57" spans="3:20" s="10" customFormat="1" ht="90.75" thickBot="1">
      <c r="C57" s="189" t="s">
        <v>203</v>
      </c>
      <c r="D57" s="88" t="s">
        <v>151</v>
      </c>
      <c r="E57" s="88" t="s">
        <v>152</v>
      </c>
      <c r="F57" s="88" t="s">
        <v>153</v>
      </c>
      <c r="I57"/>
    </row>
    <row r="58" spans="3:20" s="10" customFormat="1">
      <c r="C58" s="87" t="s">
        <v>200</v>
      </c>
      <c r="D58" s="91">
        <f>I25</f>
        <v>8130.6569120230406</v>
      </c>
      <c r="E58" s="95">
        <f>D58*$D$7/$D$6</f>
        <v>5420.4379413486931</v>
      </c>
      <c r="F58" s="90">
        <f>D58-E58</f>
        <v>2710.2189706743475</v>
      </c>
      <c r="H58" s="157"/>
      <c r="I58" s="157"/>
      <c r="J58"/>
    </row>
    <row r="59" spans="3:20" s="10" customFormat="1">
      <c r="C59" s="87" t="s">
        <v>201</v>
      </c>
      <c r="D59" s="91">
        <f>D37</f>
        <v>9734.1885528708626</v>
      </c>
      <c r="E59" s="185">
        <f>D59*$D$7/$D$6</f>
        <v>6489.4590352472414</v>
      </c>
      <c r="F59" s="92">
        <f t="shared" ref="F59:F61" si="2">D59-E59</f>
        <v>3244.7295176236212</v>
      </c>
      <c r="H59"/>
      <c r="I59"/>
      <c r="J59"/>
    </row>
    <row r="60" spans="3:20" s="10" customFormat="1">
      <c r="C60" s="87" t="s">
        <v>202</v>
      </c>
      <c r="D60" s="91">
        <f>AVERAGE(D58:D59)</f>
        <v>8932.4227324469521</v>
      </c>
      <c r="E60" s="98">
        <f>AVERAGE(E58:E59)</f>
        <v>5954.9484882979668</v>
      </c>
      <c r="F60" s="190">
        <f t="shared" si="2"/>
        <v>2977.4742441489852</v>
      </c>
    </row>
    <row r="61" spans="3:20" s="10" customFormat="1" ht="15.75" thickBot="1">
      <c r="C61" s="87" t="s">
        <v>147</v>
      </c>
      <c r="D61" s="93">
        <f>D47</f>
        <v>4372.8813559322034</v>
      </c>
      <c r="E61" s="89">
        <f t="shared" ref="E61" si="3">D61*$D$7/$D$6</f>
        <v>2915.2542372881353</v>
      </c>
      <c r="F61" s="191">
        <f t="shared" si="2"/>
        <v>1457.6271186440681</v>
      </c>
      <c r="H61"/>
      <c r="I61"/>
      <c r="J61"/>
    </row>
    <row r="62" spans="3:20" s="10" customFormat="1">
      <c r="C62" s="96"/>
      <c r="H62"/>
      <c r="I62"/>
      <c r="J62"/>
    </row>
    <row r="63" spans="3:20" s="10" customFormat="1" ht="75.75" thickBot="1">
      <c r="C63" s="189" t="s">
        <v>204</v>
      </c>
      <c r="D63" s="88" t="s">
        <v>148</v>
      </c>
      <c r="E63" s="88" t="s">
        <v>149</v>
      </c>
      <c r="F63" s="88" t="s">
        <v>150</v>
      </c>
    </row>
    <row r="64" spans="3:20" s="10" customFormat="1">
      <c r="C64" s="87" t="s">
        <v>200</v>
      </c>
      <c r="D64" s="176">
        <f>I29</f>
        <v>35.376318222919217</v>
      </c>
      <c r="E64" s="177">
        <f>D64*$D$7/$D$6</f>
        <v>23.58421214861281</v>
      </c>
      <c r="F64" s="178">
        <f>D64-E64</f>
        <v>11.792106074306407</v>
      </c>
      <c r="G64" s="105"/>
      <c r="H64" s="157"/>
      <c r="I64" s="157"/>
    </row>
    <row r="65" spans="1:9" s="10" customFormat="1">
      <c r="C65" s="87" t="s">
        <v>201</v>
      </c>
      <c r="D65" s="101">
        <f>D39</f>
        <v>42.353250864520213</v>
      </c>
      <c r="E65" s="186">
        <f>D65*$D$7/$D$6</f>
        <v>28.235500576346809</v>
      </c>
      <c r="F65" s="102">
        <f>D65-E65</f>
        <v>14.117750288173404</v>
      </c>
    </row>
    <row r="66" spans="1:9" s="10" customFormat="1">
      <c r="C66" s="87" t="s">
        <v>202</v>
      </c>
      <c r="D66" s="184">
        <f>AVERAGE(D64:D65)</f>
        <v>38.864784543719715</v>
      </c>
      <c r="E66" s="136">
        <f>AVERAGE(E64:E65)</f>
        <v>25.909856362479808</v>
      </c>
      <c r="F66" s="187">
        <f>D66-E66</f>
        <v>12.954928181239907</v>
      </c>
    </row>
    <row r="67" spans="1:9" s="10" customFormat="1" ht="15.75" thickBot="1">
      <c r="C67" s="87" t="s">
        <v>147</v>
      </c>
      <c r="D67" s="179">
        <f>D52</f>
        <v>18.728524499038549</v>
      </c>
      <c r="E67" s="137">
        <f>D67*$D$7/$D$6</f>
        <v>12.485682999359033</v>
      </c>
      <c r="F67" s="188">
        <f>D67-E67</f>
        <v>6.2428414996795158</v>
      </c>
    </row>
    <row r="68" spans="1:9">
      <c r="I68" s="10"/>
    </row>
    <row r="70" spans="1:9" s="1" customFormat="1"/>
    <row r="71" spans="1:9" s="1" customFormat="1">
      <c r="A71" s="85" t="s">
        <v>121</v>
      </c>
    </row>
    <row r="72" spans="1:9" s="1" customFormat="1"/>
    <row r="73" spans="1:9">
      <c r="I73" s="1"/>
    </row>
    <row r="84" spans="1:3" s="10" customFormat="1">
      <c r="C84" t="s">
        <v>176</v>
      </c>
    </row>
    <row r="85" spans="1:3">
      <c r="A85" s="85" t="s">
        <v>120</v>
      </c>
    </row>
    <row r="86" spans="1:3" s="10" customFormat="1">
      <c r="A86" s="85"/>
    </row>
    <row r="87" spans="1:3" s="10" customFormat="1"/>
    <row r="170" spans="2:2">
      <c r="B170" s="85"/>
    </row>
  </sheetData>
  <pageMargins left="0.7" right="0.7" top="0.75" bottom="0.75" header="0.3" footer="0.3"/>
  <pageSetup orientation="portrait" r:id="rId1"/>
  <ignoredErrors>
    <ignoredError sqref="E58:F58" evalError="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topLeftCell="A7" zoomScale="90" zoomScaleNormal="90" workbookViewId="0">
      <selection activeCell="C26" sqref="C26:E34"/>
    </sheetView>
  </sheetViews>
  <sheetFormatPr defaultRowHeight="15"/>
  <cols>
    <col min="1" max="1" width="15.7109375" customWidth="1"/>
    <col min="2" max="2" width="13.140625" customWidth="1"/>
    <col min="3" max="3" width="13.7109375" customWidth="1"/>
    <col min="4" max="4" width="13.5703125" customWidth="1"/>
    <col min="5" max="5" width="13.85546875" customWidth="1"/>
    <col min="7" max="7" width="14.7109375" bestFit="1" customWidth="1"/>
    <col min="8" max="8" width="13.7109375" customWidth="1"/>
    <col min="9" max="9" width="13.42578125" customWidth="1"/>
    <col min="10" max="10" width="14" customWidth="1"/>
    <col min="11" max="11" width="14.28515625" customWidth="1"/>
  </cols>
  <sheetData>
    <row r="1" spans="1:11" s="10" customFormat="1" ht="8.65" customHeight="1"/>
    <row r="2" spans="1:11" s="147" customFormat="1" ht="22.9" customHeight="1">
      <c r="A2" s="145"/>
      <c r="B2" s="146" t="s">
        <v>169</v>
      </c>
      <c r="C2" s="159">
        <v>2.25</v>
      </c>
      <c r="D2" s="158">
        <v>1.5</v>
      </c>
      <c r="E2" s="145" t="s">
        <v>174</v>
      </c>
      <c r="G2" s="145"/>
      <c r="H2" s="146" t="s">
        <v>170</v>
      </c>
      <c r="I2" s="158">
        <v>1.8</v>
      </c>
      <c r="J2" s="158">
        <v>1.5</v>
      </c>
      <c r="K2" s="145" t="s">
        <v>174</v>
      </c>
    </row>
    <row r="3" spans="1:11" ht="13.5" customHeight="1" thickBot="1"/>
    <row r="4" spans="1:11" ht="87.4" customHeight="1" thickTop="1">
      <c r="A4" s="118"/>
      <c r="B4" s="119" t="s">
        <v>167</v>
      </c>
      <c r="C4" s="119" t="s">
        <v>189</v>
      </c>
      <c r="D4" s="119" t="s">
        <v>190</v>
      </c>
      <c r="E4" s="120" t="s">
        <v>191</v>
      </c>
      <c r="G4" s="118"/>
      <c r="H4" s="119" t="s">
        <v>167</v>
      </c>
      <c r="I4" s="119" t="s">
        <v>189</v>
      </c>
      <c r="J4" s="119" t="s">
        <v>190</v>
      </c>
      <c r="K4" s="120" t="s">
        <v>191</v>
      </c>
    </row>
    <row r="5" spans="1:11">
      <c r="A5" s="163" t="s">
        <v>183</v>
      </c>
      <c r="B5" s="114" t="s">
        <v>168</v>
      </c>
      <c r="C5" s="114">
        <f>C2*'Showerhead Calculations'!$D$3*'Showerhead Calculations'!$D$5*('Showerhead Calculations'!$D$35+'Showerhead Calculations'!$I$27)/2</f>
        <v>8932.4227324469521</v>
      </c>
      <c r="D5" s="114">
        <f>C5*D2/C2</f>
        <v>5954.9484882979677</v>
      </c>
      <c r="E5" s="122">
        <f t="shared" ref="E5:E6" si="0">C5-D5</f>
        <v>2977.4742441489843</v>
      </c>
      <c r="G5" s="163" t="s">
        <v>183</v>
      </c>
      <c r="H5" s="114" t="s">
        <v>168</v>
      </c>
      <c r="I5" s="114">
        <f>I2*'Showerhead Calculations'!$D$3*'Showerhead Calculations'!$D$5*('Showerhead Calculations'!$D$35+'Showerhead Calculations'!$I$27)/2</f>
        <v>7145.9381859575615</v>
      </c>
      <c r="J5" s="114">
        <f>I5*J2/I2</f>
        <v>5954.9484882979677</v>
      </c>
      <c r="K5" s="122">
        <f t="shared" ref="K5:K6" si="1">I5-J5</f>
        <v>1190.9896976595937</v>
      </c>
    </row>
    <row r="6" spans="1:11" ht="15.75" thickBot="1">
      <c r="A6" s="123" t="s">
        <v>147</v>
      </c>
      <c r="B6" s="124" t="s">
        <v>168</v>
      </c>
      <c r="C6" s="124">
        <f>C2*'Showerhead Calculations'!$D$50*'Showerhead Calculations'!$D$49</f>
        <v>4372.8813559322025</v>
      </c>
      <c r="D6" s="124">
        <f>C6*D2/C2</f>
        <v>2915.2542372881348</v>
      </c>
      <c r="E6" s="125">
        <f t="shared" si="0"/>
        <v>1457.6271186440677</v>
      </c>
      <c r="G6" s="123" t="s">
        <v>147</v>
      </c>
      <c r="H6" s="124" t="s">
        <v>168</v>
      </c>
      <c r="I6" s="124">
        <f>I2*'Showerhead Calculations'!$D$50*'Showerhead Calculations'!$D$49</f>
        <v>3498.3050847457625</v>
      </c>
      <c r="J6" s="124">
        <f>I6*J2/I2</f>
        <v>2915.2542372881353</v>
      </c>
      <c r="K6" s="125">
        <f t="shared" si="1"/>
        <v>583.05084745762724</v>
      </c>
    </row>
    <row r="7" spans="1:11" s="10" customFormat="1" ht="15.75" thickTop="1">
      <c r="A7" s="117"/>
      <c r="B7" s="117"/>
      <c r="C7" s="117"/>
      <c r="D7" s="117"/>
      <c r="E7" s="117"/>
    </row>
    <row r="8" spans="1:11" ht="7.15" customHeight="1" thickBot="1">
      <c r="A8" s="96"/>
      <c r="B8" s="10"/>
      <c r="C8" s="10"/>
      <c r="E8" s="10"/>
      <c r="G8" s="96"/>
      <c r="H8" s="10"/>
      <c r="I8" s="10"/>
      <c r="J8" s="10"/>
      <c r="K8" s="10"/>
    </row>
    <row r="9" spans="1:11" ht="76.900000000000006" customHeight="1" thickTop="1">
      <c r="A9" s="118"/>
      <c r="B9" s="119" t="s">
        <v>167</v>
      </c>
      <c r="C9" s="119" t="s">
        <v>148</v>
      </c>
      <c r="D9" s="119" t="s">
        <v>149</v>
      </c>
      <c r="E9" s="120" t="s">
        <v>150</v>
      </c>
      <c r="G9" s="118"/>
      <c r="H9" s="119" t="s">
        <v>167</v>
      </c>
      <c r="I9" s="119" t="s">
        <v>148</v>
      </c>
      <c r="J9" s="119" t="s">
        <v>149</v>
      </c>
      <c r="K9" s="120" t="s">
        <v>150</v>
      </c>
    </row>
    <row r="10" spans="1:11" ht="15.75" thickBot="1">
      <c r="A10" s="131" t="s">
        <v>183</v>
      </c>
      <c r="B10" s="101" t="s">
        <v>64</v>
      </c>
      <c r="C10" s="97">
        <f>$C$5*'Showerhead Calculations'!$D$11*'Showerhead Calculations'!$D$12*('Showerhead Calculations'!$D$8-'Water Temperatures'!$B3)/'Showerhead Calculations'!$D$13/100000</f>
        <v>50.177083071839633</v>
      </c>
      <c r="D10" s="115">
        <f>$D$5*'Showerhead Calculations'!$D$11*'Showerhead Calculations'!$D$12*('Showerhead Calculations'!$D$8-'Water Temperatures'!$B3)/'Showerhead Calculations'!$D$13/100000</f>
        <v>33.451388714559755</v>
      </c>
      <c r="E10" s="126">
        <f>C10-D10</f>
        <v>16.725694357279878</v>
      </c>
      <c r="G10" s="131" t="s">
        <v>183</v>
      </c>
      <c r="H10" s="101" t="s">
        <v>64</v>
      </c>
      <c r="I10" s="97">
        <f>$I$5*'Showerhead Calculations'!$D$11*'Showerhead Calculations'!$D$12*('Showerhead Calculations'!$D$8-'Water Temperatures'!$B3)/'Showerhead Calculations'!$D$13/100000</f>
        <v>40.1416664574717</v>
      </c>
      <c r="J10" s="115">
        <f>$J$5*'Showerhead Calculations'!$D$11*'Showerhead Calculations'!$D$12*('Showerhead Calculations'!$D$8-'Water Temperatures'!$B3)/'Showerhead Calculations'!$D$13/100000</f>
        <v>33.451388714559755</v>
      </c>
      <c r="K10" s="126">
        <f>I10-J10</f>
        <v>6.6902777429119453</v>
      </c>
    </row>
    <row r="11" spans="1:11" ht="15.75" thickBot="1">
      <c r="A11" s="131" t="s">
        <v>183</v>
      </c>
      <c r="B11" s="101" t="s">
        <v>76</v>
      </c>
      <c r="C11" s="97">
        <f>$C$5*'Showerhead Calculations'!$D$11*'Showerhead Calculations'!$D$12*('Showerhead Calculations'!$D$8-'Water Temperatures'!$B4)/'Showerhead Calculations'!$D$13/100000</f>
        <v>44.64424881676986</v>
      </c>
      <c r="D11" s="115">
        <f>$D$5*'Showerhead Calculations'!$D$11*'Showerhead Calculations'!$D$12*('Showerhead Calculations'!$D$8-'Water Temperatures'!$B4)/'Showerhead Calculations'!$D$13/100000</f>
        <v>29.762832544513241</v>
      </c>
      <c r="E11" s="126">
        <f t="shared" ref="E11:E25" si="2">C11-D11</f>
        <v>14.881416272256619</v>
      </c>
      <c r="G11" s="131" t="s">
        <v>183</v>
      </c>
      <c r="H11" s="101" t="s">
        <v>76</v>
      </c>
      <c r="I11" s="97">
        <f>$I$5*'Showerhead Calculations'!$D$11*'Showerhead Calculations'!$D$12*('Showerhead Calculations'!$D$8-'Water Temperatures'!$B4)/'Showerhead Calculations'!$D$13/100000</f>
        <v>35.715399053415894</v>
      </c>
      <c r="J11" s="115">
        <f>$J$5*'Showerhead Calculations'!$D$11*'Showerhead Calculations'!$D$12*('Showerhead Calculations'!$D$8-'Water Temperatures'!$B4)/'Showerhead Calculations'!$D$13/100000</f>
        <v>29.762832544513241</v>
      </c>
      <c r="K11" s="126">
        <f t="shared" ref="K11:K25" si="3">I11-J11</f>
        <v>5.9525665089026525</v>
      </c>
    </row>
    <row r="12" spans="1:11" ht="15.75" thickBot="1">
      <c r="A12" s="131" t="s">
        <v>183</v>
      </c>
      <c r="B12" s="101" t="s">
        <v>77</v>
      </c>
      <c r="C12" s="97">
        <f>$C$5*'Showerhead Calculations'!$D$11*'Showerhead Calculations'!$D$12*('Showerhead Calculations'!$D$8-'Water Temperatures'!$B5)/'Showerhead Calculations'!$D$13/100000</f>
        <v>44.835036204875713</v>
      </c>
      <c r="D12" s="115">
        <f>$D$5*'Showerhead Calculations'!$D$11*'Showerhead Calculations'!$D$12*('Showerhead Calculations'!$D$8-'Water Temperatures'!$B5)/'Showerhead Calculations'!$D$13/100000</f>
        <v>29.890024136583815</v>
      </c>
      <c r="E12" s="126">
        <f t="shared" si="2"/>
        <v>14.945012068291899</v>
      </c>
      <c r="G12" s="131" t="s">
        <v>183</v>
      </c>
      <c r="H12" s="101" t="s">
        <v>77</v>
      </c>
      <c r="I12" s="97">
        <f>$I$5*'Showerhead Calculations'!$D$11*'Showerhead Calculations'!$D$12*('Showerhead Calculations'!$D$8-'Water Temperatures'!$B5)/'Showerhead Calculations'!$D$13/100000</f>
        <v>35.868028963900578</v>
      </c>
      <c r="J12" s="115">
        <f>$J$5*'Showerhead Calculations'!$D$11*'Showerhead Calculations'!$D$12*('Showerhead Calculations'!$D$8-'Water Temperatures'!$B5)/'Showerhead Calculations'!$D$13/100000</f>
        <v>29.890024136583815</v>
      </c>
      <c r="K12" s="126">
        <f t="shared" si="3"/>
        <v>5.978004827316763</v>
      </c>
    </row>
    <row r="13" spans="1:11" ht="15.75" thickBot="1">
      <c r="A13" s="131" t="s">
        <v>183</v>
      </c>
      <c r="B13" s="101" t="s">
        <v>78</v>
      </c>
      <c r="C13" s="97">
        <f>$C$5*'Showerhead Calculations'!$D$11*'Showerhead Calculations'!$D$12*('Showerhead Calculations'!$D$8-'Water Temperatures'!$B6)/'Showerhead Calculations'!$D$13/100000</f>
        <v>42.545587547605479</v>
      </c>
      <c r="D13" s="115">
        <f>$D$5*'Showerhead Calculations'!$D$11*'Showerhead Calculations'!$D$12*('Showerhead Calculations'!$D$8-'Water Temperatures'!$B6)/'Showerhead Calculations'!$D$13/100000</f>
        <v>28.363725031736983</v>
      </c>
      <c r="E13" s="126">
        <f t="shared" si="2"/>
        <v>14.181862515868495</v>
      </c>
      <c r="G13" s="131" t="s">
        <v>183</v>
      </c>
      <c r="H13" s="101" t="s">
        <v>78</v>
      </c>
      <c r="I13" s="97">
        <f>$I$5*'Showerhead Calculations'!$D$11*'Showerhead Calculations'!$D$12*('Showerhead Calculations'!$D$8-'Water Temperatures'!$B6)/'Showerhead Calculations'!$D$13/100000</f>
        <v>34.036470038084381</v>
      </c>
      <c r="J13" s="115">
        <f>$J$5*'Showerhead Calculations'!$D$11*'Showerhead Calculations'!$D$12*('Showerhead Calculations'!$D$8-'Water Temperatures'!$B6)/'Showerhead Calculations'!$D$13/100000</f>
        <v>28.363725031736983</v>
      </c>
      <c r="K13" s="126">
        <f t="shared" si="3"/>
        <v>5.6727450063473981</v>
      </c>
    </row>
    <row r="14" spans="1:11" ht="15.75" thickBot="1">
      <c r="A14" s="131" t="s">
        <v>183</v>
      </c>
      <c r="B14" s="101" t="s">
        <v>79</v>
      </c>
      <c r="C14" s="97">
        <f>$C$5*'Showerhead Calculations'!$D$11*'Showerhead Calculations'!$D$12*('Showerhead Calculations'!$D$8-'Water Temperatures'!$B7)/'Showerhead Calculations'!$D$13/100000</f>
        <v>45.979760533510849</v>
      </c>
      <c r="D14" s="115">
        <f>$D$5*'Showerhead Calculations'!$D$11*'Showerhead Calculations'!$D$12*('Showerhead Calculations'!$D$8-'Water Temperatures'!$B7)/'Showerhead Calculations'!$D$13/100000</f>
        <v>30.653173689007232</v>
      </c>
      <c r="E14" s="126">
        <f t="shared" si="2"/>
        <v>15.326586844503616</v>
      </c>
      <c r="G14" s="131" t="s">
        <v>183</v>
      </c>
      <c r="H14" s="101" t="s">
        <v>79</v>
      </c>
      <c r="I14" s="97">
        <f>$I$5*'Showerhead Calculations'!$D$11*'Showerhead Calculations'!$D$12*('Showerhead Calculations'!$D$8-'Water Temperatures'!$B7)/'Showerhead Calculations'!$D$13/100000</f>
        <v>36.783808426808676</v>
      </c>
      <c r="J14" s="115">
        <f>$J$5*'Showerhead Calculations'!$D$11*'Showerhead Calculations'!$D$12*('Showerhead Calculations'!$D$8-'Water Temperatures'!$B7)/'Showerhead Calculations'!$D$13/100000</f>
        <v>30.653173689007232</v>
      </c>
      <c r="K14" s="126">
        <f t="shared" si="3"/>
        <v>6.1306347378014436</v>
      </c>
    </row>
    <row r="15" spans="1:11" ht="15.75" thickBot="1">
      <c r="A15" s="131" t="s">
        <v>183</v>
      </c>
      <c r="B15" s="101" t="s">
        <v>80</v>
      </c>
      <c r="C15" s="97">
        <f>$C$5*'Showerhead Calculations'!$D$11*'Showerhead Calculations'!$D$12*('Showerhead Calculations'!$D$8-'Water Temperatures'!$B8)/'Showerhead Calculations'!$D$13/100000</f>
        <v>40.351532584388139</v>
      </c>
      <c r="D15" s="115">
        <f>$D$5*'Showerhead Calculations'!$D$11*'Showerhead Calculations'!$D$12*('Showerhead Calculations'!$D$8-'Water Temperatures'!$B8)/'Showerhead Calculations'!$D$13/100000</f>
        <v>26.901021722925432</v>
      </c>
      <c r="E15" s="126">
        <f t="shared" si="2"/>
        <v>13.450510861462707</v>
      </c>
      <c r="G15" s="131" t="s">
        <v>183</v>
      </c>
      <c r="H15" s="101" t="s">
        <v>80</v>
      </c>
      <c r="I15" s="97">
        <f>$I$5*'Showerhead Calculations'!$D$11*'Showerhead Calculations'!$D$12*('Showerhead Calculations'!$D$8-'Water Temperatures'!$B8)/'Showerhead Calculations'!$D$13/100000</f>
        <v>32.281226067510516</v>
      </c>
      <c r="J15" s="115">
        <f>$J$5*'Showerhead Calculations'!$D$11*'Showerhead Calculations'!$D$12*('Showerhead Calculations'!$D$8-'Water Temperatures'!$B8)/'Showerhead Calculations'!$D$13/100000</f>
        <v>26.901021722925432</v>
      </c>
      <c r="K15" s="126">
        <f t="shared" si="3"/>
        <v>5.3802043445850849</v>
      </c>
    </row>
    <row r="16" spans="1:11" ht="15.75" thickBot="1">
      <c r="A16" s="131" t="s">
        <v>183</v>
      </c>
      <c r="B16" s="101" t="s">
        <v>81</v>
      </c>
      <c r="C16" s="97">
        <f>$C$5*'Showerhead Calculations'!$D$11*'Showerhead Calculations'!$D$12*('Showerhead Calculations'!$D$8-'Water Temperatures'!$B9)/'Showerhead Calculations'!$D$13/100000</f>
        <v>39.588383031964732</v>
      </c>
      <c r="D16" s="115">
        <f>$D$5*'Showerhead Calculations'!$D$11*'Showerhead Calculations'!$D$12*('Showerhead Calculations'!$D$8-'Water Temperatures'!$B9)/'Showerhead Calculations'!$D$13/100000</f>
        <v>26.392255354643151</v>
      </c>
      <c r="E16" s="126">
        <f t="shared" si="2"/>
        <v>13.196127677321581</v>
      </c>
      <c r="G16" s="131" t="s">
        <v>183</v>
      </c>
      <c r="H16" s="101" t="s">
        <v>81</v>
      </c>
      <c r="I16" s="97">
        <f>$I$5*'Showerhead Calculations'!$D$11*'Showerhead Calculations'!$D$12*('Showerhead Calculations'!$D$8-'Water Temperatures'!$B9)/'Showerhead Calculations'!$D$13/100000</f>
        <v>31.670706425571783</v>
      </c>
      <c r="J16" s="115">
        <f>$J$5*'Showerhead Calculations'!$D$11*'Showerhead Calculations'!$D$12*('Showerhead Calculations'!$D$8-'Water Temperatures'!$B9)/'Showerhead Calculations'!$D$13/100000</f>
        <v>26.392255354643151</v>
      </c>
      <c r="K16" s="126">
        <f t="shared" si="3"/>
        <v>5.2784510709286323</v>
      </c>
    </row>
    <row r="17" spans="1:11" ht="15.75" thickBot="1">
      <c r="A17" s="131" t="s">
        <v>183</v>
      </c>
      <c r="B17" s="101" t="s">
        <v>82</v>
      </c>
      <c r="C17" s="97">
        <f>$C$5*'Showerhead Calculations'!$D$11*'Showerhead Calculations'!$D$12*('Showerhead Calculations'!$D$8-'Water Temperatures'!$B10)/'Showerhead Calculations'!$D$13/100000</f>
        <v>38.443658703329604</v>
      </c>
      <c r="D17" s="115">
        <f>$D$5*'Showerhead Calculations'!$D$11*'Showerhead Calculations'!$D$12*('Showerhead Calculations'!$D$8-'Water Temperatures'!$B10)/'Showerhead Calculations'!$D$13/100000</f>
        <v>25.629105802219737</v>
      </c>
      <c r="E17" s="126">
        <f t="shared" si="2"/>
        <v>12.814552901109867</v>
      </c>
      <c r="G17" s="131" t="s">
        <v>183</v>
      </c>
      <c r="H17" s="101" t="s">
        <v>82</v>
      </c>
      <c r="I17" s="97">
        <f>$I$5*'Showerhead Calculations'!$D$11*'Showerhead Calculations'!$D$12*('Showerhead Calculations'!$D$8-'Water Temperatures'!$B10)/'Showerhead Calculations'!$D$13/100000</f>
        <v>30.754926962663681</v>
      </c>
      <c r="J17" s="115">
        <f>$J$5*'Showerhead Calculations'!$D$11*'Showerhead Calculations'!$D$12*('Showerhead Calculations'!$D$8-'Water Temperatures'!$B10)/'Showerhead Calculations'!$D$13/100000</f>
        <v>25.629105802219737</v>
      </c>
      <c r="K17" s="126">
        <f t="shared" si="3"/>
        <v>5.1258211604439445</v>
      </c>
    </row>
    <row r="18" spans="1:11" ht="15.75" thickBot="1">
      <c r="A18" s="131" t="s">
        <v>183</v>
      </c>
      <c r="B18" s="101" t="s">
        <v>83</v>
      </c>
      <c r="C18" s="97">
        <f>$C$5*'Showerhead Calculations'!$D$11*'Showerhead Calculations'!$D$12*('Showerhead Calculations'!$D$8-'Water Temperatures'!$B11)/'Showerhead Calculations'!$D$13/100000</f>
        <v>38.443658703329604</v>
      </c>
      <c r="D18" s="115">
        <f>$D$5*'Showerhead Calculations'!$D$11*'Showerhead Calculations'!$D$12*('Showerhead Calculations'!$D$8-'Water Temperatures'!$B11)/'Showerhead Calculations'!$D$13/100000</f>
        <v>25.629105802219737</v>
      </c>
      <c r="E18" s="150">
        <f t="shared" si="2"/>
        <v>12.814552901109867</v>
      </c>
      <c r="G18" s="131" t="s">
        <v>183</v>
      </c>
      <c r="H18" s="101" t="s">
        <v>83</v>
      </c>
      <c r="I18" s="97">
        <f>$I$5*'Showerhead Calculations'!$D$11*'Showerhead Calculations'!$D$12*('Showerhead Calculations'!$D$8-'Water Temperatures'!$B11)/'Showerhead Calculations'!$D$13/100000</f>
        <v>30.754926962663681</v>
      </c>
      <c r="J18" s="115">
        <f>$J$5*'Showerhead Calculations'!$D$11*'Showerhead Calculations'!$D$12*('Showerhead Calculations'!$D$8-'Water Temperatures'!$B11)/'Showerhead Calculations'!$D$13/100000</f>
        <v>25.629105802219737</v>
      </c>
      <c r="K18" s="126">
        <f t="shared" si="3"/>
        <v>5.1258211604439445</v>
      </c>
    </row>
    <row r="19" spans="1:11" ht="15.75" thickBot="1">
      <c r="A19" s="131" t="s">
        <v>183</v>
      </c>
      <c r="B19" s="101" t="s">
        <v>84</v>
      </c>
      <c r="C19" s="97">
        <f>$C$5*'Showerhead Calculations'!$D$11*'Showerhead Calculations'!$D$12*('Showerhead Calculations'!$D$8-'Water Temperatures'!$B12)/'Showerhead Calculations'!$D$13/100000</f>
        <v>38.15747762117082</v>
      </c>
      <c r="D19" s="115">
        <f>$D$5*'Showerhead Calculations'!$D$11*'Showerhead Calculations'!$D$12*('Showerhead Calculations'!$D$8-'Water Temperatures'!$B12)/'Showerhead Calculations'!$D$13/100000</f>
        <v>25.438318414113883</v>
      </c>
      <c r="E19" s="126">
        <f t="shared" si="2"/>
        <v>12.719159207056936</v>
      </c>
      <c r="G19" s="131" t="s">
        <v>183</v>
      </c>
      <c r="H19" s="101" t="s">
        <v>84</v>
      </c>
      <c r="I19" s="97">
        <f>$I$5*'Showerhead Calculations'!$D$11*'Showerhead Calculations'!$D$12*('Showerhead Calculations'!$D$8-'Water Temperatures'!$B12)/'Showerhead Calculations'!$D$13/100000</f>
        <v>30.525982096936662</v>
      </c>
      <c r="J19" s="115">
        <f>$J$5*'Showerhead Calculations'!$D$11*'Showerhead Calculations'!$D$12*('Showerhead Calculations'!$D$8-'Water Temperatures'!$B12)/'Showerhead Calculations'!$D$13/100000</f>
        <v>25.438318414113883</v>
      </c>
      <c r="K19" s="126">
        <f t="shared" si="3"/>
        <v>5.0876636828227788</v>
      </c>
    </row>
    <row r="20" spans="1:11" ht="15.75" thickBot="1">
      <c r="A20" s="131" t="s">
        <v>183</v>
      </c>
      <c r="B20" s="101" t="s">
        <v>85</v>
      </c>
      <c r="C20" s="97">
        <f>$C$5*'Showerhead Calculations'!$D$11*'Showerhead Calculations'!$D$12*('Showerhead Calculations'!$D$8-'Water Temperatures'!$B13)/'Showerhead Calculations'!$D$13/100000</f>
        <v>39.302201949805955</v>
      </c>
      <c r="D20" s="115">
        <f>$D$5*'Showerhead Calculations'!$D$11*'Showerhead Calculations'!$D$12*('Showerhead Calculations'!$D$8-'Water Temperatures'!$B13)/'Showerhead Calculations'!$D$13/100000</f>
        <v>26.201467966537297</v>
      </c>
      <c r="E20" s="126">
        <f t="shared" si="2"/>
        <v>13.100733983268658</v>
      </c>
      <c r="G20" s="131" t="s">
        <v>183</v>
      </c>
      <c r="H20" s="101" t="s">
        <v>85</v>
      </c>
      <c r="I20" s="97">
        <f>$I$5*'Showerhead Calculations'!$D$11*'Showerhead Calculations'!$D$12*('Showerhead Calculations'!$D$8-'Water Temperatures'!$B13)/'Showerhead Calculations'!$D$13/100000</f>
        <v>31.44176155984476</v>
      </c>
      <c r="J20" s="115">
        <f>$J$5*'Showerhead Calculations'!$D$11*'Showerhead Calculations'!$D$12*('Showerhead Calculations'!$D$8-'Water Temperatures'!$B13)/'Showerhead Calculations'!$D$13/100000</f>
        <v>26.201467966537297</v>
      </c>
      <c r="K20" s="126">
        <f t="shared" si="3"/>
        <v>5.240293593307463</v>
      </c>
    </row>
    <row r="21" spans="1:11" ht="15.75" thickBot="1">
      <c r="A21" s="131" t="s">
        <v>183</v>
      </c>
      <c r="B21" s="101" t="s">
        <v>86</v>
      </c>
      <c r="C21" s="97">
        <f>$C$5*'Showerhead Calculations'!$D$11*'Showerhead Calculations'!$D$12*('Showerhead Calculations'!$D$8-'Water Temperatures'!$B14)/'Showerhead Calculations'!$D$13/100000</f>
        <v>41.305469524917413</v>
      </c>
      <c r="D21" s="115">
        <f>$D$5*'Showerhead Calculations'!$D$11*'Showerhead Calculations'!$D$12*('Showerhead Calculations'!$D$8-'Water Temperatures'!$B14)/'Showerhead Calculations'!$D$13/100000</f>
        <v>27.536979683278279</v>
      </c>
      <c r="E21" s="126">
        <f t="shared" si="2"/>
        <v>13.768489841639134</v>
      </c>
      <c r="G21" s="131" t="s">
        <v>183</v>
      </c>
      <c r="H21" s="101" t="s">
        <v>86</v>
      </c>
      <c r="I21" s="97">
        <f>$I$5*'Showerhead Calculations'!$D$11*'Showerhead Calculations'!$D$12*('Showerhead Calculations'!$D$8-'Water Temperatures'!$B14)/'Showerhead Calculations'!$D$13/100000</f>
        <v>33.04437561993393</v>
      </c>
      <c r="J21" s="115">
        <f>$J$5*'Showerhead Calculations'!$D$11*'Showerhead Calculations'!$D$12*('Showerhead Calculations'!$D$8-'Water Temperatures'!$B14)/'Showerhead Calculations'!$D$13/100000</f>
        <v>27.536979683278279</v>
      </c>
      <c r="K21" s="126">
        <f t="shared" si="3"/>
        <v>5.5073959366556515</v>
      </c>
    </row>
    <row r="22" spans="1:11" ht="15.75" thickBot="1">
      <c r="A22" s="131" t="s">
        <v>183</v>
      </c>
      <c r="B22" s="101" t="s">
        <v>87</v>
      </c>
      <c r="C22" s="97">
        <f>$C$5*'Showerhead Calculations'!$D$11*'Showerhead Calculations'!$D$12*('Showerhead Calculations'!$D$8-'Water Temperatures'!$B15)/'Showerhead Calculations'!$D$13/100000</f>
        <v>38.34826500927668</v>
      </c>
      <c r="D22" s="115">
        <f>$D$5*'Showerhead Calculations'!$D$11*'Showerhead Calculations'!$D$12*('Showerhead Calculations'!$D$8-'Water Temperatures'!$B15)/'Showerhead Calculations'!$D$13/100000</f>
        <v>25.565510006184457</v>
      </c>
      <c r="E22" s="126">
        <f t="shared" si="2"/>
        <v>12.782755003092223</v>
      </c>
      <c r="G22" s="131" t="s">
        <v>183</v>
      </c>
      <c r="H22" s="101" t="s">
        <v>87</v>
      </c>
      <c r="I22" s="97">
        <f>$I$5*'Showerhead Calculations'!$D$11*'Showerhead Calculations'!$D$12*('Showerhead Calculations'!$D$8-'Water Temperatures'!$B15)/'Showerhead Calculations'!$D$13/100000</f>
        <v>30.678612007421343</v>
      </c>
      <c r="J22" s="115">
        <f>$J$5*'Showerhead Calculations'!$D$11*'Showerhead Calculations'!$D$12*('Showerhead Calculations'!$D$8-'Water Temperatures'!$B15)/'Showerhead Calculations'!$D$13/100000</f>
        <v>25.565510006184457</v>
      </c>
      <c r="K22" s="126">
        <f t="shared" si="3"/>
        <v>5.1131020012368857</v>
      </c>
    </row>
    <row r="23" spans="1:11" ht="15.75" thickBot="1">
      <c r="A23" s="131" t="s">
        <v>183</v>
      </c>
      <c r="B23" s="101" t="s">
        <v>88</v>
      </c>
      <c r="C23" s="97">
        <f>$C$5*'Showerhead Calculations'!$D$11*'Showerhead Calculations'!$D$12*('Showerhead Calculations'!$D$8-'Water Temperatures'!$B16)/'Showerhead Calculations'!$D$13/100000</f>
        <v>39.779170420070585</v>
      </c>
      <c r="D23" s="115">
        <f>$D$5*'Showerhead Calculations'!$D$11*'Showerhead Calculations'!$D$12*('Showerhead Calculations'!$D$8-'Water Temperatures'!$B16)/'Showerhead Calculations'!$D$13/100000</f>
        <v>26.519446946713725</v>
      </c>
      <c r="E23" s="126">
        <f t="shared" si="2"/>
        <v>13.259723473356861</v>
      </c>
      <c r="G23" s="131" t="s">
        <v>183</v>
      </c>
      <c r="H23" s="101" t="s">
        <v>88</v>
      </c>
      <c r="I23" s="97">
        <f>$I$5*'Showerhead Calculations'!$D$11*'Showerhead Calculations'!$D$12*('Showerhead Calculations'!$D$8-'Water Temperatures'!$B16)/'Showerhead Calculations'!$D$13/100000</f>
        <v>31.823336336056467</v>
      </c>
      <c r="J23" s="115">
        <f>$J$5*'Showerhead Calculations'!$D$11*'Showerhead Calculations'!$D$12*('Showerhead Calculations'!$D$8-'Water Temperatures'!$B16)/'Showerhead Calculations'!$D$13/100000</f>
        <v>26.519446946713725</v>
      </c>
      <c r="K23" s="126">
        <f t="shared" si="3"/>
        <v>5.3038893893427428</v>
      </c>
    </row>
    <row r="24" spans="1:11" ht="15.75" thickBot="1">
      <c r="A24" s="131" t="s">
        <v>183</v>
      </c>
      <c r="B24" s="101" t="s">
        <v>89</v>
      </c>
      <c r="C24" s="97">
        <f>$C$5*'Showerhead Calculations'!$D$11*'Showerhead Calculations'!$D$12*('Showerhead Calculations'!$D$8-'Water Temperatures'!$B17)/'Showerhead Calculations'!$D$13/100000</f>
        <v>27.759564969401769</v>
      </c>
      <c r="D24" s="115">
        <f>$D$5*'Showerhead Calculations'!$D$11*'Showerhead Calculations'!$D$12*('Showerhead Calculations'!$D$8-'Water Temperatures'!$B17)/'Showerhead Calculations'!$D$13/100000</f>
        <v>18.506376646267846</v>
      </c>
      <c r="E24" s="126">
        <f t="shared" si="2"/>
        <v>9.2531883231339229</v>
      </c>
      <c r="G24" s="131" t="s">
        <v>183</v>
      </c>
      <c r="H24" s="101" t="s">
        <v>89</v>
      </c>
      <c r="I24" s="97">
        <f>$I$5*'Showerhead Calculations'!$D$11*'Showerhead Calculations'!$D$12*('Showerhead Calculations'!$D$8-'Water Temperatures'!$B17)/'Showerhead Calculations'!$D$13/100000</f>
        <v>22.207651975521411</v>
      </c>
      <c r="J24" s="115">
        <f>$J$5*'Showerhead Calculations'!$D$11*'Showerhead Calculations'!$D$12*('Showerhead Calculations'!$D$8-'Water Temperatures'!$B17)/'Showerhead Calculations'!$D$13/100000</f>
        <v>18.506376646267846</v>
      </c>
      <c r="K24" s="126">
        <f t="shared" si="3"/>
        <v>3.7012753292535656</v>
      </c>
    </row>
    <row r="25" spans="1:11" ht="15.75" thickBot="1">
      <c r="A25" s="170" t="s">
        <v>183</v>
      </c>
      <c r="B25" s="127" t="s">
        <v>90</v>
      </c>
      <c r="C25" s="151">
        <f>$C$5*'Showerhead Calculations'!$D$11*'Showerhead Calculations'!$D$12*('Showerhead Calculations'!$D$8-'Water Temperatures'!$B18)/'Showerhead Calculations'!$D$13/100000</f>
        <v>49.986295683733772</v>
      </c>
      <c r="D25" s="152">
        <f>$D$5*'Showerhead Calculations'!$D$11*'Showerhead Calculations'!$D$12*('Showerhead Calculations'!$D$8-'Water Temperatures'!$B18)/'Showerhead Calculations'!$D$13/100000</f>
        <v>33.324197122489188</v>
      </c>
      <c r="E25" s="153">
        <f t="shared" si="2"/>
        <v>16.662098561244584</v>
      </c>
      <c r="G25" s="170" t="s">
        <v>183</v>
      </c>
      <c r="H25" s="127" t="s">
        <v>90</v>
      </c>
      <c r="I25" s="154">
        <f>$I$5*'Showerhead Calculations'!$D$11*'Showerhead Calculations'!$D$12*('Showerhead Calculations'!$D$8-'Water Temperatures'!$B18)/'Showerhead Calculations'!$D$13/100000</f>
        <v>39.989036546987023</v>
      </c>
      <c r="J25" s="156">
        <f>$J$5*'Showerhead Calculations'!$D$11*'Showerhead Calculations'!$D$12*('Showerhead Calculations'!$D$8-'Water Temperatures'!$B18)/'Showerhead Calculations'!$D$13/100000</f>
        <v>33.324197122489188</v>
      </c>
      <c r="K25" s="153">
        <f t="shared" si="3"/>
        <v>6.6648394244978348</v>
      </c>
    </row>
    <row r="26" spans="1:11" s="10" customFormat="1" ht="16.5" thickTop="1" thickBot="1">
      <c r="A26" s="121" t="s">
        <v>147</v>
      </c>
      <c r="B26" s="116" t="s">
        <v>64</v>
      </c>
      <c r="C26" s="97">
        <f>$C$6*'Showerhead Calculations'!$D$11*'Showerhead Calculations'!$D$12*('Showerhead Calculations'!$D$8-'Water Temperatures'!$B3)/'Showerhead Calculations'!$D$13/100000</f>
        <v>24.564268578878742</v>
      </c>
      <c r="D26" s="115">
        <f>$D$6*'Showerhead Calculations'!$D$11*'Showerhead Calculations'!$D$12*('Showerhead Calculations'!$D$8-'Water Temperatures'!$B3)/'Showerhead Calculations'!$D$13/100000</f>
        <v>16.37617905258583</v>
      </c>
      <c r="E26" s="126">
        <f t="shared" ref="E26" si="4">C26-D26</f>
        <v>8.188089526292913</v>
      </c>
      <c r="G26" s="121" t="s">
        <v>147</v>
      </c>
      <c r="H26" s="116" t="s">
        <v>64</v>
      </c>
      <c r="I26" s="97">
        <f>$I$6*'Showerhead Calculations'!$D$11*'Showerhead Calculations'!$D$12*('Showerhead Calculations'!$D$8-'Water Temperatures'!$B3)/'Showerhead Calculations'!$D$13/100000</f>
        <v>19.651414863102996</v>
      </c>
      <c r="J26" s="115">
        <f>$J$6*'Showerhead Calculations'!$D$11*'Showerhead Calculations'!$D$12*('Showerhead Calculations'!$D$8-'Water Temperatures'!$B3)/'Showerhead Calculations'!$D$13/100000</f>
        <v>16.376179052585833</v>
      </c>
      <c r="K26" s="126">
        <f t="shared" ref="K26:K41" si="5">I26-J26</f>
        <v>3.2752358105171631</v>
      </c>
    </row>
    <row r="27" spans="1:11" s="10" customFormat="1" ht="15.75" thickBot="1">
      <c r="A27" s="121" t="s">
        <v>147</v>
      </c>
      <c r="B27" s="101" t="s">
        <v>76</v>
      </c>
      <c r="C27" s="97">
        <f>$C$6*'Showerhead Calculations'!$D$11*'Showerhead Calculations'!$D$12*('Showerhead Calculations'!$D$8-'Water Temperatures'!$B4)/'Showerhead Calculations'!$D$13/100000</f>
        <v>21.855661016949146</v>
      </c>
      <c r="D27" s="115">
        <f>$D$6*'Showerhead Calculations'!$D$11*'Showerhead Calculations'!$D$12*('Showerhead Calculations'!$D$8-'Water Temperatures'!$B4)/'Showerhead Calculations'!$D$13/100000</f>
        <v>14.570440677966099</v>
      </c>
      <c r="E27" s="126">
        <f t="shared" ref="E27:E41" si="6">C27-D27</f>
        <v>7.2852203389830468</v>
      </c>
      <c r="G27" s="121" t="s">
        <v>147</v>
      </c>
      <c r="H27" s="101" t="s">
        <v>76</v>
      </c>
      <c r="I27" s="97">
        <f>$I$6*'Showerhead Calculations'!$D$11*'Showerhead Calculations'!$D$12*('Showerhead Calculations'!$D$8-'Water Temperatures'!$B4)/'Showerhead Calculations'!$D$13/100000</f>
        <v>17.484528813559319</v>
      </c>
      <c r="J27" s="115">
        <f>$J$6*'Showerhead Calculations'!$D$11*'Showerhead Calculations'!$D$12*('Showerhead Calculations'!$D$8-'Water Temperatures'!$B4)/'Showerhead Calculations'!$D$13/100000</f>
        <v>14.570440677966101</v>
      </c>
      <c r="K27" s="126">
        <f t="shared" si="5"/>
        <v>2.914088135593218</v>
      </c>
    </row>
    <row r="28" spans="1:11" s="10" customFormat="1" ht="15.75" thickBot="1">
      <c r="A28" s="121" t="s">
        <v>147</v>
      </c>
      <c r="B28" s="101" t="s">
        <v>77</v>
      </c>
      <c r="C28" s="97">
        <f>$C$6*'Showerhead Calculations'!$D$11*'Showerhead Calculations'!$D$12*('Showerhead Calculations'!$D$8-'Water Temperatures'!$B5)/'Showerhead Calculations'!$D$13/100000</f>
        <v>21.949061277705336</v>
      </c>
      <c r="D28" s="115">
        <f>$D$6*'Showerhead Calculations'!$D$11*'Showerhead Calculations'!$D$12*('Showerhead Calculations'!$D$8-'Water Temperatures'!$B5)/'Showerhead Calculations'!$D$13/100000</f>
        <v>14.632707518470228</v>
      </c>
      <c r="E28" s="126">
        <f t="shared" si="6"/>
        <v>7.316353759235108</v>
      </c>
      <c r="G28" s="121" t="s">
        <v>147</v>
      </c>
      <c r="H28" s="101" t="s">
        <v>77</v>
      </c>
      <c r="I28" s="97">
        <f>$I$6*'Showerhead Calculations'!$D$11*'Showerhead Calculations'!$D$12*('Showerhead Calculations'!$D$8-'Water Temperatures'!$B5)/'Showerhead Calculations'!$D$13/100000</f>
        <v>17.559249022164273</v>
      </c>
      <c r="J28" s="115">
        <f>$J$6*'Showerhead Calculations'!$D$11*'Showerhead Calculations'!$D$12*('Showerhead Calculations'!$D$8-'Water Temperatures'!$B5)/'Showerhead Calculations'!$D$13/100000</f>
        <v>14.632707518470228</v>
      </c>
      <c r="K28" s="126">
        <f t="shared" si="5"/>
        <v>2.926541503694045</v>
      </c>
    </row>
    <row r="29" spans="1:11" s="10" customFormat="1" ht="15.75" thickBot="1">
      <c r="A29" s="121" t="s">
        <v>147</v>
      </c>
      <c r="B29" s="101" t="s">
        <v>78</v>
      </c>
      <c r="C29" s="97">
        <f>$C$6*'Showerhead Calculations'!$D$11*'Showerhead Calculations'!$D$12*('Showerhead Calculations'!$D$8-'Water Temperatures'!$B6)/'Showerhead Calculations'!$D$13/100000</f>
        <v>20.828258148631029</v>
      </c>
      <c r="D29" s="115">
        <f>$D$6*'Showerhead Calculations'!$D$11*'Showerhead Calculations'!$D$12*('Showerhead Calculations'!$D$8-'Water Temperatures'!$B6)/'Showerhead Calculations'!$D$13/100000</f>
        <v>13.885505432420684</v>
      </c>
      <c r="E29" s="126">
        <f t="shared" si="6"/>
        <v>6.9427527162103448</v>
      </c>
      <c r="G29" s="121" t="s">
        <v>147</v>
      </c>
      <c r="H29" s="101" t="s">
        <v>78</v>
      </c>
      <c r="I29" s="97">
        <f>$I$6*'Showerhead Calculations'!$D$11*'Showerhead Calculations'!$D$12*('Showerhead Calculations'!$D$8-'Water Temperatures'!$B6)/'Showerhead Calculations'!$D$13/100000</f>
        <v>16.66260651890482</v>
      </c>
      <c r="J29" s="115">
        <f>$J$6*'Showerhead Calculations'!$D$11*'Showerhead Calculations'!$D$12*('Showerhead Calculations'!$D$8-'Water Temperatures'!$B6)/'Showerhead Calculations'!$D$13/100000</f>
        <v>13.885505432420688</v>
      </c>
      <c r="K29" s="126">
        <f t="shared" si="5"/>
        <v>2.7771010864841319</v>
      </c>
    </row>
    <row r="30" spans="1:11" s="10" customFormat="1" ht="15.75" thickBot="1">
      <c r="A30" s="121" t="s">
        <v>147</v>
      </c>
      <c r="B30" s="101" t="s">
        <v>79</v>
      </c>
      <c r="C30" s="97">
        <f>$C$6*'Showerhead Calculations'!$D$11*'Showerhead Calculations'!$D$12*('Showerhead Calculations'!$D$8-'Water Temperatures'!$B7)/'Showerhead Calculations'!$D$13/100000</f>
        <v>22.509462842242499</v>
      </c>
      <c r="D30" s="115">
        <f>$D$6*'Showerhead Calculations'!$D$11*'Showerhead Calculations'!$D$12*('Showerhead Calculations'!$D$8-'Water Temperatures'!$B7)/'Showerhead Calculations'!$D$13/100000</f>
        <v>15.006308561495</v>
      </c>
      <c r="E30" s="126">
        <f t="shared" si="6"/>
        <v>7.5031542807474985</v>
      </c>
      <c r="G30" s="121" t="s">
        <v>147</v>
      </c>
      <c r="H30" s="101" t="s">
        <v>79</v>
      </c>
      <c r="I30" s="97">
        <f>$I$6*'Showerhead Calculations'!$D$11*'Showerhead Calculations'!$D$12*('Showerhead Calculations'!$D$8-'Water Temperatures'!$B7)/'Showerhead Calculations'!$D$13/100000</f>
        <v>18.007570273794002</v>
      </c>
      <c r="J30" s="115">
        <f>$J$6*'Showerhead Calculations'!$D$11*'Showerhead Calculations'!$D$12*('Showerhead Calculations'!$D$8-'Water Temperatures'!$B7)/'Showerhead Calculations'!$D$13/100000</f>
        <v>15.006308561495002</v>
      </c>
      <c r="K30" s="126">
        <f t="shared" si="5"/>
        <v>3.0012617122989997</v>
      </c>
    </row>
    <row r="31" spans="1:11" s="10" customFormat="1" ht="15.75" thickBot="1">
      <c r="A31" s="121" t="s">
        <v>147</v>
      </c>
      <c r="B31" s="101" t="s">
        <v>80</v>
      </c>
      <c r="C31" s="97">
        <f>$C$6*'Showerhead Calculations'!$D$11*'Showerhead Calculations'!$D$12*('Showerhead Calculations'!$D$8-'Water Temperatures'!$B8)/'Showerhead Calculations'!$D$13/100000</f>
        <v>19.754155149934803</v>
      </c>
      <c r="D31" s="115">
        <f>$D$6*'Showerhead Calculations'!$D$11*'Showerhead Calculations'!$D$12*('Showerhead Calculations'!$D$8-'Water Temperatures'!$B8)/'Showerhead Calculations'!$D$13/100000</f>
        <v>13.169436766623205</v>
      </c>
      <c r="E31" s="126">
        <f t="shared" si="6"/>
        <v>6.5847183833115981</v>
      </c>
      <c r="G31" s="121" t="s">
        <v>147</v>
      </c>
      <c r="H31" s="101" t="s">
        <v>80</v>
      </c>
      <c r="I31" s="97">
        <f>$I$6*'Showerhead Calculations'!$D$11*'Showerhead Calculations'!$D$12*('Showerhead Calculations'!$D$8-'Water Temperatures'!$B8)/'Showerhead Calculations'!$D$13/100000</f>
        <v>15.803324119947845</v>
      </c>
      <c r="J31" s="115">
        <f>$J$6*'Showerhead Calculations'!$D$11*'Showerhead Calculations'!$D$12*('Showerhead Calculations'!$D$8-'Water Temperatures'!$B8)/'Showerhead Calculations'!$D$13/100000</f>
        <v>13.169436766623205</v>
      </c>
      <c r="K31" s="126">
        <f t="shared" si="5"/>
        <v>2.6338873533246403</v>
      </c>
    </row>
    <row r="32" spans="1:11" s="10" customFormat="1" ht="15.75" thickBot="1">
      <c r="A32" s="121" t="s">
        <v>147</v>
      </c>
      <c r="B32" s="101" t="s">
        <v>81</v>
      </c>
      <c r="C32" s="97">
        <f>$C$6*'Showerhead Calculations'!$D$11*'Showerhead Calculations'!$D$12*('Showerhead Calculations'!$D$8-'Water Temperatures'!$B9)/'Showerhead Calculations'!$D$13/100000</f>
        <v>19.380554106910036</v>
      </c>
      <c r="D32" s="115">
        <f>$D$6*'Showerhead Calculations'!$D$11*'Showerhead Calculations'!$D$12*('Showerhead Calculations'!$D$8-'Water Temperatures'!$B9)/'Showerhead Calculations'!$D$13/100000</f>
        <v>12.920369404606689</v>
      </c>
      <c r="E32" s="126">
        <f t="shared" si="6"/>
        <v>6.4601847023033478</v>
      </c>
      <c r="G32" s="121" t="s">
        <v>147</v>
      </c>
      <c r="H32" s="101" t="s">
        <v>81</v>
      </c>
      <c r="I32" s="97">
        <f>$I$6*'Showerhead Calculations'!$D$11*'Showerhead Calculations'!$D$12*('Showerhead Calculations'!$D$8-'Water Temperatures'!$B9)/'Showerhead Calculations'!$D$13/100000</f>
        <v>15.50444328552803</v>
      </c>
      <c r="J32" s="115">
        <f>$J$6*'Showerhead Calculations'!$D$11*'Showerhead Calculations'!$D$12*('Showerhead Calculations'!$D$8-'Water Temperatures'!$B9)/'Showerhead Calculations'!$D$13/100000</f>
        <v>12.920369404606694</v>
      </c>
      <c r="K32" s="126">
        <f t="shared" si="5"/>
        <v>2.5840738809213359</v>
      </c>
    </row>
    <row r="33" spans="1:11" s="10" customFormat="1" ht="15.75" thickBot="1">
      <c r="A33" s="121" t="s">
        <v>147</v>
      </c>
      <c r="B33" s="101" t="s">
        <v>82</v>
      </c>
      <c r="C33" s="97">
        <f>$C$6*'Showerhead Calculations'!$D$11*'Showerhead Calculations'!$D$12*('Showerhead Calculations'!$D$8-'Water Temperatures'!$B10)/'Showerhead Calculations'!$D$13/100000</f>
        <v>18.820152542372874</v>
      </c>
      <c r="D33" s="115">
        <f>$D$6*'Showerhead Calculations'!$D$11*'Showerhead Calculations'!$D$12*('Showerhead Calculations'!$D$8-'Water Temperatures'!$B10)/'Showerhead Calculations'!$D$13/100000</f>
        <v>12.546768361581918</v>
      </c>
      <c r="E33" s="126">
        <f t="shared" si="6"/>
        <v>6.2733841807909556</v>
      </c>
      <c r="G33" s="121" t="s">
        <v>147</v>
      </c>
      <c r="H33" s="101" t="s">
        <v>82</v>
      </c>
      <c r="I33" s="97">
        <f>$I$6*'Showerhead Calculations'!$D$11*'Showerhead Calculations'!$D$12*('Showerhead Calculations'!$D$8-'Water Temperatures'!$B10)/'Showerhead Calculations'!$D$13/100000</f>
        <v>15.056122033898305</v>
      </c>
      <c r="J33" s="115">
        <f>$J$6*'Showerhead Calculations'!$D$11*'Showerhead Calculations'!$D$12*('Showerhead Calculations'!$D$8-'Water Temperatures'!$B10)/'Showerhead Calculations'!$D$13/100000</f>
        <v>12.546768361581918</v>
      </c>
      <c r="K33" s="126">
        <f t="shared" si="5"/>
        <v>2.5093536723163865</v>
      </c>
    </row>
    <row r="34" spans="1:11" s="10" customFormat="1" ht="15.75" thickBot="1">
      <c r="A34" s="121" t="s">
        <v>147</v>
      </c>
      <c r="B34" s="101" t="s">
        <v>83</v>
      </c>
      <c r="C34" s="97">
        <f>$C$6*'Showerhead Calculations'!$D$11*'Showerhead Calculations'!$D$12*('Showerhead Calculations'!$D$8-'Water Temperatures'!$B11)/'Showerhead Calculations'!$D$13/100000</f>
        <v>18.820152542372874</v>
      </c>
      <c r="D34" s="115">
        <f>$D$6*'Showerhead Calculations'!$D$11*'Showerhead Calculations'!$D$12*('Showerhead Calculations'!$D$8-'Water Temperatures'!$B11)/'Showerhead Calculations'!$D$13/100000</f>
        <v>12.546768361581918</v>
      </c>
      <c r="E34" s="150">
        <f t="shared" si="6"/>
        <v>6.2733841807909556</v>
      </c>
      <c r="G34" s="121" t="s">
        <v>147</v>
      </c>
      <c r="H34" s="101" t="s">
        <v>83</v>
      </c>
      <c r="I34" s="97">
        <f>$I$6*'Showerhead Calculations'!$D$11*'Showerhead Calculations'!$D$12*('Showerhead Calculations'!$D$8-'Water Temperatures'!$B11)/'Showerhead Calculations'!$D$13/100000</f>
        <v>15.056122033898305</v>
      </c>
      <c r="J34" s="115">
        <f>$J$6*'Showerhead Calculations'!$D$11*'Showerhead Calculations'!$D$12*('Showerhead Calculations'!$D$8-'Water Temperatures'!$B11)/'Showerhead Calculations'!$D$13/100000</f>
        <v>12.546768361581918</v>
      </c>
      <c r="K34" s="126">
        <f t="shared" si="5"/>
        <v>2.5093536723163865</v>
      </c>
    </row>
    <row r="35" spans="1:11" s="10" customFormat="1" ht="15.75" thickBot="1">
      <c r="A35" s="121" t="s">
        <v>147</v>
      </c>
      <c r="B35" s="101" t="s">
        <v>84</v>
      </c>
      <c r="C35" s="97">
        <f>$C$6*'Showerhead Calculations'!$D$11*'Showerhead Calculations'!$D$12*('Showerhead Calculations'!$D$8-'Water Temperatures'!$B12)/'Showerhead Calculations'!$D$13/100000</f>
        <v>18.680052151238588</v>
      </c>
      <c r="D35" s="115">
        <f>$D$6*'Showerhead Calculations'!$D$11*'Showerhead Calculations'!$D$12*('Showerhead Calculations'!$D$8-'Water Temperatures'!$B12)/'Showerhead Calculations'!$D$13/100000</f>
        <v>12.453368100825726</v>
      </c>
      <c r="E35" s="126">
        <f t="shared" si="6"/>
        <v>6.226684050412862</v>
      </c>
      <c r="G35" s="121" t="s">
        <v>147</v>
      </c>
      <c r="H35" s="101" t="s">
        <v>84</v>
      </c>
      <c r="I35" s="97">
        <f>$I$6*'Showerhead Calculations'!$D$11*'Showerhead Calculations'!$D$12*('Showerhead Calculations'!$D$8-'Water Temperatures'!$B12)/'Showerhead Calculations'!$D$13/100000</f>
        <v>14.944041720990874</v>
      </c>
      <c r="J35" s="115">
        <f>$J$6*'Showerhead Calculations'!$D$11*'Showerhead Calculations'!$D$12*('Showerhead Calculations'!$D$8-'Water Temperatures'!$B12)/'Showerhead Calculations'!$D$13/100000</f>
        <v>12.453368100825728</v>
      </c>
      <c r="K35" s="126">
        <f t="shared" si="5"/>
        <v>2.4906736201651469</v>
      </c>
    </row>
    <row r="36" spans="1:11" s="10" customFormat="1" ht="15.75" thickBot="1">
      <c r="A36" s="121" t="s">
        <v>147</v>
      </c>
      <c r="B36" s="101" t="s">
        <v>85</v>
      </c>
      <c r="C36" s="97">
        <f>$C$6*'Showerhead Calculations'!$D$11*'Showerhead Calculations'!$D$12*('Showerhead Calculations'!$D$8-'Water Temperatures'!$B13)/'Showerhead Calculations'!$D$13/100000</f>
        <v>19.240453715775747</v>
      </c>
      <c r="D36" s="115">
        <f>$D$6*'Showerhead Calculations'!$D$11*'Showerhead Calculations'!$D$12*('Showerhead Calculations'!$D$8-'Water Temperatures'!$B13)/'Showerhead Calculations'!$D$13/100000</f>
        <v>12.826969143850496</v>
      </c>
      <c r="E36" s="126">
        <f t="shared" si="6"/>
        <v>6.4134845719252507</v>
      </c>
      <c r="G36" s="121" t="s">
        <v>147</v>
      </c>
      <c r="H36" s="101" t="s">
        <v>85</v>
      </c>
      <c r="I36" s="97">
        <f>$I$6*'Showerhead Calculations'!$D$11*'Showerhead Calculations'!$D$12*('Showerhead Calculations'!$D$8-'Water Temperatures'!$B13)/'Showerhead Calculations'!$D$13/100000</f>
        <v>15.392362972620599</v>
      </c>
      <c r="J36" s="115">
        <f>$J$6*'Showerhead Calculations'!$D$11*'Showerhead Calculations'!$D$12*('Showerhead Calculations'!$D$8-'Water Temperatures'!$B13)/'Showerhead Calculations'!$D$13/100000</f>
        <v>12.826969143850501</v>
      </c>
      <c r="K36" s="126">
        <f t="shared" si="5"/>
        <v>2.5653938287700981</v>
      </c>
    </row>
    <row r="37" spans="1:11" s="10" customFormat="1" ht="15.75" thickBot="1">
      <c r="A37" s="121" t="s">
        <v>147</v>
      </c>
      <c r="B37" s="101" t="s">
        <v>86</v>
      </c>
      <c r="C37" s="97">
        <f>$C$6*'Showerhead Calculations'!$D$11*'Showerhead Calculations'!$D$12*('Showerhead Calculations'!$D$8-'Water Temperatures'!$B14)/'Showerhead Calculations'!$D$13/100000</f>
        <v>20.221156453715771</v>
      </c>
      <c r="D37" s="115">
        <f>$D$6*'Showerhead Calculations'!$D$11*'Showerhead Calculations'!$D$12*('Showerhead Calculations'!$D$8-'Water Temperatures'!$B14)/'Showerhead Calculations'!$D$13/100000</f>
        <v>13.480770969143848</v>
      </c>
      <c r="E37" s="126">
        <f t="shared" si="6"/>
        <v>6.7403854845719238</v>
      </c>
      <c r="G37" s="121" t="s">
        <v>147</v>
      </c>
      <c r="H37" s="101" t="s">
        <v>86</v>
      </c>
      <c r="I37" s="97">
        <f>$I$6*'Showerhead Calculations'!$D$11*'Showerhead Calculations'!$D$12*('Showerhead Calculations'!$D$8-'Water Temperatures'!$B14)/'Showerhead Calculations'!$D$13/100000</f>
        <v>16.176925162972616</v>
      </c>
      <c r="J37" s="115">
        <f>$J$6*'Showerhead Calculations'!$D$11*'Showerhead Calculations'!$D$12*('Showerhead Calculations'!$D$8-'Water Temperatures'!$B14)/'Showerhead Calculations'!$D$13/100000</f>
        <v>13.480770969143848</v>
      </c>
      <c r="K37" s="126">
        <f t="shared" si="5"/>
        <v>2.6961541938287681</v>
      </c>
    </row>
    <row r="38" spans="1:11" s="10" customFormat="1" ht="15.75" thickBot="1">
      <c r="A38" s="121" t="s">
        <v>147</v>
      </c>
      <c r="B38" s="101" t="s">
        <v>87</v>
      </c>
      <c r="C38" s="97">
        <f>$C$6*'Showerhead Calculations'!$D$11*'Showerhead Calculations'!$D$12*('Showerhead Calculations'!$D$8-'Water Temperatures'!$B15)/'Showerhead Calculations'!$D$13/100000</f>
        <v>18.773452411994782</v>
      </c>
      <c r="D38" s="115">
        <f>$D$6*'Showerhead Calculations'!$D$11*'Showerhead Calculations'!$D$12*('Showerhead Calculations'!$D$8-'Water Temperatures'!$B15)/'Showerhead Calculations'!$D$13/100000</f>
        <v>12.515634941329855</v>
      </c>
      <c r="E38" s="126">
        <f t="shared" si="6"/>
        <v>6.2578174706649268</v>
      </c>
      <c r="G38" s="121" t="s">
        <v>147</v>
      </c>
      <c r="H38" s="101" t="s">
        <v>87</v>
      </c>
      <c r="I38" s="97">
        <f>$I$6*'Showerhead Calculations'!$D$11*'Showerhead Calculations'!$D$12*('Showerhead Calculations'!$D$8-'Water Temperatures'!$B15)/'Showerhead Calculations'!$D$13/100000</f>
        <v>15.018761929595827</v>
      </c>
      <c r="J38" s="115">
        <f>$J$6*'Showerhead Calculations'!$D$11*'Showerhead Calculations'!$D$12*('Showerhead Calculations'!$D$8-'Water Temperatures'!$B15)/'Showerhead Calculations'!$D$13/100000</f>
        <v>12.515634941329855</v>
      </c>
      <c r="K38" s="126">
        <f t="shared" si="5"/>
        <v>2.5031269882659721</v>
      </c>
    </row>
    <row r="39" spans="1:11" s="10" customFormat="1" ht="15.75" thickBot="1">
      <c r="A39" s="121" t="s">
        <v>147</v>
      </c>
      <c r="B39" s="101" t="s">
        <v>88</v>
      </c>
      <c r="C39" s="97">
        <f>$C$6*'Showerhead Calculations'!$D$11*'Showerhead Calculations'!$D$12*('Showerhead Calculations'!$D$8-'Water Temperatures'!$B16)/'Showerhead Calculations'!$D$13/100000</f>
        <v>19.473954367666231</v>
      </c>
      <c r="D39" s="115">
        <f>$D$6*'Showerhead Calculations'!$D$11*'Showerhead Calculations'!$D$12*('Showerhead Calculations'!$D$8-'Water Temperatures'!$B16)/'Showerhead Calculations'!$D$13/100000</f>
        <v>12.98263624511082</v>
      </c>
      <c r="E39" s="126">
        <f t="shared" si="6"/>
        <v>6.4913181225554109</v>
      </c>
      <c r="G39" s="121" t="s">
        <v>147</v>
      </c>
      <c r="H39" s="101" t="s">
        <v>88</v>
      </c>
      <c r="I39" s="97">
        <f>$I$6*'Showerhead Calculations'!$D$11*'Showerhead Calculations'!$D$12*('Showerhead Calculations'!$D$8-'Water Temperatures'!$B16)/'Showerhead Calculations'!$D$13/100000</f>
        <v>15.579163494132983</v>
      </c>
      <c r="J39" s="115">
        <f>$J$6*'Showerhead Calculations'!$D$11*'Showerhead Calculations'!$D$12*('Showerhead Calculations'!$D$8-'Water Temperatures'!$B16)/'Showerhead Calculations'!$D$13/100000</f>
        <v>12.982636245110822</v>
      </c>
      <c r="K39" s="126">
        <f t="shared" si="5"/>
        <v>2.5965272490221611</v>
      </c>
    </row>
    <row r="40" spans="1:11" s="10" customFormat="1" ht="15.75" thickBot="1">
      <c r="A40" s="121" t="s">
        <v>147</v>
      </c>
      <c r="B40" s="101" t="s">
        <v>89</v>
      </c>
      <c r="C40" s="97">
        <f>$C$6*'Showerhead Calculations'!$D$11*'Showerhead Calculations'!$D$12*('Showerhead Calculations'!$D$8-'Water Temperatures'!$B17)/'Showerhead Calculations'!$D$13/100000</f>
        <v>13.589737940026071</v>
      </c>
      <c r="D40" s="115">
        <f>$D$6*'Showerhead Calculations'!$D$11*'Showerhead Calculations'!$D$12*('Showerhead Calculations'!$D$8-'Water Temperatures'!$B17)/'Showerhead Calculations'!$D$13/100000</f>
        <v>9.0598252933507126</v>
      </c>
      <c r="E40" s="126">
        <f t="shared" si="6"/>
        <v>4.5299126466753581</v>
      </c>
      <c r="G40" s="121" t="s">
        <v>147</v>
      </c>
      <c r="H40" s="101" t="s">
        <v>89</v>
      </c>
      <c r="I40" s="97">
        <f>$I$6*'Showerhead Calculations'!$D$11*'Showerhead Calculations'!$D$12*('Showerhead Calculations'!$D$8-'Water Temperatures'!$B17)/'Showerhead Calculations'!$D$13/100000</f>
        <v>10.871790352020858</v>
      </c>
      <c r="J40" s="115">
        <f>$J$6*'Showerhead Calculations'!$D$11*'Showerhead Calculations'!$D$12*('Showerhead Calculations'!$D$8-'Water Temperatures'!$B17)/'Showerhead Calculations'!$D$13/100000</f>
        <v>9.0598252933507162</v>
      </c>
      <c r="K40" s="126">
        <f t="shared" si="5"/>
        <v>1.8119650586701415</v>
      </c>
    </row>
    <row r="41" spans="1:11" s="10" customFormat="1" ht="15.75" thickBot="1">
      <c r="A41" s="123" t="s">
        <v>147</v>
      </c>
      <c r="B41" s="127" t="s">
        <v>90</v>
      </c>
      <c r="C41" s="154">
        <f>$C$6*'Showerhead Calculations'!$D$11*'Showerhead Calculations'!$D$12*('Showerhead Calculations'!$D$8-'Water Temperatures'!$B18)/'Showerhead Calculations'!$D$13/100000</f>
        <v>24.470868318122545</v>
      </c>
      <c r="D41" s="155">
        <f>$D$6*'Showerhead Calculations'!$D$11*'Showerhead Calculations'!$D$12*('Showerhead Calculations'!$D$8-'Water Temperatures'!$B18)/'Showerhead Calculations'!$D$13/100000</f>
        <v>16.3139122120817</v>
      </c>
      <c r="E41" s="153">
        <f t="shared" si="6"/>
        <v>8.1569561060408446</v>
      </c>
      <c r="G41" s="123" t="s">
        <v>147</v>
      </c>
      <c r="H41" s="127" t="s">
        <v>90</v>
      </c>
      <c r="I41" s="154">
        <f>$I$6*'Showerhead Calculations'!$D$11*'Showerhead Calculations'!$D$12*('Showerhead Calculations'!$D$8-'Water Temperatures'!$B18)/'Showerhead Calculations'!$D$13/100000</f>
        <v>19.576694654498041</v>
      </c>
      <c r="J41" s="155">
        <f>$J$6*'Showerhead Calculations'!$D$11*'Showerhead Calculations'!$D$12*('Showerhead Calculations'!$D$8-'Water Temperatures'!$B18)/'Showerhead Calculations'!$D$13/100000</f>
        <v>16.3139122120817</v>
      </c>
      <c r="K41" s="153">
        <f t="shared" si="5"/>
        <v>3.2627824424163414</v>
      </c>
    </row>
    <row r="42" spans="1:11" ht="15.75" thickTop="1"/>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workbookViewId="0">
      <selection activeCell="D22" sqref="D22"/>
    </sheetView>
  </sheetViews>
  <sheetFormatPr defaultRowHeight="15"/>
  <cols>
    <col min="1" max="1" width="15" customWidth="1"/>
    <col min="2" max="2" width="12.28515625" customWidth="1"/>
    <col min="3" max="3" width="15.5703125" customWidth="1"/>
    <col min="4" max="4" width="16.28515625" customWidth="1"/>
    <col min="5" max="5" width="13.42578125" customWidth="1"/>
  </cols>
  <sheetData>
    <row r="1" spans="1:5" ht="7.9" customHeight="1"/>
    <row r="2" spans="1:5" ht="19.899999999999999" customHeight="1">
      <c r="A2" s="143"/>
      <c r="B2" s="144" t="s">
        <v>169</v>
      </c>
      <c r="C2" s="161">
        <v>2.25</v>
      </c>
      <c r="D2" s="160">
        <v>1.8</v>
      </c>
      <c r="E2" s="143" t="s">
        <v>174</v>
      </c>
    </row>
    <row r="3" spans="1:5" ht="15.75" thickBot="1">
      <c r="A3" s="10"/>
      <c r="B3" s="10"/>
      <c r="C3" s="10"/>
      <c r="D3" s="10"/>
      <c r="E3" s="10"/>
    </row>
    <row r="4" spans="1:5" ht="64.5" customHeight="1" thickTop="1">
      <c r="A4" s="140"/>
      <c r="B4" s="141" t="s">
        <v>167</v>
      </c>
      <c r="C4" s="141" t="s">
        <v>189</v>
      </c>
      <c r="D4" s="141" t="s">
        <v>190</v>
      </c>
      <c r="E4" s="142" t="s">
        <v>191</v>
      </c>
    </row>
    <row r="5" spans="1:5">
      <c r="A5" s="163" t="s">
        <v>183</v>
      </c>
      <c r="B5" s="114" t="s">
        <v>168</v>
      </c>
      <c r="C5" s="114">
        <f>C2*'Showerhead Calculations'!$D$3*'Showerhead Calculations'!$D$5*('Showerhead Calculations'!$D$35+'Showerhead Calculations'!$I$27)/2</f>
        <v>8932.4227324469521</v>
      </c>
      <c r="D5" s="114">
        <f>C5*D2/C2</f>
        <v>7145.9381859575624</v>
      </c>
      <c r="E5" s="122">
        <f>C5-D5</f>
        <v>1786.4845464893897</v>
      </c>
    </row>
    <row r="6" spans="1:5" ht="15.75" thickBot="1">
      <c r="A6" s="123" t="s">
        <v>147</v>
      </c>
      <c r="B6" s="124" t="s">
        <v>168</v>
      </c>
      <c r="C6" s="124">
        <f>C2*'Showerhead Calculations'!$D$50*'Showerhead Calculations'!$D$49</f>
        <v>4372.8813559322025</v>
      </c>
      <c r="D6" s="124">
        <f>C6*D2/C2</f>
        <v>3498.3050847457621</v>
      </c>
      <c r="E6" s="125">
        <v>874.57627118644086</v>
      </c>
    </row>
    <row r="7" spans="1:5" ht="15.75" thickTop="1">
      <c r="A7" s="117"/>
      <c r="B7" s="117"/>
      <c r="C7" s="117"/>
      <c r="D7" s="117"/>
      <c r="E7" s="117"/>
    </row>
    <row r="8" spans="1:5" ht="15.75" thickBot="1">
      <c r="A8" s="96"/>
      <c r="B8" s="10"/>
      <c r="C8" s="10"/>
      <c r="D8" s="10"/>
      <c r="E8" s="10"/>
    </row>
    <row r="9" spans="1:5" ht="63" customHeight="1" thickTop="1">
      <c r="A9" s="140"/>
      <c r="B9" s="141" t="s">
        <v>167</v>
      </c>
      <c r="C9" s="141" t="s">
        <v>148</v>
      </c>
      <c r="D9" s="141" t="s">
        <v>149</v>
      </c>
      <c r="E9" s="142" t="s">
        <v>150</v>
      </c>
    </row>
    <row r="10" spans="1:5" ht="15.75" thickBot="1">
      <c r="A10" s="131" t="s">
        <v>183</v>
      </c>
      <c r="B10" s="101" t="s">
        <v>64</v>
      </c>
      <c r="C10" s="97">
        <f>$C$5*'Showerhead Calculations'!$D$11*'Showerhead Calculations'!$D$12*('Showerhead Calculations'!$D$8-'Water Temperatures'!$B3)/'Showerhead Calculations'!$D$13/100000</f>
        <v>50.177083071839633</v>
      </c>
      <c r="D10" s="115">
        <f>$D$5*'Showerhead Calculations'!$D$11*'Showerhead Calculations'!$D$12*('Showerhead Calculations'!$D$8-'Water Temperatures'!$B3)/'Showerhead Calculations'!$D$13/100000</f>
        <v>40.141666457471715</v>
      </c>
      <c r="E10" s="126">
        <f t="shared" ref="E10:E25" si="0">C10-D10</f>
        <v>10.035416614367918</v>
      </c>
    </row>
    <row r="11" spans="1:5" ht="15.75" thickBot="1">
      <c r="A11" s="131" t="s">
        <v>183</v>
      </c>
      <c r="B11" s="101" t="s">
        <v>76</v>
      </c>
      <c r="C11" s="128">
        <f>$C$5*'Showerhead Calculations'!$D$11*'Showerhead Calculations'!$D$12*('Showerhead Calculations'!$D$8-'Water Temperatures'!$B4)/'Showerhead Calculations'!$D$13/100000</f>
        <v>44.64424881676986</v>
      </c>
      <c r="D11" s="129">
        <f>$D$5*'Showerhead Calculations'!$D$11*'Showerhead Calculations'!$D$12*('Showerhead Calculations'!$D$8-'Water Temperatures'!$B4)/'Showerhead Calculations'!$D$13/100000</f>
        <v>35.715399053415894</v>
      </c>
      <c r="E11" s="130">
        <f t="shared" si="0"/>
        <v>8.9288497633539663</v>
      </c>
    </row>
    <row r="12" spans="1:5" ht="15.75" thickBot="1">
      <c r="A12" s="131" t="s">
        <v>183</v>
      </c>
      <c r="B12" s="101" t="s">
        <v>77</v>
      </c>
      <c r="C12" s="97">
        <f>$C$5*'Showerhead Calculations'!$D$11*'Showerhead Calculations'!$D$12*('Showerhead Calculations'!$D$8-'Water Temperatures'!$B5)/'Showerhead Calculations'!$D$13/100000</f>
        <v>44.835036204875713</v>
      </c>
      <c r="D12" s="115">
        <f>$D$5*'Showerhead Calculations'!$D$11*'Showerhead Calculations'!$D$12*('Showerhead Calculations'!$D$8-'Water Temperatures'!$B5)/'Showerhead Calculations'!$D$13/100000</f>
        <v>35.868028963900578</v>
      </c>
      <c r="E12" s="126">
        <f t="shared" si="0"/>
        <v>8.9670072409751356</v>
      </c>
    </row>
    <row r="13" spans="1:5" ht="15.75" thickBot="1">
      <c r="A13" s="131" t="s">
        <v>183</v>
      </c>
      <c r="B13" s="101" t="s">
        <v>78</v>
      </c>
      <c r="C13" s="97">
        <f>$C$5*'Showerhead Calculations'!$D$11*'Showerhead Calculations'!$D$12*('Showerhead Calculations'!$D$8-'Water Temperatures'!$B6)/'Showerhead Calculations'!$D$13/100000</f>
        <v>42.545587547605479</v>
      </c>
      <c r="D13" s="115">
        <f>$D$5*'Showerhead Calculations'!$D$11*'Showerhead Calculations'!$D$12*('Showerhead Calculations'!$D$8-'Water Temperatures'!$B6)/'Showerhead Calculations'!$D$13/100000</f>
        <v>34.036470038084381</v>
      </c>
      <c r="E13" s="126">
        <f t="shared" si="0"/>
        <v>8.5091175095210971</v>
      </c>
    </row>
    <row r="14" spans="1:5" ht="15.75" thickBot="1">
      <c r="A14" s="131" t="s">
        <v>183</v>
      </c>
      <c r="B14" s="101" t="s">
        <v>79</v>
      </c>
      <c r="C14" s="97">
        <f>$C$5*'Showerhead Calculations'!$D$11*'Showerhead Calculations'!$D$12*('Showerhead Calculations'!$D$8-'Water Temperatures'!$B7)/'Showerhead Calculations'!$D$13/100000</f>
        <v>45.979760533510849</v>
      </c>
      <c r="D14" s="115">
        <f>$D$5*'Showerhead Calculations'!$D$11*'Showerhead Calculations'!$D$12*('Showerhead Calculations'!$D$8-'Water Temperatures'!$B7)/'Showerhead Calculations'!$D$13/100000</f>
        <v>36.783808426808676</v>
      </c>
      <c r="E14" s="126">
        <f t="shared" si="0"/>
        <v>9.1959521067021726</v>
      </c>
    </row>
    <row r="15" spans="1:5" ht="15.75" thickBot="1">
      <c r="A15" s="131" t="s">
        <v>183</v>
      </c>
      <c r="B15" s="101" t="s">
        <v>80</v>
      </c>
      <c r="C15" s="97">
        <f>$C$5*'Showerhead Calculations'!$D$11*'Showerhead Calculations'!$D$12*('Showerhead Calculations'!$D$8-'Water Temperatures'!$B8)/'Showerhead Calculations'!$D$13/100000</f>
        <v>40.351532584388139</v>
      </c>
      <c r="D15" s="115">
        <f>$D$5*'Showerhead Calculations'!$D$11*'Showerhead Calculations'!$D$12*('Showerhead Calculations'!$D$8-'Water Temperatures'!$B8)/'Showerhead Calculations'!$D$13/100000</f>
        <v>32.281226067510516</v>
      </c>
      <c r="E15" s="126">
        <f t="shared" si="0"/>
        <v>8.070306516877622</v>
      </c>
    </row>
    <row r="16" spans="1:5" ht="15.75" thickBot="1">
      <c r="A16" s="131" t="s">
        <v>183</v>
      </c>
      <c r="B16" s="101" t="s">
        <v>81</v>
      </c>
      <c r="C16" s="97">
        <f>$C$5*'Showerhead Calculations'!$D$11*'Showerhead Calculations'!$D$12*('Showerhead Calculations'!$D$8-'Water Temperatures'!$B9)/'Showerhead Calculations'!$D$13/100000</f>
        <v>39.588383031964732</v>
      </c>
      <c r="D16" s="115">
        <f>$D$5*'Showerhead Calculations'!$D$11*'Showerhead Calculations'!$D$12*('Showerhead Calculations'!$D$8-'Water Temperatures'!$B9)/'Showerhead Calculations'!$D$13/100000</f>
        <v>31.67070642557179</v>
      </c>
      <c r="E16" s="126">
        <f t="shared" si="0"/>
        <v>7.9176766063929414</v>
      </c>
    </row>
    <row r="17" spans="1:5" ht="15.75" thickBot="1">
      <c r="A17" s="131" t="s">
        <v>183</v>
      </c>
      <c r="B17" s="101" t="s">
        <v>82</v>
      </c>
      <c r="C17" s="97">
        <f>$C$5*'Showerhead Calculations'!$D$11*'Showerhead Calculations'!$D$12*('Showerhead Calculations'!$D$8-'Water Temperatures'!$B10)/'Showerhead Calculations'!$D$13/100000</f>
        <v>38.443658703329604</v>
      </c>
      <c r="D17" s="115">
        <f>$D$5*'Showerhead Calculations'!$D$11*'Showerhead Calculations'!$D$12*('Showerhead Calculations'!$D$8-'Water Temperatures'!$B10)/'Showerhead Calculations'!$D$13/100000</f>
        <v>30.754926962663685</v>
      </c>
      <c r="E17" s="126">
        <f t="shared" si="0"/>
        <v>7.6887317406659186</v>
      </c>
    </row>
    <row r="18" spans="1:5" ht="15.75" thickBot="1">
      <c r="A18" s="131" t="s">
        <v>183</v>
      </c>
      <c r="B18" s="101" t="s">
        <v>83</v>
      </c>
      <c r="C18" s="97">
        <f>$C$5*'Showerhead Calculations'!$D$11*'Showerhead Calculations'!$D$12*('Showerhead Calculations'!$D$8-'Water Temperatures'!$B11)/'Showerhead Calculations'!$D$13/100000</f>
        <v>38.443658703329604</v>
      </c>
      <c r="D18" s="115">
        <f>$D$5*'Showerhead Calculations'!$D$11*'Showerhead Calculations'!$D$12*('Showerhead Calculations'!$D$8-'Water Temperatures'!$B11)/'Showerhead Calculations'!$D$13/100000</f>
        <v>30.754926962663685</v>
      </c>
      <c r="E18" s="150">
        <f t="shared" si="0"/>
        <v>7.6887317406659186</v>
      </c>
    </row>
    <row r="19" spans="1:5" ht="15.75" thickBot="1">
      <c r="A19" s="131" t="s">
        <v>183</v>
      </c>
      <c r="B19" s="101" t="s">
        <v>84</v>
      </c>
      <c r="C19" s="97">
        <f>$C$5*'Showerhead Calculations'!$D$11*'Showerhead Calculations'!$D$12*('Showerhead Calculations'!$D$8-'Water Temperatures'!$B12)/'Showerhead Calculations'!$D$13/100000</f>
        <v>38.15747762117082</v>
      </c>
      <c r="D19" s="115">
        <f>$D$5*'Showerhead Calculations'!$D$11*'Showerhead Calculations'!$D$12*('Showerhead Calculations'!$D$8-'Water Temperatures'!$B12)/'Showerhead Calculations'!$D$13/100000</f>
        <v>30.525982096936662</v>
      </c>
      <c r="E19" s="126">
        <f t="shared" si="0"/>
        <v>7.6314955242341576</v>
      </c>
    </row>
    <row r="20" spans="1:5" ht="15.75" thickBot="1">
      <c r="A20" s="131" t="s">
        <v>183</v>
      </c>
      <c r="B20" s="101" t="s">
        <v>85</v>
      </c>
      <c r="C20" s="97">
        <f>$C$5*'Showerhead Calculations'!$D$11*'Showerhead Calculations'!$D$12*('Showerhead Calculations'!$D$8-'Water Temperatures'!$B13)/'Showerhead Calculations'!$D$13/100000</f>
        <v>39.302201949805955</v>
      </c>
      <c r="D20" s="115">
        <f>$D$5*'Showerhead Calculations'!$D$11*'Showerhead Calculations'!$D$12*('Showerhead Calculations'!$D$8-'Water Temperatures'!$B13)/'Showerhead Calculations'!$D$13/100000</f>
        <v>31.44176155984476</v>
      </c>
      <c r="E20" s="126">
        <f t="shared" si="0"/>
        <v>7.8604403899611945</v>
      </c>
    </row>
    <row r="21" spans="1:5" ht="15.75" thickBot="1">
      <c r="A21" s="131" t="s">
        <v>183</v>
      </c>
      <c r="B21" s="101" t="s">
        <v>86</v>
      </c>
      <c r="C21" s="97">
        <f>$C$5*'Showerhead Calculations'!$D$11*'Showerhead Calculations'!$D$12*('Showerhead Calculations'!$D$8-'Water Temperatures'!$B14)/'Showerhead Calculations'!$D$13/100000</f>
        <v>41.305469524917413</v>
      </c>
      <c r="D21" s="115">
        <f>$D$5*'Showerhead Calculations'!$D$11*'Showerhead Calculations'!$D$12*('Showerhead Calculations'!$D$8-'Water Temperatures'!$B14)/'Showerhead Calculations'!$D$13/100000</f>
        <v>33.04437561993393</v>
      </c>
      <c r="E21" s="126">
        <f t="shared" si="0"/>
        <v>8.2610939049834826</v>
      </c>
    </row>
    <row r="22" spans="1:5" ht="15.75" thickBot="1">
      <c r="A22" s="131" t="s">
        <v>183</v>
      </c>
      <c r="B22" s="101" t="s">
        <v>87</v>
      </c>
      <c r="C22" s="97">
        <f>$C$5*'Showerhead Calculations'!$D$11*'Showerhead Calculations'!$D$12*('Showerhead Calculations'!$D$8-'Water Temperatures'!$B15)/'Showerhead Calculations'!$D$13/100000</f>
        <v>38.34826500927668</v>
      </c>
      <c r="D22" s="115">
        <f>$D$5*'Showerhead Calculations'!$D$11*'Showerhead Calculations'!$D$12*('Showerhead Calculations'!$D$8-'Water Temperatures'!$B15)/'Showerhead Calculations'!$D$13/100000</f>
        <v>30.678612007421354</v>
      </c>
      <c r="E22" s="126">
        <f t="shared" si="0"/>
        <v>7.6696530018553268</v>
      </c>
    </row>
    <row r="23" spans="1:5" ht="15.75" thickBot="1">
      <c r="A23" s="131" t="s">
        <v>183</v>
      </c>
      <c r="B23" s="101" t="s">
        <v>88</v>
      </c>
      <c r="C23" s="97">
        <f>$C$5*'Showerhead Calculations'!$D$11*'Showerhead Calculations'!$D$12*('Showerhead Calculations'!$D$8-'Water Temperatures'!$B16)/'Showerhead Calculations'!$D$13/100000</f>
        <v>39.779170420070585</v>
      </c>
      <c r="D23" s="115">
        <f>$D$5*'Showerhead Calculations'!$D$11*'Showerhead Calculations'!$D$12*('Showerhead Calculations'!$D$8-'Water Temperatures'!$B16)/'Showerhead Calculations'!$D$13/100000</f>
        <v>31.823336336056474</v>
      </c>
      <c r="E23" s="126">
        <f t="shared" si="0"/>
        <v>7.9558340840141106</v>
      </c>
    </row>
    <row r="24" spans="1:5" ht="15.75" thickBot="1">
      <c r="A24" s="131" t="s">
        <v>183</v>
      </c>
      <c r="B24" s="101" t="s">
        <v>89</v>
      </c>
      <c r="C24" s="97">
        <f>$C$5*'Showerhead Calculations'!$D$11*'Showerhead Calculations'!$D$12*('Showerhead Calculations'!$D$8-'Water Temperatures'!$B17)/'Showerhead Calculations'!$D$13/100000</f>
        <v>27.759564969401769</v>
      </c>
      <c r="D24" s="115">
        <f>$D$5*'Showerhead Calculations'!$D$11*'Showerhead Calculations'!$D$12*('Showerhead Calculations'!$D$8-'Water Temperatures'!$B17)/'Showerhead Calculations'!$D$13/100000</f>
        <v>22.207651975521419</v>
      </c>
      <c r="E24" s="126">
        <f t="shared" si="0"/>
        <v>5.5519129938803502</v>
      </c>
    </row>
    <row r="25" spans="1:5" ht="15.75" thickBot="1">
      <c r="A25" s="170" t="s">
        <v>183</v>
      </c>
      <c r="B25" s="127" t="s">
        <v>90</v>
      </c>
      <c r="C25" s="151">
        <f>$C$5*'Showerhead Calculations'!$D$11*'Showerhead Calculations'!$D$12*('Showerhead Calculations'!$D$8-'Water Temperatures'!$B18)/'Showerhead Calculations'!$D$13/100000</f>
        <v>49.986295683733772</v>
      </c>
      <c r="D25" s="152">
        <f>$D$5*'Showerhead Calculations'!$D$11*'Showerhead Calculations'!$D$12*('Showerhead Calculations'!$D$8-'Water Temperatures'!$B18)/'Showerhead Calculations'!$D$13/100000</f>
        <v>39.989036546987023</v>
      </c>
      <c r="E25" s="153">
        <f t="shared" si="0"/>
        <v>9.9972591367467487</v>
      </c>
    </row>
    <row r="26" spans="1:5" ht="16.5" thickTop="1" thickBot="1">
      <c r="A26" s="121" t="s">
        <v>147</v>
      </c>
      <c r="B26" s="116" t="s">
        <v>64</v>
      </c>
      <c r="C26" s="97">
        <f>$C$6*'Showerhead Calculations'!$D$11*'Showerhead Calculations'!$D$12*('Showerhead Calculations'!$D$8-'Water Temperatures'!$B3)/'Showerhead Calculations'!$D$13/100000</f>
        <v>24.564268578878742</v>
      </c>
      <c r="D26" s="115">
        <f>$D$6*'Showerhead Calculations'!$D$11*'Showerhead Calculations'!$D$12*('Showerhead Calculations'!$D$8-'Water Temperatures'!$B3)/'Showerhead Calculations'!$D$13/100000</f>
        <v>19.651414863102996</v>
      </c>
      <c r="E26" s="126">
        <f t="shared" ref="E26:E41" si="1">C26-D26</f>
        <v>4.9128537157757464</v>
      </c>
    </row>
    <row r="27" spans="1:5" ht="15.75" thickBot="1">
      <c r="A27" s="121" t="s">
        <v>147</v>
      </c>
      <c r="B27" s="101" t="s">
        <v>76</v>
      </c>
      <c r="C27" s="97">
        <f>$C$6*'Showerhead Calculations'!$D$11*'Showerhead Calculations'!$D$12*('Showerhead Calculations'!$D$8-'Water Temperatures'!$B4)/'Showerhead Calculations'!$D$13/100000</f>
        <v>21.855661016949146</v>
      </c>
      <c r="D27" s="115">
        <f>$D$6*'Showerhead Calculations'!$D$11*'Showerhead Calculations'!$D$12*('Showerhead Calculations'!$D$8-'Water Temperatures'!$B4)/'Showerhead Calculations'!$D$13/100000</f>
        <v>17.484528813559319</v>
      </c>
      <c r="E27" s="126">
        <f t="shared" si="1"/>
        <v>4.371132203389827</v>
      </c>
    </row>
    <row r="28" spans="1:5" ht="15.75" thickBot="1">
      <c r="A28" s="121" t="s">
        <v>147</v>
      </c>
      <c r="B28" s="101" t="s">
        <v>77</v>
      </c>
      <c r="C28" s="97">
        <f>$C$6*'Showerhead Calculations'!$D$11*'Showerhead Calculations'!$D$12*('Showerhead Calculations'!$D$8-'Water Temperatures'!$B5)/'Showerhead Calculations'!$D$13/100000</f>
        <v>21.949061277705336</v>
      </c>
      <c r="D28" s="115">
        <f>$D$6*'Showerhead Calculations'!$D$11*'Showerhead Calculations'!$D$12*('Showerhead Calculations'!$D$8-'Water Temperatures'!$B5)/'Showerhead Calculations'!$D$13/100000</f>
        <v>17.55924902216427</v>
      </c>
      <c r="E28" s="126">
        <f t="shared" si="1"/>
        <v>4.3898122555410666</v>
      </c>
    </row>
    <row r="29" spans="1:5" ht="15.75" thickBot="1">
      <c r="A29" s="121" t="s">
        <v>147</v>
      </c>
      <c r="B29" s="101" t="s">
        <v>78</v>
      </c>
      <c r="C29" s="97">
        <f>$C$6*'Showerhead Calculations'!$D$11*'Showerhead Calculations'!$D$12*('Showerhead Calculations'!$D$8-'Water Temperatures'!$B6)/'Showerhead Calculations'!$D$13/100000</f>
        <v>20.828258148631029</v>
      </c>
      <c r="D29" s="115">
        <f>$D$6*'Showerhead Calculations'!$D$11*'Showerhead Calculations'!$D$12*('Showerhead Calculations'!$D$8-'Water Temperatures'!$B6)/'Showerhead Calculations'!$D$13/100000</f>
        <v>16.66260651890482</v>
      </c>
      <c r="E29" s="126">
        <f t="shared" si="1"/>
        <v>4.1656516297262094</v>
      </c>
    </row>
    <row r="30" spans="1:5" ht="15.75" thickBot="1">
      <c r="A30" s="121" t="s">
        <v>147</v>
      </c>
      <c r="B30" s="101" t="s">
        <v>79</v>
      </c>
      <c r="C30" s="97">
        <f>$C$6*'Showerhead Calculations'!$D$11*'Showerhead Calculations'!$D$12*('Showerhead Calculations'!$D$8-'Water Temperatures'!$B7)/'Showerhead Calculations'!$D$13/100000</f>
        <v>22.509462842242499</v>
      </c>
      <c r="D30" s="115">
        <f>$D$6*'Showerhead Calculations'!$D$11*'Showerhead Calculations'!$D$12*('Showerhead Calculations'!$D$8-'Water Temperatures'!$B7)/'Showerhead Calculations'!$D$13/100000</f>
        <v>18.007570273794002</v>
      </c>
      <c r="E30" s="126">
        <f t="shared" si="1"/>
        <v>4.5018925684484969</v>
      </c>
    </row>
    <row r="31" spans="1:5" ht="15.75" thickBot="1">
      <c r="A31" s="121" t="s">
        <v>147</v>
      </c>
      <c r="B31" s="101" t="s">
        <v>80</v>
      </c>
      <c r="C31" s="97">
        <f>$C$6*'Showerhead Calculations'!$D$11*'Showerhead Calculations'!$D$12*('Showerhead Calculations'!$D$8-'Water Temperatures'!$B8)/'Showerhead Calculations'!$D$13/100000</f>
        <v>19.754155149934803</v>
      </c>
      <c r="D31" s="115">
        <f>$D$6*'Showerhead Calculations'!$D$11*'Showerhead Calculations'!$D$12*('Showerhead Calculations'!$D$8-'Water Temperatures'!$B8)/'Showerhead Calculations'!$D$13/100000</f>
        <v>15.803324119947844</v>
      </c>
      <c r="E31" s="126">
        <f t="shared" si="1"/>
        <v>3.9508310299869596</v>
      </c>
    </row>
    <row r="32" spans="1:5" ht="15.75" thickBot="1">
      <c r="A32" s="121" t="s">
        <v>147</v>
      </c>
      <c r="B32" s="101" t="s">
        <v>81</v>
      </c>
      <c r="C32" s="97">
        <f>$C$6*'Showerhead Calculations'!$D$11*'Showerhead Calculations'!$D$12*('Showerhead Calculations'!$D$8-'Water Temperatures'!$B9)/'Showerhead Calculations'!$D$13/100000</f>
        <v>19.380554106910036</v>
      </c>
      <c r="D32" s="115">
        <f>$D$6*'Showerhead Calculations'!$D$11*'Showerhead Calculations'!$D$12*('Showerhead Calculations'!$D$8-'Water Temperatures'!$B9)/'Showerhead Calculations'!$D$13/100000</f>
        <v>15.504443285528026</v>
      </c>
      <c r="E32" s="126">
        <f t="shared" si="1"/>
        <v>3.8761108213820101</v>
      </c>
    </row>
    <row r="33" spans="1:5" ht="15.75" thickBot="1">
      <c r="A33" s="121" t="s">
        <v>147</v>
      </c>
      <c r="B33" s="101" t="s">
        <v>82</v>
      </c>
      <c r="C33" s="97">
        <f>$C$6*'Showerhead Calculations'!$D$11*'Showerhead Calculations'!$D$12*('Showerhead Calculations'!$D$8-'Water Temperatures'!$B10)/'Showerhead Calculations'!$D$13/100000</f>
        <v>18.820152542372874</v>
      </c>
      <c r="D33" s="115">
        <f>$D$6*'Showerhead Calculations'!$D$11*'Showerhead Calculations'!$D$12*('Showerhead Calculations'!$D$8-'Water Temperatures'!$B10)/'Showerhead Calculations'!$D$13/100000</f>
        <v>15.0561220338983</v>
      </c>
      <c r="E33" s="126">
        <f t="shared" si="1"/>
        <v>3.7640305084745744</v>
      </c>
    </row>
    <row r="34" spans="1:5" ht="15.75" thickBot="1">
      <c r="A34" s="121" t="s">
        <v>147</v>
      </c>
      <c r="B34" s="101" t="s">
        <v>83</v>
      </c>
      <c r="C34" s="97">
        <f>$C$6*'Showerhead Calculations'!$D$11*'Showerhead Calculations'!$D$12*('Showerhead Calculations'!$D$8-'Water Temperatures'!$B11)/'Showerhead Calculations'!$D$13/100000</f>
        <v>18.820152542372874</v>
      </c>
      <c r="D34" s="115">
        <f>$D$6*'Showerhead Calculations'!$D$11*'Showerhead Calculations'!$D$12*('Showerhead Calculations'!$D$8-'Water Temperatures'!$B11)/'Showerhead Calculations'!$D$13/100000</f>
        <v>15.0561220338983</v>
      </c>
      <c r="E34" s="150">
        <f t="shared" si="1"/>
        <v>3.7640305084745744</v>
      </c>
    </row>
    <row r="35" spans="1:5" ht="15.75" thickBot="1">
      <c r="A35" s="121" t="s">
        <v>147</v>
      </c>
      <c r="B35" s="101" t="s">
        <v>84</v>
      </c>
      <c r="C35" s="97">
        <f>$C$6*'Showerhead Calculations'!$D$11*'Showerhead Calculations'!$D$12*('Showerhead Calculations'!$D$8-'Water Temperatures'!$B12)/'Showerhead Calculations'!$D$13/100000</f>
        <v>18.680052151238588</v>
      </c>
      <c r="D35" s="115">
        <f>$D$6*'Showerhead Calculations'!$D$11*'Showerhead Calculations'!$D$12*('Showerhead Calculations'!$D$8-'Water Temperatures'!$B12)/'Showerhead Calculations'!$D$13/100000</f>
        <v>14.944041720990869</v>
      </c>
      <c r="E35" s="126">
        <f t="shared" si="1"/>
        <v>3.7360104302477186</v>
      </c>
    </row>
    <row r="36" spans="1:5" ht="15.75" thickBot="1">
      <c r="A36" s="121" t="s">
        <v>147</v>
      </c>
      <c r="B36" s="101" t="s">
        <v>85</v>
      </c>
      <c r="C36" s="97">
        <f>$C$6*'Showerhead Calculations'!$D$11*'Showerhead Calculations'!$D$12*('Showerhead Calculations'!$D$8-'Water Temperatures'!$B13)/'Showerhead Calculations'!$D$13/100000</f>
        <v>19.240453715775747</v>
      </c>
      <c r="D36" s="115">
        <f>$D$6*'Showerhead Calculations'!$D$11*'Showerhead Calculations'!$D$12*('Showerhead Calculations'!$D$8-'Water Temperatures'!$B13)/'Showerhead Calculations'!$D$13/100000</f>
        <v>15.392362972620598</v>
      </c>
      <c r="E36" s="126">
        <f t="shared" si="1"/>
        <v>3.848090743155149</v>
      </c>
    </row>
    <row r="37" spans="1:5" ht="15.75" thickBot="1">
      <c r="A37" s="121" t="s">
        <v>147</v>
      </c>
      <c r="B37" s="101" t="s">
        <v>86</v>
      </c>
      <c r="C37" s="97">
        <f>$C$6*'Showerhead Calculations'!$D$11*'Showerhead Calculations'!$D$12*('Showerhead Calculations'!$D$8-'Water Temperatures'!$B14)/'Showerhead Calculations'!$D$13/100000</f>
        <v>20.221156453715771</v>
      </c>
      <c r="D37" s="115">
        <f>$D$6*'Showerhead Calculations'!$D$11*'Showerhead Calculations'!$D$12*('Showerhead Calculations'!$D$8-'Water Temperatures'!$B14)/'Showerhead Calculations'!$D$13/100000</f>
        <v>16.176925162972616</v>
      </c>
      <c r="E37" s="126">
        <f t="shared" si="1"/>
        <v>4.0442312907431557</v>
      </c>
    </row>
    <row r="38" spans="1:5" ht="15.75" thickBot="1">
      <c r="A38" s="121" t="s">
        <v>147</v>
      </c>
      <c r="B38" s="101" t="s">
        <v>87</v>
      </c>
      <c r="C38" s="97">
        <f>$C$6*'Showerhead Calculations'!$D$11*'Showerhead Calculations'!$D$12*('Showerhead Calculations'!$D$8-'Water Temperatures'!$B15)/'Showerhead Calculations'!$D$13/100000</f>
        <v>18.773452411994782</v>
      </c>
      <c r="D38" s="115">
        <f>$D$6*'Showerhead Calculations'!$D$11*'Showerhead Calculations'!$D$12*('Showerhead Calculations'!$D$8-'Water Temperatures'!$B15)/'Showerhead Calculations'!$D$13/100000</f>
        <v>15.018761929595824</v>
      </c>
      <c r="E38" s="126">
        <f t="shared" si="1"/>
        <v>3.7546904823989582</v>
      </c>
    </row>
    <row r="39" spans="1:5" ht="15.75" thickBot="1">
      <c r="A39" s="121" t="s">
        <v>147</v>
      </c>
      <c r="B39" s="101" t="s">
        <v>88</v>
      </c>
      <c r="C39" s="97">
        <f>$C$6*'Showerhead Calculations'!$D$11*'Showerhead Calculations'!$D$12*('Showerhead Calculations'!$D$8-'Water Temperatures'!$B16)/'Showerhead Calculations'!$D$13/100000</f>
        <v>19.473954367666231</v>
      </c>
      <c r="D39" s="115">
        <f>$D$6*'Showerhead Calculations'!$D$11*'Showerhead Calculations'!$D$12*('Showerhead Calculations'!$D$8-'Water Temperatures'!$B16)/'Showerhead Calculations'!$D$13/100000</f>
        <v>15.579163494132983</v>
      </c>
      <c r="E39" s="126">
        <f t="shared" si="1"/>
        <v>3.8947908735332479</v>
      </c>
    </row>
    <row r="40" spans="1:5" ht="15.75" thickBot="1">
      <c r="A40" s="121" t="s">
        <v>147</v>
      </c>
      <c r="B40" s="101" t="s">
        <v>89</v>
      </c>
      <c r="C40" s="97">
        <f>$C$6*'Showerhead Calculations'!$D$11*'Showerhead Calculations'!$D$12*('Showerhead Calculations'!$D$8-'Water Temperatures'!$B17)/'Showerhead Calculations'!$D$13/100000</f>
        <v>13.589737940026071</v>
      </c>
      <c r="D40" s="115">
        <f>$D$6*'Showerhead Calculations'!$D$11*'Showerhead Calculations'!$D$12*('Showerhead Calculations'!$D$8-'Water Temperatures'!$B17)/'Showerhead Calculations'!$D$13/100000</f>
        <v>10.871790352020856</v>
      </c>
      <c r="E40" s="126">
        <f t="shared" si="1"/>
        <v>2.7179475880052149</v>
      </c>
    </row>
    <row r="41" spans="1:5" ht="15.75" thickBot="1">
      <c r="A41" s="123" t="s">
        <v>147</v>
      </c>
      <c r="B41" s="127" t="s">
        <v>90</v>
      </c>
      <c r="C41" s="154">
        <f>$C$6*'Showerhead Calculations'!$D$11*'Showerhead Calculations'!$D$12*('Showerhead Calculations'!$D$8-'Water Temperatures'!$B18)/'Showerhead Calculations'!$D$13/100000</f>
        <v>24.470868318122545</v>
      </c>
      <c r="D41" s="155">
        <f>$D$6*'Showerhead Calculations'!$D$11*'Showerhead Calculations'!$D$12*('Showerhead Calculations'!$D$8-'Water Temperatures'!$B18)/'Showerhead Calculations'!$D$13/100000</f>
        <v>19.576694654498041</v>
      </c>
      <c r="E41" s="153">
        <f t="shared" si="1"/>
        <v>4.8941736636245032</v>
      </c>
    </row>
    <row r="42" spans="1:5" ht="15.75" thickTop="1"/>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X67"/>
  <sheetViews>
    <sheetView topLeftCell="A16" workbookViewId="0">
      <selection activeCell="O42" sqref="O42"/>
    </sheetView>
  </sheetViews>
  <sheetFormatPr defaultRowHeight="15"/>
  <cols>
    <col min="1" max="1" width="4.85546875" style="10" customWidth="1"/>
    <col min="2" max="2" width="15.140625" style="10" customWidth="1"/>
    <col min="3" max="3" width="14.28515625" style="10" bestFit="1" customWidth="1"/>
    <col min="4" max="4" width="15.85546875" style="10" bestFit="1" customWidth="1"/>
    <col min="5" max="6" width="8.85546875" style="10"/>
    <col min="7" max="7" width="9" bestFit="1" customWidth="1"/>
    <col min="8" max="8" width="5.42578125" customWidth="1"/>
    <col min="9" max="9" width="23" bestFit="1" customWidth="1"/>
    <col min="10" max="10" width="14.28515625" bestFit="1" customWidth="1"/>
    <col min="11" max="11" width="15.85546875" style="10" bestFit="1" customWidth="1"/>
    <col min="12" max="12" width="10.42578125" bestFit="1" customWidth="1"/>
    <col min="14" max="14" width="7.28515625" customWidth="1"/>
    <col min="15" max="15" width="7.7109375" bestFit="1" customWidth="1"/>
    <col min="16" max="16" width="9.5703125" customWidth="1"/>
    <col min="26" max="26" width="11" bestFit="1" customWidth="1"/>
    <col min="28" max="28" width="14.7109375" bestFit="1" customWidth="1"/>
  </cols>
  <sheetData>
    <row r="2" spans="2:24">
      <c r="B2" s="10" t="s">
        <v>122</v>
      </c>
    </row>
    <row r="3" spans="2:24">
      <c r="B3" s="172" t="s">
        <v>195</v>
      </c>
      <c r="I3" s="172" t="s">
        <v>194</v>
      </c>
      <c r="J3" s="10"/>
      <c r="L3" s="10"/>
    </row>
    <row r="4" spans="2:24">
      <c r="C4" s="10" t="s">
        <v>197</v>
      </c>
      <c r="D4" s="10" t="s">
        <v>196</v>
      </c>
      <c r="E4" s="183" t="s">
        <v>110</v>
      </c>
      <c r="I4" s="10"/>
      <c r="J4" s="10" t="s">
        <v>197</v>
      </c>
      <c r="K4" s="10" t="s">
        <v>196</v>
      </c>
      <c r="L4" s="183" t="s">
        <v>110</v>
      </c>
    </row>
    <row r="5" spans="2:24">
      <c r="B5" s="10" t="s">
        <v>111</v>
      </c>
      <c r="C5" s="174">
        <v>36607575</v>
      </c>
      <c r="D5" s="174">
        <v>25515497</v>
      </c>
      <c r="E5" s="3">
        <f>D5/C5</f>
        <v>0.69700047053103076</v>
      </c>
      <c r="I5" s="10" t="s">
        <v>111</v>
      </c>
      <c r="J5" s="174">
        <v>35178700</v>
      </c>
      <c r="K5" s="174">
        <v>26410989</v>
      </c>
      <c r="L5" s="3">
        <f>K5/J5</f>
        <v>0.75076648653872935</v>
      </c>
    </row>
    <row r="6" spans="2:24">
      <c r="B6" s="10" t="s">
        <v>112</v>
      </c>
      <c r="C6" s="174">
        <v>13185260</v>
      </c>
      <c r="D6" s="174">
        <v>9201538</v>
      </c>
      <c r="E6" s="3">
        <f t="shared" ref="E6:E13" si="0">D6/C6</f>
        <v>0.69786549525758312</v>
      </c>
      <c r="I6" s="10" t="s">
        <v>112</v>
      </c>
      <c r="J6" s="174">
        <v>13224315</v>
      </c>
      <c r="K6" s="174">
        <v>9554028</v>
      </c>
      <c r="L6" s="3">
        <f t="shared" ref="L6:L13" si="1">K6/J6</f>
        <v>0.72245919731948305</v>
      </c>
    </row>
    <row r="7" spans="2:24">
      <c r="B7" s="10" t="s">
        <v>113</v>
      </c>
      <c r="C7" s="174">
        <v>17192230</v>
      </c>
      <c r="D7" s="174">
        <v>11855627</v>
      </c>
      <c r="E7" s="3">
        <f t="shared" si="0"/>
        <v>0.68959215878335733</v>
      </c>
      <c r="I7" s="10" t="s">
        <v>113</v>
      </c>
      <c r="J7" s="174">
        <v>18214595</v>
      </c>
      <c r="K7" s="174">
        <v>13002366</v>
      </c>
      <c r="L7" s="3">
        <f t="shared" si="1"/>
        <v>0.71384326689668365</v>
      </c>
    </row>
    <row r="8" spans="2:24">
      <c r="B8" s="10" t="s">
        <v>114</v>
      </c>
      <c r="C8" s="174">
        <v>1946180</v>
      </c>
      <c r="D8" s="174">
        <v>1291833</v>
      </c>
      <c r="E8" s="3">
        <f t="shared" si="0"/>
        <v>0.66377878716254402</v>
      </c>
      <c r="I8" s="10" t="s">
        <v>114</v>
      </c>
      <c r="J8" s="174">
        <v>1946180</v>
      </c>
      <c r="K8" s="174">
        <v>1360018</v>
      </c>
      <c r="L8" s="3">
        <f t="shared" si="1"/>
        <v>0.69881408708341464</v>
      </c>
    </row>
    <row r="9" spans="2:24">
      <c r="B9" s="10" t="s">
        <v>115</v>
      </c>
      <c r="C9" s="174">
        <v>1658195</v>
      </c>
      <c r="D9" s="174">
        <v>1069444</v>
      </c>
      <c r="E9" s="3">
        <f t="shared" si="0"/>
        <v>0.64494465367462817</v>
      </c>
      <c r="I9" s="10" t="s">
        <v>115</v>
      </c>
      <c r="J9" s="174">
        <v>1673890</v>
      </c>
      <c r="K9" s="174">
        <v>1078694</v>
      </c>
      <c r="L9" s="3">
        <f t="shared" si="1"/>
        <v>0.64442346868671174</v>
      </c>
    </row>
    <row r="10" spans="2:24">
      <c r="B10" s="10" t="s">
        <v>116</v>
      </c>
      <c r="C10" s="174">
        <v>3771180</v>
      </c>
      <c r="D10" s="174">
        <v>1906996</v>
      </c>
      <c r="E10" s="3">
        <f t="shared" si="0"/>
        <v>0.50567620744700603</v>
      </c>
      <c r="I10" s="10" t="s">
        <v>116</v>
      </c>
      <c r="J10" s="174">
        <v>3711839</v>
      </c>
      <c r="K10" s="174">
        <v>2034224</v>
      </c>
      <c r="L10" s="3">
        <f t="shared" si="1"/>
        <v>0.54803670094527268</v>
      </c>
    </row>
    <row r="11" spans="2:24">
      <c r="B11" s="10" t="s">
        <v>117</v>
      </c>
      <c r="C11" s="174">
        <v>3492685</v>
      </c>
      <c r="D11" s="174">
        <v>2141908</v>
      </c>
      <c r="E11" s="3">
        <f t="shared" si="0"/>
        <v>0.6132554181095633</v>
      </c>
      <c r="I11" s="10" t="s">
        <v>117</v>
      </c>
      <c r="J11" s="174">
        <v>3547435</v>
      </c>
      <c r="K11" s="174">
        <v>2203161</v>
      </c>
      <c r="L11" s="3">
        <f t="shared" si="1"/>
        <v>0.62105746828342168</v>
      </c>
    </row>
    <row r="12" spans="2:24">
      <c r="B12" s="10" t="s">
        <v>118</v>
      </c>
      <c r="C12" s="174">
        <v>1542125</v>
      </c>
      <c r="D12" s="174">
        <v>986663</v>
      </c>
      <c r="E12" s="3">
        <f t="shared" si="0"/>
        <v>0.63980740860825158</v>
      </c>
      <c r="I12" s="10" t="s">
        <v>118</v>
      </c>
      <c r="J12" s="174">
        <v>1561105</v>
      </c>
      <c r="K12" s="174">
        <v>1040987</v>
      </c>
      <c r="L12" s="3">
        <f t="shared" si="1"/>
        <v>0.66682702316628284</v>
      </c>
    </row>
    <row r="13" spans="2:24">
      <c r="B13" s="10" t="s">
        <v>119</v>
      </c>
      <c r="C13" s="174">
        <v>3105785</v>
      </c>
      <c r="D13" s="174">
        <v>1891314</v>
      </c>
      <c r="E13" s="3">
        <f t="shared" si="0"/>
        <v>0.60896488327427689</v>
      </c>
      <c r="I13" s="10" t="s">
        <v>119</v>
      </c>
      <c r="J13" s="174">
        <v>3105785</v>
      </c>
      <c r="K13" s="174">
        <v>2051479</v>
      </c>
      <c r="L13" s="3">
        <f t="shared" si="1"/>
        <v>0.66053477623209589</v>
      </c>
    </row>
    <row r="14" spans="2:24" s="10" customFormat="1">
      <c r="B14" s="180" t="s">
        <v>199</v>
      </c>
      <c r="C14" s="181">
        <f>SUM(C5:C13)</f>
        <v>82501215</v>
      </c>
      <c r="D14" s="181">
        <f>SUM(D5:D13)</f>
        <v>55860820</v>
      </c>
      <c r="E14" s="182">
        <f>D14/C14</f>
        <v>0.67709087678284496</v>
      </c>
      <c r="F14" s="172"/>
      <c r="G14" s="172"/>
      <c r="H14" s="172"/>
      <c r="I14" s="180" t="s">
        <v>199</v>
      </c>
      <c r="J14" s="181">
        <f>SUM(J5:J13)</f>
        <v>82163844</v>
      </c>
      <c r="K14" s="181">
        <f>SUM(K5:K13)</f>
        <v>58735946</v>
      </c>
      <c r="L14" s="182">
        <f>K14/J14</f>
        <v>0.71486365706064092</v>
      </c>
    </row>
    <row r="15" spans="2:24">
      <c r="B15"/>
      <c r="C15"/>
      <c r="E15"/>
      <c r="F15"/>
    </row>
    <row r="16" spans="2:24">
      <c r="B16" s="172" t="s">
        <v>193</v>
      </c>
      <c r="I16" s="172" t="s">
        <v>192</v>
      </c>
      <c r="J16" s="10"/>
      <c r="L16" s="10"/>
      <c r="X16" s="175"/>
    </row>
    <row r="17" spans="2:24">
      <c r="C17" s="10" t="s">
        <v>197</v>
      </c>
      <c r="D17" s="10" t="s">
        <v>196</v>
      </c>
      <c r="E17" s="183" t="s">
        <v>110</v>
      </c>
      <c r="I17" s="10"/>
      <c r="J17" s="10" t="s">
        <v>197</v>
      </c>
      <c r="K17" s="10" t="s">
        <v>196</v>
      </c>
      <c r="L17" s="183" t="s">
        <v>110</v>
      </c>
      <c r="X17" s="175"/>
    </row>
    <row r="18" spans="2:24">
      <c r="B18" s="10" t="s">
        <v>111</v>
      </c>
      <c r="C18" s="174">
        <v>34804210</v>
      </c>
      <c r="D18" s="174">
        <v>27164821</v>
      </c>
      <c r="E18" s="3">
        <f>D18/C18</f>
        <v>0.78050388157064909</v>
      </c>
      <c r="I18" s="10" t="s">
        <v>111</v>
      </c>
      <c r="J18" s="174">
        <v>36215440</v>
      </c>
      <c r="K18" s="174">
        <v>28955331</v>
      </c>
      <c r="L18" s="3">
        <f t="shared" ref="L18:L26" si="2">K18/J18</f>
        <v>0.79953000709089828</v>
      </c>
      <c r="X18" s="175"/>
    </row>
    <row r="19" spans="2:24">
      <c r="B19" s="10" t="s">
        <v>112</v>
      </c>
      <c r="C19" s="174">
        <v>13337100</v>
      </c>
      <c r="D19" s="174">
        <v>9812492</v>
      </c>
      <c r="E19" s="3">
        <f t="shared" ref="E19:E25" si="3">D19/C19</f>
        <v>0.73572905654152698</v>
      </c>
      <c r="I19" s="10" t="s">
        <v>112</v>
      </c>
      <c r="J19" s="174">
        <v>13467040</v>
      </c>
      <c r="K19" s="174">
        <v>9982333</v>
      </c>
      <c r="L19" s="3">
        <f t="shared" si="2"/>
        <v>0.74124180220746361</v>
      </c>
      <c r="X19" s="175"/>
    </row>
    <row r="20" spans="2:24">
      <c r="B20" s="10" t="s">
        <v>113</v>
      </c>
      <c r="C20" s="174">
        <v>18976715</v>
      </c>
      <c r="D20" s="174">
        <v>13923482</v>
      </c>
      <c r="E20" s="3">
        <f t="shared" si="3"/>
        <v>0.73371402795478569</v>
      </c>
      <c r="I20" s="10" t="s">
        <v>113</v>
      </c>
      <c r="J20" s="174">
        <v>19040809</v>
      </c>
      <c r="K20" s="174">
        <v>14285464</v>
      </c>
      <c r="L20" s="3">
        <f t="shared" si="2"/>
        <v>0.75025509682913161</v>
      </c>
      <c r="X20" s="175"/>
    </row>
    <row r="21" spans="2:24">
      <c r="B21" s="10" t="s">
        <v>114</v>
      </c>
      <c r="C21" s="174">
        <v>1972825</v>
      </c>
      <c r="D21" s="174">
        <v>1409497</v>
      </c>
      <c r="E21" s="3">
        <f t="shared" si="3"/>
        <v>0.71445617325408994</v>
      </c>
      <c r="I21" s="10" t="s">
        <v>114</v>
      </c>
      <c r="J21" s="174">
        <v>2003211</v>
      </c>
      <c r="K21" s="174">
        <v>1454372</v>
      </c>
      <c r="L21" s="3">
        <f t="shared" si="2"/>
        <v>0.72602037428907884</v>
      </c>
      <c r="X21" s="175"/>
    </row>
    <row r="22" spans="2:24">
      <c r="B22" s="10" t="s">
        <v>115</v>
      </c>
      <c r="C22" s="174">
        <v>1673890</v>
      </c>
      <c r="D22" s="174">
        <v>1115862</v>
      </c>
      <c r="E22" s="3">
        <f t="shared" si="3"/>
        <v>0.66662803410020965</v>
      </c>
      <c r="I22" s="10" t="s">
        <v>115</v>
      </c>
      <c r="J22" s="174">
        <v>1673890</v>
      </c>
      <c r="K22" s="174">
        <v>1138217</v>
      </c>
      <c r="L22" s="3">
        <f t="shared" si="2"/>
        <v>0.6799831530148337</v>
      </c>
      <c r="X22" s="175"/>
    </row>
    <row r="23" spans="2:24">
      <c r="B23" s="10" t="s">
        <v>116</v>
      </c>
      <c r="C23" s="174">
        <v>3738414</v>
      </c>
      <c r="D23" s="174">
        <v>2131810</v>
      </c>
      <c r="E23" s="3">
        <f t="shared" si="3"/>
        <v>0.57024449405550059</v>
      </c>
      <c r="I23" s="10" t="s">
        <v>116</v>
      </c>
      <c r="J23" s="174">
        <v>3742864</v>
      </c>
      <c r="K23" s="174">
        <v>2155377</v>
      </c>
      <c r="L23" s="3">
        <f t="shared" si="2"/>
        <v>0.57586302895322938</v>
      </c>
      <c r="X23" s="175"/>
    </row>
    <row r="24" spans="2:24">
      <c r="B24" s="10" t="s">
        <v>117</v>
      </c>
      <c r="C24" s="174">
        <v>3603280</v>
      </c>
      <c r="D24" s="174">
        <v>2317200</v>
      </c>
      <c r="E24" s="3">
        <f t="shared" si="3"/>
        <v>0.64308074865122888</v>
      </c>
      <c r="I24" s="10" t="s">
        <v>117</v>
      </c>
      <c r="J24" s="174">
        <v>3622260</v>
      </c>
      <c r="K24" s="174">
        <v>2422912</v>
      </c>
      <c r="L24" s="3">
        <f t="shared" si="2"/>
        <v>0.66889510968290511</v>
      </c>
      <c r="X24" s="175"/>
    </row>
    <row r="25" spans="2:24">
      <c r="B25" s="10" t="s">
        <v>118</v>
      </c>
      <c r="C25" s="174">
        <v>1607825</v>
      </c>
      <c r="D25" s="174">
        <v>1110325</v>
      </c>
      <c r="E25" s="3">
        <f t="shared" si="3"/>
        <v>0.69057577783651825</v>
      </c>
      <c r="I25" s="10" t="s">
        <v>118</v>
      </c>
      <c r="J25" s="174">
        <v>1646880</v>
      </c>
      <c r="K25" s="174">
        <v>1175542</v>
      </c>
      <c r="L25" s="3">
        <f t="shared" si="2"/>
        <v>0.71379942679490915</v>
      </c>
      <c r="X25" s="175"/>
    </row>
    <row r="26" spans="2:24">
      <c r="B26" s="10" t="s">
        <v>119</v>
      </c>
      <c r="C26" s="174">
        <v>3145205</v>
      </c>
      <c r="D26" s="174">
        <v>2167571</v>
      </c>
      <c r="E26" s="3">
        <f>D26/C26</f>
        <v>0.68916684286079921</v>
      </c>
      <c r="I26" s="10" t="s">
        <v>119</v>
      </c>
      <c r="J26" s="174">
        <v>3203240</v>
      </c>
      <c r="K26" s="174">
        <v>2252619</v>
      </c>
      <c r="L26" s="3">
        <f t="shared" si="2"/>
        <v>0.70323141569161229</v>
      </c>
      <c r="X26" s="175"/>
    </row>
    <row r="27" spans="2:24" s="10" customFormat="1">
      <c r="B27" s="180" t="s">
        <v>199</v>
      </c>
      <c r="C27" s="181">
        <f>SUM(C18:C26)</f>
        <v>82859464</v>
      </c>
      <c r="D27" s="181">
        <f>SUM(D18:D26)</f>
        <v>61153060</v>
      </c>
      <c r="E27" s="182">
        <f>D27/C27</f>
        <v>0.73803349729609646</v>
      </c>
      <c r="F27" s="172"/>
      <c r="G27" s="172"/>
      <c r="H27" s="172"/>
      <c r="I27" s="180" t="s">
        <v>199</v>
      </c>
      <c r="J27" s="181">
        <f>SUM(J18:J26)</f>
        <v>84615634</v>
      </c>
      <c r="K27" s="181">
        <f>SUM(K18:K26)</f>
        <v>63822167</v>
      </c>
      <c r="L27" s="182">
        <f>K27/J27</f>
        <v>0.75425975062717132</v>
      </c>
      <c r="X27" s="175"/>
    </row>
    <row r="28" spans="2:24">
      <c r="X28" s="2"/>
    </row>
    <row r="29" spans="2:24">
      <c r="B29" s="172" t="s">
        <v>188</v>
      </c>
      <c r="I29" s="172" t="s">
        <v>185</v>
      </c>
      <c r="J29" s="10"/>
      <c r="L29" s="10"/>
    </row>
    <row r="30" spans="2:24">
      <c r="C30" s="10" t="s">
        <v>197</v>
      </c>
      <c r="D30" s="10" t="s">
        <v>196</v>
      </c>
      <c r="E30" s="183" t="s">
        <v>110</v>
      </c>
      <c r="I30" s="10"/>
      <c r="J30" s="10" t="s">
        <v>197</v>
      </c>
      <c r="K30" s="10" t="s">
        <v>196</v>
      </c>
      <c r="L30" s="183" t="s">
        <v>110</v>
      </c>
    </row>
    <row r="31" spans="2:24">
      <c r="B31" s="10" t="s">
        <v>111</v>
      </c>
      <c r="C31" s="174">
        <v>36612377</v>
      </c>
      <c r="D31" s="174">
        <v>29712406</v>
      </c>
      <c r="E31" s="3">
        <f t="shared" ref="E31:E39" si="4">D31/C31</f>
        <v>0.81153993361316035</v>
      </c>
      <c r="I31" s="10" t="s">
        <v>111</v>
      </c>
      <c r="J31" s="171">
        <v>36840198</v>
      </c>
      <c r="K31" s="171">
        <v>30061771</v>
      </c>
      <c r="L31" s="3">
        <f>K31/J31</f>
        <v>0.81600459910666057</v>
      </c>
    </row>
    <row r="32" spans="2:24">
      <c r="B32" s="10" t="s">
        <v>112</v>
      </c>
      <c r="C32" s="174">
        <v>13606268</v>
      </c>
      <c r="D32" s="174">
        <v>10364141</v>
      </c>
      <c r="E32" s="3">
        <f t="shared" si="4"/>
        <v>0.76171812873302214</v>
      </c>
      <c r="I32" s="10" t="s">
        <v>112</v>
      </c>
      <c r="J32" s="171">
        <v>13693462</v>
      </c>
      <c r="K32" s="171">
        <v>10726358</v>
      </c>
      <c r="L32" s="3">
        <f t="shared" ref="L32:L39" si="5">K32/J32</f>
        <v>0.78331966014146026</v>
      </c>
    </row>
    <row r="33" spans="2:18">
      <c r="B33" s="10" t="s">
        <v>113</v>
      </c>
      <c r="C33" s="174">
        <v>19312922</v>
      </c>
      <c r="D33" s="174">
        <v>14809747</v>
      </c>
      <c r="E33" s="3">
        <f t="shared" si="4"/>
        <v>0.76683098497472313</v>
      </c>
      <c r="I33" s="10" t="s">
        <v>113</v>
      </c>
      <c r="J33" s="171">
        <v>19480136</v>
      </c>
      <c r="K33" s="171">
        <v>15156995</v>
      </c>
      <c r="L33" s="3">
        <f t="shared" si="5"/>
        <v>0.77807439332045736</v>
      </c>
    </row>
    <row r="34" spans="2:18">
      <c r="B34" s="10" t="s">
        <v>114</v>
      </c>
      <c r="C34" s="174">
        <v>2007135</v>
      </c>
      <c r="D34" s="174">
        <v>1510413</v>
      </c>
      <c r="E34" s="3">
        <f t="shared" si="4"/>
        <v>0.75252187819952321</v>
      </c>
      <c r="I34" s="10" t="s">
        <v>114</v>
      </c>
      <c r="J34" s="171">
        <v>1977813</v>
      </c>
      <c r="K34" s="171">
        <v>1560808</v>
      </c>
      <c r="L34" s="3">
        <f t="shared" si="5"/>
        <v>0.7891585301542664</v>
      </c>
    </row>
    <row r="35" spans="2:18">
      <c r="B35" s="10" t="s">
        <v>115</v>
      </c>
      <c r="C35" s="174">
        <v>1673525</v>
      </c>
      <c r="D35" s="174">
        <v>1210688</v>
      </c>
      <c r="E35" s="3">
        <f t="shared" si="4"/>
        <v>0.72343586143021466</v>
      </c>
      <c r="I35" s="10" t="s">
        <v>115</v>
      </c>
      <c r="J35" s="171">
        <v>1670058</v>
      </c>
      <c r="K35" s="171">
        <v>1230818</v>
      </c>
      <c r="L35" s="3">
        <f t="shared" si="5"/>
        <v>0.73699117036653816</v>
      </c>
    </row>
    <row r="36" spans="2:18">
      <c r="B36" s="10" t="s">
        <v>116</v>
      </c>
      <c r="C36" s="174">
        <v>3788444</v>
      </c>
      <c r="D36" s="174">
        <v>2256604</v>
      </c>
      <c r="E36" s="3">
        <f t="shared" si="4"/>
        <v>0.5956545748069656</v>
      </c>
      <c r="I36" s="10" t="s">
        <v>116</v>
      </c>
      <c r="J36" s="171">
        <v>3796730</v>
      </c>
      <c r="K36" s="171">
        <v>2311618</v>
      </c>
      <c r="L36" s="3">
        <f t="shared" si="5"/>
        <v>0.6088444529898096</v>
      </c>
    </row>
    <row r="37" spans="2:18">
      <c r="B37" s="10" t="s">
        <v>117</v>
      </c>
      <c r="C37" s="174">
        <v>3697085</v>
      </c>
      <c r="D37" s="174">
        <v>2623313</v>
      </c>
      <c r="E37" s="3">
        <f t="shared" si="4"/>
        <v>0.70956253372589484</v>
      </c>
      <c r="I37" s="10" t="s">
        <v>117</v>
      </c>
      <c r="J37" s="171">
        <v>3753295</v>
      </c>
      <c r="K37" s="171">
        <v>2819173</v>
      </c>
      <c r="L37" s="3">
        <f t="shared" si="5"/>
        <v>0.75111948301425813</v>
      </c>
    </row>
    <row r="38" spans="2:18">
      <c r="B38" s="10" t="s">
        <v>118</v>
      </c>
      <c r="C38" s="174">
        <v>1646880</v>
      </c>
      <c r="D38" s="174">
        <v>1205879</v>
      </c>
      <c r="E38" s="3">
        <f t="shared" si="4"/>
        <v>0.73222031963470324</v>
      </c>
      <c r="I38" s="10" t="s">
        <v>118</v>
      </c>
      <c r="J38" s="171">
        <v>1691897</v>
      </c>
      <c r="K38" s="171">
        <v>1257626</v>
      </c>
      <c r="L38" s="3">
        <f t="shared" si="5"/>
        <v>0.7433230273474094</v>
      </c>
    </row>
    <row r="39" spans="2:18">
      <c r="B39" s="10" t="s">
        <v>119</v>
      </c>
      <c r="C39" s="174">
        <v>3245923</v>
      </c>
      <c r="D39" s="174">
        <v>2371703</v>
      </c>
      <c r="E39" s="3">
        <f t="shared" si="4"/>
        <v>0.73067136835963142</v>
      </c>
      <c r="I39" s="10" t="s">
        <v>119</v>
      </c>
      <c r="J39" s="171">
        <v>3248135</v>
      </c>
      <c r="K39" s="171">
        <v>2424575</v>
      </c>
      <c r="L39" s="3">
        <f t="shared" si="5"/>
        <v>0.74645142520246233</v>
      </c>
    </row>
    <row r="40" spans="2:18" s="10" customFormat="1">
      <c r="B40" s="180" t="s">
        <v>199</v>
      </c>
      <c r="C40" s="181">
        <f>SUM(C31:C39)</f>
        <v>85590559</v>
      </c>
      <c r="D40" s="181">
        <f>SUM(D31:D39)</f>
        <v>66064894</v>
      </c>
      <c r="E40" s="182">
        <f>D40/C40</f>
        <v>0.77187127612988249</v>
      </c>
      <c r="F40" s="172"/>
      <c r="G40" s="172"/>
      <c r="H40" s="172"/>
      <c r="I40" s="180" t="s">
        <v>199</v>
      </c>
      <c r="J40" s="181">
        <f>SUM(J31:J39)</f>
        <v>86151724</v>
      </c>
      <c r="K40" s="181">
        <f>SUM(K31:K39)</f>
        <v>67549742</v>
      </c>
      <c r="L40" s="182">
        <f>K40/J40</f>
        <v>0.78407881889862119</v>
      </c>
    </row>
    <row r="42" spans="2:18">
      <c r="B42" s="172" t="s">
        <v>186</v>
      </c>
      <c r="F42"/>
      <c r="I42" s="172" t="s">
        <v>205</v>
      </c>
    </row>
    <row r="43" spans="2:18">
      <c r="C43" s="10" t="s">
        <v>197</v>
      </c>
      <c r="D43" s="10" t="s">
        <v>196</v>
      </c>
      <c r="E43" s="183" t="s">
        <v>110</v>
      </c>
      <c r="F43"/>
      <c r="J43" s="10" t="s">
        <v>197</v>
      </c>
      <c r="K43" s="10" t="s">
        <v>196</v>
      </c>
      <c r="L43" s="200" t="s">
        <v>110</v>
      </c>
    </row>
    <row r="44" spans="2:18" ht="15.75" thickBot="1">
      <c r="B44" s="10" t="s">
        <v>111</v>
      </c>
      <c r="C44" s="171">
        <v>37467374</v>
      </c>
      <c r="D44" s="171">
        <v>30535381</v>
      </c>
      <c r="E44" s="3">
        <f t="shared" ref="E44:E52" si="6">D44/C44</f>
        <v>0.81498588612054845</v>
      </c>
      <c r="F44"/>
      <c r="I44" s="10" t="s">
        <v>111</v>
      </c>
      <c r="J44" s="198">
        <f>AVERAGE(C5,J5,C18,J18,C31)</f>
        <v>35883660.399999999</v>
      </c>
      <c r="K44" s="198">
        <f>AVERAGE(D5,K5,D18,K18,D31)</f>
        <v>27551808.800000001</v>
      </c>
      <c r="L44" s="199">
        <f>K44/J44</f>
        <v>0.76780931746862713</v>
      </c>
    </row>
    <row r="45" spans="2:18" ht="15.75" thickBot="1">
      <c r="B45" s="10" t="s">
        <v>112</v>
      </c>
      <c r="C45" s="171">
        <v>14161027</v>
      </c>
      <c r="D45" s="171">
        <v>11007650</v>
      </c>
      <c r="E45" s="3">
        <f t="shared" si="6"/>
        <v>0.77732003476866474</v>
      </c>
      <c r="F45"/>
      <c r="I45" s="10" t="s">
        <v>112</v>
      </c>
      <c r="J45" s="198">
        <f t="shared" ref="J45:J52" si="7">AVERAGE(C6,J6,C19,J19,C32)</f>
        <v>13363996.6</v>
      </c>
      <c r="K45" s="198">
        <f t="shared" ref="K45:K52" si="8">AVERAGE(D6,K6,D19,K19,D32)</f>
        <v>9782906.4000000004</v>
      </c>
      <c r="L45" s="199">
        <f t="shared" ref="L45:L52" si="9">K45/J45</f>
        <v>0.73203448734789411</v>
      </c>
      <c r="N45" s="213" t="s">
        <v>198</v>
      </c>
      <c r="O45" s="214"/>
      <c r="P45" s="214"/>
      <c r="Q45" s="214"/>
      <c r="R45" s="215"/>
    </row>
    <row r="46" spans="2:18">
      <c r="B46" s="10" t="s">
        <v>113</v>
      </c>
      <c r="C46" s="171">
        <v>20380137</v>
      </c>
      <c r="D46" s="171">
        <v>15742074</v>
      </c>
      <c r="E46" s="3">
        <f t="shared" si="6"/>
        <v>0.77242238361793147</v>
      </c>
      <c r="F46"/>
      <c r="I46" s="10" t="s">
        <v>113</v>
      </c>
      <c r="J46" s="198">
        <f t="shared" si="7"/>
        <v>18547454.199999999</v>
      </c>
      <c r="K46" s="198">
        <f t="shared" si="8"/>
        <v>13575337.199999999</v>
      </c>
      <c r="L46" s="199">
        <f t="shared" si="9"/>
        <v>0.73192455706400938</v>
      </c>
      <c r="N46" s="201"/>
      <c r="O46" s="202"/>
      <c r="P46" s="203"/>
      <c r="Q46" s="202"/>
      <c r="R46" s="204"/>
    </row>
    <row r="47" spans="2:18">
      <c r="B47" s="10" t="s">
        <v>114</v>
      </c>
      <c r="C47" s="171">
        <v>2035909</v>
      </c>
      <c r="D47" s="171">
        <v>1598410</v>
      </c>
      <c r="E47" s="3">
        <f t="shared" si="6"/>
        <v>0.78510876468447266</v>
      </c>
      <c r="F47"/>
      <c r="I47" s="10" t="s">
        <v>114</v>
      </c>
      <c r="J47" s="198">
        <f t="shared" si="7"/>
        <v>1975106.2</v>
      </c>
      <c r="K47" s="198">
        <f t="shared" si="8"/>
        <v>1405226.6</v>
      </c>
      <c r="L47" s="199">
        <f t="shared" si="9"/>
        <v>0.71146888202771075</v>
      </c>
      <c r="N47" s="205"/>
      <c r="O47" s="206"/>
      <c r="P47" s="207">
        <f>AVERAGE(D14,K14,D27,K27,D40)/AVERAGE(C14,J14,C27,J27,C40)</f>
        <v>0.73166007500391705</v>
      </c>
      <c r="Q47" s="208"/>
      <c r="R47" s="209"/>
    </row>
    <row r="48" spans="2:18" ht="15.75" thickBot="1">
      <c r="B48" s="10" t="s">
        <v>115</v>
      </c>
      <c r="C48" s="171">
        <v>1651990</v>
      </c>
      <c r="D48" s="171">
        <v>1231286</v>
      </c>
      <c r="E48" s="3">
        <f t="shared" si="6"/>
        <v>0.74533502018777353</v>
      </c>
      <c r="F48"/>
      <c r="I48" s="10" t="s">
        <v>115</v>
      </c>
      <c r="J48" s="198">
        <f t="shared" si="7"/>
        <v>1670678</v>
      </c>
      <c r="K48" s="198">
        <f t="shared" si="8"/>
        <v>1122581</v>
      </c>
      <c r="L48" s="199">
        <f t="shared" si="9"/>
        <v>0.67193139551726899</v>
      </c>
      <c r="N48" s="210"/>
      <c r="O48" s="211"/>
      <c r="P48" s="211"/>
      <c r="Q48" s="211"/>
      <c r="R48" s="212"/>
    </row>
    <row r="49" spans="2:12">
      <c r="B49" s="10" t="s">
        <v>116</v>
      </c>
      <c r="C49" s="171">
        <v>3856590</v>
      </c>
      <c r="D49" s="171">
        <v>2373780</v>
      </c>
      <c r="E49" s="3">
        <f t="shared" si="6"/>
        <v>0.61551266792684733</v>
      </c>
      <c r="F49"/>
      <c r="I49" s="10" t="s">
        <v>116</v>
      </c>
      <c r="J49" s="198">
        <f t="shared" si="7"/>
        <v>3750548.2</v>
      </c>
      <c r="K49" s="198">
        <f t="shared" si="8"/>
        <v>2097002.2</v>
      </c>
      <c r="L49" s="199">
        <f t="shared" si="9"/>
        <v>0.55911885094557645</v>
      </c>
    </row>
    <row r="50" spans="2:12">
      <c r="B50" s="10" t="s">
        <v>117</v>
      </c>
      <c r="C50" s="171">
        <v>3768625</v>
      </c>
      <c r="D50" s="171">
        <v>2882063</v>
      </c>
      <c r="E50" s="3">
        <f t="shared" si="6"/>
        <v>0.76475186573352349</v>
      </c>
      <c r="F50"/>
      <c r="I50" s="10" t="s">
        <v>117</v>
      </c>
      <c r="J50" s="198">
        <f t="shared" si="7"/>
        <v>3592549</v>
      </c>
      <c r="K50" s="198">
        <f t="shared" si="8"/>
        <v>2341698.7999999998</v>
      </c>
      <c r="L50" s="199">
        <f t="shared" si="9"/>
        <v>0.65182097725041466</v>
      </c>
    </row>
    <row r="51" spans="2:12">
      <c r="B51" s="10" t="s">
        <v>118</v>
      </c>
      <c r="C51" s="171">
        <v>1770250</v>
      </c>
      <c r="D51" s="171">
        <v>1299205</v>
      </c>
      <c r="E51" s="3">
        <f t="shared" si="6"/>
        <v>0.73391046462364073</v>
      </c>
      <c r="F51"/>
      <c r="I51" s="10" t="s">
        <v>118</v>
      </c>
      <c r="J51" s="198">
        <f t="shared" si="7"/>
        <v>1600963</v>
      </c>
      <c r="K51" s="198">
        <f t="shared" si="8"/>
        <v>1103879.2</v>
      </c>
      <c r="L51" s="199">
        <f t="shared" si="9"/>
        <v>0.68950950146880341</v>
      </c>
    </row>
    <row r="52" spans="2:12">
      <c r="B52" s="10" t="s">
        <v>119</v>
      </c>
      <c r="C52" s="171">
        <v>3301425</v>
      </c>
      <c r="D52" s="171">
        <v>2469100</v>
      </c>
      <c r="E52" s="3">
        <f t="shared" si="6"/>
        <v>0.7478891690709315</v>
      </c>
      <c r="F52"/>
      <c r="I52" s="10" t="s">
        <v>119</v>
      </c>
      <c r="J52" s="198">
        <f t="shared" si="7"/>
        <v>3161187.6</v>
      </c>
      <c r="K52" s="198">
        <f t="shared" si="8"/>
        <v>2146937.2000000002</v>
      </c>
      <c r="L52" s="199">
        <f t="shared" si="9"/>
        <v>0.67915526430636386</v>
      </c>
    </row>
    <row r="53" spans="2:12" s="10" customFormat="1">
      <c r="B53" s="180" t="s">
        <v>199</v>
      </c>
      <c r="C53" s="181">
        <f>SUM(C44:C52)</f>
        <v>88393327</v>
      </c>
      <c r="D53" s="181">
        <f>SUM(D44:D52)</f>
        <v>69138949</v>
      </c>
      <c r="E53" s="182">
        <f>D53/C53</f>
        <v>0.78217385120032878</v>
      </c>
      <c r="L53" s="199"/>
    </row>
    <row r="54" spans="2:12">
      <c r="C54"/>
      <c r="D54"/>
      <c r="E54"/>
      <c r="F54"/>
      <c r="H54" s="10"/>
      <c r="K54"/>
    </row>
    <row r="55" spans="2:12">
      <c r="C55"/>
      <c r="E55"/>
      <c r="F55"/>
    </row>
    <row r="56" spans="2:12">
      <c r="C56"/>
      <c r="E56"/>
      <c r="F56"/>
    </row>
    <row r="57" spans="2:12">
      <c r="C57"/>
      <c r="E57"/>
      <c r="F57"/>
    </row>
    <row r="58" spans="2:12">
      <c r="C58"/>
      <c r="E58"/>
      <c r="F58"/>
    </row>
    <row r="59" spans="2:12">
      <c r="C59"/>
      <c r="E59"/>
      <c r="F59"/>
    </row>
    <row r="60" spans="2:12">
      <c r="C60"/>
      <c r="E60"/>
      <c r="F60"/>
    </row>
    <row r="61" spans="2:12">
      <c r="C61"/>
      <c r="E61"/>
      <c r="F61"/>
    </row>
    <row r="62" spans="2:12">
      <c r="C62"/>
      <c r="E62"/>
      <c r="F62"/>
    </row>
    <row r="63" spans="2:12">
      <c r="C63"/>
      <c r="E63"/>
      <c r="F63"/>
    </row>
    <row r="64" spans="2:12">
      <c r="C64"/>
      <c r="E64"/>
      <c r="F64"/>
    </row>
    <row r="65" spans="3:6">
      <c r="C65"/>
      <c r="E65"/>
      <c r="F65"/>
    </row>
    <row r="66" spans="3:6">
      <c r="C66"/>
      <c r="E66"/>
      <c r="F66"/>
    </row>
    <row r="67" spans="3:6">
      <c r="C67"/>
      <c r="E67"/>
      <c r="F67"/>
    </row>
  </sheetData>
  <mergeCells count="1">
    <mergeCell ref="N45:R45"/>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90" zoomScaleNormal="90" workbookViewId="0">
      <selection activeCell="N16" sqref="N16"/>
    </sheetView>
  </sheetViews>
  <sheetFormatPr defaultRowHeight="15"/>
  <cols>
    <col min="1" max="1" width="5.85546875" bestFit="1" customWidth="1"/>
    <col min="2" max="2" width="10.5703125" bestFit="1" customWidth="1"/>
    <col min="3" max="3" width="9.7109375" bestFit="1" customWidth="1"/>
    <col min="5" max="5" width="8.7109375" bestFit="1" customWidth="1"/>
    <col min="6" max="6" width="8.140625" bestFit="1" customWidth="1"/>
    <col min="7" max="7" width="8.85546875" bestFit="1" customWidth="1"/>
    <col min="8" max="8" width="8.140625" bestFit="1" customWidth="1"/>
    <col min="10" max="10" width="22.28515625" customWidth="1"/>
    <col min="11" max="11" width="10.7109375" customWidth="1"/>
    <col min="12" max="12" width="10.85546875" customWidth="1"/>
  </cols>
  <sheetData>
    <row r="1" spans="1:12" s="10" customFormat="1"/>
    <row r="2" spans="1:12" ht="18">
      <c r="A2" s="195" t="s">
        <v>13</v>
      </c>
      <c r="B2" s="196"/>
      <c r="C2" s="196"/>
      <c r="D2" s="196"/>
      <c r="E2" s="196"/>
      <c r="F2" s="196"/>
      <c r="G2" s="196"/>
      <c r="H2" s="196"/>
      <c r="J2" s="10" t="s">
        <v>122</v>
      </c>
    </row>
    <row r="3" spans="1:12">
      <c r="A3" s="30"/>
      <c r="B3" s="20"/>
      <c r="C3" s="20"/>
      <c r="D3" s="20"/>
      <c r="E3" s="20"/>
      <c r="F3" s="31"/>
      <c r="G3" s="20"/>
      <c r="H3" s="32"/>
      <c r="K3">
        <v>2014</v>
      </c>
    </row>
    <row r="4" spans="1:12" ht="51.75">
      <c r="A4" s="16" t="s">
        <v>14</v>
      </c>
      <c r="B4" s="16" t="s">
        <v>15</v>
      </c>
      <c r="C4" s="16" t="s">
        <v>16</v>
      </c>
      <c r="D4" s="16" t="s">
        <v>17</v>
      </c>
      <c r="E4" s="16" t="s">
        <v>18</v>
      </c>
      <c r="F4" s="21" t="s">
        <v>19</v>
      </c>
      <c r="G4" s="16" t="s">
        <v>20</v>
      </c>
      <c r="H4" s="16" t="s">
        <v>21</v>
      </c>
      <c r="K4" t="s">
        <v>109</v>
      </c>
      <c r="L4" s="139" t="s">
        <v>110</v>
      </c>
    </row>
    <row r="5" spans="1:12">
      <c r="A5" s="24">
        <v>2012</v>
      </c>
      <c r="B5" s="25">
        <v>52529</v>
      </c>
      <c r="C5" s="24">
        <v>4.9000000000000004</v>
      </c>
      <c r="D5" s="33">
        <v>0.61399999999999999</v>
      </c>
      <c r="E5" s="26">
        <v>106.15</v>
      </c>
      <c r="F5" s="27">
        <v>65.16</v>
      </c>
      <c r="G5" s="26">
        <v>155.5</v>
      </c>
      <c r="H5" s="35">
        <v>39</v>
      </c>
      <c r="J5" t="s">
        <v>111</v>
      </c>
      <c r="K5">
        <v>36612377</v>
      </c>
      <c r="L5" s="3">
        <v>0.81200000000000006</v>
      </c>
    </row>
    <row r="6" spans="1:12">
      <c r="A6" s="24">
        <v>2011</v>
      </c>
      <c r="B6" s="25">
        <v>51214</v>
      </c>
      <c r="C6" s="24">
        <v>4.8</v>
      </c>
      <c r="D6" s="33">
        <v>0.6</v>
      </c>
      <c r="E6" s="26">
        <v>101.7</v>
      </c>
      <c r="F6" s="27">
        <v>61.05</v>
      </c>
      <c r="G6" s="26">
        <v>146.9</v>
      </c>
      <c r="H6" s="35">
        <v>34.1</v>
      </c>
      <c r="J6" t="s">
        <v>112</v>
      </c>
      <c r="K6">
        <v>13606268</v>
      </c>
      <c r="L6" s="3">
        <v>0.76200000000000001</v>
      </c>
    </row>
    <row r="7" spans="1:12">
      <c r="A7" s="24">
        <v>2010</v>
      </c>
      <c r="B7" s="25">
        <v>51015</v>
      </c>
      <c r="C7" s="24">
        <v>4.8</v>
      </c>
      <c r="D7" s="33">
        <v>0.57599999999999996</v>
      </c>
      <c r="E7" s="26">
        <v>98.07</v>
      </c>
      <c r="F7" s="27">
        <v>56.47</v>
      </c>
      <c r="G7" s="26">
        <v>133.69999999999999</v>
      </c>
      <c r="H7" s="35">
        <v>28.2</v>
      </c>
      <c r="J7" t="s">
        <v>113</v>
      </c>
      <c r="K7">
        <v>19312922</v>
      </c>
      <c r="L7" s="3">
        <v>0.76700000000000002</v>
      </c>
    </row>
    <row r="8" spans="1:12">
      <c r="A8" s="24">
        <v>2009</v>
      </c>
      <c r="B8" s="25">
        <v>50800</v>
      </c>
      <c r="C8" s="24">
        <v>4.7</v>
      </c>
      <c r="D8" s="33">
        <v>0.54700000000000004</v>
      </c>
      <c r="E8" s="26">
        <v>97.85</v>
      </c>
      <c r="F8" s="27">
        <v>53.5</v>
      </c>
      <c r="G8" s="26">
        <v>125.7</v>
      </c>
      <c r="H8" s="35">
        <v>24.5</v>
      </c>
      <c r="J8" t="s">
        <v>114</v>
      </c>
      <c r="K8">
        <v>2007135</v>
      </c>
      <c r="L8" s="3">
        <v>0.753</v>
      </c>
    </row>
    <row r="9" spans="1:12">
      <c r="A9" s="24">
        <v>2008</v>
      </c>
      <c r="B9" s="25">
        <v>49505</v>
      </c>
      <c r="C9" s="24">
        <v>4.5999999999999996</v>
      </c>
      <c r="D9" s="33">
        <v>0.60399999999999998</v>
      </c>
      <c r="E9" s="26">
        <v>106.84</v>
      </c>
      <c r="F9" s="27">
        <v>64.37</v>
      </c>
      <c r="G9" s="26">
        <v>140.6</v>
      </c>
      <c r="H9" s="35">
        <v>25.8</v>
      </c>
      <c r="J9" t="s">
        <v>115</v>
      </c>
      <c r="K9">
        <v>1673525</v>
      </c>
      <c r="L9" s="3">
        <v>0.72299999999999998</v>
      </c>
    </row>
    <row r="10" spans="1:12">
      <c r="A10" s="24">
        <v>2007</v>
      </c>
      <c r="B10" s="25">
        <v>48062</v>
      </c>
      <c r="C10" s="24">
        <v>4.5</v>
      </c>
      <c r="D10" s="33">
        <v>0.63100000000000001</v>
      </c>
      <c r="E10" s="28">
        <v>103.87</v>
      </c>
      <c r="F10" s="29">
        <v>65.52</v>
      </c>
      <c r="G10" s="28">
        <v>139.4</v>
      </c>
      <c r="H10" s="35">
        <v>28</v>
      </c>
      <c r="J10" t="s">
        <v>116</v>
      </c>
      <c r="K10">
        <v>3788444</v>
      </c>
      <c r="L10" s="3">
        <v>0.59599999999999997</v>
      </c>
    </row>
    <row r="11" spans="1:12">
      <c r="A11" s="24">
        <v>2006</v>
      </c>
      <c r="B11" s="25">
        <v>47135</v>
      </c>
      <c r="C11" s="24">
        <v>4.4000000000000004</v>
      </c>
      <c r="D11" s="33">
        <v>0.63300000000000001</v>
      </c>
      <c r="E11" s="28">
        <v>97.78</v>
      </c>
      <c r="F11" s="29">
        <v>61.93</v>
      </c>
      <c r="G11" s="28">
        <v>133.4</v>
      </c>
      <c r="H11" s="35">
        <v>26.6</v>
      </c>
      <c r="J11" t="s">
        <v>117</v>
      </c>
      <c r="K11">
        <v>3697085</v>
      </c>
      <c r="L11" s="2">
        <v>0.71</v>
      </c>
    </row>
    <row r="12" spans="1:12">
      <c r="A12" s="24">
        <v>2005</v>
      </c>
      <c r="B12" s="25">
        <v>47590</v>
      </c>
      <c r="C12" s="24">
        <v>4.4000000000000004</v>
      </c>
      <c r="D12" s="33">
        <v>0.63100000000000001</v>
      </c>
      <c r="E12" s="26">
        <v>90.88</v>
      </c>
      <c r="F12" s="27">
        <v>57.36</v>
      </c>
      <c r="G12" s="26">
        <v>122.7</v>
      </c>
      <c r="H12" s="35">
        <v>22.6</v>
      </c>
      <c r="J12" t="s">
        <v>118</v>
      </c>
      <c r="K12">
        <v>1646880</v>
      </c>
      <c r="L12" s="3">
        <v>0.73199999999999998</v>
      </c>
    </row>
    <row r="13" spans="1:12">
      <c r="A13" s="24">
        <v>2004</v>
      </c>
      <c r="B13" s="25">
        <v>47598</v>
      </c>
      <c r="C13" s="24">
        <v>4.4000000000000004</v>
      </c>
      <c r="D13" s="33">
        <v>0.61299999999999999</v>
      </c>
      <c r="E13" s="26">
        <v>86.24</v>
      </c>
      <c r="F13" s="27">
        <v>52.9</v>
      </c>
      <c r="G13" s="26">
        <v>113.7</v>
      </c>
      <c r="H13" s="35">
        <v>16.7</v>
      </c>
      <c r="J13" t="s">
        <v>119</v>
      </c>
      <c r="K13">
        <v>3245923</v>
      </c>
      <c r="L13" s="3">
        <v>0.73099999999999998</v>
      </c>
    </row>
    <row r="14" spans="1:12">
      <c r="A14" s="24">
        <v>2003</v>
      </c>
      <c r="B14" s="25">
        <v>47584</v>
      </c>
      <c r="C14" s="24">
        <v>4.4000000000000004</v>
      </c>
      <c r="D14" s="33">
        <v>0.61099999999999999</v>
      </c>
      <c r="E14" s="26">
        <v>82.52</v>
      </c>
      <c r="F14" s="27">
        <v>50.42</v>
      </c>
      <c r="G14" s="26">
        <v>105.3</v>
      </c>
      <c r="H14" s="35">
        <v>12.8</v>
      </c>
      <c r="K14" t="s">
        <v>124</v>
      </c>
      <c r="L14" s="139">
        <f>SUMPRODUCT(K5:K13,L5:L13)/SUM(K5:K13)</f>
        <v>0.77219612026368478</v>
      </c>
    </row>
    <row r="15" spans="1:12">
      <c r="A15" s="15">
        <v>2002</v>
      </c>
      <c r="B15" s="17">
        <v>47040</v>
      </c>
      <c r="C15" s="15">
        <v>4.4000000000000004</v>
      </c>
      <c r="D15" s="34">
        <v>0.59099999999999997</v>
      </c>
      <c r="E15" s="18">
        <v>83.54</v>
      </c>
      <c r="F15" s="22">
        <v>49.41</v>
      </c>
      <c r="G15" s="18">
        <v>102.6</v>
      </c>
      <c r="H15" s="36">
        <v>14.2</v>
      </c>
    </row>
    <row r="16" spans="1:12">
      <c r="A16" s="15">
        <v>2001</v>
      </c>
      <c r="B16" s="17">
        <v>41393</v>
      </c>
      <c r="C16" s="15">
        <v>4.2</v>
      </c>
      <c r="D16" s="34">
        <v>0.60299999999999998</v>
      </c>
      <c r="E16" s="18">
        <v>88.27</v>
      </c>
      <c r="F16" s="22">
        <v>50.73</v>
      </c>
      <c r="G16" s="18">
        <v>103.6</v>
      </c>
      <c r="H16" s="36">
        <v>16.100000000000001</v>
      </c>
    </row>
    <row r="17" spans="1:8">
      <c r="A17" s="15">
        <v>2000</v>
      </c>
      <c r="B17" s="17">
        <v>53500</v>
      </c>
      <c r="C17" s="15">
        <v>4.0999999999999996</v>
      </c>
      <c r="D17" s="34">
        <v>0.63700000000000001</v>
      </c>
      <c r="E17" s="18">
        <v>85.89</v>
      </c>
      <c r="F17" s="22">
        <v>54.15</v>
      </c>
      <c r="G17" s="18">
        <v>108.5</v>
      </c>
      <c r="H17" s="36">
        <v>24</v>
      </c>
    </row>
    <row r="18" spans="1:8">
      <c r="A18" s="15">
        <v>1999</v>
      </c>
      <c r="B18" s="17">
        <v>52000</v>
      </c>
      <c r="C18" s="15">
        <v>3.9</v>
      </c>
      <c r="D18" s="34">
        <v>0.63200000000000001</v>
      </c>
      <c r="E18" s="18">
        <v>81.33</v>
      </c>
      <c r="F18" s="22">
        <v>51.33</v>
      </c>
      <c r="G18" s="18">
        <v>99.7</v>
      </c>
      <c r="H18" s="36">
        <v>22</v>
      </c>
    </row>
    <row r="19" spans="1:8">
      <c r="A19" s="15">
        <v>1998</v>
      </c>
      <c r="B19" s="17">
        <v>51000</v>
      </c>
      <c r="C19" s="15">
        <v>3.9</v>
      </c>
      <c r="D19" s="34">
        <v>0.64</v>
      </c>
      <c r="E19" s="18">
        <v>78.62</v>
      </c>
      <c r="F19" s="22">
        <v>49.86</v>
      </c>
      <c r="G19" s="18">
        <v>93.1</v>
      </c>
      <c r="H19" s="36">
        <v>20.9</v>
      </c>
    </row>
    <row r="20" spans="1:8">
      <c r="A20" s="15">
        <v>1997</v>
      </c>
      <c r="B20" s="17">
        <v>49000</v>
      </c>
      <c r="C20" s="15">
        <v>3.8</v>
      </c>
      <c r="D20" s="34">
        <v>0.64500000000000002</v>
      </c>
      <c r="E20" s="18">
        <v>75.31</v>
      </c>
      <c r="F20" s="22">
        <v>48.13</v>
      </c>
      <c r="G20" s="18">
        <v>85.6</v>
      </c>
      <c r="H20" s="36">
        <v>17</v>
      </c>
    </row>
    <row r="21" spans="1:8">
      <c r="A21" s="15">
        <v>1996</v>
      </c>
      <c r="B21" s="17">
        <v>47000</v>
      </c>
      <c r="C21" s="15">
        <v>3.6</v>
      </c>
      <c r="D21" s="34">
        <v>0.65200000000000002</v>
      </c>
      <c r="E21" s="18">
        <v>70.930000000000007</v>
      </c>
      <c r="F21" s="22">
        <v>45.81</v>
      </c>
      <c r="G21" s="18">
        <v>75.400000000000006</v>
      </c>
      <c r="H21" s="36">
        <v>12.5</v>
      </c>
    </row>
    <row r="22" spans="1:8">
      <c r="A22" s="15">
        <v>1995</v>
      </c>
      <c r="B22" s="17">
        <v>46000</v>
      </c>
      <c r="C22" s="15">
        <v>3.5</v>
      </c>
      <c r="D22" s="34">
        <v>0.65500000000000003</v>
      </c>
      <c r="E22" s="18">
        <v>66.650000000000006</v>
      </c>
      <c r="F22" s="22">
        <v>43.1</v>
      </c>
      <c r="G22" s="19">
        <v>72</v>
      </c>
      <c r="H22" s="36"/>
    </row>
    <row r="23" spans="1:8">
      <c r="A23" s="15">
        <v>1994</v>
      </c>
      <c r="B23" s="17">
        <v>45000</v>
      </c>
      <c r="C23" s="15">
        <v>3.4</v>
      </c>
      <c r="D23" s="34">
        <v>0.65200000000000002</v>
      </c>
      <c r="E23" s="18">
        <v>62.86</v>
      </c>
      <c r="F23" s="22">
        <v>40.909999999999997</v>
      </c>
      <c r="G23" s="18">
        <v>66</v>
      </c>
      <c r="H23" s="36"/>
    </row>
    <row r="24" spans="1:8">
      <c r="A24" s="15">
        <v>1993</v>
      </c>
      <c r="B24" s="17">
        <v>45000</v>
      </c>
      <c r="C24" s="15">
        <v>3.3</v>
      </c>
      <c r="D24" s="34">
        <v>0.63600000000000001</v>
      </c>
      <c r="E24" s="18">
        <v>60.53</v>
      </c>
      <c r="F24" s="23"/>
      <c r="G24" s="18">
        <v>61.7</v>
      </c>
      <c r="H24" s="36"/>
    </row>
    <row r="25" spans="1:8">
      <c r="A25" s="15">
        <v>1992</v>
      </c>
      <c r="B25" s="17">
        <v>44800</v>
      </c>
      <c r="C25" s="15">
        <v>3.2</v>
      </c>
      <c r="D25" s="34">
        <v>0.61699999999999999</v>
      </c>
      <c r="E25" s="18">
        <v>58.91</v>
      </c>
      <c r="F25" s="23"/>
      <c r="G25" s="18">
        <v>59.5</v>
      </c>
      <c r="H25" s="36"/>
    </row>
    <row r="26" spans="1:8">
      <c r="A26" s="15">
        <v>1991</v>
      </c>
      <c r="B26" s="17">
        <v>44700</v>
      </c>
      <c r="C26" s="15">
        <v>3.1</v>
      </c>
      <c r="D26" s="34">
        <v>0.60899999999999999</v>
      </c>
      <c r="E26" s="18">
        <v>58.08</v>
      </c>
      <c r="F26" s="23"/>
      <c r="G26" s="18">
        <v>62.9</v>
      </c>
      <c r="H26" s="36"/>
    </row>
    <row r="27" spans="1:8">
      <c r="A27" s="15">
        <v>1990</v>
      </c>
      <c r="B27" s="17">
        <v>45020</v>
      </c>
      <c r="C27" s="15">
        <v>3.1</v>
      </c>
      <c r="D27" s="34">
        <v>0.63300000000000001</v>
      </c>
      <c r="E27" s="18">
        <v>57.96</v>
      </c>
      <c r="F27" s="23"/>
      <c r="G27" s="18">
        <v>60.7</v>
      </c>
      <c r="H27" s="36">
        <v>-5.7</v>
      </c>
    </row>
    <row r="28" spans="1:8">
      <c r="A28" s="15">
        <v>1989</v>
      </c>
      <c r="B28" s="17">
        <v>44300</v>
      </c>
      <c r="C28" s="15">
        <v>3</v>
      </c>
      <c r="D28" s="34">
        <v>0.63800000000000001</v>
      </c>
      <c r="E28" s="18">
        <v>56.31</v>
      </c>
      <c r="F28" s="23"/>
      <c r="G28" s="18">
        <v>57.1</v>
      </c>
      <c r="H28" s="36"/>
    </row>
    <row r="29" spans="1:8">
      <c r="A29" s="15">
        <v>1988</v>
      </c>
      <c r="B29" s="17">
        <v>44300</v>
      </c>
      <c r="C29" s="15">
        <v>2.8</v>
      </c>
      <c r="D29" s="34">
        <v>0.63</v>
      </c>
      <c r="E29" s="18">
        <v>54.32</v>
      </c>
      <c r="F29" s="23"/>
      <c r="G29" s="15"/>
      <c r="H29" s="36"/>
    </row>
    <row r="30" spans="1:8">
      <c r="A30" s="15">
        <v>1987</v>
      </c>
      <c r="B30" s="17">
        <v>44500</v>
      </c>
      <c r="C30" s="15">
        <v>2.7</v>
      </c>
      <c r="D30" s="34">
        <v>0.66</v>
      </c>
      <c r="E30" s="18">
        <v>55.89</v>
      </c>
      <c r="F30" s="23"/>
      <c r="G30" s="18">
        <v>48.5</v>
      </c>
      <c r="H30" s="22"/>
    </row>
    <row r="31" spans="1:8">
      <c r="A31" s="15">
        <v>1986</v>
      </c>
      <c r="B31" s="15"/>
      <c r="C31" s="15"/>
      <c r="D31" s="34">
        <v>0.64900000000000002</v>
      </c>
      <c r="E31" s="18">
        <v>54.78</v>
      </c>
      <c r="F31" s="23"/>
      <c r="G31" s="18">
        <v>43.7</v>
      </c>
      <c r="H31" s="23"/>
    </row>
    <row r="32" spans="1:8">
      <c r="A32" s="15">
        <v>1985</v>
      </c>
      <c r="B32" s="17">
        <v>45000</v>
      </c>
      <c r="C32" s="15">
        <v>2.6</v>
      </c>
      <c r="D32" s="34">
        <v>0.66</v>
      </c>
      <c r="E32" s="18">
        <v>55.26</v>
      </c>
      <c r="F32" s="23"/>
      <c r="G32" s="18">
        <v>42</v>
      </c>
      <c r="H32" s="23"/>
    </row>
    <row r="33" spans="1:8">
      <c r="A33" s="15">
        <v>1984</v>
      </c>
      <c r="B33" s="17">
        <v>54000</v>
      </c>
      <c r="C33" s="15">
        <v>2.75</v>
      </c>
      <c r="D33" s="34">
        <v>0.66200000000000003</v>
      </c>
      <c r="E33" s="18">
        <v>55</v>
      </c>
      <c r="F33" s="23"/>
      <c r="G33" s="18">
        <v>33</v>
      </c>
      <c r="H33" s="23"/>
    </row>
    <row r="34" spans="1:8">
      <c r="A34" s="15">
        <v>1983</v>
      </c>
      <c r="B34" s="17">
        <v>53620</v>
      </c>
      <c r="C34" s="15">
        <v>2.7</v>
      </c>
      <c r="D34" s="34">
        <v>0.66900000000000004</v>
      </c>
      <c r="E34" s="18">
        <v>51.9</v>
      </c>
      <c r="F34" s="23"/>
      <c r="G34" s="18">
        <v>29.7</v>
      </c>
      <c r="H34" s="23"/>
    </row>
    <row r="35" spans="1:8">
      <c r="A35" s="15">
        <v>1982</v>
      </c>
      <c r="B35" s="17">
        <v>56470</v>
      </c>
      <c r="C35" s="15">
        <v>2.6</v>
      </c>
      <c r="D35" s="34">
        <v>0.65</v>
      </c>
      <c r="E35" s="18">
        <v>50.56</v>
      </c>
      <c r="F35" s="23"/>
      <c r="G35" s="18">
        <v>29.3</v>
      </c>
      <c r="H35" s="23"/>
    </row>
    <row r="36" spans="1:8">
      <c r="A36" s="15">
        <v>1981</v>
      </c>
      <c r="B36" s="15"/>
      <c r="C36" s="15">
        <v>2.1</v>
      </c>
      <c r="D36" s="34">
        <v>0.63</v>
      </c>
      <c r="E36" s="15"/>
      <c r="F36" s="23"/>
      <c r="G36" s="15"/>
      <c r="H36" s="23"/>
    </row>
    <row r="37" spans="1:8">
      <c r="A37" s="15">
        <v>1980</v>
      </c>
      <c r="B37" s="15"/>
      <c r="C37" s="15">
        <v>2.1</v>
      </c>
      <c r="D37" s="34">
        <v>0.65200000000000002</v>
      </c>
      <c r="E37" s="15"/>
      <c r="F37" s="23"/>
      <c r="G37" s="18">
        <v>23.8</v>
      </c>
      <c r="H37" s="23"/>
    </row>
    <row r="38" spans="1:8">
      <c r="A38" s="15">
        <v>1979</v>
      </c>
      <c r="B38" s="15"/>
      <c r="C38" s="15">
        <v>2</v>
      </c>
      <c r="D38" s="34">
        <v>0.67800000000000005</v>
      </c>
      <c r="E38" s="15"/>
      <c r="F38" s="23"/>
      <c r="G38" s="18">
        <v>22.3</v>
      </c>
      <c r="H38" s="23"/>
    </row>
    <row r="39" spans="1:8">
      <c r="A39" s="15">
        <v>1978</v>
      </c>
      <c r="B39" s="15"/>
      <c r="C39" s="15">
        <v>2</v>
      </c>
      <c r="D39" s="34">
        <v>0.65500000000000003</v>
      </c>
      <c r="E39" s="15"/>
      <c r="F39" s="23"/>
      <c r="G39" s="18">
        <v>19.2</v>
      </c>
      <c r="H39" s="23"/>
    </row>
    <row r="40" spans="1:8">
      <c r="A40" s="15">
        <v>1977</v>
      </c>
      <c r="B40" s="17">
        <v>51861</v>
      </c>
      <c r="C40" s="15">
        <v>2</v>
      </c>
      <c r="D40" s="34"/>
      <c r="E40" s="15"/>
      <c r="F40" s="23"/>
      <c r="G40" s="18">
        <v>17.7</v>
      </c>
      <c r="H40" s="23"/>
    </row>
    <row r="41" spans="1:8">
      <c r="A41" s="15">
        <v>1972</v>
      </c>
      <c r="B41" s="15"/>
      <c r="C41" s="15"/>
      <c r="D41" s="34"/>
      <c r="E41" s="15"/>
      <c r="F41" s="23"/>
      <c r="G41" s="18">
        <v>10.1</v>
      </c>
      <c r="H41" s="23"/>
    </row>
    <row r="43" spans="1:8">
      <c r="A43" s="192" t="s">
        <v>22</v>
      </c>
      <c r="B43" s="192"/>
      <c r="C43" s="193"/>
      <c r="D43" s="194"/>
      <c r="E43" s="194"/>
      <c r="F43" s="194"/>
      <c r="G43" s="20"/>
      <c r="H43" s="14"/>
    </row>
  </sheetData>
  <mergeCells count="2">
    <mergeCell ref="A43:F43"/>
    <mergeCell ref="A2:H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J15" sqref="J15"/>
    </sheetView>
  </sheetViews>
  <sheetFormatPr defaultRowHeight="15"/>
  <cols>
    <col min="1" max="1" width="16.28515625" customWidth="1"/>
    <col min="2" max="2" width="14.28515625" customWidth="1"/>
    <col min="3" max="3" width="14.7109375" customWidth="1"/>
    <col min="4" max="5" width="13.28515625" customWidth="1"/>
  </cols>
  <sheetData>
    <row r="1" spans="1:5">
      <c r="A1" s="83" t="s">
        <v>12</v>
      </c>
      <c r="D1" s="197" t="s">
        <v>91</v>
      </c>
      <c r="E1" s="197"/>
    </row>
    <row r="2" spans="1:5">
      <c r="A2" s="10" t="s">
        <v>9</v>
      </c>
      <c r="B2" s="139" t="s">
        <v>10</v>
      </c>
      <c r="C2" s="10" t="s">
        <v>11</v>
      </c>
      <c r="D2" t="s">
        <v>183</v>
      </c>
      <c r="E2" t="s">
        <v>0</v>
      </c>
    </row>
    <row r="3" spans="1:5">
      <c r="A3" s="10" t="s">
        <v>64</v>
      </c>
      <c r="B3" s="139">
        <v>51.4</v>
      </c>
      <c r="C3" s="10">
        <v>51.4</v>
      </c>
      <c r="D3" s="10">
        <f>SUMIF('Building Weights'!$C$8:$C$87,'Water Temperatures'!A3,'Building Weights'!$G$8:$G$87)</f>
        <v>0</v>
      </c>
      <c r="E3" s="10">
        <f>SUMIF('Building Weights'!$C$8:$C$87,'Water Temperatures'!A3,'Building Weights'!$N$8:$N$87)</f>
        <v>0</v>
      </c>
    </row>
    <row r="4" spans="1:5">
      <c r="A4" s="10" t="s">
        <v>76</v>
      </c>
      <c r="B4" s="139">
        <v>57.2</v>
      </c>
      <c r="C4" s="10">
        <v>57.2</v>
      </c>
      <c r="D4" s="10">
        <f>SUMIF('Building Weights'!$C$8:$C$87,'Water Temperatures'!A4,'Building Weights'!$G$8:$G$87)</f>
        <v>0</v>
      </c>
      <c r="E4" s="10">
        <f>SUMIF('Building Weights'!$C$8:$C$87,'Water Temperatures'!A4,'Building Weights'!$N$8:$N$87)</f>
        <v>0</v>
      </c>
    </row>
    <row r="5" spans="1:5">
      <c r="A5" s="10" t="s">
        <v>77</v>
      </c>
      <c r="B5" s="139">
        <v>57</v>
      </c>
      <c r="C5" s="10">
        <v>57</v>
      </c>
      <c r="D5" s="10">
        <f>SUMIF('Building Weights'!$C$8:$C$87,'Water Temperatures'!A5,'Building Weights'!$G$8:$G$87)</f>
        <v>0</v>
      </c>
      <c r="E5" s="10">
        <f>SUMIF('Building Weights'!$C$8:$C$87,'Water Temperatures'!A5,'Building Weights'!$N$8:$N$87)</f>
        <v>0</v>
      </c>
    </row>
    <row r="6" spans="1:5">
      <c r="A6" s="10" t="s">
        <v>78</v>
      </c>
      <c r="B6" s="139">
        <v>59.4</v>
      </c>
      <c r="C6" s="10">
        <v>59.4</v>
      </c>
      <c r="D6" s="10">
        <f>SUMIF('Building Weights'!$C$8:$C$87,'Water Temperatures'!A6,'Building Weights'!$G$8:$G$87)</f>
        <v>0</v>
      </c>
      <c r="E6" s="10">
        <f>SUMIF('Building Weights'!$C$8:$C$87,'Water Temperatures'!A6,'Building Weights'!$N$8:$N$87)</f>
        <v>0</v>
      </c>
    </row>
    <row r="7" spans="1:5">
      <c r="A7" s="10" t="s">
        <v>79</v>
      </c>
      <c r="B7" s="139">
        <v>55.8</v>
      </c>
      <c r="C7" s="10">
        <v>55.8</v>
      </c>
      <c r="D7" s="10">
        <f>SUMIF('Building Weights'!$C$8:$C$87,'Water Temperatures'!A7,'Building Weights'!$G$8:$G$87)</f>
        <v>8.1908555564177499E-4</v>
      </c>
      <c r="E7" s="10">
        <f>SUMIF('Building Weights'!$C$8:$C$87,'Water Temperatures'!A7,'Building Weights'!$N$8:$N$87)</f>
        <v>2.1900431176096039E-3</v>
      </c>
    </row>
    <row r="8" spans="1:5">
      <c r="A8" s="10" t="s">
        <v>80</v>
      </c>
      <c r="B8" s="139">
        <v>61.7</v>
      </c>
      <c r="C8" s="10">
        <v>61.7</v>
      </c>
      <c r="D8" s="10">
        <f>SUMIF('Building Weights'!$C$8:$C$87,'Water Temperatures'!A8,'Building Weights'!$G$8:$G$87)</f>
        <v>0.16365986312443984</v>
      </c>
      <c r="E8" s="10">
        <f>SUMIF('Building Weights'!$C$8:$C$87,'Water Temperatures'!A8,'Building Weights'!$N$8:$N$87)</f>
        <v>0.28133368029004802</v>
      </c>
    </row>
    <row r="9" spans="1:5">
      <c r="A9" s="10" t="s">
        <v>81</v>
      </c>
      <c r="B9" s="139">
        <v>62.5</v>
      </c>
      <c r="C9" s="10">
        <v>62.5</v>
      </c>
      <c r="D9" s="10">
        <f>SUMIF('Building Weights'!$C$8:$C$87,'Water Temperatures'!A9,'Building Weights'!$G$8:$G$87)</f>
        <v>0</v>
      </c>
      <c r="E9" s="10">
        <f>SUMIF('Building Weights'!$C$8:$C$87,'Water Temperatures'!A9,'Building Weights'!$N$8:$N$87)</f>
        <v>0</v>
      </c>
    </row>
    <row r="10" spans="1:5">
      <c r="A10" s="10" t="s">
        <v>82</v>
      </c>
      <c r="B10" s="139">
        <v>63.7</v>
      </c>
      <c r="C10" s="10">
        <v>63.7</v>
      </c>
      <c r="D10" s="10">
        <f>SUMIF('Building Weights'!$C$8:$C$87,'Water Temperatures'!A10,'Building Weights'!$G$8:$G$87)</f>
        <v>0.2899291891299341</v>
      </c>
      <c r="E10" s="10">
        <f>SUMIF('Building Weights'!$C$8:$C$87,'Water Temperatures'!A10,'Building Weights'!$N$8:$N$87)</f>
        <v>0.21548265264884009</v>
      </c>
    </row>
    <row r="11" spans="1:5">
      <c r="A11" s="10" t="s">
        <v>83</v>
      </c>
      <c r="B11" s="139">
        <v>63.7</v>
      </c>
      <c r="C11" s="10">
        <v>63.7</v>
      </c>
      <c r="D11" s="10">
        <f>SUMIF('Building Weights'!$C$8:$C$87,'Water Temperatures'!A11,'Building Weights'!$G$8:$G$87)</f>
        <v>0.27195734350231132</v>
      </c>
      <c r="E11" s="10">
        <f>SUMIF('Building Weights'!$C$8:$C$87,'Water Temperatures'!A11,'Building Weights'!$N$8:$N$87)</f>
        <v>0.30208275789883787</v>
      </c>
    </row>
    <row r="12" spans="1:5">
      <c r="A12" s="10" t="s">
        <v>84</v>
      </c>
      <c r="B12" s="139">
        <v>64</v>
      </c>
      <c r="C12" s="10">
        <v>64</v>
      </c>
      <c r="D12" s="10">
        <f>SUMIF('Building Weights'!$C$8:$C$87,'Water Temperatures'!A12,'Building Weights'!$G$8:$G$87)</f>
        <v>0.16314377763900539</v>
      </c>
      <c r="E12" s="10">
        <f>SUMIF('Building Weights'!$C$8:$C$87,'Water Temperatures'!A12,'Building Weights'!$N$8:$N$87)</f>
        <v>4.0476910418296055E-2</v>
      </c>
    </row>
    <row r="13" spans="1:5">
      <c r="A13" s="10" t="s">
        <v>85</v>
      </c>
      <c r="B13" s="139">
        <v>62.8</v>
      </c>
      <c r="C13" s="10">
        <v>62.7</v>
      </c>
      <c r="D13" s="10">
        <f>SUMIF('Building Weights'!$C$8:$C$87,'Water Temperatures'!A13,'Building Weights'!$G$8:$G$87)</f>
        <v>0</v>
      </c>
      <c r="E13" s="10">
        <f>SUMIF('Building Weights'!$C$8:$C$87,'Water Temperatures'!A13,'Building Weights'!$N$8:$N$87)</f>
        <v>0</v>
      </c>
    </row>
    <row r="14" spans="1:5">
      <c r="A14" s="10" t="s">
        <v>86</v>
      </c>
      <c r="B14" s="139">
        <v>60.7</v>
      </c>
      <c r="C14" s="10">
        <v>60.6</v>
      </c>
      <c r="D14" s="10">
        <f>SUMIF('Building Weights'!$C$8:$C$87,'Water Temperatures'!A14,'Building Weights'!$G$8:$G$87)</f>
        <v>0</v>
      </c>
      <c r="E14" s="10">
        <f>SUMIF('Building Weights'!$C$8:$C$87,'Water Temperatures'!A14,'Building Weights'!$N$8:$N$87)</f>
        <v>0</v>
      </c>
    </row>
    <row r="15" spans="1:5">
      <c r="A15" s="10" t="s">
        <v>87</v>
      </c>
      <c r="B15" s="139">
        <v>63.8</v>
      </c>
      <c r="C15" s="10">
        <v>63.6</v>
      </c>
      <c r="D15" s="10">
        <f>SUMIF('Building Weights'!$C$8:$C$87,'Water Temperatures'!A15,'Building Weights'!$G$8:$G$87)</f>
        <v>3.3120617430386967E-2</v>
      </c>
      <c r="E15" s="10">
        <f>SUMIF('Building Weights'!$C$8:$C$87,'Water Temperatures'!A15,'Building Weights'!$N$8:$N$87)</f>
        <v>7.7701828500652721E-3</v>
      </c>
    </row>
    <row r="16" spans="1:5">
      <c r="A16" s="10" t="s">
        <v>88</v>
      </c>
      <c r="B16" s="139">
        <v>62.3</v>
      </c>
      <c r="C16" s="10">
        <v>62.1</v>
      </c>
      <c r="D16" s="10">
        <f>SUMIF('Building Weights'!$C$8:$C$87,'Water Temperatures'!A16,'Building Weights'!$G$8:$G$87)</f>
        <v>4.2902018070792809E-2</v>
      </c>
      <c r="E16" s="10">
        <f>SUMIF('Building Weights'!$C$8:$C$87,'Water Temperatures'!A16,'Building Weights'!$N$8:$N$87)</f>
        <v>1.9956795166640985E-2</v>
      </c>
    </row>
    <row r="17" spans="1:5">
      <c r="A17" s="10" t="s">
        <v>89</v>
      </c>
      <c r="B17" s="139">
        <v>74.900000000000006</v>
      </c>
      <c r="C17" s="10">
        <v>74.599999999999994</v>
      </c>
      <c r="D17" s="10">
        <f>SUMIF('Building Weights'!$C$8:$C$87,'Water Temperatures'!A17,'Building Weights'!$G$8:$G$87)</f>
        <v>1.4539076539542124E-2</v>
      </c>
      <c r="E17" s="10">
        <f>SUMIF('Building Weights'!$C$8:$C$87,'Water Temperatures'!A17,'Building Weights'!$N$8:$N$87)</f>
        <v>0.10352224060382098</v>
      </c>
    </row>
    <row r="18" spans="1:5">
      <c r="A18" s="10" t="s">
        <v>90</v>
      </c>
      <c r="B18" s="139">
        <v>51.6</v>
      </c>
      <c r="C18" s="10">
        <v>51.5</v>
      </c>
      <c r="D18" s="10">
        <f>SUMIF('Building Weights'!$C$8:$C$87,'Water Temperatures'!A18,'Building Weights'!$G$8:$G$87)</f>
        <v>1.9929029007945746E-2</v>
      </c>
      <c r="E18" s="10">
        <f>SUMIF('Building Weights'!$C$8:$C$87,'Water Temperatures'!A18,'Building Weights'!$N$8:$N$87)</f>
        <v>2.7184737005841082E-2</v>
      </c>
    </row>
    <row r="19" spans="1:5">
      <c r="A19" s="10"/>
      <c r="B19" s="10"/>
      <c r="C19" s="10"/>
      <c r="D19">
        <f>SUMPRODUCT($C$3:$C$18,D3:D18)</f>
        <v>63.258539120881032</v>
      </c>
      <c r="E19" s="10">
        <f>SUMPRODUCT($C$3:$C$18,E3:E18)</f>
        <v>63.89620511247503</v>
      </c>
    </row>
  </sheetData>
  <mergeCells count="1">
    <mergeCell ref="D1:E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261"/>
  <sheetViews>
    <sheetView zoomScale="85" zoomScaleNormal="85" workbookViewId="0">
      <selection activeCell="N14" sqref="N14"/>
    </sheetView>
  </sheetViews>
  <sheetFormatPr defaultRowHeight="15"/>
  <cols>
    <col min="1" max="2" width="9.28515625" style="37"/>
    <col min="3" max="3" width="9.28515625" style="10"/>
    <col min="4" max="4" width="8.28515625" style="10" customWidth="1"/>
    <col min="5" max="27" width="8.5703125" style="10" customWidth="1"/>
    <col min="28" max="28" width="8.42578125" style="10" customWidth="1"/>
    <col min="29" max="29" width="7.7109375" style="10" customWidth="1"/>
    <col min="30" max="259" width="9.28515625" style="10"/>
    <col min="260" max="260" width="8.28515625" style="10" customWidth="1"/>
    <col min="261" max="283" width="8.5703125" style="10" customWidth="1"/>
    <col min="284" max="284" width="8.42578125" style="10" customWidth="1"/>
    <col min="285" max="285" width="7.7109375" style="10" customWidth="1"/>
    <col min="286" max="515" width="9.28515625" style="10"/>
    <col min="516" max="516" width="8.28515625" style="10" customWidth="1"/>
    <col min="517" max="539" width="8.5703125" style="10" customWidth="1"/>
    <col min="540" max="540" width="8.42578125" style="10" customWidth="1"/>
    <col min="541" max="541" width="7.7109375" style="10" customWidth="1"/>
    <col min="542" max="771" width="9.28515625" style="10"/>
    <col min="772" max="772" width="8.28515625" style="10" customWidth="1"/>
    <col min="773" max="795" width="8.5703125" style="10" customWidth="1"/>
    <col min="796" max="796" width="8.42578125" style="10" customWidth="1"/>
    <col min="797" max="797" width="7.7109375" style="10" customWidth="1"/>
    <col min="798" max="1027" width="9.28515625" style="10"/>
    <col min="1028" max="1028" width="8.28515625" style="10" customWidth="1"/>
    <col min="1029" max="1051" width="8.5703125" style="10" customWidth="1"/>
    <col min="1052" max="1052" width="8.42578125" style="10" customWidth="1"/>
    <col min="1053" max="1053" width="7.7109375" style="10" customWidth="1"/>
    <col min="1054" max="1283" width="9.28515625" style="10"/>
    <col min="1284" max="1284" width="8.28515625" style="10" customWidth="1"/>
    <col min="1285" max="1307" width="8.5703125" style="10" customWidth="1"/>
    <col min="1308" max="1308" width="8.42578125" style="10" customWidth="1"/>
    <col min="1309" max="1309" width="7.7109375" style="10" customWidth="1"/>
    <col min="1310" max="1539" width="9.28515625" style="10"/>
    <col min="1540" max="1540" width="8.28515625" style="10" customWidth="1"/>
    <col min="1541" max="1563" width="8.5703125" style="10" customWidth="1"/>
    <col min="1564" max="1564" width="8.42578125" style="10" customWidth="1"/>
    <col min="1565" max="1565" width="7.7109375" style="10" customWidth="1"/>
    <col min="1566" max="1795" width="9.28515625" style="10"/>
    <col min="1796" max="1796" width="8.28515625" style="10" customWidth="1"/>
    <col min="1797" max="1819" width="8.5703125" style="10" customWidth="1"/>
    <col min="1820" max="1820" width="8.42578125" style="10" customWidth="1"/>
    <col min="1821" max="1821" width="7.7109375" style="10" customWidth="1"/>
    <col min="1822" max="2051" width="9.28515625" style="10"/>
    <col min="2052" max="2052" width="8.28515625" style="10" customWidth="1"/>
    <col min="2053" max="2075" width="8.5703125" style="10" customWidth="1"/>
    <col min="2076" max="2076" width="8.42578125" style="10" customWidth="1"/>
    <col min="2077" max="2077" width="7.7109375" style="10" customWidth="1"/>
    <col min="2078" max="2307" width="9.28515625" style="10"/>
    <col min="2308" max="2308" width="8.28515625" style="10" customWidth="1"/>
    <col min="2309" max="2331" width="8.5703125" style="10" customWidth="1"/>
    <col min="2332" max="2332" width="8.42578125" style="10" customWidth="1"/>
    <col min="2333" max="2333" width="7.7109375" style="10" customWidth="1"/>
    <col min="2334" max="2563" width="9.28515625" style="10"/>
    <col min="2564" max="2564" width="8.28515625" style="10" customWidth="1"/>
    <col min="2565" max="2587" width="8.5703125" style="10" customWidth="1"/>
    <col min="2588" max="2588" width="8.42578125" style="10" customWidth="1"/>
    <col min="2589" max="2589" width="7.7109375" style="10" customWidth="1"/>
    <col min="2590" max="2819" width="9.28515625" style="10"/>
    <col min="2820" max="2820" width="8.28515625" style="10" customWidth="1"/>
    <col min="2821" max="2843" width="8.5703125" style="10" customWidth="1"/>
    <col min="2844" max="2844" width="8.42578125" style="10" customWidth="1"/>
    <col min="2845" max="2845" width="7.7109375" style="10" customWidth="1"/>
    <col min="2846" max="3075" width="9.28515625" style="10"/>
    <col min="3076" max="3076" width="8.28515625" style="10" customWidth="1"/>
    <col min="3077" max="3099" width="8.5703125" style="10" customWidth="1"/>
    <col min="3100" max="3100" width="8.42578125" style="10" customWidth="1"/>
    <col min="3101" max="3101" width="7.7109375" style="10" customWidth="1"/>
    <col min="3102" max="3331" width="9.28515625" style="10"/>
    <col min="3332" max="3332" width="8.28515625" style="10" customWidth="1"/>
    <col min="3333" max="3355" width="8.5703125" style="10" customWidth="1"/>
    <col min="3356" max="3356" width="8.42578125" style="10" customWidth="1"/>
    <col min="3357" max="3357" width="7.7109375" style="10" customWidth="1"/>
    <col min="3358" max="3587" width="9.28515625" style="10"/>
    <col min="3588" max="3588" width="8.28515625" style="10" customWidth="1"/>
    <col min="3589" max="3611" width="8.5703125" style="10" customWidth="1"/>
    <col min="3612" max="3612" width="8.42578125" style="10" customWidth="1"/>
    <col min="3613" max="3613" width="7.7109375" style="10" customWidth="1"/>
    <col min="3614" max="3843" width="9.28515625" style="10"/>
    <col min="3844" max="3844" width="8.28515625" style="10" customWidth="1"/>
    <col min="3845" max="3867" width="8.5703125" style="10" customWidth="1"/>
    <col min="3868" max="3868" width="8.42578125" style="10" customWidth="1"/>
    <col min="3869" max="3869" width="7.7109375" style="10" customWidth="1"/>
    <col min="3870" max="4099" width="9.28515625" style="10"/>
    <col min="4100" max="4100" width="8.28515625" style="10" customWidth="1"/>
    <col min="4101" max="4123" width="8.5703125" style="10" customWidth="1"/>
    <col min="4124" max="4124" width="8.42578125" style="10" customWidth="1"/>
    <col min="4125" max="4125" width="7.7109375" style="10" customWidth="1"/>
    <col min="4126" max="4355" width="9.28515625" style="10"/>
    <col min="4356" max="4356" width="8.28515625" style="10" customWidth="1"/>
    <col min="4357" max="4379" width="8.5703125" style="10" customWidth="1"/>
    <col min="4380" max="4380" width="8.42578125" style="10" customWidth="1"/>
    <col min="4381" max="4381" width="7.7109375" style="10" customWidth="1"/>
    <col min="4382" max="4611" width="9.28515625" style="10"/>
    <col min="4612" max="4612" width="8.28515625" style="10" customWidth="1"/>
    <col min="4613" max="4635" width="8.5703125" style="10" customWidth="1"/>
    <col min="4636" max="4636" width="8.42578125" style="10" customWidth="1"/>
    <col min="4637" max="4637" width="7.7109375" style="10" customWidth="1"/>
    <col min="4638" max="4867" width="9.28515625" style="10"/>
    <col min="4868" max="4868" width="8.28515625" style="10" customWidth="1"/>
    <col min="4869" max="4891" width="8.5703125" style="10" customWidth="1"/>
    <col min="4892" max="4892" width="8.42578125" style="10" customWidth="1"/>
    <col min="4893" max="4893" width="7.7109375" style="10" customWidth="1"/>
    <col min="4894" max="5123" width="9.28515625" style="10"/>
    <col min="5124" max="5124" width="8.28515625" style="10" customWidth="1"/>
    <col min="5125" max="5147" width="8.5703125" style="10" customWidth="1"/>
    <col min="5148" max="5148" width="8.42578125" style="10" customWidth="1"/>
    <col min="5149" max="5149" width="7.7109375" style="10" customWidth="1"/>
    <col min="5150" max="5379" width="9.28515625" style="10"/>
    <col min="5380" max="5380" width="8.28515625" style="10" customWidth="1"/>
    <col min="5381" max="5403" width="8.5703125" style="10" customWidth="1"/>
    <col min="5404" max="5404" width="8.42578125" style="10" customWidth="1"/>
    <col min="5405" max="5405" width="7.7109375" style="10" customWidth="1"/>
    <col min="5406" max="5635" width="9.28515625" style="10"/>
    <col min="5636" max="5636" width="8.28515625" style="10" customWidth="1"/>
    <col min="5637" max="5659" width="8.5703125" style="10" customWidth="1"/>
    <col min="5660" max="5660" width="8.42578125" style="10" customWidth="1"/>
    <col min="5661" max="5661" width="7.7109375" style="10" customWidth="1"/>
    <col min="5662" max="5891" width="9.28515625" style="10"/>
    <col min="5892" max="5892" width="8.28515625" style="10" customWidth="1"/>
    <col min="5893" max="5915" width="8.5703125" style="10" customWidth="1"/>
    <col min="5916" max="5916" width="8.42578125" style="10" customWidth="1"/>
    <col min="5917" max="5917" width="7.7109375" style="10" customWidth="1"/>
    <col min="5918" max="6147" width="9.28515625" style="10"/>
    <col min="6148" max="6148" width="8.28515625" style="10" customWidth="1"/>
    <col min="6149" max="6171" width="8.5703125" style="10" customWidth="1"/>
    <col min="6172" max="6172" width="8.42578125" style="10" customWidth="1"/>
    <col min="6173" max="6173" width="7.7109375" style="10" customWidth="1"/>
    <col min="6174" max="6403" width="9.28515625" style="10"/>
    <col min="6404" max="6404" width="8.28515625" style="10" customWidth="1"/>
    <col min="6405" max="6427" width="8.5703125" style="10" customWidth="1"/>
    <col min="6428" max="6428" width="8.42578125" style="10" customWidth="1"/>
    <col min="6429" max="6429" width="7.7109375" style="10" customWidth="1"/>
    <col min="6430" max="6659" width="9.28515625" style="10"/>
    <col min="6660" max="6660" width="8.28515625" style="10" customWidth="1"/>
    <col min="6661" max="6683" width="8.5703125" style="10" customWidth="1"/>
    <col min="6684" max="6684" width="8.42578125" style="10" customWidth="1"/>
    <col min="6685" max="6685" width="7.7109375" style="10" customWidth="1"/>
    <col min="6686" max="6915" width="9.28515625" style="10"/>
    <col min="6916" max="6916" width="8.28515625" style="10" customWidth="1"/>
    <col min="6917" max="6939" width="8.5703125" style="10" customWidth="1"/>
    <col min="6940" max="6940" width="8.42578125" style="10" customWidth="1"/>
    <col min="6941" max="6941" width="7.7109375" style="10" customWidth="1"/>
    <col min="6942" max="7171" width="9.28515625" style="10"/>
    <col min="7172" max="7172" width="8.28515625" style="10" customWidth="1"/>
    <col min="7173" max="7195" width="8.5703125" style="10" customWidth="1"/>
    <col min="7196" max="7196" width="8.42578125" style="10" customWidth="1"/>
    <col min="7197" max="7197" width="7.7109375" style="10" customWidth="1"/>
    <col min="7198" max="7427" width="9.28515625" style="10"/>
    <col min="7428" max="7428" width="8.28515625" style="10" customWidth="1"/>
    <col min="7429" max="7451" width="8.5703125" style="10" customWidth="1"/>
    <col min="7452" max="7452" width="8.42578125" style="10" customWidth="1"/>
    <col min="7453" max="7453" width="7.7109375" style="10" customWidth="1"/>
    <col min="7454" max="7683" width="9.28515625" style="10"/>
    <col min="7684" max="7684" width="8.28515625" style="10" customWidth="1"/>
    <col min="7685" max="7707" width="8.5703125" style="10" customWidth="1"/>
    <col min="7708" max="7708" width="8.42578125" style="10" customWidth="1"/>
    <col min="7709" max="7709" width="7.7109375" style="10" customWidth="1"/>
    <col min="7710" max="7939" width="9.28515625" style="10"/>
    <col min="7940" max="7940" width="8.28515625" style="10" customWidth="1"/>
    <col min="7941" max="7963" width="8.5703125" style="10" customWidth="1"/>
    <col min="7964" max="7964" width="8.42578125" style="10" customWidth="1"/>
    <col min="7965" max="7965" width="7.7109375" style="10" customWidth="1"/>
    <col min="7966" max="8195" width="9.28515625" style="10"/>
    <col min="8196" max="8196" width="8.28515625" style="10" customWidth="1"/>
    <col min="8197" max="8219" width="8.5703125" style="10" customWidth="1"/>
    <col min="8220" max="8220" width="8.42578125" style="10" customWidth="1"/>
    <col min="8221" max="8221" width="7.7109375" style="10" customWidth="1"/>
    <col min="8222" max="8451" width="9.28515625" style="10"/>
    <col min="8452" max="8452" width="8.28515625" style="10" customWidth="1"/>
    <col min="8453" max="8475" width="8.5703125" style="10" customWidth="1"/>
    <col min="8476" max="8476" width="8.42578125" style="10" customWidth="1"/>
    <col min="8477" max="8477" width="7.7109375" style="10" customWidth="1"/>
    <col min="8478" max="8707" width="9.28515625" style="10"/>
    <col min="8708" max="8708" width="8.28515625" style="10" customWidth="1"/>
    <col min="8709" max="8731" width="8.5703125" style="10" customWidth="1"/>
    <col min="8732" max="8732" width="8.42578125" style="10" customWidth="1"/>
    <col min="8733" max="8733" width="7.7109375" style="10" customWidth="1"/>
    <col min="8734" max="8963" width="9.28515625" style="10"/>
    <col min="8964" max="8964" width="8.28515625" style="10" customWidth="1"/>
    <col min="8965" max="8987" width="8.5703125" style="10" customWidth="1"/>
    <col min="8988" max="8988" width="8.42578125" style="10" customWidth="1"/>
    <col min="8989" max="8989" width="7.7109375" style="10" customWidth="1"/>
    <col min="8990" max="9219" width="9.28515625" style="10"/>
    <col min="9220" max="9220" width="8.28515625" style="10" customWidth="1"/>
    <col min="9221" max="9243" width="8.5703125" style="10" customWidth="1"/>
    <col min="9244" max="9244" width="8.42578125" style="10" customWidth="1"/>
    <col min="9245" max="9245" width="7.7109375" style="10" customWidth="1"/>
    <col min="9246" max="9475" width="9.28515625" style="10"/>
    <col min="9476" max="9476" width="8.28515625" style="10" customWidth="1"/>
    <col min="9477" max="9499" width="8.5703125" style="10" customWidth="1"/>
    <col min="9500" max="9500" width="8.42578125" style="10" customWidth="1"/>
    <col min="9501" max="9501" width="7.7109375" style="10" customWidth="1"/>
    <col min="9502" max="9731" width="9.28515625" style="10"/>
    <col min="9732" max="9732" width="8.28515625" style="10" customWidth="1"/>
    <col min="9733" max="9755" width="8.5703125" style="10" customWidth="1"/>
    <col min="9756" max="9756" width="8.42578125" style="10" customWidth="1"/>
    <col min="9757" max="9757" width="7.7109375" style="10" customWidth="1"/>
    <col min="9758" max="9987" width="9.28515625" style="10"/>
    <col min="9988" max="9988" width="8.28515625" style="10" customWidth="1"/>
    <col min="9989" max="10011" width="8.5703125" style="10" customWidth="1"/>
    <col min="10012" max="10012" width="8.42578125" style="10" customWidth="1"/>
    <col min="10013" max="10013" width="7.7109375" style="10" customWidth="1"/>
    <col min="10014" max="10243" width="9.28515625" style="10"/>
    <col min="10244" max="10244" width="8.28515625" style="10" customWidth="1"/>
    <col min="10245" max="10267" width="8.5703125" style="10" customWidth="1"/>
    <col min="10268" max="10268" width="8.42578125" style="10" customWidth="1"/>
    <col min="10269" max="10269" width="7.7109375" style="10" customWidth="1"/>
    <col min="10270" max="10499" width="9.28515625" style="10"/>
    <col min="10500" max="10500" width="8.28515625" style="10" customWidth="1"/>
    <col min="10501" max="10523" width="8.5703125" style="10" customWidth="1"/>
    <col min="10524" max="10524" width="8.42578125" style="10" customWidth="1"/>
    <col min="10525" max="10525" width="7.7109375" style="10" customWidth="1"/>
    <col min="10526" max="10755" width="9.28515625" style="10"/>
    <col min="10756" max="10756" width="8.28515625" style="10" customWidth="1"/>
    <col min="10757" max="10779" width="8.5703125" style="10" customWidth="1"/>
    <col min="10780" max="10780" width="8.42578125" style="10" customWidth="1"/>
    <col min="10781" max="10781" width="7.7109375" style="10" customWidth="1"/>
    <col min="10782" max="11011" width="9.28515625" style="10"/>
    <col min="11012" max="11012" width="8.28515625" style="10" customWidth="1"/>
    <col min="11013" max="11035" width="8.5703125" style="10" customWidth="1"/>
    <col min="11036" max="11036" width="8.42578125" style="10" customWidth="1"/>
    <col min="11037" max="11037" width="7.7109375" style="10" customWidth="1"/>
    <col min="11038" max="11267" width="9.28515625" style="10"/>
    <col min="11268" max="11268" width="8.28515625" style="10" customWidth="1"/>
    <col min="11269" max="11291" width="8.5703125" style="10" customWidth="1"/>
    <col min="11292" max="11292" width="8.42578125" style="10" customWidth="1"/>
    <col min="11293" max="11293" width="7.7109375" style="10" customWidth="1"/>
    <col min="11294" max="11523" width="9.28515625" style="10"/>
    <col min="11524" max="11524" width="8.28515625" style="10" customWidth="1"/>
    <col min="11525" max="11547" width="8.5703125" style="10" customWidth="1"/>
    <col min="11548" max="11548" width="8.42578125" style="10" customWidth="1"/>
    <col min="11549" max="11549" width="7.7109375" style="10" customWidth="1"/>
    <col min="11550" max="11779" width="9.28515625" style="10"/>
    <col min="11780" max="11780" width="8.28515625" style="10" customWidth="1"/>
    <col min="11781" max="11803" width="8.5703125" style="10" customWidth="1"/>
    <col min="11804" max="11804" width="8.42578125" style="10" customWidth="1"/>
    <col min="11805" max="11805" width="7.7109375" style="10" customWidth="1"/>
    <col min="11806" max="12035" width="9.28515625" style="10"/>
    <col min="12036" max="12036" width="8.28515625" style="10" customWidth="1"/>
    <col min="12037" max="12059" width="8.5703125" style="10" customWidth="1"/>
    <col min="12060" max="12060" width="8.42578125" style="10" customWidth="1"/>
    <col min="12061" max="12061" width="7.7109375" style="10" customWidth="1"/>
    <col min="12062" max="12291" width="9.28515625" style="10"/>
    <col min="12292" max="12292" width="8.28515625" style="10" customWidth="1"/>
    <col min="12293" max="12315" width="8.5703125" style="10" customWidth="1"/>
    <col min="12316" max="12316" width="8.42578125" style="10" customWidth="1"/>
    <col min="12317" max="12317" width="7.7109375" style="10" customWidth="1"/>
    <col min="12318" max="12547" width="9.28515625" style="10"/>
    <col min="12548" max="12548" width="8.28515625" style="10" customWidth="1"/>
    <col min="12549" max="12571" width="8.5703125" style="10" customWidth="1"/>
    <col min="12572" max="12572" width="8.42578125" style="10" customWidth="1"/>
    <col min="12573" max="12573" width="7.7109375" style="10" customWidth="1"/>
    <col min="12574" max="12803" width="9.28515625" style="10"/>
    <col min="12804" max="12804" width="8.28515625" style="10" customWidth="1"/>
    <col min="12805" max="12827" width="8.5703125" style="10" customWidth="1"/>
    <col min="12828" max="12828" width="8.42578125" style="10" customWidth="1"/>
    <col min="12829" max="12829" width="7.7109375" style="10" customWidth="1"/>
    <col min="12830" max="13059" width="9.28515625" style="10"/>
    <col min="13060" max="13060" width="8.28515625" style="10" customWidth="1"/>
    <col min="13061" max="13083" width="8.5703125" style="10" customWidth="1"/>
    <col min="13084" max="13084" width="8.42578125" style="10" customWidth="1"/>
    <col min="13085" max="13085" width="7.7109375" style="10" customWidth="1"/>
    <col min="13086" max="13315" width="9.28515625" style="10"/>
    <col min="13316" max="13316" width="8.28515625" style="10" customWidth="1"/>
    <col min="13317" max="13339" width="8.5703125" style="10" customWidth="1"/>
    <col min="13340" max="13340" width="8.42578125" style="10" customWidth="1"/>
    <col min="13341" max="13341" width="7.7109375" style="10" customWidth="1"/>
    <col min="13342" max="13571" width="9.28515625" style="10"/>
    <col min="13572" max="13572" width="8.28515625" style="10" customWidth="1"/>
    <col min="13573" max="13595" width="8.5703125" style="10" customWidth="1"/>
    <col min="13596" max="13596" width="8.42578125" style="10" customWidth="1"/>
    <col min="13597" max="13597" width="7.7109375" style="10" customWidth="1"/>
    <col min="13598" max="13827" width="9.28515625" style="10"/>
    <col min="13828" max="13828" width="8.28515625" style="10" customWidth="1"/>
    <col min="13829" max="13851" width="8.5703125" style="10" customWidth="1"/>
    <col min="13852" max="13852" width="8.42578125" style="10" customWidth="1"/>
    <col min="13853" max="13853" width="7.7109375" style="10" customWidth="1"/>
    <col min="13854" max="14083" width="9.28515625" style="10"/>
    <col min="14084" max="14084" width="8.28515625" style="10" customWidth="1"/>
    <col min="14085" max="14107" width="8.5703125" style="10" customWidth="1"/>
    <col min="14108" max="14108" width="8.42578125" style="10" customWidth="1"/>
    <col min="14109" max="14109" width="7.7109375" style="10" customWidth="1"/>
    <col min="14110" max="14339" width="9.28515625" style="10"/>
    <col min="14340" max="14340" width="8.28515625" style="10" customWidth="1"/>
    <col min="14341" max="14363" width="8.5703125" style="10" customWidth="1"/>
    <col min="14364" max="14364" width="8.42578125" style="10" customWidth="1"/>
    <col min="14365" max="14365" width="7.7109375" style="10" customWidth="1"/>
    <col min="14366" max="14595" width="9.28515625" style="10"/>
    <col min="14596" max="14596" width="8.28515625" style="10" customWidth="1"/>
    <col min="14597" max="14619" width="8.5703125" style="10" customWidth="1"/>
    <col min="14620" max="14620" width="8.42578125" style="10" customWidth="1"/>
    <col min="14621" max="14621" width="7.7109375" style="10" customWidth="1"/>
    <col min="14622" max="14851" width="9.28515625" style="10"/>
    <col min="14852" max="14852" width="8.28515625" style="10" customWidth="1"/>
    <col min="14853" max="14875" width="8.5703125" style="10" customWidth="1"/>
    <col min="14876" max="14876" width="8.42578125" style="10" customWidth="1"/>
    <col min="14877" max="14877" width="7.7109375" style="10" customWidth="1"/>
    <col min="14878" max="15107" width="9.28515625" style="10"/>
    <col min="15108" max="15108" width="8.28515625" style="10" customWidth="1"/>
    <col min="15109" max="15131" width="8.5703125" style="10" customWidth="1"/>
    <col min="15132" max="15132" width="8.42578125" style="10" customWidth="1"/>
    <col min="15133" max="15133" width="7.7109375" style="10" customWidth="1"/>
    <col min="15134" max="15363" width="9.28515625" style="10"/>
    <col min="15364" max="15364" width="8.28515625" style="10" customWidth="1"/>
    <col min="15365" max="15387" width="8.5703125" style="10" customWidth="1"/>
    <col min="15388" max="15388" width="8.42578125" style="10" customWidth="1"/>
    <col min="15389" max="15389" width="7.7109375" style="10" customWidth="1"/>
    <col min="15390" max="15619" width="9.28515625" style="10"/>
    <col min="15620" max="15620" width="8.28515625" style="10" customWidth="1"/>
    <col min="15621" max="15643" width="8.5703125" style="10" customWidth="1"/>
    <col min="15644" max="15644" width="8.42578125" style="10" customWidth="1"/>
    <col min="15645" max="15645" width="7.7109375" style="10" customWidth="1"/>
    <col min="15646" max="15875" width="9.28515625" style="10"/>
    <col min="15876" max="15876" width="8.28515625" style="10" customWidth="1"/>
    <col min="15877" max="15899" width="8.5703125" style="10" customWidth="1"/>
    <col min="15900" max="15900" width="8.42578125" style="10" customWidth="1"/>
    <col min="15901" max="15901" width="7.7109375" style="10" customWidth="1"/>
    <col min="15902" max="16131" width="9.28515625" style="10"/>
    <col min="16132" max="16132" width="8.28515625" style="10" customWidth="1"/>
    <col min="16133" max="16155" width="8.5703125" style="10" customWidth="1"/>
    <col min="16156" max="16156" width="8.42578125" style="10" customWidth="1"/>
    <col min="16157" max="16157" width="7.7109375" style="10" customWidth="1"/>
    <col min="16158" max="16384" width="9.28515625" style="10"/>
  </cols>
  <sheetData>
    <row r="2" spans="1:39" ht="18">
      <c r="C2" s="38" t="s">
        <v>23</v>
      </c>
      <c r="J2" s="39"/>
      <c r="K2" s="39"/>
      <c r="L2" s="40" t="s">
        <v>24</v>
      </c>
    </row>
    <row r="3" spans="1:39">
      <c r="B3" s="10"/>
    </row>
    <row r="4" spans="1:39" ht="18">
      <c r="C4" s="41" t="s">
        <v>25</v>
      </c>
    </row>
    <row r="5" spans="1:39" ht="18">
      <c r="C5" s="41" t="s">
        <v>26</v>
      </c>
      <c r="AA5" s="13" t="s">
        <v>27</v>
      </c>
      <c r="AB5" s="37">
        <v>38</v>
      </c>
    </row>
    <row r="6" spans="1:39" ht="18">
      <c r="A6" s="37" t="s">
        <v>28</v>
      </c>
      <c r="B6" s="37">
        <v>62</v>
      </c>
      <c r="C6" s="41"/>
      <c r="D6" s="10" t="s">
        <v>29</v>
      </c>
      <c r="E6" s="37">
        <v>11</v>
      </c>
      <c r="F6" s="37">
        <v>7</v>
      </c>
      <c r="G6" s="37">
        <v>7</v>
      </c>
      <c r="H6" s="37">
        <v>8</v>
      </c>
      <c r="I6" s="37">
        <v>8</v>
      </c>
      <c r="J6" s="37">
        <v>7</v>
      </c>
      <c r="K6" s="37">
        <v>4</v>
      </c>
      <c r="L6" s="37">
        <v>9</v>
      </c>
      <c r="M6" s="37">
        <v>9</v>
      </c>
      <c r="N6" s="37">
        <v>10</v>
      </c>
      <c r="O6" s="37">
        <v>10</v>
      </c>
      <c r="P6" s="37">
        <v>11</v>
      </c>
      <c r="Q6" s="37">
        <v>11</v>
      </c>
      <c r="R6" s="37">
        <v>12</v>
      </c>
      <c r="S6" s="37">
        <v>1</v>
      </c>
      <c r="T6" s="37">
        <v>2</v>
      </c>
      <c r="U6" s="37">
        <v>2</v>
      </c>
      <c r="V6" s="37">
        <v>3</v>
      </c>
      <c r="W6" s="37">
        <v>3</v>
      </c>
      <c r="X6" s="37">
        <v>3</v>
      </c>
      <c r="Y6" s="37">
        <v>5</v>
      </c>
      <c r="Z6" s="37">
        <v>5</v>
      </c>
      <c r="AA6" s="37">
        <v>6</v>
      </c>
      <c r="AB6" s="37">
        <v>1</v>
      </c>
      <c r="AC6" s="37">
        <v>2</v>
      </c>
      <c r="AD6" s="37">
        <v>3</v>
      </c>
      <c r="AE6" s="37">
        <v>4</v>
      </c>
      <c r="AF6" s="37">
        <v>5</v>
      </c>
      <c r="AG6" s="37">
        <v>6</v>
      </c>
      <c r="AL6" s="37"/>
      <c r="AM6" s="37"/>
    </row>
    <row r="7" spans="1:39" ht="162" thickBot="1">
      <c r="A7" s="42" t="s">
        <v>30</v>
      </c>
      <c r="B7" s="42" t="s">
        <v>31</v>
      </c>
      <c r="C7" s="43" t="s">
        <v>32</v>
      </c>
      <c r="D7" s="43" t="s">
        <v>33</v>
      </c>
      <c r="E7" s="44" t="s">
        <v>34</v>
      </c>
      <c r="F7" s="45" t="s">
        <v>35</v>
      </c>
      <c r="G7" s="45" t="s">
        <v>36</v>
      </c>
      <c r="H7" s="45" t="s">
        <v>37</v>
      </c>
      <c r="I7" s="45" t="s">
        <v>38</v>
      </c>
      <c r="J7" s="44" t="s">
        <v>39</v>
      </c>
      <c r="K7" s="44" t="s">
        <v>40</v>
      </c>
      <c r="L7" s="44" t="s">
        <v>41</v>
      </c>
      <c r="M7" s="164" t="s">
        <v>42</v>
      </c>
      <c r="N7" s="45" t="s">
        <v>43</v>
      </c>
      <c r="O7" s="44" t="s">
        <v>44</v>
      </c>
      <c r="P7" s="44" t="s">
        <v>45</v>
      </c>
      <c r="Q7" s="44" t="s">
        <v>46</v>
      </c>
      <c r="R7" s="44" t="s">
        <v>47</v>
      </c>
      <c r="S7" s="44" t="s">
        <v>48</v>
      </c>
      <c r="T7" s="45" t="s">
        <v>49</v>
      </c>
      <c r="U7" s="44" t="s">
        <v>50</v>
      </c>
      <c r="V7" s="44" t="s">
        <v>51</v>
      </c>
      <c r="W7" s="44" t="s">
        <v>52</v>
      </c>
      <c r="X7" s="44" t="s">
        <v>53</v>
      </c>
      <c r="Y7" s="44" t="s">
        <v>54</v>
      </c>
      <c r="Z7" s="44" t="s">
        <v>55</v>
      </c>
      <c r="AA7" s="44" t="s">
        <v>56</v>
      </c>
      <c r="AB7" s="44" t="s">
        <v>57</v>
      </c>
      <c r="AC7" s="44" t="s">
        <v>58</v>
      </c>
      <c r="AD7" s="44" t="s">
        <v>59</v>
      </c>
      <c r="AE7" s="44" t="s">
        <v>60</v>
      </c>
      <c r="AF7" s="46" t="s">
        <v>61</v>
      </c>
      <c r="AG7" s="46" t="s">
        <v>62</v>
      </c>
      <c r="AH7" s="46" t="s">
        <v>63</v>
      </c>
      <c r="AL7" s="44"/>
      <c r="AM7" s="44"/>
    </row>
    <row r="8" spans="1:39">
      <c r="A8" s="37">
        <v>1</v>
      </c>
      <c r="B8" s="37">
        <v>100</v>
      </c>
      <c r="C8" s="47" t="s">
        <v>64</v>
      </c>
      <c r="D8" s="48" t="s">
        <v>65</v>
      </c>
      <c r="E8" s="49">
        <v>0</v>
      </c>
      <c r="F8" s="50">
        <v>0</v>
      </c>
      <c r="G8" s="50">
        <v>0</v>
      </c>
      <c r="H8" s="50">
        <v>0</v>
      </c>
      <c r="I8" s="50">
        <v>0</v>
      </c>
      <c r="J8" s="51">
        <v>0</v>
      </c>
      <c r="K8" s="51">
        <v>0</v>
      </c>
      <c r="L8" s="51">
        <v>0</v>
      </c>
      <c r="M8" s="165">
        <v>0</v>
      </c>
      <c r="N8" s="50">
        <v>0</v>
      </c>
      <c r="O8" s="51">
        <v>0</v>
      </c>
      <c r="P8" s="51">
        <v>0</v>
      </c>
      <c r="Q8" s="51">
        <v>0</v>
      </c>
      <c r="R8" s="51">
        <v>0</v>
      </c>
      <c r="S8" s="51">
        <v>0</v>
      </c>
      <c r="T8" s="50">
        <v>0</v>
      </c>
      <c r="U8" s="51">
        <v>0</v>
      </c>
      <c r="V8" s="51">
        <v>0</v>
      </c>
      <c r="W8" s="51">
        <v>0</v>
      </c>
      <c r="X8" s="51">
        <v>0</v>
      </c>
      <c r="Y8" s="51">
        <v>0</v>
      </c>
      <c r="Z8" s="51">
        <v>0</v>
      </c>
      <c r="AA8" s="52">
        <v>0</v>
      </c>
      <c r="AB8" s="53">
        <v>0</v>
      </c>
      <c r="AC8" s="53">
        <v>0</v>
      </c>
      <c r="AD8" s="53">
        <v>0</v>
      </c>
      <c r="AE8" s="54">
        <v>0</v>
      </c>
      <c r="AF8" s="53">
        <v>0</v>
      </c>
      <c r="AG8" s="54">
        <v>0</v>
      </c>
      <c r="AH8" s="55">
        <v>72</v>
      </c>
      <c r="AI8" s="56" t="s">
        <v>66</v>
      </c>
    </row>
    <row r="9" spans="1:39">
      <c r="A9" s="37">
        <v>2</v>
      </c>
      <c r="B9" s="37">
        <v>100</v>
      </c>
      <c r="C9" s="57" t="s">
        <v>64</v>
      </c>
      <c r="D9" s="58" t="s">
        <v>67</v>
      </c>
      <c r="E9" s="59">
        <v>0</v>
      </c>
      <c r="F9" s="60">
        <v>0</v>
      </c>
      <c r="G9" s="60">
        <v>0</v>
      </c>
      <c r="H9" s="60">
        <v>0</v>
      </c>
      <c r="I9" s="60">
        <v>0</v>
      </c>
      <c r="J9" s="61">
        <v>0</v>
      </c>
      <c r="K9" s="61">
        <v>0</v>
      </c>
      <c r="L9" s="61">
        <v>0</v>
      </c>
      <c r="M9" s="166">
        <v>0</v>
      </c>
      <c r="N9" s="60">
        <v>0</v>
      </c>
      <c r="O9" s="61">
        <v>0</v>
      </c>
      <c r="P9" s="61">
        <v>0</v>
      </c>
      <c r="Q9" s="61">
        <v>0</v>
      </c>
      <c r="R9" s="61">
        <v>0</v>
      </c>
      <c r="S9" s="61">
        <v>0</v>
      </c>
      <c r="T9" s="60">
        <v>0</v>
      </c>
      <c r="U9" s="61">
        <v>0</v>
      </c>
      <c r="V9" s="61">
        <v>0</v>
      </c>
      <c r="W9" s="61">
        <v>0</v>
      </c>
      <c r="X9" s="61">
        <v>0</v>
      </c>
      <c r="Y9" s="61">
        <v>0</v>
      </c>
      <c r="Z9" s="61">
        <v>0</v>
      </c>
      <c r="AA9" s="62">
        <v>0</v>
      </c>
      <c r="AB9" s="63">
        <v>0</v>
      </c>
      <c r="AC9" s="63">
        <v>0</v>
      </c>
      <c r="AD9" s="63">
        <v>0</v>
      </c>
      <c r="AE9" s="64">
        <v>0</v>
      </c>
      <c r="AF9" s="63">
        <v>0</v>
      </c>
      <c r="AG9" s="64">
        <v>0</v>
      </c>
      <c r="AH9" s="55">
        <v>85</v>
      </c>
      <c r="AI9" s="56" t="s">
        <v>68</v>
      </c>
    </row>
    <row r="10" spans="1:39">
      <c r="A10" s="37">
        <v>3</v>
      </c>
      <c r="B10" s="37">
        <v>100</v>
      </c>
      <c r="C10" s="57" t="s">
        <v>64</v>
      </c>
      <c r="D10" s="58" t="s">
        <v>69</v>
      </c>
      <c r="E10" s="59">
        <v>0</v>
      </c>
      <c r="F10" s="60">
        <v>0</v>
      </c>
      <c r="G10" s="60">
        <v>0</v>
      </c>
      <c r="H10" s="60">
        <v>0</v>
      </c>
      <c r="I10" s="60">
        <v>0</v>
      </c>
      <c r="J10" s="61">
        <v>0</v>
      </c>
      <c r="K10" s="61">
        <v>0</v>
      </c>
      <c r="L10" s="61">
        <v>0</v>
      </c>
      <c r="M10" s="166">
        <v>0</v>
      </c>
      <c r="N10" s="60">
        <v>0</v>
      </c>
      <c r="O10" s="61">
        <v>0</v>
      </c>
      <c r="P10" s="61">
        <v>0</v>
      </c>
      <c r="Q10" s="61">
        <v>0</v>
      </c>
      <c r="R10" s="61">
        <v>0</v>
      </c>
      <c r="S10" s="61">
        <v>0</v>
      </c>
      <c r="T10" s="60">
        <v>0</v>
      </c>
      <c r="U10" s="61">
        <v>0</v>
      </c>
      <c r="V10" s="61">
        <v>0</v>
      </c>
      <c r="W10" s="61">
        <v>0</v>
      </c>
      <c r="X10" s="61">
        <v>0</v>
      </c>
      <c r="Y10" s="61">
        <v>0</v>
      </c>
      <c r="Z10" s="61">
        <v>0</v>
      </c>
      <c r="AA10" s="62">
        <v>0</v>
      </c>
      <c r="AB10" s="63">
        <v>0</v>
      </c>
      <c r="AC10" s="63">
        <v>0</v>
      </c>
      <c r="AD10" s="63">
        <v>0</v>
      </c>
      <c r="AE10" s="64">
        <v>0</v>
      </c>
      <c r="AF10" s="63">
        <v>0</v>
      </c>
      <c r="AG10" s="64">
        <v>0</v>
      </c>
      <c r="AH10" s="65" t="s">
        <v>70</v>
      </c>
      <c r="AI10" s="56" t="s">
        <v>71</v>
      </c>
    </row>
    <row r="11" spans="1:39">
      <c r="A11" s="37">
        <v>4</v>
      </c>
      <c r="B11" s="37">
        <v>100</v>
      </c>
      <c r="C11" s="57" t="s">
        <v>64</v>
      </c>
      <c r="D11" s="58" t="s">
        <v>72</v>
      </c>
      <c r="E11" s="59">
        <v>0</v>
      </c>
      <c r="F11" s="60">
        <v>0</v>
      </c>
      <c r="G11" s="60">
        <v>0</v>
      </c>
      <c r="H11" s="60">
        <v>0</v>
      </c>
      <c r="I11" s="60">
        <v>0</v>
      </c>
      <c r="J11" s="61">
        <v>0</v>
      </c>
      <c r="K11" s="61">
        <v>0</v>
      </c>
      <c r="L11" s="61">
        <v>0</v>
      </c>
      <c r="M11" s="166">
        <v>0</v>
      </c>
      <c r="N11" s="60">
        <v>0</v>
      </c>
      <c r="O11" s="61">
        <v>0</v>
      </c>
      <c r="P11" s="61">
        <v>0</v>
      </c>
      <c r="Q11" s="61">
        <v>0</v>
      </c>
      <c r="R11" s="61">
        <v>0</v>
      </c>
      <c r="S11" s="61">
        <v>0</v>
      </c>
      <c r="T11" s="60">
        <v>0</v>
      </c>
      <c r="U11" s="61">
        <v>0</v>
      </c>
      <c r="V11" s="61">
        <v>0</v>
      </c>
      <c r="W11" s="61">
        <v>0</v>
      </c>
      <c r="X11" s="61">
        <v>0</v>
      </c>
      <c r="Y11" s="61">
        <v>0</v>
      </c>
      <c r="Z11" s="61">
        <v>0</v>
      </c>
      <c r="AA11" s="62">
        <v>0</v>
      </c>
      <c r="AB11" s="63">
        <v>0</v>
      </c>
      <c r="AC11" s="63">
        <v>0</v>
      </c>
      <c r="AD11" s="63">
        <v>0</v>
      </c>
      <c r="AE11" s="64">
        <v>0</v>
      </c>
      <c r="AF11" s="63">
        <v>0</v>
      </c>
      <c r="AG11" s="64">
        <v>0</v>
      </c>
      <c r="AH11" s="65" t="s">
        <v>73</v>
      </c>
      <c r="AI11" s="11" t="s">
        <v>74</v>
      </c>
    </row>
    <row r="12" spans="1:39">
      <c r="A12" s="37">
        <v>5</v>
      </c>
      <c r="B12" s="37">
        <v>100</v>
      </c>
      <c r="C12" s="66" t="s">
        <v>64</v>
      </c>
      <c r="D12" s="58" t="s">
        <v>75</v>
      </c>
      <c r="E12" s="67">
        <v>0</v>
      </c>
      <c r="F12" s="68">
        <v>0</v>
      </c>
      <c r="G12" s="68">
        <v>0</v>
      </c>
      <c r="H12" s="68">
        <v>0</v>
      </c>
      <c r="I12" s="68">
        <v>0</v>
      </c>
      <c r="J12" s="69">
        <v>0</v>
      </c>
      <c r="K12" s="69">
        <v>0</v>
      </c>
      <c r="L12" s="69">
        <v>0</v>
      </c>
      <c r="M12" s="167">
        <v>0</v>
      </c>
      <c r="N12" s="68">
        <v>0</v>
      </c>
      <c r="O12" s="69">
        <v>0</v>
      </c>
      <c r="P12" s="69">
        <v>0</v>
      </c>
      <c r="Q12" s="69">
        <v>0</v>
      </c>
      <c r="R12" s="69">
        <v>0</v>
      </c>
      <c r="S12" s="69">
        <v>0</v>
      </c>
      <c r="T12" s="68">
        <v>0</v>
      </c>
      <c r="U12" s="69">
        <v>0</v>
      </c>
      <c r="V12" s="69">
        <v>0</v>
      </c>
      <c r="W12" s="69">
        <v>0</v>
      </c>
      <c r="X12" s="69">
        <v>0</v>
      </c>
      <c r="Y12" s="69">
        <v>0</v>
      </c>
      <c r="Z12" s="69">
        <v>0</v>
      </c>
      <c r="AA12" s="70">
        <v>0</v>
      </c>
      <c r="AB12" s="71">
        <v>0</v>
      </c>
      <c r="AC12" s="71">
        <v>0</v>
      </c>
      <c r="AD12" s="71">
        <v>0</v>
      </c>
      <c r="AE12" s="72">
        <v>0</v>
      </c>
      <c r="AF12" s="71">
        <v>0</v>
      </c>
      <c r="AG12" s="72">
        <v>0</v>
      </c>
      <c r="AH12" s="43"/>
    </row>
    <row r="13" spans="1:39">
      <c r="A13" s="37">
        <v>6</v>
      </c>
      <c r="B13" s="37">
        <v>100</v>
      </c>
      <c r="C13" s="73" t="s">
        <v>76</v>
      </c>
      <c r="D13" s="74" t="s">
        <v>65</v>
      </c>
      <c r="E13" s="59">
        <v>0</v>
      </c>
      <c r="F13" s="60">
        <v>0</v>
      </c>
      <c r="G13" s="60">
        <v>0</v>
      </c>
      <c r="H13" s="60">
        <v>0</v>
      </c>
      <c r="I13" s="60">
        <v>0</v>
      </c>
      <c r="J13" s="61">
        <v>0</v>
      </c>
      <c r="K13" s="61">
        <v>0</v>
      </c>
      <c r="L13" s="61">
        <v>0</v>
      </c>
      <c r="M13" s="166">
        <v>0</v>
      </c>
      <c r="N13" s="60">
        <v>0</v>
      </c>
      <c r="O13" s="61">
        <v>0</v>
      </c>
      <c r="P13" s="61">
        <v>0</v>
      </c>
      <c r="Q13" s="61">
        <v>0</v>
      </c>
      <c r="R13" s="61">
        <v>0</v>
      </c>
      <c r="S13" s="61">
        <v>0</v>
      </c>
      <c r="T13" s="60">
        <v>0</v>
      </c>
      <c r="U13" s="61">
        <v>0</v>
      </c>
      <c r="V13" s="61">
        <v>0</v>
      </c>
      <c r="W13" s="61">
        <v>0</v>
      </c>
      <c r="X13" s="61">
        <v>0</v>
      </c>
      <c r="Y13" s="61">
        <v>0</v>
      </c>
      <c r="Z13" s="61">
        <v>0</v>
      </c>
      <c r="AA13" s="62">
        <v>0</v>
      </c>
      <c r="AB13" s="63">
        <v>0</v>
      </c>
      <c r="AC13" s="63">
        <v>0</v>
      </c>
      <c r="AD13" s="63">
        <v>0</v>
      </c>
      <c r="AE13" s="64">
        <v>0</v>
      </c>
      <c r="AF13" s="63">
        <v>0</v>
      </c>
      <c r="AG13" s="64">
        <v>0</v>
      </c>
      <c r="AH13" s="43">
        <v>72</v>
      </c>
    </row>
    <row r="14" spans="1:39">
      <c r="A14" s="37">
        <v>7</v>
      </c>
      <c r="B14" s="37">
        <v>100</v>
      </c>
      <c r="C14" s="57" t="s">
        <v>76</v>
      </c>
      <c r="D14" s="58" t="s">
        <v>67</v>
      </c>
      <c r="E14" s="59">
        <v>0</v>
      </c>
      <c r="F14" s="60">
        <v>0</v>
      </c>
      <c r="G14" s="60">
        <v>0</v>
      </c>
      <c r="H14" s="60">
        <v>0</v>
      </c>
      <c r="I14" s="60">
        <v>0</v>
      </c>
      <c r="J14" s="61">
        <v>0</v>
      </c>
      <c r="K14" s="61">
        <v>0</v>
      </c>
      <c r="L14" s="61">
        <v>0</v>
      </c>
      <c r="M14" s="166">
        <v>0</v>
      </c>
      <c r="N14" s="60">
        <v>0</v>
      </c>
      <c r="O14" s="61">
        <v>0</v>
      </c>
      <c r="P14" s="61">
        <v>0</v>
      </c>
      <c r="Q14" s="61">
        <v>0</v>
      </c>
      <c r="R14" s="61">
        <v>0</v>
      </c>
      <c r="S14" s="61">
        <v>0</v>
      </c>
      <c r="T14" s="60">
        <v>0</v>
      </c>
      <c r="U14" s="61">
        <v>0</v>
      </c>
      <c r="V14" s="61">
        <v>0</v>
      </c>
      <c r="W14" s="61">
        <v>0</v>
      </c>
      <c r="X14" s="61">
        <v>0</v>
      </c>
      <c r="Y14" s="61">
        <v>0</v>
      </c>
      <c r="Z14" s="61">
        <v>0</v>
      </c>
      <c r="AA14" s="62">
        <v>0</v>
      </c>
      <c r="AB14" s="63">
        <v>0</v>
      </c>
      <c r="AC14" s="63">
        <v>0</v>
      </c>
      <c r="AD14" s="63">
        <v>0</v>
      </c>
      <c r="AE14" s="64">
        <v>0</v>
      </c>
      <c r="AF14" s="63">
        <v>0</v>
      </c>
      <c r="AG14" s="64">
        <v>0</v>
      </c>
      <c r="AH14" s="43">
        <v>85</v>
      </c>
    </row>
    <row r="15" spans="1:39">
      <c r="A15" s="37">
        <v>8</v>
      </c>
      <c r="B15" s="37">
        <v>100</v>
      </c>
      <c r="C15" s="57" t="s">
        <v>76</v>
      </c>
      <c r="D15" s="58" t="s">
        <v>69</v>
      </c>
      <c r="E15" s="59">
        <v>0</v>
      </c>
      <c r="F15" s="60">
        <v>0</v>
      </c>
      <c r="G15" s="60">
        <v>0</v>
      </c>
      <c r="H15" s="60">
        <v>0</v>
      </c>
      <c r="I15" s="60">
        <v>0</v>
      </c>
      <c r="J15" s="61">
        <v>0</v>
      </c>
      <c r="K15" s="61">
        <v>0</v>
      </c>
      <c r="L15" s="61">
        <v>0</v>
      </c>
      <c r="M15" s="166">
        <v>0</v>
      </c>
      <c r="N15" s="60">
        <v>0</v>
      </c>
      <c r="O15" s="61">
        <v>0</v>
      </c>
      <c r="P15" s="61">
        <v>0</v>
      </c>
      <c r="Q15" s="61">
        <v>0</v>
      </c>
      <c r="R15" s="61">
        <v>0</v>
      </c>
      <c r="S15" s="61">
        <v>0</v>
      </c>
      <c r="T15" s="60">
        <v>0</v>
      </c>
      <c r="U15" s="61">
        <v>0</v>
      </c>
      <c r="V15" s="61">
        <v>0</v>
      </c>
      <c r="W15" s="61">
        <v>0</v>
      </c>
      <c r="X15" s="61">
        <v>0</v>
      </c>
      <c r="Y15" s="61">
        <v>0</v>
      </c>
      <c r="Z15" s="61">
        <v>0</v>
      </c>
      <c r="AA15" s="62">
        <v>0</v>
      </c>
      <c r="AB15" s="63">
        <v>0</v>
      </c>
      <c r="AC15" s="63">
        <v>0</v>
      </c>
      <c r="AD15" s="63">
        <v>0</v>
      </c>
      <c r="AE15" s="64">
        <v>0</v>
      </c>
      <c r="AF15" s="63">
        <v>0</v>
      </c>
      <c r="AG15" s="64">
        <v>0</v>
      </c>
      <c r="AH15" s="43" t="s">
        <v>70</v>
      </c>
    </row>
    <row r="16" spans="1:39">
      <c r="A16" s="37">
        <v>9</v>
      </c>
      <c r="B16" s="37">
        <v>100</v>
      </c>
      <c r="C16" s="57" t="s">
        <v>76</v>
      </c>
      <c r="D16" s="58" t="s">
        <v>72</v>
      </c>
      <c r="E16" s="59">
        <v>0</v>
      </c>
      <c r="F16" s="60">
        <v>0</v>
      </c>
      <c r="G16" s="60">
        <v>0</v>
      </c>
      <c r="H16" s="60">
        <v>0</v>
      </c>
      <c r="I16" s="60">
        <v>0</v>
      </c>
      <c r="J16" s="61">
        <v>0</v>
      </c>
      <c r="K16" s="61">
        <v>0</v>
      </c>
      <c r="L16" s="61">
        <v>0</v>
      </c>
      <c r="M16" s="166">
        <v>0</v>
      </c>
      <c r="N16" s="60">
        <v>0</v>
      </c>
      <c r="O16" s="61">
        <v>0</v>
      </c>
      <c r="P16" s="61">
        <v>0</v>
      </c>
      <c r="Q16" s="61">
        <v>0</v>
      </c>
      <c r="R16" s="61">
        <v>0</v>
      </c>
      <c r="S16" s="61">
        <v>0</v>
      </c>
      <c r="T16" s="60">
        <v>0</v>
      </c>
      <c r="U16" s="61">
        <v>0</v>
      </c>
      <c r="V16" s="61">
        <v>0</v>
      </c>
      <c r="W16" s="61">
        <v>0</v>
      </c>
      <c r="X16" s="61">
        <v>0</v>
      </c>
      <c r="Y16" s="61">
        <v>0</v>
      </c>
      <c r="Z16" s="61">
        <v>0</v>
      </c>
      <c r="AA16" s="62">
        <v>0</v>
      </c>
      <c r="AB16" s="63">
        <v>0</v>
      </c>
      <c r="AC16" s="63">
        <v>0</v>
      </c>
      <c r="AD16" s="63">
        <v>0</v>
      </c>
      <c r="AE16" s="64">
        <v>0</v>
      </c>
      <c r="AF16" s="63">
        <v>0</v>
      </c>
      <c r="AG16" s="64">
        <v>0</v>
      </c>
      <c r="AH16" s="43" t="s">
        <v>73</v>
      </c>
    </row>
    <row r="17" spans="1:34">
      <c r="A17" s="37">
        <v>10</v>
      </c>
      <c r="B17" s="37">
        <v>100</v>
      </c>
      <c r="C17" s="57" t="s">
        <v>76</v>
      </c>
      <c r="D17" s="58" t="s">
        <v>75</v>
      </c>
      <c r="E17" s="67">
        <v>0</v>
      </c>
      <c r="F17" s="68">
        <v>0</v>
      </c>
      <c r="G17" s="68">
        <v>0</v>
      </c>
      <c r="H17" s="68">
        <v>0</v>
      </c>
      <c r="I17" s="68">
        <v>0</v>
      </c>
      <c r="J17" s="69">
        <v>0</v>
      </c>
      <c r="K17" s="69">
        <v>0</v>
      </c>
      <c r="L17" s="69">
        <v>0</v>
      </c>
      <c r="M17" s="167">
        <v>0</v>
      </c>
      <c r="N17" s="68">
        <v>0</v>
      </c>
      <c r="O17" s="69">
        <v>0</v>
      </c>
      <c r="P17" s="69">
        <v>0</v>
      </c>
      <c r="Q17" s="69">
        <v>0</v>
      </c>
      <c r="R17" s="69">
        <v>0</v>
      </c>
      <c r="S17" s="69">
        <v>0</v>
      </c>
      <c r="T17" s="68">
        <v>0</v>
      </c>
      <c r="U17" s="69">
        <v>0</v>
      </c>
      <c r="V17" s="69">
        <v>0</v>
      </c>
      <c r="W17" s="69">
        <v>0</v>
      </c>
      <c r="X17" s="69">
        <v>0</v>
      </c>
      <c r="Y17" s="69">
        <v>0</v>
      </c>
      <c r="Z17" s="69">
        <v>0</v>
      </c>
      <c r="AA17" s="70">
        <v>0</v>
      </c>
      <c r="AB17" s="71">
        <v>0</v>
      </c>
      <c r="AC17" s="71">
        <v>0</v>
      </c>
      <c r="AD17" s="71">
        <v>0</v>
      </c>
      <c r="AE17" s="72">
        <v>0</v>
      </c>
      <c r="AF17" s="71">
        <v>0</v>
      </c>
      <c r="AG17" s="72">
        <v>0</v>
      </c>
      <c r="AH17" s="43"/>
    </row>
    <row r="18" spans="1:34">
      <c r="A18" s="37">
        <v>11</v>
      </c>
      <c r="B18" s="37">
        <v>100</v>
      </c>
      <c r="C18" s="73" t="s">
        <v>77</v>
      </c>
      <c r="D18" s="74" t="s">
        <v>65</v>
      </c>
      <c r="E18" s="59">
        <v>0</v>
      </c>
      <c r="F18" s="60">
        <v>0</v>
      </c>
      <c r="G18" s="60">
        <v>0</v>
      </c>
      <c r="H18" s="60">
        <v>0</v>
      </c>
      <c r="I18" s="60">
        <v>0</v>
      </c>
      <c r="J18" s="61">
        <v>0</v>
      </c>
      <c r="K18" s="61">
        <v>0</v>
      </c>
      <c r="L18" s="61">
        <v>0</v>
      </c>
      <c r="M18" s="166">
        <v>0</v>
      </c>
      <c r="N18" s="60">
        <v>0</v>
      </c>
      <c r="O18" s="61">
        <v>0</v>
      </c>
      <c r="P18" s="61">
        <v>0</v>
      </c>
      <c r="Q18" s="61">
        <v>0</v>
      </c>
      <c r="R18" s="61">
        <v>0</v>
      </c>
      <c r="S18" s="61">
        <v>0</v>
      </c>
      <c r="T18" s="60">
        <v>0</v>
      </c>
      <c r="U18" s="61">
        <v>0</v>
      </c>
      <c r="V18" s="61">
        <v>0</v>
      </c>
      <c r="W18" s="61">
        <v>0</v>
      </c>
      <c r="X18" s="61">
        <v>0</v>
      </c>
      <c r="Y18" s="61">
        <v>0</v>
      </c>
      <c r="Z18" s="61">
        <v>0</v>
      </c>
      <c r="AA18" s="62">
        <v>0</v>
      </c>
      <c r="AB18" s="63">
        <v>0</v>
      </c>
      <c r="AC18" s="63">
        <v>0</v>
      </c>
      <c r="AD18" s="63">
        <v>0</v>
      </c>
      <c r="AE18" s="64">
        <v>0</v>
      </c>
      <c r="AF18" s="63">
        <v>0</v>
      </c>
      <c r="AG18" s="64">
        <v>0</v>
      </c>
      <c r="AH18" s="43">
        <v>72</v>
      </c>
    </row>
    <row r="19" spans="1:34">
      <c r="A19" s="37">
        <v>12</v>
      </c>
      <c r="B19" s="37">
        <v>100</v>
      </c>
      <c r="C19" s="57" t="s">
        <v>77</v>
      </c>
      <c r="D19" s="58" t="s">
        <v>67</v>
      </c>
      <c r="E19" s="59">
        <v>0</v>
      </c>
      <c r="F19" s="60">
        <v>0</v>
      </c>
      <c r="G19" s="60">
        <v>0</v>
      </c>
      <c r="H19" s="60">
        <v>0</v>
      </c>
      <c r="I19" s="60">
        <v>0</v>
      </c>
      <c r="J19" s="61">
        <v>0</v>
      </c>
      <c r="K19" s="61">
        <v>0</v>
      </c>
      <c r="L19" s="61">
        <v>0</v>
      </c>
      <c r="M19" s="166">
        <v>0</v>
      </c>
      <c r="N19" s="60">
        <v>0</v>
      </c>
      <c r="O19" s="61">
        <v>0</v>
      </c>
      <c r="P19" s="61">
        <v>0</v>
      </c>
      <c r="Q19" s="61">
        <v>0</v>
      </c>
      <c r="R19" s="61">
        <v>0</v>
      </c>
      <c r="S19" s="61">
        <v>0</v>
      </c>
      <c r="T19" s="60">
        <v>0</v>
      </c>
      <c r="U19" s="61">
        <v>0</v>
      </c>
      <c r="V19" s="61">
        <v>0</v>
      </c>
      <c r="W19" s="61">
        <v>0</v>
      </c>
      <c r="X19" s="61">
        <v>0</v>
      </c>
      <c r="Y19" s="61">
        <v>0</v>
      </c>
      <c r="Z19" s="61">
        <v>0</v>
      </c>
      <c r="AA19" s="62">
        <v>0</v>
      </c>
      <c r="AB19" s="63">
        <v>0</v>
      </c>
      <c r="AC19" s="63">
        <v>0</v>
      </c>
      <c r="AD19" s="63">
        <v>0</v>
      </c>
      <c r="AE19" s="64">
        <v>0</v>
      </c>
      <c r="AF19" s="63">
        <v>0</v>
      </c>
      <c r="AG19" s="64">
        <v>0</v>
      </c>
      <c r="AH19" s="43">
        <v>85</v>
      </c>
    </row>
    <row r="20" spans="1:34">
      <c r="A20" s="37">
        <v>13</v>
      </c>
      <c r="B20" s="37">
        <v>100</v>
      </c>
      <c r="C20" s="57" t="s">
        <v>77</v>
      </c>
      <c r="D20" s="58" t="s">
        <v>69</v>
      </c>
      <c r="E20" s="59">
        <v>0</v>
      </c>
      <c r="F20" s="60">
        <v>0</v>
      </c>
      <c r="G20" s="60">
        <v>0</v>
      </c>
      <c r="H20" s="60">
        <v>0</v>
      </c>
      <c r="I20" s="60">
        <v>0</v>
      </c>
      <c r="J20" s="61">
        <v>0</v>
      </c>
      <c r="K20" s="61">
        <v>0</v>
      </c>
      <c r="L20" s="61">
        <v>0</v>
      </c>
      <c r="M20" s="166">
        <v>0</v>
      </c>
      <c r="N20" s="60">
        <v>0</v>
      </c>
      <c r="O20" s="61">
        <v>0</v>
      </c>
      <c r="P20" s="61">
        <v>0</v>
      </c>
      <c r="Q20" s="61">
        <v>0</v>
      </c>
      <c r="R20" s="61">
        <v>0</v>
      </c>
      <c r="S20" s="61">
        <v>0</v>
      </c>
      <c r="T20" s="60">
        <v>0</v>
      </c>
      <c r="U20" s="61">
        <v>0</v>
      </c>
      <c r="V20" s="61">
        <v>0</v>
      </c>
      <c r="W20" s="61">
        <v>0</v>
      </c>
      <c r="X20" s="61">
        <v>0</v>
      </c>
      <c r="Y20" s="61">
        <v>0</v>
      </c>
      <c r="Z20" s="61">
        <v>0</v>
      </c>
      <c r="AA20" s="62">
        <v>0</v>
      </c>
      <c r="AB20" s="63">
        <v>0</v>
      </c>
      <c r="AC20" s="63">
        <v>0</v>
      </c>
      <c r="AD20" s="63">
        <v>0</v>
      </c>
      <c r="AE20" s="64">
        <v>0</v>
      </c>
      <c r="AF20" s="63">
        <v>0</v>
      </c>
      <c r="AG20" s="64">
        <v>0</v>
      </c>
      <c r="AH20" s="43" t="s">
        <v>70</v>
      </c>
    </row>
    <row r="21" spans="1:34">
      <c r="A21" s="37">
        <v>14</v>
      </c>
      <c r="B21" s="37">
        <v>100</v>
      </c>
      <c r="C21" s="57" t="s">
        <v>77</v>
      </c>
      <c r="D21" s="58" t="s">
        <v>72</v>
      </c>
      <c r="E21" s="59">
        <v>0</v>
      </c>
      <c r="F21" s="60">
        <v>0</v>
      </c>
      <c r="G21" s="60">
        <v>0</v>
      </c>
      <c r="H21" s="60">
        <v>0</v>
      </c>
      <c r="I21" s="60">
        <v>0</v>
      </c>
      <c r="J21" s="61">
        <v>0</v>
      </c>
      <c r="K21" s="61">
        <v>0</v>
      </c>
      <c r="L21" s="61">
        <v>0</v>
      </c>
      <c r="M21" s="166">
        <v>0</v>
      </c>
      <c r="N21" s="60">
        <v>0</v>
      </c>
      <c r="O21" s="61">
        <v>0</v>
      </c>
      <c r="P21" s="61">
        <v>0</v>
      </c>
      <c r="Q21" s="61">
        <v>0</v>
      </c>
      <c r="R21" s="61">
        <v>0</v>
      </c>
      <c r="S21" s="61">
        <v>0</v>
      </c>
      <c r="T21" s="60">
        <v>0</v>
      </c>
      <c r="U21" s="61">
        <v>0</v>
      </c>
      <c r="V21" s="61">
        <v>0</v>
      </c>
      <c r="W21" s="61">
        <v>0</v>
      </c>
      <c r="X21" s="61">
        <v>0</v>
      </c>
      <c r="Y21" s="61">
        <v>0</v>
      </c>
      <c r="Z21" s="61">
        <v>0</v>
      </c>
      <c r="AA21" s="62">
        <v>0</v>
      </c>
      <c r="AB21" s="63">
        <v>0</v>
      </c>
      <c r="AC21" s="63">
        <v>0</v>
      </c>
      <c r="AD21" s="63">
        <v>0</v>
      </c>
      <c r="AE21" s="64">
        <v>0</v>
      </c>
      <c r="AF21" s="63">
        <v>0</v>
      </c>
      <c r="AG21" s="64">
        <v>0</v>
      </c>
      <c r="AH21" s="43" t="s">
        <v>73</v>
      </c>
    </row>
    <row r="22" spans="1:34">
      <c r="A22" s="37">
        <v>15</v>
      </c>
      <c r="B22" s="37">
        <v>100</v>
      </c>
      <c r="C22" s="57" t="s">
        <v>77</v>
      </c>
      <c r="D22" s="58" t="s">
        <v>75</v>
      </c>
      <c r="E22" s="67">
        <v>0</v>
      </c>
      <c r="F22" s="68">
        <v>0</v>
      </c>
      <c r="G22" s="68">
        <v>0</v>
      </c>
      <c r="H22" s="68">
        <v>0</v>
      </c>
      <c r="I22" s="68">
        <v>0</v>
      </c>
      <c r="J22" s="69">
        <v>0</v>
      </c>
      <c r="K22" s="69">
        <v>0</v>
      </c>
      <c r="L22" s="69">
        <v>0</v>
      </c>
      <c r="M22" s="167">
        <v>0</v>
      </c>
      <c r="N22" s="68">
        <v>0</v>
      </c>
      <c r="O22" s="69">
        <v>0</v>
      </c>
      <c r="P22" s="69">
        <v>0</v>
      </c>
      <c r="Q22" s="69">
        <v>0</v>
      </c>
      <c r="R22" s="69">
        <v>0</v>
      </c>
      <c r="S22" s="69">
        <v>0</v>
      </c>
      <c r="T22" s="68">
        <v>0</v>
      </c>
      <c r="U22" s="69">
        <v>0</v>
      </c>
      <c r="V22" s="69">
        <v>0</v>
      </c>
      <c r="W22" s="69">
        <v>0</v>
      </c>
      <c r="X22" s="69">
        <v>0</v>
      </c>
      <c r="Y22" s="69">
        <v>0</v>
      </c>
      <c r="Z22" s="69">
        <v>0</v>
      </c>
      <c r="AA22" s="70">
        <v>0</v>
      </c>
      <c r="AB22" s="71">
        <v>0</v>
      </c>
      <c r="AC22" s="71">
        <v>0</v>
      </c>
      <c r="AD22" s="71">
        <v>0</v>
      </c>
      <c r="AE22" s="72">
        <v>0</v>
      </c>
      <c r="AF22" s="71">
        <v>0</v>
      </c>
      <c r="AG22" s="72">
        <v>0</v>
      </c>
      <c r="AH22" s="43"/>
    </row>
    <row r="23" spans="1:34">
      <c r="A23" s="37">
        <v>16</v>
      </c>
      <c r="B23" s="37">
        <v>100</v>
      </c>
      <c r="C23" s="73" t="s">
        <v>78</v>
      </c>
      <c r="D23" s="74" t="s">
        <v>65</v>
      </c>
      <c r="E23" s="59">
        <v>0</v>
      </c>
      <c r="F23" s="60">
        <v>0</v>
      </c>
      <c r="G23" s="60">
        <v>0</v>
      </c>
      <c r="H23" s="60">
        <v>0</v>
      </c>
      <c r="I23" s="60">
        <v>0</v>
      </c>
      <c r="J23" s="61">
        <v>0</v>
      </c>
      <c r="K23" s="61">
        <v>0</v>
      </c>
      <c r="L23" s="61">
        <v>0</v>
      </c>
      <c r="M23" s="166">
        <v>0</v>
      </c>
      <c r="N23" s="60">
        <v>0</v>
      </c>
      <c r="O23" s="61">
        <v>0</v>
      </c>
      <c r="P23" s="61">
        <v>0</v>
      </c>
      <c r="Q23" s="61">
        <v>0</v>
      </c>
      <c r="R23" s="61">
        <v>0</v>
      </c>
      <c r="S23" s="61">
        <v>0</v>
      </c>
      <c r="T23" s="60">
        <v>0</v>
      </c>
      <c r="U23" s="61">
        <v>0</v>
      </c>
      <c r="V23" s="61">
        <v>0</v>
      </c>
      <c r="W23" s="61">
        <v>0</v>
      </c>
      <c r="X23" s="61">
        <v>0</v>
      </c>
      <c r="Y23" s="61">
        <v>0</v>
      </c>
      <c r="Z23" s="61">
        <v>0</v>
      </c>
      <c r="AA23" s="62">
        <v>0</v>
      </c>
      <c r="AB23" s="63">
        <v>4.0243561778059902E-3</v>
      </c>
      <c r="AC23" s="63">
        <v>6.8975099832455141E-3</v>
      </c>
      <c r="AD23" s="63">
        <v>4.8010806641445741E-4</v>
      </c>
      <c r="AE23" s="64">
        <v>0</v>
      </c>
      <c r="AF23" s="63">
        <v>0</v>
      </c>
      <c r="AG23" s="64">
        <v>0</v>
      </c>
      <c r="AH23" s="43">
        <v>72</v>
      </c>
    </row>
    <row r="24" spans="1:34">
      <c r="A24" s="37">
        <v>17</v>
      </c>
      <c r="B24" s="37">
        <v>100</v>
      </c>
      <c r="C24" s="57" t="s">
        <v>78</v>
      </c>
      <c r="D24" s="58" t="s">
        <v>67</v>
      </c>
      <c r="E24" s="59">
        <v>0</v>
      </c>
      <c r="F24" s="60">
        <v>0</v>
      </c>
      <c r="G24" s="60">
        <v>0</v>
      </c>
      <c r="H24" s="60">
        <v>0</v>
      </c>
      <c r="I24" s="60">
        <v>0</v>
      </c>
      <c r="J24" s="61">
        <v>0</v>
      </c>
      <c r="K24" s="61">
        <v>0</v>
      </c>
      <c r="L24" s="61">
        <v>0</v>
      </c>
      <c r="M24" s="166">
        <v>0</v>
      </c>
      <c r="N24" s="60">
        <v>0</v>
      </c>
      <c r="O24" s="61">
        <v>0</v>
      </c>
      <c r="P24" s="61">
        <v>0</v>
      </c>
      <c r="Q24" s="61">
        <v>0</v>
      </c>
      <c r="R24" s="61">
        <v>0</v>
      </c>
      <c r="S24" s="61">
        <v>0</v>
      </c>
      <c r="T24" s="60">
        <v>0</v>
      </c>
      <c r="U24" s="61">
        <v>0</v>
      </c>
      <c r="V24" s="61">
        <v>0</v>
      </c>
      <c r="W24" s="61">
        <v>0</v>
      </c>
      <c r="X24" s="61">
        <v>0</v>
      </c>
      <c r="Y24" s="61">
        <v>0</v>
      </c>
      <c r="Z24" s="61">
        <v>0</v>
      </c>
      <c r="AA24" s="62">
        <v>0</v>
      </c>
      <c r="AB24" s="63">
        <v>3.4897819306991103E-4</v>
      </c>
      <c r="AC24" s="63">
        <v>0</v>
      </c>
      <c r="AD24" s="63">
        <v>0</v>
      </c>
      <c r="AE24" s="64">
        <v>6.330545736943239E-3</v>
      </c>
      <c r="AF24" s="63">
        <v>4.2144914711379758E-3</v>
      </c>
      <c r="AG24" s="64">
        <v>0</v>
      </c>
      <c r="AH24" s="43">
        <v>85</v>
      </c>
    </row>
    <row r="25" spans="1:34">
      <c r="A25" s="37">
        <v>18</v>
      </c>
      <c r="B25" s="37">
        <v>100</v>
      </c>
      <c r="C25" s="57" t="s">
        <v>78</v>
      </c>
      <c r="D25" s="58" t="s">
        <v>69</v>
      </c>
      <c r="E25" s="59">
        <v>0</v>
      </c>
      <c r="F25" s="60">
        <v>0</v>
      </c>
      <c r="G25" s="60">
        <v>0</v>
      </c>
      <c r="H25" s="60">
        <v>0</v>
      </c>
      <c r="I25" s="60">
        <v>0</v>
      </c>
      <c r="J25" s="61">
        <v>0</v>
      </c>
      <c r="K25" s="61">
        <v>0</v>
      </c>
      <c r="L25" s="61">
        <v>0</v>
      </c>
      <c r="M25" s="166">
        <v>0</v>
      </c>
      <c r="N25" s="60">
        <v>0</v>
      </c>
      <c r="O25" s="61">
        <v>0</v>
      </c>
      <c r="P25" s="61">
        <v>0</v>
      </c>
      <c r="Q25" s="61">
        <v>0</v>
      </c>
      <c r="R25" s="61">
        <v>0</v>
      </c>
      <c r="S25" s="61">
        <v>0</v>
      </c>
      <c r="T25" s="60">
        <v>0</v>
      </c>
      <c r="U25" s="61">
        <v>0</v>
      </c>
      <c r="V25" s="61">
        <v>0</v>
      </c>
      <c r="W25" s="61">
        <v>0</v>
      </c>
      <c r="X25" s="61">
        <v>0</v>
      </c>
      <c r="Y25" s="61">
        <v>0</v>
      </c>
      <c r="Z25" s="61">
        <v>0</v>
      </c>
      <c r="AA25" s="62">
        <v>0</v>
      </c>
      <c r="AB25" s="63">
        <v>2.2642852572697264E-3</v>
      </c>
      <c r="AC25" s="63">
        <v>0</v>
      </c>
      <c r="AD25" s="63">
        <v>0</v>
      </c>
      <c r="AE25" s="64">
        <v>0</v>
      </c>
      <c r="AF25" s="63">
        <v>0</v>
      </c>
      <c r="AG25" s="64">
        <v>0</v>
      </c>
      <c r="AH25" s="43" t="s">
        <v>70</v>
      </c>
    </row>
    <row r="26" spans="1:34">
      <c r="A26" s="37">
        <v>19</v>
      </c>
      <c r="B26" s="37">
        <v>100</v>
      </c>
      <c r="C26" s="57" t="s">
        <v>78</v>
      </c>
      <c r="D26" s="58" t="s">
        <v>72</v>
      </c>
      <c r="E26" s="59">
        <v>0</v>
      </c>
      <c r="F26" s="60">
        <v>0</v>
      </c>
      <c r="G26" s="60">
        <v>0</v>
      </c>
      <c r="H26" s="60">
        <v>0</v>
      </c>
      <c r="I26" s="60">
        <v>0</v>
      </c>
      <c r="J26" s="61">
        <v>0</v>
      </c>
      <c r="K26" s="61">
        <v>0</v>
      </c>
      <c r="L26" s="61">
        <v>0</v>
      </c>
      <c r="M26" s="166">
        <v>0</v>
      </c>
      <c r="N26" s="60">
        <v>0</v>
      </c>
      <c r="O26" s="61">
        <v>0</v>
      </c>
      <c r="P26" s="61">
        <v>0</v>
      </c>
      <c r="Q26" s="61">
        <v>0</v>
      </c>
      <c r="R26" s="61">
        <v>0</v>
      </c>
      <c r="S26" s="61">
        <v>0</v>
      </c>
      <c r="T26" s="60">
        <v>0</v>
      </c>
      <c r="U26" s="61">
        <v>0</v>
      </c>
      <c r="V26" s="61">
        <v>0</v>
      </c>
      <c r="W26" s="61">
        <v>0</v>
      </c>
      <c r="X26" s="61">
        <v>0</v>
      </c>
      <c r="Y26" s="61">
        <v>0</v>
      </c>
      <c r="Z26" s="61">
        <v>0</v>
      </c>
      <c r="AA26" s="62">
        <v>0</v>
      </c>
      <c r="AB26" s="63">
        <v>3.1630310506519268E-3</v>
      </c>
      <c r="AC26" s="63">
        <v>0</v>
      </c>
      <c r="AD26" s="63">
        <v>0</v>
      </c>
      <c r="AE26" s="64">
        <v>0</v>
      </c>
      <c r="AF26" s="63">
        <v>0</v>
      </c>
      <c r="AG26" s="64">
        <v>0</v>
      </c>
      <c r="AH26" s="43" t="s">
        <v>73</v>
      </c>
    </row>
    <row r="27" spans="1:34">
      <c r="A27" s="37">
        <v>20</v>
      </c>
      <c r="B27" s="37">
        <v>100</v>
      </c>
      <c r="C27" s="57" t="s">
        <v>78</v>
      </c>
      <c r="D27" s="58" t="s">
        <v>75</v>
      </c>
      <c r="E27" s="67">
        <v>0</v>
      </c>
      <c r="F27" s="68">
        <v>0</v>
      </c>
      <c r="G27" s="68">
        <v>0</v>
      </c>
      <c r="H27" s="68">
        <v>0</v>
      </c>
      <c r="I27" s="68">
        <v>0</v>
      </c>
      <c r="J27" s="69">
        <v>0</v>
      </c>
      <c r="K27" s="69">
        <v>0</v>
      </c>
      <c r="L27" s="69">
        <v>0</v>
      </c>
      <c r="M27" s="167">
        <v>0</v>
      </c>
      <c r="N27" s="68">
        <v>0</v>
      </c>
      <c r="O27" s="69">
        <v>0</v>
      </c>
      <c r="P27" s="69">
        <v>0</v>
      </c>
      <c r="Q27" s="69">
        <v>0</v>
      </c>
      <c r="R27" s="69">
        <v>0</v>
      </c>
      <c r="S27" s="69">
        <v>0</v>
      </c>
      <c r="T27" s="68">
        <v>0</v>
      </c>
      <c r="U27" s="69">
        <v>0</v>
      </c>
      <c r="V27" s="69">
        <v>0</v>
      </c>
      <c r="W27" s="69">
        <v>0</v>
      </c>
      <c r="X27" s="69">
        <v>0</v>
      </c>
      <c r="Y27" s="69">
        <v>0</v>
      </c>
      <c r="Z27" s="69">
        <v>0</v>
      </c>
      <c r="AA27" s="70">
        <v>0</v>
      </c>
      <c r="AB27" s="71">
        <v>1.5815155253259634E-3</v>
      </c>
      <c r="AC27" s="71">
        <v>0</v>
      </c>
      <c r="AD27" s="71">
        <v>0</v>
      </c>
      <c r="AE27" s="72">
        <v>0</v>
      </c>
      <c r="AF27" s="71">
        <v>0</v>
      </c>
      <c r="AG27" s="72">
        <v>0</v>
      </c>
      <c r="AH27" s="43"/>
    </row>
    <row r="28" spans="1:34">
      <c r="A28" s="37">
        <v>21</v>
      </c>
      <c r="B28" s="37">
        <v>100</v>
      </c>
      <c r="C28" s="73" t="s">
        <v>79</v>
      </c>
      <c r="D28" s="74" t="s">
        <v>65</v>
      </c>
      <c r="E28" s="59">
        <v>1.0720215125712268E-3</v>
      </c>
      <c r="F28" s="60">
        <v>6.2611803125499094E-4</v>
      </c>
      <c r="G28" s="60">
        <v>6.2611803125499094E-4</v>
      </c>
      <c r="H28" s="60">
        <v>1.1513710855850313E-4</v>
      </c>
      <c r="I28" s="60">
        <v>1.1513710855850313E-4</v>
      </c>
      <c r="J28" s="61">
        <v>6.2611803125499094E-4</v>
      </c>
      <c r="K28" s="61">
        <v>1.4913887473851923E-3</v>
      </c>
      <c r="L28" s="61">
        <v>6.3322717210046106E-3</v>
      </c>
      <c r="M28" s="166">
        <v>6.3322717210046106E-3</v>
      </c>
      <c r="N28" s="60">
        <v>7.5303175235431452E-4</v>
      </c>
      <c r="O28" s="61">
        <v>7.5303175235431452E-4</v>
      </c>
      <c r="P28" s="61">
        <v>1.0720215125712268E-3</v>
      </c>
      <c r="Q28" s="61">
        <v>1.0720215125712268E-3</v>
      </c>
      <c r="R28" s="61">
        <v>7.9697749492773436E-4</v>
      </c>
      <c r="S28" s="61">
        <v>1.0367255688959161E-3</v>
      </c>
      <c r="T28" s="60">
        <v>9.9657993877859462E-4</v>
      </c>
      <c r="U28" s="61">
        <v>9.9657993877859462E-4</v>
      </c>
      <c r="V28" s="61">
        <v>1.4181565329215828E-3</v>
      </c>
      <c r="W28" s="61">
        <v>1.4181565329215828E-3</v>
      </c>
      <c r="X28" s="61">
        <v>1.4181565329215828E-3</v>
      </c>
      <c r="Y28" s="61">
        <v>5.3241853005285493E-5</v>
      </c>
      <c r="Z28" s="61">
        <v>5.3241853005285493E-5</v>
      </c>
      <c r="AA28" s="62">
        <v>0</v>
      </c>
      <c r="AB28" s="63">
        <v>3.3933027980428952E-3</v>
      </c>
      <c r="AC28" s="63">
        <v>4.1849611496534336E-2</v>
      </c>
      <c r="AD28" s="63">
        <v>2.400540332072287E-4</v>
      </c>
      <c r="AE28" s="64">
        <v>1.5566441096018209E-2</v>
      </c>
      <c r="AF28" s="63">
        <v>0</v>
      </c>
      <c r="AG28" s="64">
        <v>5.2643337542317967E-2</v>
      </c>
      <c r="AH28" s="43">
        <v>72</v>
      </c>
    </row>
    <row r="29" spans="1:34">
      <c r="A29" s="37">
        <v>22</v>
      </c>
      <c r="B29" s="37">
        <v>100</v>
      </c>
      <c r="C29" s="57" t="s">
        <v>79</v>
      </c>
      <c r="D29" s="58" t="s">
        <v>67</v>
      </c>
      <c r="E29" s="59">
        <v>5.7199851349880087E-4</v>
      </c>
      <c r="F29" s="60">
        <v>7.1028471742369463E-5</v>
      </c>
      <c r="G29" s="60">
        <v>7.1028471742369463E-5</v>
      </c>
      <c r="H29" s="60">
        <v>3.8817653742581056E-5</v>
      </c>
      <c r="I29" s="60">
        <v>3.8817653742581056E-5</v>
      </c>
      <c r="J29" s="61">
        <v>7.1028471742369463E-5</v>
      </c>
      <c r="K29" s="61">
        <v>9.1694395369758209E-4</v>
      </c>
      <c r="L29" s="61">
        <v>4.3245470975500121E-3</v>
      </c>
      <c r="M29" s="166">
        <v>4.3245470975500121E-3</v>
      </c>
      <c r="N29" s="60">
        <v>9.7545232785665071E-4</v>
      </c>
      <c r="O29" s="61">
        <v>9.7545232785665071E-4</v>
      </c>
      <c r="P29" s="61">
        <v>5.7199851349880087E-4</v>
      </c>
      <c r="Q29" s="61">
        <v>5.7199851349880087E-4</v>
      </c>
      <c r="R29" s="61">
        <v>1.0021094647858408E-3</v>
      </c>
      <c r="S29" s="61">
        <v>5.8046335390696236E-4</v>
      </c>
      <c r="T29" s="60">
        <v>9.3002434102893393E-4</v>
      </c>
      <c r="U29" s="61">
        <v>9.3002434102893393E-4</v>
      </c>
      <c r="V29" s="61">
        <v>1.0996105185073759E-3</v>
      </c>
      <c r="W29" s="61">
        <v>1.0996105185073759E-3</v>
      </c>
      <c r="X29" s="61">
        <v>1.0996105185073759E-3</v>
      </c>
      <c r="Y29" s="61">
        <v>3.7382577642008969E-5</v>
      </c>
      <c r="Z29" s="61">
        <v>3.7382577642008969E-5</v>
      </c>
      <c r="AA29" s="62">
        <v>0</v>
      </c>
      <c r="AB29" s="63">
        <v>7.1367896108386693E-4</v>
      </c>
      <c r="AC29" s="63">
        <v>8.7448900165749809E-3</v>
      </c>
      <c r="AD29" s="63">
        <v>2.400540332072287E-4</v>
      </c>
      <c r="AE29" s="64">
        <v>2.9804559743349919E-3</v>
      </c>
      <c r="AF29" s="63">
        <v>1.2923670037729072E-2</v>
      </c>
      <c r="AG29" s="64">
        <v>2.4817652301685585E-2</v>
      </c>
      <c r="AH29" s="43">
        <v>85</v>
      </c>
    </row>
    <row r="30" spans="1:34">
      <c r="A30" s="37">
        <v>23</v>
      </c>
      <c r="B30" s="37">
        <v>100</v>
      </c>
      <c r="C30" s="57" t="s">
        <v>79</v>
      </c>
      <c r="D30" s="58" t="s">
        <v>69</v>
      </c>
      <c r="E30" s="59">
        <v>2.7615433006349398E-4</v>
      </c>
      <c r="F30" s="60">
        <v>6.158538012344173E-5</v>
      </c>
      <c r="G30" s="60">
        <v>6.158538012344173E-5</v>
      </c>
      <c r="H30" s="60">
        <v>2.5001200715560678E-5</v>
      </c>
      <c r="I30" s="60">
        <v>2.5001200715560678E-5</v>
      </c>
      <c r="J30" s="61">
        <v>6.158538012344173E-5</v>
      </c>
      <c r="K30" s="61">
        <v>5.2241960482533629E-4</v>
      </c>
      <c r="L30" s="61">
        <v>1.2893191167140782E-3</v>
      </c>
      <c r="M30" s="166">
        <v>1.2893191167140782E-3</v>
      </c>
      <c r="N30" s="60">
        <v>2.6167126529686601E-4</v>
      </c>
      <c r="O30" s="61">
        <v>2.6167126529686601E-4</v>
      </c>
      <c r="P30" s="61">
        <v>2.7615433006349398E-4</v>
      </c>
      <c r="Q30" s="61">
        <v>2.7615433006349398E-4</v>
      </c>
      <c r="R30" s="61">
        <v>1.9035207337585178E-4</v>
      </c>
      <c r="S30" s="61">
        <v>2.1751287541081293E-4</v>
      </c>
      <c r="T30" s="60">
        <v>3.6805343001532724E-4</v>
      </c>
      <c r="U30" s="61">
        <v>3.6805343001532724E-4</v>
      </c>
      <c r="V30" s="61">
        <v>5.6169543166671829E-4</v>
      </c>
      <c r="W30" s="61">
        <v>5.6169543166671829E-4</v>
      </c>
      <c r="X30" s="61">
        <v>5.6169543166671829E-4</v>
      </c>
      <c r="Y30" s="61">
        <v>1.7747284335095163E-5</v>
      </c>
      <c r="Z30" s="61">
        <v>1.7747284335095163E-5</v>
      </c>
      <c r="AA30" s="62">
        <v>0</v>
      </c>
      <c r="AB30" s="63">
        <v>3.2567903855121116E-4</v>
      </c>
      <c r="AC30" s="63">
        <v>1.2575105733660002E-2</v>
      </c>
      <c r="AD30" s="63">
        <v>0</v>
      </c>
      <c r="AE30" s="64">
        <v>1.0601750361580786E-2</v>
      </c>
      <c r="AF30" s="63">
        <v>0</v>
      </c>
      <c r="AG30" s="64">
        <v>9.5834209657292523E-3</v>
      </c>
      <c r="AH30" s="43" t="s">
        <v>70</v>
      </c>
    </row>
    <row r="31" spans="1:34">
      <c r="A31" s="37">
        <v>24</v>
      </c>
      <c r="B31" s="37">
        <v>100</v>
      </c>
      <c r="C31" s="57" t="s">
        <v>79</v>
      </c>
      <c r="D31" s="58" t="s">
        <v>72</v>
      </c>
      <c r="E31" s="59">
        <v>1.3633982502835173E-4</v>
      </c>
      <c r="F31" s="60">
        <v>4.6394319692992771E-5</v>
      </c>
      <c r="G31" s="60">
        <v>4.6394319692992771E-5</v>
      </c>
      <c r="H31" s="60">
        <v>1.4474379361640394E-5</v>
      </c>
      <c r="I31" s="60">
        <v>1.4474379361640394E-5</v>
      </c>
      <c r="J31" s="61">
        <v>4.6394319692992771E-5</v>
      </c>
      <c r="K31" s="61">
        <v>2.2471991300232306E-4</v>
      </c>
      <c r="L31" s="61">
        <v>1.1714667398715762E-3</v>
      </c>
      <c r="M31" s="166">
        <v>1.1714667398715762E-3</v>
      </c>
      <c r="N31" s="60">
        <v>1.4973411291987335E-4</v>
      </c>
      <c r="O31" s="61">
        <v>1.4973411291987335E-4</v>
      </c>
      <c r="P31" s="61">
        <v>1.3633982502835173E-4</v>
      </c>
      <c r="Q31" s="61">
        <v>1.3633982502835173E-4</v>
      </c>
      <c r="R31" s="61">
        <v>1.0134786159260366E-4</v>
      </c>
      <c r="S31" s="61">
        <v>8.6232915103695074E-5</v>
      </c>
      <c r="T31" s="60">
        <v>1.5289272748055294E-4</v>
      </c>
      <c r="U31" s="61">
        <v>1.5289272748055294E-4</v>
      </c>
      <c r="V31" s="61">
        <v>2.4573022986929286E-4</v>
      </c>
      <c r="W31" s="61">
        <v>2.4573022986929286E-4</v>
      </c>
      <c r="X31" s="61">
        <v>2.4573022986929286E-4</v>
      </c>
      <c r="Y31" s="61">
        <v>1.0006447550638763E-5</v>
      </c>
      <c r="Z31" s="61">
        <v>1.0006447550638763E-5</v>
      </c>
      <c r="AA31" s="62">
        <v>0</v>
      </c>
      <c r="AB31" s="63">
        <v>1.6283951927560558E-4</v>
      </c>
      <c r="AC31" s="63">
        <v>2.1742461996128544E-3</v>
      </c>
      <c r="AD31" s="63">
        <v>0</v>
      </c>
      <c r="AE31" s="64">
        <v>0</v>
      </c>
      <c r="AF31" s="63">
        <v>0</v>
      </c>
      <c r="AG31" s="64">
        <v>7.6667367725834013E-3</v>
      </c>
      <c r="AH31" s="43" t="s">
        <v>73</v>
      </c>
    </row>
    <row r="32" spans="1:34">
      <c r="A32" s="37">
        <v>25</v>
      </c>
      <c r="B32" s="37">
        <v>100</v>
      </c>
      <c r="C32" s="57" t="s">
        <v>79</v>
      </c>
      <c r="D32" s="58" t="s">
        <v>75</v>
      </c>
      <c r="E32" s="67">
        <v>8.7197922075171546E-5</v>
      </c>
      <c r="F32" s="68">
        <v>1.3959352827980126E-5</v>
      </c>
      <c r="G32" s="68">
        <v>1.3959352827980126E-5</v>
      </c>
      <c r="H32" s="68">
        <v>6.5792633462001789E-6</v>
      </c>
      <c r="I32" s="68">
        <v>6.5792633462001789E-6</v>
      </c>
      <c r="J32" s="69">
        <v>1.3959352827980126E-5</v>
      </c>
      <c r="K32" s="69">
        <v>1.445144135063171E-4</v>
      </c>
      <c r="L32" s="69">
        <v>3.5214572481681719E-4</v>
      </c>
      <c r="M32" s="167">
        <v>3.5214572481681719E-4</v>
      </c>
      <c r="N32" s="68">
        <v>5.0153659181899324E-5</v>
      </c>
      <c r="O32" s="69">
        <v>5.0153659181899324E-5</v>
      </c>
      <c r="P32" s="69">
        <v>8.7197922075171546E-5</v>
      </c>
      <c r="Q32" s="69">
        <v>8.7197922075171546E-5</v>
      </c>
      <c r="R32" s="69">
        <v>3.4107453420587776E-5</v>
      </c>
      <c r="S32" s="69">
        <v>7.7223506063010523E-5</v>
      </c>
      <c r="T32" s="68">
        <v>1.4022475133493672E-4</v>
      </c>
      <c r="U32" s="69">
        <v>1.4022475133493672E-4</v>
      </c>
      <c r="V32" s="69">
        <v>1.5927300720710357E-4</v>
      </c>
      <c r="W32" s="69">
        <v>1.5927300720710357E-4</v>
      </c>
      <c r="X32" s="69">
        <v>1.5927300720710357E-4</v>
      </c>
      <c r="Y32" s="69">
        <v>4.9088233267284496E-6</v>
      </c>
      <c r="Z32" s="69">
        <v>4.9088233267284496E-6</v>
      </c>
      <c r="AA32" s="70">
        <v>0</v>
      </c>
      <c r="AB32" s="71">
        <v>8.1419759637802789E-5</v>
      </c>
      <c r="AC32" s="71">
        <v>1.0871230998064272E-3</v>
      </c>
      <c r="AD32" s="71">
        <v>0</v>
      </c>
      <c r="AE32" s="72">
        <v>0</v>
      </c>
      <c r="AF32" s="71">
        <v>0</v>
      </c>
      <c r="AG32" s="72">
        <v>3.8333683862917006E-3</v>
      </c>
      <c r="AH32" s="43"/>
    </row>
    <row r="33" spans="1:34">
      <c r="A33" s="37">
        <v>26</v>
      </c>
      <c r="B33" s="37">
        <v>100</v>
      </c>
      <c r="C33" s="73" t="s">
        <v>80</v>
      </c>
      <c r="D33" s="74" t="s">
        <v>65</v>
      </c>
      <c r="E33" s="59">
        <v>9.893721120858967E-2</v>
      </c>
      <c r="F33" s="60">
        <v>0.12664335454744394</v>
      </c>
      <c r="G33" s="60">
        <v>0.12664335454744394</v>
      </c>
      <c r="H33" s="60">
        <v>0.11746814156206187</v>
      </c>
      <c r="I33" s="60">
        <v>0.11746814156206187</v>
      </c>
      <c r="J33" s="61">
        <v>0.12664335454744394</v>
      </c>
      <c r="K33" s="61">
        <v>8.2696927984854895E-2</v>
      </c>
      <c r="L33" s="61">
        <v>0.10956813102361494</v>
      </c>
      <c r="M33" s="166">
        <v>0.10956813102361494</v>
      </c>
      <c r="N33" s="60">
        <v>9.8577380554336042E-2</v>
      </c>
      <c r="O33" s="61">
        <v>9.8577380554336042E-2</v>
      </c>
      <c r="P33" s="61">
        <v>9.893721120858967E-2</v>
      </c>
      <c r="Q33" s="61">
        <v>9.893721120858967E-2</v>
      </c>
      <c r="R33" s="61">
        <v>8.8309231815692404E-2</v>
      </c>
      <c r="S33" s="61">
        <v>0.10307793589290645</v>
      </c>
      <c r="T33" s="60">
        <v>7.91119982592252E-2</v>
      </c>
      <c r="U33" s="61">
        <v>7.91119982592252E-2</v>
      </c>
      <c r="V33" s="61">
        <v>8.7251744260641417E-2</v>
      </c>
      <c r="W33" s="61">
        <v>8.7251744260641417E-2</v>
      </c>
      <c r="X33" s="61">
        <v>8.7251744260641417E-2</v>
      </c>
      <c r="Y33" s="61">
        <v>5.3741797781023067E-2</v>
      </c>
      <c r="Z33" s="61">
        <v>5.3741797781023067E-2</v>
      </c>
      <c r="AA33" s="62">
        <v>9.874212092562297E-2</v>
      </c>
      <c r="AB33" s="63">
        <v>4.587773679569488E-2</v>
      </c>
      <c r="AC33" s="63">
        <v>0.24491126259531401</v>
      </c>
      <c r="AD33" s="63">
        <v>4.5747791388603722E-2</v>
      </c>
      <c r="AE33" s="64">
        <v>0.19459934184398425</v>
      </c>
      <c r="AF33" s="63">
        <v>1.0279917740112112E-2</v>
      </c>
      <c r="AG33" s="64">
        <v>0.16246217869940327</v>
      </c>
      <c r="AH33" s="43">
        <v>72</v>
      </c>
    </row>
    <row r="34" spans="1:34">
      <c r="A34" s="37">
        <v>27</v>
      </c>
      <c r="B34" s="37">
        <v>100</v>
      </c>
      <c r="C34" s="57" t="s">
        <v>80</v>
      </c>
      <c r="D34" s="58" t="s">
        <v>67</v>
      </c>
      <c r="E34" s="59">
        <v>5.1702080274373965E-2</v>
      </c>
      <c r="F34" s="60">
        <v>1.3242088434142443E-2</v>
      </c>
      <c r="G34" s="60">
        <v>1.3242088434142443E-2</v>
      </c>
      <c r="H34" s="60">
        <v>3.5116818110343458E-2</v>
      </c>
      <c r="I34" s="60">
        <v>3.5116818110343458E-2</v>
      </c>
      <c r="J34" s="61">
        <v>1.3242088434142443E-2</v>
      </c>
      <c r="K34" s="61">
        <v>5.0754184595486092E-2</v>
      </c>
      <c r="L34" s="61">
        <v>6.9277437903441513E-2</v>
      </c>
      <c r="M34" s="166">
        <v>6.9277437903441513E-2</v>
      </c>
      <c r="N34" s="60">
        <v>0.1231824750031255</v>
      </c>
      <c r="O34" s="61">
        <v>0.1231824750031255</v>
      </c>
      <c r="P34" s="61">
        <v>5.1702080274373965E-2</v>
      </c>
      <c r="Q34" s="61">
        <v>5.1702080274373965E-2</v>
      </c>
      <c r="R34" s="61">
        <v>0.10146366451778881</v>
      </c>
      <c r="S34" s="61">
        <v>5.4250156538482079E-2</v>
      </c>
      <c r="T34" s="60">
        <v>7.0103605530136781E-2</v>
      </c>
      <c r="U34" s="61">
        <v>7.0103605530136781E-2</v>
      </c>
      <c r="V34" s="61">
        <v>6.6836779086864237E-2</v>
      </c>
      <c r="W34" s="61">
        <v>6.6836779086864237E-2</v>
      </c>
      <c r="X34" s="61">
        <v>6.6836779086864237E-2</v>
      </c>
      <c r="Y34" s="61">
        <v>3.7666911793164851E-2</v>
      </c>
      <c r="Z34" s="61">
        <v>3.7666911793164851E-2</v>
      </c>
      <c r="AA34" s="62">
        <v>4.2305273825506959E-2</v>
      </c>
      <c r="AB34" s="63">
        <v>2.3040251205347726E-2</v>
      </c>
      <c r="AC34" s="63">
        <v>3.4564161803408211E-2</v>
      </c>
      <c r="AD34" s="63">
        <v>6.5966350654115061E-2</v>
      </c>
      <c r="AE34" s="64">
        <v>6.1201283415366702E-2</v>
      </c>
      <c r="AF34" s="63">
        <v>4.5663411552000739E-3</v>
      </c>
      <c r="AG34" s="64">
        <v>1.4026442605421971E-2</v>
      </c>
      <c r="AH34" s="43">
        <v>85</v>
      </c>
    </row>
    <row r="35" spans="1:34">
      <c r="A35" s="37">
        <v>28</v>
      </c>
      <c r="B35" s="37">
        <v>100</v>
      </c>
      <c r="C35" s="57" t="s">
        <v>80</v>
      </c>
      <c r="D35" s="58" t="s">
        <v>69</v>
      </c>
      <c r="E35" s="59">
        <v>2.5699395174033485E-2</v>
      </c>
      <c r="F35" s="60">
        <v>1.16720718101955E-2</v>
      </c>
      <c r="G35" s="60">
        <v>1.16720718101955E-2</v>
      </c>
      <c r="H35" s="60">
        <v>2.3934044200807011E-2</v>
      </c>
      <c r="I35" s="60">
        <v>2.3934044200807011E-2</v>
      </c>
      <c r="J35" s="61">
        <v>1.16720718101955E-2</v>
      </c>
      <c r="K35" s="61">
        <v>2.854376438370022E-2</v>
      </c>
      <c r="L35" s="61">
        <v>2.101089111216653E-2</v>
      </c>
      <c r="M35" s="166">
        <v>2.101089111216653E-2</v>
      </c>
      <c r="N35" s="60">
        <v>3.3570242743710441E-2</v>
      </c>
      <c r="O35" s="61">
        <v>3.3570242743710441E-2</v>
      </c>
      <c r="P35" s="61">
        <v>2.5699395174033485E-2</v>
      </c>
      <c r="Q35" s="61">
        <v>2.5699395174033485E-2</v>
      </c>
      <c r="R35" s="61">
        <v>1.8752927556418598E-2</v>
      </c>
      <c r="S35" s="61">
        <v>2.1189486534472893E-2</v>
      </c>
      <c r="T35" s="60">
        <v>2.7169690561295607E-2</v>
      </c>
      <c r="U35" s="61">
        <v>2.7169690561295607E-2</v>
      </c>
      <c r="V35" s="61">
        <v>3.3885700970827964E-2</v>
      </c>
      <c r="W35" s="61">
        <v>3.3885700970827964E-2</v>
      </c>
      <c r="X35" s="61">
        <v>3.3885700970827964E-2</v>
      </c>
      <c r="Y35" s="61">
        <v>1.7464082989322369E-2</v>
      </c>
      <c r="Z35" s="61">
        <v>1.7464082989322369E-2</v>
      </c>
      <c r="AA35" s="62">
        <v>4.4322281087627563E-2</v>
      </c>
      <c r="AB35" s="63">
        <v>1.7134947182297189E-2</v>
      </c>
      <c r="AC35" s="63">
        <v>3.2064479862643283E-2</v>
      </c>
      <c r="AD35" s="63">
        <v>2.440084940905448E-2</v>
      </c>
      <c r="AE35" s="64">
        <v>1.2456497811006597E-2</v>
      </c>
      <c r="AF35" s="63">
        <v>4.5663411552000739E-3</v>
      </c>
      <c r="AG35" s="64">
        <v>0.15180665787423819</v>
      </c>
      <c r="AH35" s="43" t="s">
        <v>70</v>
      </c>
    </row>
    <row r="36" spans="1:34">
      <c r="A36" s="37">
        <v>29</v>
      </c>
      <c r="B36" s="37">
        <v>100</v>
      </c>
      <c r="C36" s="57" t="s">
        <v>80</v>
      </c>
      <c r="D36" s="58" t="s">
        <v>72</v>
      </c>
      <c r="E36" s="59">
        <v>1.2636749340886294E-2</v>
      </c>
      <c r="F36" s="60">
        <v>9.3363436267137664E-3</v>
      </c>
      <c r="G36" s="60">
        <v>9.3363436267137664E-3</v>
      </c>
      <c r="H36" s="60">
        <v>1.40210681170872E-2</v>
      </c>
      <c r="I36" s="60">
        <v>1.40210681170872E-2</v>
      </c>
      <c r="J36" s="61">
        <v>9.3363436267137664E-3</v>
      </c>
      <c r="K36" s="61">
        <v>1.2532289939267818E-2</v>
      </c>
      <c r="L36" s="61">
        <v>1.939977149341544E-2</v>
      </c>
      <c r="M36" s="166">
        <v>1.939977149341544E-2</v>
      </c>
      <c r="N36" s="60">
        <v>1.7802368415696788E-2</v>
      </c>
      <c r="O36" s="61">
        <v>1.7802368415696788E-2</v>
      </c>
      <c r="P36" s="61">
        <v>1.2636749340886294E-2</v>
      </c>
      <c r="Q36" s="61">
        <v>1.2636749340886294E-2</v>
      </c>
      <c r="R36" s="61">
        <v>1.0109774026751938E-2</v>
      </c>
      <c r="S36" s="61">
        <v>8.6953667826949847E-3</v>
      </c>
      <c r="T36" s="60">
        <v>1.2146542758268606E-2</v>
      </c>
      <c r="U36" s="61">
        <v>1.2146542758268606E-2</v>
      </c>
      <c r="V36" s="61">
        <v>1.5165223623726366E-2</v>
      </c>
      <c r="W36" s="61">
        <v>1.5165223623726366E-2</v>
      </c>
      <c r="X36" s="61">
        <v>1.5165223623726366E-2</v>
      </c>
      <c r="Y36" s="61">
        <v>1.0791670482018133E-2</v>
      </c>
      <c r="Z36" s="61">
        <v>1.0791670482018133E-2</v>
      </c>
      <c r="AA36" s="62">
        <v>1.6905293682518585E-2</v>
      </c>
      <c r="AB36" s="63">
        <v>1.2981554686394821E-2</v>
      </c>
      <c r="AC36" s="63">
        <v>1.2274113433722627E-2</v>
      </c>
      <c r="AD36" s="63">
        <v>1.0425517872487893E-2</v>
      </c>
      <c r="AE36" s="64">
        <v>4.9071133222047241E-3</v>
      </c>
      <c r="AF36" s="63">
        <v>3.6530729241600591E-3</v>
      </c>
      <c r="AG36" s="64">
        <v>0.12144532629939057</v>
      </c>
      <c r="AH36" s="43" t="s">
        <v>73</v>
      </c>
    </row>
    <row r="37" spans="1:34">
      <c r="A37" s="37">
        <v>30</v>
      </c>
      <c r="B37" s="37">
        <v>100</v>
      </c>
      <c r="C37" s="57" t="s">
        <v>80</v>
      </c>
      <c r="D37" s="58" t="s">
        <v>75</v>
      </c>
      <c r="E37" s="67">
        <v>7.9298816193067775E-3</v>
      </c>
      <c r="F37" s="68">
        <v>2.7660047059441797E-3</v>
      </c>
      <c r="G37" s="68">
        <v>2.7660047059441797E-3</v>
      </c>
      <c r="H37" s="68">
        <v>6.1891130297705077E-3</v>
      </c>
      <c r="I37" s="68">
        <v>6.1891130297705077E-3</v>
      </c>
      <c r="J37" s="69">
        <v>2.7660047059441797E-3</v>
      </c>
      <c r="K37" s="69">
        <v>8.0956974446238835E-3</v>
      </c>
      <c r="L37" s="69">
        <v>6.3844937323000901E-3</v>
      </c>
      <c r="M37" s="167">
        <v>6.3844937323000901E-3</v>
      </c>
      <c r="N37" s="68">
        <v>8.2012135731792755E-3</v>
      </c>
      <c r="O37" s="69">
        <v>8.2012135731792755E-3</v>
      </c>
      <c r="P37" s="69">
        <v>7.9298816193067775E-3</v>
      </c>
      <c r="Q37" s="69">
        <v>7.9298816193067775E-3</v>
      </c>
      <c r="R37" s="69">
        <v>4.6311425087363798E-3</v>
      </c>
      <c r="S37" s="69">
        <v>7.2995519106060685E-3</v>
      </c>
      <c r="T37" s="68">
        <v>1.0387350655523915E-2</v>
      </c>
      <c r="U37" s="69">
        <v>1.0387350655523915E-2</v>
      </c>
      <c r="V37" s="69">
        <v>9.8295778822883977E-3</v>
      </c>
      <c r="W37" s="69">
        <v>9.8295778822883977E-3</v>
      </c>
      <c r="X37" s="69">
        <v>9.8295778822883977E-3</v>
      </c>
      <c r="Y37" s="69">
        <v>5.21883439990107E-3</v>
      </c>
      <c r="Z37" s="69">
        <v>5.21883439990107E-3</v>
      </c>
      <c r="AA37" s="70">
        <v>1.0421800494278587E-2</v>
      </c>
      <c r="AB37" s="71">
        <v>6.4907773431974103E-3</v>
      </c>
      <c r="AC37" s="71">
        <v>6.1370567168613135E-3</v>
      </c>
      <c r="AD37" s="71">
        <v>5.2127589362439466E-3</v>
      </c>
      <c r="AE37" s="72">
        <v>2.4535566611023621E-3</v>
      </c>
      <c r="AF37" s="71">
        <v>1.8265364620800295E-3</v>
      </c>
      <c r="AG37" s="72">
        <v>6.0722663149695287E-2</v>
      </c>
      <c r="AH37" s="43">
        <v>0</v>
      </c>
    </row>
    <row r="38" spans="1:34">
      <c r="A38" s="37">
        <v>31</v>
      </c>
      <c r="B38" s="37">
        <v>100</v>
      </c>
      <c r="C38" s="73" t="s">
        <v>81</v>
      </c>
      <c r="D38" s="74" t="s">
        <v>65</v>
      </c>
      <c r="E38" s="59">
        <v>0</v>
      </c>
      <c r="F38" s="60">
        <v>0</v>
      </c>
      <c r="G38" s="60">
        <v>0</v>
      </c>
      <c r="H38" s="60">
        <v>0</v>
      </c>
      <c r="I38" s="60">
        <v>0</v>
      </c>
      <c r="J38" s="61">
        <v>0</v>
      </c>
      <c r="K38" s="61">
        <v>0</v>
      </c>
      <c r="L38" s="61">
        <v>0</v>
      </c>
      <c r="M38" s="166">
        <v>0</v>
      </c>
      <c r="N38" s="60">
        <v>0</v>
      </c>
      <c r="O38" s="61">
        <v>0</v>
      </c>
      <c r="P38" s="61">
        <v>0</v>
      </c>
      <c r="Q38" s="61">
        <v>0</v>
      </c>
      <c r="R38" s="61">
        <v>0</v>
      </c>
      <c r="S38" s="61">
        <v>0</v>
      </c>
      <c r="T38" s="60">
        <v>0</v>
      </c>
      <c r="U38" s="61">
        <v>0</v>
      </c>
      <c r="V38" s="61">
        <v>0</v>
      </c>
      <c r="W38" s="61">
        <v>0</v>
      </c>
      <c r="X38" s="61">
        <v>0</v>
      </c>
      <c r="Y38" s="61">
        <v>0</v>
      </c>
      <c r="Z38" s="61">
        <v>0</v>
      </c>
      <c r="AA38" s="62">
        <v>0</v>
      </c>
      <c r="AB38" s="63">
        <v>2.9103176219390356E-4</v>
      </c>
      <c r="AC38" s="63">
        <v>3.2136744379326759E-3</v>
      </c>
      <c r="AD38" s="63">
        <v>0</v>
      </c>
      <c r="AE38" s="64">
        <v>3.7470068303886153E-3</v>
      </c>
      <c r="AF38" s="63">
        <v>0</v>
      </c>
      <c r="AG38" s="64">
        <v>0</v>
      </c>
      <c r="AH38" s="43">
        <v>72</v>
      </c>
    </row>
    <row r="39" spans="1:34">
      <c r="A39" s="37">
        <v>32</v>
      </c>
      <c r="B39" s="37">
        <v>100</v>
      </c>
      <c r="C39" s="57" t="s">
        <v>81</v>
      </c>
      <c r="D39" s="58" t="s">
        <v>67</v>
      </c>
      <c r="E39" s="59">
        <v>0</v>
      </c>
      <c r="F39" s="60">
        <v>0</v>
      </c>
      <c r="G39" s="60">
        <v>0</v>
      </c>
      <c r="H39" s="60">
        <v>0</v>
      </c>
      <c r="I39" s="60">
        <v>0</v>
      </c>
      <c r="J39" s="61">
        <v>0</v>
      </c>
      <c r="K39" s="61">
        <v>0</v>
      </c>
      <c r="L39" s="61">
        <v>0</v>
      </c>
      <c r="M39" s="166">
        <v>0</v>
      </c>
      <c r="N39" s="60">
        <v>0</v>
      </c>
      <c r="O39" s="61">
        <v>0</v>
      </c>
      <c r="P39" s="61">
        <v>0</v>
      </c>
      <c r="Q39" s="61">
        <v>0</v>
      </c>
      <c r="R39" s="61">
        <v>0</v>
      </c>
      <c r="S39" s="61">
        <v>0</v>
      </c>
      <c r="T39" s="60">
        <v>0</v>
      </c>
      <c r="U39" s="61">
        <v>0</v>
      </c>
      <c r="V39" s="61">
        <v>0</v>
      </c>
      <c r="W39" s="61">
        <v>0</v>
      </c>
      <c r="X39" s="61">
        <v>0</v>
      </c>
      <c r="Y39" s="61">
        <v>0</v>
      </c>
      <c r="Z39" s="61">
        <v>0</v>
      </c>
      <c r="AA39" s="62">
        <v>0</v>
      </c>
      <c r="AB39" s="63">
        <v>1.5897419088075514E-4</v>
      </c>
      <c r="AC39" s="63">
        <v>3.3279822344564397E-4</v>
      </c>
      <c r="AD39" s="63">
        <v>2.1810586387204598E-3</v>
      </c>
      <c r="AE39" s="64">
        <v>4.5597928433998734E-4</v>
      </c>
      <c r="AF39" s="63">
        <v>0</v>
      </c>
      <c r="AG39" s="64">
        <v>0</v>
      </c>
      <c r="AH39" s="43">
        <v>85</v>
      </c>
    </row>
    <row r="40" spans="1:34">
      <c r="A40" s="37">
        <v>33</v>
      </c>
      <c r="B40" s="37">
        <v>100</v>
      </c>
      <c r="C40" s="57" t="s">
        <v>81</v>
      </c>
      <c r="D40" s="58" t="s">
        <v>69</v>
      </c>
      <c r="E40" s="59">
        <v>0</v>
      </c>
      <c r="F40" s="60">
        <v>0</v>
      </c>
      <c r="G40" s="60">
        <v>0</v>
      </c>
      <c r="H40" s="60">
        <v>0</v>
      </c>
      <c r="I40" s="60">
        <v>0</v>
      </c>
      <c r="J40" s="61">
        <v>0</v>
      </c>
      <c r="K40" s="61">
        <v>0</v>
      </c>
      <c r="L40" s="61">
        <v>0</v>
      </c>
      <c r="M40" s="166">
        <v>0</v>
      </c>
      <c r="N40" s="60">
        <v>0</v>
      </c>
      <c r="O40" s="61">
        <v>0</v>
      </c>
      <c r="P40" s="61">
        <v>0</v>
      </c>
      <c r="Q40" s="61">
        <v>0</v>
      </c>
      <c r="R40" s="61">
        <v>0</v>
      </c>
      <c r="S40" s="61">
        <v>0</v>
      </c>
      <c r="T40" s="60">
        <v>0</v>
      </c>
      <c r="U40" s="61">
        <v>0</v>
      </c>
      <c r="V40" s="61">
        <v>0</v>
      </c>
      <c r="W40" s="61">
        <v>0</v>
      </c>
      <c r="X40" s="61">
        <v>0</v>
      </c>
      <c r="Y40" s="61">
        <v>0</v>
      </c>
      <c r="Z40" s="61">
        <v>0</v>
      </c>
      <c r="AA40" s="62">
        <v>0</v>
      </c>
      <c r="AB40" s="63">
        <v>0</v>
      </c>
      <c r="AC40" s="63">
        <v>3.3255981925708991E-4</v>
      </c>
      <c r="AD40" s="63">
        <v>0</v>
      </c>
      <c r="AE40" s="64">
        <v>0</v>
      </c>
      <c r="AF40" s="63">
        <v>0</v>
      </c>
      <c r="AG40" s="64">
        <v>0</v>
      </c>
      <c r="AH40" s="43" t="s">
        <v>70</v>
      </c>
    </row>
    <row r="41" spans="1:34">
      <c r="A41" s="37">
        <v>34</v>
      </c>
      <c r="B41" s="37">
        <v>100</v>
      </c>
      <c r="C41" s="57" t="s">
        <v>81</v>
      </c>
      <c r="D41" s="58" t="s">
        <v>72</v>
      </c>
      <c r="E41" s="59">
        <v>0</v>
      </c>
      <c r="F41" s="60">
        <v>0</v>
      </c>
      <c r="G41" s="60">
        <v>0</v>
      </c>
      <c r="H41" s="60">
        <v>0</v>
      </c>
      <c r="I41" s="60">
        <v>0</v>
      </c>
      <c r="J41" s="61">
        <v>0</v>
      </c>
      <c r="K41" s="61">
        <v>0</v>
      </c>
      <c r="L41" s="61">
        <v>0</v>
      </c>
      <c r="M41" s="166">
        <v>0</v>
      </c>
      <c r="N41" s="60">
        <v>0</v>
      </c>
      <c r="O41" s="61">
        <v>0</v>
      </c>
      <c r="P41" s="61">
        <v>0</v>
      </c>
      <c r="Q41" s="61">
        <v>0</v>
      </c>
      <c r="R41" s="61">
        <v>0</v>
      </c>
      <c r="S41" s="61">
        <v>0</v>
      </c>
      <c r="T41" s="60">
        <v>0</v>
      </c>
      <c r="U41" s="61">
        <v>0</v>
      </c>
      <c r="V41" s="61">
        <v>0</v>
      </c>
      <c r="W41" s="61">
        <v>0</v>
      </c>
      <c r="X41" s="61">
        <v>0</v>
      </c>
      <c r="Y41" s="61">
        <v>0</v>
      </c>
      <c r="Z41" s="61">
        <v>0</v>
      </c>
      <c r="AA41" s="62">
        <v>0</v>
      </c>
      <c r="AB41" s="63">
        <v>0</v>
      </c>
      <c r="AC41" s="63">
        <v>0</v>
      </c>
      <c r="AD41" s="63">
        <v>0</v>
      </c>
      <c r="AE41" s="64">
        <v>0</v>
      </c>
      <c r="AF41" s="63">
        <v>0</v>
      </c>
      <c r="AG41" s="64">
        <v>0</v>
      </c>
      <c r="AH41" s="43" t="s">
        <v>73</v>
      </c>
    </row>
    <row r="42" spans="1:34">
      <c r="A42" s="37">
        <v>35</v>
      </c>
      <c r="B42" s="37">
        <v>100</v>
      </c>
      <c r="C42" s="57" t="s">
        <v>81</v>
      </c>
      <c r="D42" s="58" t="s">
        <v>75</v>
      </c>
      <c r="E42" s="67">
        <v>0</v>
      </c>
      <c r="F42" s="68">
        <v>0</v>
      </c>
      <c r="G42" s="68">
        <v>0</v>
      </c>
      <c r="H42" s="68">
        <v>0</v>
      </c>
      <c r="I42" s="68">
        <v>0</v>
      </c>
      <c r="J42" s="69">
        <v>0</v>
      </c>
      <c r="K42" s="69">
        <v>0</v>
      </c>
      <c r="L42" s="69">
        <v>0</v>
      </c>
      <c r="M42" s="167">
        <v>0</v>
      </c>
      <c r="N42" s="68">
        <v>0</v>
      </c>
      <c r="O42" s="69">
        <v>0</v>
      </c>
      <c r="P42" s="69">
        <v>0</v>
      </c>
      <c r="Q42" s="69">
        <v>0</v>
      </c>
      <c r="R42" s="69">
        <v>0</v>
      </c>
      <c r="S42" s="69">
        <v>0</v>
      </c>
      <c r="T42" s="68">
        <v>0</v>
      </c>
      <c r="U42" s="69">
        <v>0</v>
      </c>
      <c r="V42" s="69">
        <v>0</v>
      </c>
      <c r="W42" s="69">
        <v>0</v>
      </c>
      <c r="X42" s="69">
        <v>0</v>
      </c>
      <c r="Y42" s="69">
        <v>0</v>
      </c>
      <c r="Z42" s="69">
        <v>0</v>
      </c>
      <c r="AA42" s="70">
        <v>0</v>
      </c>
      <c r="AB42" s="71">
        <v>0</v>
      </c>
      <c r="AC42" s="71">
        <v>0</v>
      </c>
      <c r="AD42" s="71">
        <v>0</v>
      </c>
      <c r="AE42" s="72">
        <v>0</v>
      </c>
      <c r="AF42" s="71">
        <v>0</v>
      </c>
      <c r="AG42" s="72">
        <v>0</v>
      </c>
      <c r="AH42" s="43">
        <v>0</v>
      </c>
    </row>
    <row r="43" spans="1:34">
      <c r="A43" s="37">
        <v>36</v>
      </c>
      <c r="B43" s="37">
        <v>100</v>
      </c>
      <c r="C43" s="73" t="s">
        <v>82</v>
      </c>
      <c r="D43" s="74" t="s">
        <v>65</v>
      </c>
      <c r="E43" s="59">
        <v>0.14926398004408542</v>
      </c>
      <c r="F43" s="60">
        <v>0.22400860881500284</v>
      </c>
      <c r="G43" s="60">
        <v>0.22400860881500284</v>
      </c>
      <c r="H43" s="60">
        <v>0.19987144119421524</v>
      </c>
      <c r="I43" s="60">
        <v>0.19987144119421524</v>
      </c>
      <c r="J43" s="61">
        <v>0.22400860881500284</v>
      </c>
      <c r="K43" s="61">
        <v>0.1255678513235714</v>
      </c>
      <c r="L43" s="61">
        <v>0.13049857201027223</v>
      </c>
      <c r="M43" s="166">
        <v>0.13049857201027223</v>
      </c>
      <c r="N43" s="60">
        <v>7.8657655483612116E-2</v>
      </c>
      <c r="O43" s="61">
        <v>7.8657655483612116E-2</v>
      </c>
      <c r="P43" s="61">
        <v>0.14926398004408542</v>
      </c>
      <c r="Q43" s="61">
        <v>0.14926398004408542</v>
      </c>
      <c r="R43" s="61">
        <v>0.12069799441677229</v>
      </c>
      <c r="S43" s="61">
        <v>0.13522543793772054</v>
      </c>
      <c r="T43" s="60">
        <v>9.9882899177429318E-2</v>
      </c>
      <c r="U43" s="61">
        <v>9.9882899177429318E-2</v>
      </c>
      <c r="V43" s="61">
        <v>0.10588723913514755</v>
      </c>
      <c r="W43" s="61">
        <v>0.10588723913514755</v>
      </c>
      <c r="X43" s="61">
        <v>0.10588723913514755</v>
      </c>
      <c r="Y43" s="61">
        <v>0.15459092981609854</v>
      </c>
      <c r="Z43" s="61">
        <v>0.15459092981609854</v>
      </c>
      <c r="AA43" s="62">
        <v>0.13677947894128137</v>
      </c>
      <c r="AB43" s="63">
        <v>0.11126160882216121</v>
      </c>
      <c r="AC43" s="63">
        <v>0.32331301830472969</v>
      </c>
      <c r="AD43" s="63">
        <v>6.7171018844986677E-2</v>
      </c>
      <c r="AE43" s="64">
        <v>0.21531025873169085</v>
      </c>
      <c r="AF43" s="63">
        <v>2.3361534898788769E-2</v>
      </c>
      <c r="AG43" s="64">
        <v>2.6649452061516286E-2</v>
      </c>
      <c r="AH43" s="43">
        <v>72</v>
      </c>
    </row>
    <row r="44" spans="1:34">
      <c r="A44" s="37">
        <v>37</v>
      </c>
      <c r="B44" s="37">
        <v>100</v>
      </c>
      <c r="C44" s="57" t="s">
        <v>82</v>
      </c>
      <c r="D44" s="58" t="s">
        <v>67</v>
      </c>
      <c r="E44" s="59">
        <v>7.7407597503657513E-2</v>
      </c>
      <c r="F44" s="60">
        <v>2.3184021632070052E-2</v>
      </c>
      <c r="G44" s="60">
        <v>2.3184021632070052E-2</v>
      </c>
      <c r="H44" s="60">
        <v>5.8044235019181836E-2</v>
      </c>
      <c r="I44" s="60">
        <v>5.8044235019181836E-2</v>
      </c>
      <c r="J44" s="61">
        <v>2.3184021632070052E-2</v>
      </c>
      <c r="K44" s="61">
        <v>7.7358565549931535E-2</v>
      </c>
      <c r="L44" s="61">
        <v>7.9265250415129704E-2</v>
      </c>
      <c r="M44" s="166">
        <v>7.9265250415129704E-2</v>
      </c>
      <c r="N44" s="60">
        <v>9.1273117929424344E-2</v>
      </c>
      <c r="O44" s="61">
        <v>9.1273117929424344E-2</v>
      </c>
      <c r="P44" s="61">
        <v>7.7407597503657513E-2</v>
      </c>
      <c r="Q44" s="61">
        <v>7.7407597503657513E-2</v>
      </c>
      <c r="R44" s="61">
        <v>0.13265541792025093</v>
      </c>
      <c r="S44" s="61">
        <v>6.8891089758811683E-2</v>
      </c>
      <c r="T44" s="60">
        <v>8.5652766681117917E-2</v>
      </c>
      <c r="U44" s="61">
        <v>8.5652766681117917E-2</v>
      </c>
      <c r="V44" s="61">
        <v>8.0940367006301611E-2</v>
      </c>
      <c r="W44" s="61">
        <v>8.0940367006301611E-2</v>
      </c>
      <c r="X44" s="61">
        <v>8.0940367006301611E-2</v>
      </c>
      <c r="Y44" s="61">
        <v>0.10802299972529472</v>
      </c>
      <c r="Z44" s="61">
        <v>0.10802299972529472</v>
      </c>
      <c r="AA44" s="62">
        <v>5.8593837349607727E-2</v>
      </c>
      <c r="AB44" s="63">
        <v>2.0507992176066206E-2</v>
      </c>
      <c r="AC44" s="63">
        <v>1.0185089719629942E-2</v>
      </c>
      <c r="AD44" s="63">
        <v>5.4949052499077798E-2</v>
      </c>
      <c r="AE44" s="64">
        <v>7.1911012047166128E-2</v>
      </c>
      <c r="AF44" s="63">
        <v>2.1004142015572713E-2</v>
      </c>
      <c r="AG44" s="64">
        <v>1.4026442605421971E-2</v>
      </c>
      <c r="AH44" s="43">
        <v>85</v>
      </c>
    </row>
    <row r="45" spans="1:34">
      <c r="A45" s="37">
        <v>38</v>
      </c>
      <c r="B45" s="37">
        <v>100</v>
      </c>
      <c r="C45" s="57" t="s">
        <v>82</v>
      </c>
      <c r="D45" s="58" t="s">
        <v>69</v>
      </c>
      <c r="E45" s="59">
        <v>3.8890273245526512E-2</v>
      </c>
      <c r="F45" s="60">
        <v>2.0647114540185078E-2</v>
      </c>
      <c r="G45" s="60">
        <v>2.0647114540185078E-2</v>
      </c>
      <c r="H45" s="60">
        <v>3.8715675160714953E-2</v>
      </c>
      <c r="I45" s="60">
        <v>3.8715675160714953E-2</v>
      </c>
      <c r="J45" s="61">
        <v>2.0647114540185078E-2</v>
      </c>
      <c r="K45" s="61">
        <v>4.3207641922186214E-2</v>
      </c>
      <c r="L45" s="61">
        <v>2.4119512189958271E-2</v>
      </c>
      <c r="M45" s="166">
        <v>2.4119512189958271E-2</v>
      </c>
      <c r="N45" s="60">
        <v>2.5542022951477426E-2</v>
      </c>
      <c r="O45" s="61">
        <v>2.5542022951477426E-2</v>
      </c>
      <c r="P45" s="61">
        <v>3.8890273245526512E-2</v>
      </c>
      <c r="Q45" s="61">
        <v>3.8890273245526512E-2</v>
      </c>
      <c r="R45" s="61">
        <v>2.4401933925092233E-2</v>
      </c>
      <c r="S45" s="61">
        <v>2.7259897640242711E-2</v>
      </c>
      <c r="T45" s="60">
        <v>3.2713781598439379E-2</v>
      </c>
      <c r="U45" s="61">
        <v>3.2713781598439379E-2</v>
      </c>
      <c r="V45" s="61">
        <v>4.0723563998991269E-2</v>
      </c>
      <c r="W45" s="61">
        <v>4.0723563998991269E-2</v>
      </c>
      <c r="X45" s="61">
        <v>4.0723563998991269E-2</v>
      </c>
      <c r="Y45" s="61">
        <v>5.0525574497530028E-2</v>
      </c>
      <c r="Z45" s="61">
        <v>5.0525574497530028E-2</v>
      </c>
      <c r="AA45" s="62">
        <v>6.1694482881377612E-2</v>
      </c>
      <c r="AB45" s="63">
        <v>1.4968025326917852E-2</v>
      </c>
      <c r="AC45" s="63">
        <v>6.6365275156578269E-3</v>
      </c>
      <c r="AD45" s="63">
        <v>2.3550569429925422E-2</v>
      </c>
      <c r="AE45" s="64">
        <v>8.3709349717984091E-3</v>
      </c>
      <c r="AF45" s="63">
        <v>0</v>
      </c>
      <c r="AG45" s="64">
        <v>1.4026442605421971E-2</v>
      </c>
      <c r="AH45" s="43" t="s">
        <v>70</v>
      </c>
    </row>
    <row r="46" spans="1:34">
      <c r="A46" s="37">
        <v>39</v>
      </c>
      <c r="B46" s="37">
        <v>100</v>
      </c>
      <c r="C46" s="57" t="s">
        <v>82</v>
      </c>
      <c r="D46" s="58" t="s">
        <v>72</v>
      </c>
      <c r="E46" s="59">
        <v>1.9110243654489736E-2</v>
      </c>
      <c r="F46" s="60">
        <v>1.7121967381919272E-2</v>
      </c>
      <c r="G46" s="60">
        <v>1.7121967381919272E-2</v>
      </c>
      <c r="H46" s="60">
        <v>2.2604375078539955E-2</v>
      </c>
      <c r="I46" s="60">
        <v>2.2604375078539955E-2</v>
      </c>
      <c r="J46" s="61">
        <v>1.7121967381919272E-2</v>
      </c>
      <c r="K46" s="61">
        <v>1.9208133271192137E-2</v>
      </c>
      <c r="L46" s="61">
        <v>2.2438527988528092E-2</v>
      </c>
      <c r="M46" s="166">
        <v>2.2438527988528092E-2</v>
      </c>
      <c r="N46" s="60">
        <v>1.3139531841031799E-2</v>
      </c>
      <c r="O46" s="61">
        <v>1.3139531841031799E-2</v>
      </c>
      <c r="P46" s="61">
        <v>1.9110243654489736E-2</v>
      </c>
      <c r="Q46" s="61">
        <v>1.9110243654489736E-2</v>
      </c>
      <c r="R46" s="61">
        <v>1.3169375015023519E-2</v>
      </c>
      <c r="S46" s="61">
        <v>1.1305521287624741E-2</v>
      </c>
      <c r="T46" s="60">
        <v>1.5523240522867793E-2</v>
      </c>
      <c r="U46" s="61">
        <v>1.5523240522867793E-2</v>
      </c>
      <c r="V46" s="61">
        <v>1.8744626379444341E-2</v>
      </c>
      <c r="W46" s="61">
        <v>1.8744626379444341E-2</v>
      </c>
      <c r="X46" s="61">
        <v>1.8744626379444341E-2</v>
      </c>
      <c r="Y46" s="61">
        <v>3.0120351131908585E-2</v>
      </c>
      <c r="Z46" s="61">
        <v>3.0120351131908585E-2</v>
      </c>
      <c r="AA46" s="62">
        <v>2.3893262301284534E-2</v>
      </c>
      <c r="AB46" s="63">
        <v>6.2922990941807217E-3</v>
      </c>
      <c r="AC46" s="63">
        <v>5.3092332315468988E-3</v>
      </c>
      <c r="AD46" s="63">
        <v>1.2248151954304292E-2</v>
      </c>
      <c r="AE46" s="64">
        <v>8.3808955341581489E-4</v>
      </c>
      <c r="AF46" s="63">
        <v>0</v>
      </c>
      <c r="AG46" s="64">
        <v>1.1221154084337577E-2</v>
      </c>
      <c r="AH46" s="43" t="s">
        <v>73</v>
      </c>
    </row>
    <row r="47" spans="1:34">
      <c r="A47" s="37">
        <v>40</v>
      </c>
      <c r="B47" s="37">
        <v>100</v>
      </c>
      <c r="C47" s="57" t="s">
        <v>82</v>
      </c>
      <c r="D47" s="58" t="s">
        <v>75</v>
      </c>
      <c r="E47" s="67">
        <v>1.1897304343250733E-2</v>
      </c>
      <c r="F47" s="68">
        <v>4.9674767607568102E-3</v>
      </c>
      <c r="G47" s="68">
        <v>4.9674767607568102E-3</v>
      </c>
      <c r="H47" s="68">
        <v>1.0014296739251293E-2</v>
      </c>
      <c r="I47" s="68">
        <v>1.0014296739251293E-2</v>
      </c>
      <c r="J47" s="69">
        <v>4.9674767607568102E-3</v>
      </c>
      <c r="K47" s="69">
        <v>1.2382717521288781E-2</v>
      </c>
      <c r="L47" s="69">
        <v>7.6971010432405314E-3</v>
      </c>
      <c r="M47" s="167">
        <v>7.6971010432405314E-3</v>
      </c>
      <c r="N47" s="68">
        <v>6.8703244432943835E-3</v>
      </c>
      <c r="O47" s="69">
        <v>6.8703244432943835E-3</v>
      </c>
      <c r="P47" s="69">
        <v>1.1897304343250733E-2</v>
      </c>
      <c r="Q47" s="69">
        <v>1.1897304343250733E-2</v>
      </c>
      <c r="R47" s="69">
        <v>6.626103700951045E-3</v>
      </c>
      <c r="S47" s="69">
        <v>9.3041454221583844E-3</v>
      </c>
      <c r="T47" s="68">
        <v>1.2470940393566733E-2</v>
      </c>
      <c r="U47" s="69">
        <v>1.2470940393566733E-2</v>
      </c>
      <c r="V47" s="69">
        <v>1.2054422701712624E-2</v>
      </c>
      <c r="W47" s="69">
        <v>1.2054422701712624E-2</v>
      </c>
      <c r="X47" s="69">
        <v>1.2054422701712624E-2</v>
      </c>
      <c r="Y47" s="69">
        <v>1.469928265099116E-2</v>
      </c>
      <c r="Z47" s="69">
        <v>1.469928265099116E-2</v>
      </c>
      <c r="AA47" s="70">
        <v>1.4534974727033174E-2</v>
      </c>
      <c r="AB47" s="71">
        <v>3.1461495470903609E-3</v>
      </c>
      <c r="AC47" s="71">
        <v>2.6546166157734494E-3</v>
      </c>
      <c r="AD47" s="71">
        <v>6.1240759771521462E-3</v>
      </c>
      <c r="AE47" s="72">
        <v>4.1904477670790744E-4</v>
      </c>
      <c r="AF47" s="71">
        <v>0</v>
      </c>
      <c r="AG47" s="72">
        <v>5.6105770421687887E-3</v>
      </c>
      <c r="AH47" s="43">
        <v>0</v>
      </c>
    </row>
    <row r="48" spans="1:34">
      <c r="A48" s="37">
        <v>41</v>
      </c>
      <c r="B48" s="37">
        <v>100</v>
      </c>
      <c r="C48" s="73" t="s">
        <v>83</v>
      </c>
      <c r="D48" s="74" t="s">
        <v>65</v>
      </c>
      <c r="E48" s="59">
        <v>0.12855819642266803</v>
      </c>
      <c r="F48" s="60">
        <v>0.21468868795632201</v>
      </c>
      <c r="G48" s="60">
        <v>0.21468868795632201</v>
      </c>
      <c r="H48" s="60">
        <v>0.20242353744620628</v>
      </c>
      <c r="I48" s="60">
        <v>0.20242353744620628</v>
      </c>
      <c r="J48" s="61">
        <v>0.21468868795632201</v>
      </c>
      <c r="K48" s="61">
        <v>0.11288309867805442</v>
      </c>
      <c r="L48" s="61">
        <v>0.15961657752463435</v>
      </c>
      <c r="M48" s="166">
        <v>0.15961657752463435</v>
      </c>
      <c r="N48" s="60">
        <v>0.11894049304681301</v>
      </c>
      <c r="O48" s="61">
        <v>0.11894049304681301</v>
      </c>
      <c r="P48" s="61">
        <v>0.12855819642266803</v>
      </c>
      <c r="Q48" s="61">
        <v>0.12855819642266803</v>
      </c>
      <c r="R48" s="61">
        <v>0.18177080051167674</v>
      </c>
      <c r="S48" s="61">
        <v>0.15354285357586661</v>
      </c>
      <c r="T48" s="60">
        <v>0.12041437534648135</v>
      </c>
      <c r="U48" s="61">
        <v>0.12041437534648135</v>
      </c>
      <c r="V48" s="61">
        <v>0.10887674186417255</v>
      </c>
      <c r="W48" s="61">
        <v>0.10887674186417255</v>
      </c>
      <c r="X48" s="61">
        <v>0.10887674186417255</v>
      </c>
      <c r="Y48" s="61">
        <v>9.4217500521562497E-2</v>
      </c>
      <c r="Z48" s="61">
        <v>9.4217500521562497E-2</v>
      </c>
      <c r="AA48" s="62">
        <v>8.98619222123931E-2</v>
      </c>
      <c r="AB48" s="63">
        <v>0.24080100912269084</v>
      </c>
      <c r="AC48" s="63">
        <v>0.18553597019958865</v>
      </c>
      <c r="AD48" s="63">
        <v>0.36347056704341829</v>
      </c>
      <c r="AE48" s="64">
        <v>0.33177001997762978</v>
      </c>
      <c r="AF48" s="63">
        <v>0.15306694014718408</v>
      </c>
      <c r="AG48" s="64">
        <v>0</v>
      </c>
      <c r="AH48" s="43">
        <v>72</v>
      </c>
    </row>
    <row r="49" spans="1:34">
      <c r="A49" s="37">
        <v>42</v>
      </c>
      <c r="B49" s="37">
        <v>100</v>
      </c>
      <c r="C49" s="57" t="s">
        <v>83</v>
      </c>
      <c r="D49" s="58" t="s">
        <v>67</v>
      </c>
      <c r="E49" s="59">
        <v>6.159962354324041E-2</v>
      </c>
      <c r="F49" s="60">
        <v>1.7238979604153812E-2</v>
      </c>
      <c r="G49" s="60">
        <v>1.7238979604153812E-2</v>
      </c>
      <c r="H49" s="60">
        <v>2.964352893263952E-2</v>
      </c>
      <c r="I49" s="60">
        <v>2.964352893263952E-2</v>
      </c>
      <c r="J49" s="61">
        <v>1.7238979604153812E-2</v>
      </c>
      <c r="K49" s="61">
        <v>7.2573693318737392E-2</v>
      </c>
      <c r="L49" s="61">
        <v>8.1735210408834844E-2</v>
      </c>
      <c r="M49" s="166">
        <v>8.1735210408834844E-2</v>
      </c>
      <c r="N49" s="60">
        <v>0.12025611801955556</v>
      </c>
      <c r="O49" s="61">
        <v>0.12025611801955556</v>
      </c>
      <c r="P49" s="61">
        <v>6.159962354324041E-2</v>
      </c>
      <c r="Q49" s="61">
        <v>6.159962354324041E-2</v>
      </c>
      <c r="R49" s="61">
        <v>0.15502925769837705</v>
      </c>
      <c r="S49" s="61">
        <v>6.6661904550459436E-2</v>
      </c>
      <c r="T49" s="60">
        <v>8.9577792920881569E-2</v>
      </c>
      <c r="U49" s="61">
        <v>8.9577792920881569E-2</v>
      </c>
      <c r="V49" s="61">
        <v>8.3148067856200061E-2</v>
      </c>
      <c r="W49" s="61">
        <v>8.3148067856200061E-2</v>
      </c>
      <c r="X49" s="61">
        <v>8.3148067856200061E-2</v>
      </c>
      <c r="Y49" s="61">
        <v>7.0908519357283997E-2</v>
      </c>
      <c r="Z49" s="61">
        <v>7.0908519357283997E-2</v>
      </c>
      <c r="AA49" s="62">
        <v>3.8208647102441609E-2</v>
      </c>
      <c r="AB49" s="63">
        <v>4.5393096964281614E-2</v>
      </c>
      <c r="AC49" s="63">
        <v>4.9742192515252687E-3</v>
      </c>
      <c r="AD49" s="63">
        <v>0.12692669294081427</v>
      </c>
      <c r="AE49" s="64">
        <v>4.2249818410493037E-2</v>
      </c>
      <c r="AF49" s="63">
        <v>2.9638327802787068E-2</v>
      </c>
      <c r="AG49" s="64">
        <v>0.25698998852797927</v>
      </c>
      <c r="AH49" s="43">
        <v>85</v>
      </c>
    </row>
    <row r="50" spans="1:34">
      <c r="A50" s="37">
        <v>43</v>
      </c>
      <c r="B50" s="37">
        <v>100</v>
      </c>
      <c r="C50" s="57" t="s">
        <v>83</v>
      </c>
      <c r="D50" s="58" t="s">
        <v>69</v>
      </c>
      <c r="E50" s="59">
        <v>3.6189619575486762E-2</v>
      </c>
      <c r="F50" s="60">
        <v>1.7345317027166955E-2</v>
      </c>
      <c r="G50" s="60">
        <v>1.7345317027166955E-2</v>
      </c>
      <c r="H50" s="60">
        <v>2.5199236542281303E-2</v>
      </c>
      <c r="I50" s="60">
        <v>2.5199236542281303E-2</v>
      </c>
      <c r="J50" s="61">
        <v>1.7345317027166955E-2</v>
      </c>
      <c r="K50" s="61">
        <v>4.0458255205228534E-2</v>
      </c>
      <c r="L50" s="61">
        <v>2.7383387895925766E-2</v>
      </c>
      <c r="M50" s="166">
        <v>2.7383387895925766E-2</v>
      </c>
      <c r="N50" s="60">
        <v>3.5269652238888415E-2</v>
      </c>
      <c r="O50" s="61">
        <v>3.5269652238888415E-2</v>
      </c>
      <c r="P50" s="61">
        <v>3.6189619575486762E-2</v>
      </c>
      <c r="Q50" s="61">
        <v>3.6189619575486762E-2</v>
      </c>
      <c r="R50" s="61">
        <v>2.5572956492532415E-2</v>
      </c>
      <c r="S50" s="61">
        <v>3.1228542322664265E-2</v>
      </c>
      <c r="T50" s="60">
        <v>3.3164566657282624E-2</v>
      </c>
      <c r="U50" s="61">
        <v>3.3164566657282624E-2</v>
      </c>
      <c r="V50" s="61">
        <v>4.2703415963579565E-2</v>
      </c>
      <c r="W50" s="61">
        <v>4.2703415963579565E-2</v>
      </c>
      <c r="X50" s="61">
        <v>4.2703415963579565E-2</v>
      </c>
      <c r="Y50" s="61">
        <v>3.2055182726228322E-2</v>
      </c>
      <c r="Z50" s="61">
        <v>3.2055182726228322E-2</v>
      </c>
      <c r="AA50" s="62">
        <v>4.5892505588138739E-2</v>
      </c>
      <c r="AB50" s="63">
        <v>2.025535243645616E-2</v>
      </c>
      <c r="AC50" s="63">
        <v>4.4226781731934069E-3</v>
      </c>
      <c r="AD50" s="63">
        <v>2.2203616455314087E-2</v>
      </c>
      <c r="AE50" s="64">
        <v>2.1687629422866045E-3</v>
      </c>
      <c r="AF50" s="63">
        <v>1.1965200679393488E-2</v>
      </c>
      <c r="AG50" s="64">
        <v>0</v>
      </c>
      <c r="AH50" s="43" t="s">
        <v>70</v>
      </c>
    </row>
    <row r="51" spans="1:34">
      <c r="A51" s="37">
        <v>44</v>
      </c>
      <c r="B51" s="37">
        <v>100</v>
      </c>
      <c r="C51" s="57" t="s">
        <v>83</v>
      </c>
      <c r="D51" s="58" t="s">
        <v>72</v>
      </c>
      <c r="E51" s="59">
        <v>1.7513049078035026E-2</v>
      </c>
      <c r="F51" s="60">
        <v>1.8308512372297581E-2</v>
      </c>
      <c r="G51" s="60">
        <v>1.8308512372297581E-2</v>
      </c>
      <c r="H51" s="60">
        <v>1.5532982834044001E-2</v>
      </c>
      <c r="I51" s="60">
        <v>1.5532982834044001E-2</v>
      </c>
      <c r="J51" s="61">
        <v>1.8308512372297581E-2</v>
      </c>
      <c r="K51" s="61">
        <v>1.9521006976433313E-2</v>
      </c>
      <c r="L51" s="61">
        <v>2.6734846971864332E-2</v>
      </c>
      <c r="M51" s="166">
        <v>2.6734846971864332E-2</v>
      </c>
      <c r="N51" s="60">
        <v>1.5103520060009944E-2</v>
      </c>
      <c r="O51" s="61">
        <v>1.5103520060009944E-2</v>
      </c>
      <c r="P51" s="61">
        <v>1.7513049078035026E-2</v>
      </c>
      <c r="Q51" s="61">
        <v>1.7513049078035026E-2</v>
      </c>
      <c r="R51" s="61">
        <v>1.473588162569766E-2</v>
      </c>
      <c r="S51" s="61">
        <v>1.4426637991004748E-2</v>
      </c>
      <c r="T51" s="60">
        <v>2.0595693063513238E-2</v>
      </c>
      <c r="U51" s="61">
        <v>2.0595693063513238E-2</v>
      </c>
      <c r="V51" s="61">
        <v>2.177118220389599E-2</v>
      </c>
      <c r="W51" s="61">
        <v>2.177118220389599E-2</v>
      </c>
      <c r="X51" s="61">
        <v>2.177118220389599E-2</v>
      </c>
      <c r="Y51" s="61">
        <v>2.4761615267195759E-2</v>
      </c>
      <c r="Z51" s="61">
        <v>2.4761615267195759E-2</v>
      </c>
      <c r="AA51" s="62">
        <v>2.1179470712249539E-2</v>
      </c>
      <c r="AB51" s="63">
        <v>8.8156283439989273E-3</v>
      </c>
      <c r="AC51" s="63">
        <v>0</v>
      </c>
      <c r="AD51" s="63">
        <v>1.1961412308781042E-2</v>
      </c>
      <c r="AE51" s="64">
        <v>8.2621111880047519E-4</v>
      </c>
      <c r="AF51" s="63">
        <v>1.1285694187355899E-2</v>
      </c>
      <c r="AG51" s="64">
        <v>0</v>
      </c>
      <c r="AH51" s="43" t="s">
        <v>73</v>
      </c>
    </row>
    <row r="52" spans="1:34">
      <c r="A52" s="37">
        <v>45</v>
      </c>
      <c r="B52" s="37">
        <v>100</v>
      </c>
      <c r="C52" s="57" t="s">
        <v>83</v>
      </c>
      <c r="D52" s="58" t="s">
        <v>75</v>
      </c>
      <c r="E52" s="67">
        <v>9.8780188764473267E-3</v>
      </c>
      <c r="F52" s="68">
        <v>4.375846542370946E-3</v>
      </c>
      <c r="G52" s="68">
        <v>4.375846542370946E-3</v>
      </c>
      <c r="H52" s="68">
        <v>6.2424050628747301E-3</v>
      </c>
      <c r="I52" s="68">
        <v>6.2424050628747301E-3</v>
      </c>
      <c r="J52" s="69">
        <v>4.375846542370946E-3</v>
      </c>
      <c r="K52" s="69">
        <v>1.1991806032754192E-2</v>
      </c>
      <c r="L52" s="69">
        <v>1.0527675196026612E-2</v>
      </c>
      <c r="M52" s="167">
        <v>1.0527675196026612E-2</v>
      </c>
      <c r="N52" s="68">
        <v>1.2512974533570968E-2</v>
      </c>
      <c r="O52" s="69">
        <v>1.2512974533570968E-2</v>
      </c>
      <c r="P52" s="69">
        <v>9.8780188764473267E-3</v>
      </c>
      <c r="Q52" s="69">
        <v>9.8780188764473267E-3</v>
      </c>
      <c r="R52" s="69">
        <v>9.6236616072861297E-3</v>
      </c>
      <c r="S52" s="69">
        <v>9.3208771818053694E-3</v>
      </c>
      <c r="T52" s="68">
        <v>1.0715841021576779E-2</v>
      </c>
      <c r="U52" s="69">
        <v>1.0715841021576779E-2</v>
      </c>
      <c r="V52" s="69">
        <v>1.3052275465615463E-2</v>
      </c>
      <c r="W52" s="69">
        <v>1.3052275465615463E-2</v>
      </c>
      <c r="X52" s="69">
        <v>1.3052275465615463E-2</v>
      </c>
      <c r="Y52" s="69">
        <v>1.054301970042962E-2</v>
      </c>
      <c r="Z52" s="69">
        <v>1.054301970042962E-2</v>
      </c>
      <c r="AA52" s="70">
        <v>1.0596220191002984E-2</v>
      </c>
      <c r="AB52" s="71">
        <v>4.4078141719994636E-3</v>
      </c>
      <c r="AC52" s="71">
        <v>0</v>
      </c>
      <c r="AD52" s="71">
        <v>5.9807061543905209E-3</v>
      </c>
      <c r="AE52" s="72">
        <v>4.1310555940023759E-4</v>
      </c>
      <c r="AF52" s="71">
        <v>5.6428470936779494E-3</v>
      </c>
      <c r="AG52" s="72">
        <v>0</v>
      </c>
      <c r="AH52" s="43">
        <v>0</v>
      </c>
    </row>
    <row r="53" spans="1:34">
      <c r="A53" s="37">
        <v>46</v>
      </c>
      <c r="B53" s="37">
        <v>100</v>
      </c>
      <c r="C53" s="73" t="s">
        <v>84</v>
      </c>
      <c r="D53" s="74" t="s">
        <v>65</v>
      </c>
      <c r="E53" s="59">
        <v>1.9826358657793988E-2</v>
      </c>
      <c r="F53" s="60">
        <v>6.8954276139811949E-2</v>
      </c>
      <c r="G53" s="60">
        <v>6.8954276139811949E-2</v>
      </c>
      <c r="H53" s="60">
        <v>2.9202060362109497E-2</v>
      </c>
      <c r="I53" s="60">
        <v>2.9202060362109497E-2</v>
      </c>
      <c r="J53" s="61">
        <v>6.8954276139811949E-2</v>
      </c>
      <c r="K53" s="61">
        <v>3.8578122685511348E-2</v>
      </c>
      <c r="L53" s="61">
        <v>3.3599218645798561E-2</v>
      </c>
      <c r="M53" s="166">
        <v>3.3599218645798561E-2</v>
      </c>
      <c r="N53" s="60">
        <v>7.0389570364856966E-3</v>
      </c>
      <c r="O53" s="61">
        <v>7.0389570364856966E-3</v>
      </c>
      <c r="P53" s="61">
        <v>1.9826358657793988E-2</v>
      </c>
      <c r="Q53" s="61">
        <v>1.9826358657793988E-2</v>
      </c>
      <c r="R53" s="61">
        <v>1.3815142799786647E-2</v>
      </c>
      <c r="S53" s="61">
        <v>5.3501088529670886E-2</v>
      </c>
      <c r="T53" s="60">
        <v>3.2770690045124305E-2</v>
      </c>
      <c r="U53" s="61">
        <v>3.2770690045124305E-2</v>
      </c>
      <c r="V53" s="61">
        <v>2.8826386523143985E-2</v>
      </c>
      <c r="W53" s="61">
        <v>2.8826386523143985E-2</v>
      </c>
      <c r="X53" s="61">
        <v>2.8826386523143985E-2</v>
      </c>
      <c r="Y53" s="61">
        <v>1.7885108990037927E-2</v>
      </c>
      <c r="Z53" s="61">
        <v>1.7885108990037927E-2</v>
      </c>
      <c r="AA53" s="62">
        <v>2.5998821101742137E-2</v>
      </c>
      <c r="AB53" s="63">
        <v>8.011446436499825E-2</v>
      </c>
      <c r="AC53" s="63">
        <v>3.0040540492025859E-2</v>
      </c>
      <c r="AD53" s="63">
        <v>2.8228548800237636E-2</v>
      </c>
      <c r="AE53" s="64">
        <v>6.9649902524658155E-3</v>
      </c>
      <c r="AF53" s="63">
        <v>0.24086807532213123</v>
      </c>
      <c r="AG53" s="64">
        <v>0</v>
      </c>
      <c r="AH53" s="43">
        <v>72</v>
      </c>
    </row>
    <row r="54" spans="1:34">
      <c r="A54" s="37">
        <v>47</v>
      </c>
      <c r="B54" s="37">
        <v>100</v>
      </c>
      <c r="C54" s="57" t="s">
        <v>84</v>
      </c>
      <c r="D54" s="58" t="s">
        <v>67</v>
      </c>
      <c r="E54" s="59">
        <v>4.6191568705509611E-2</v>
      </c>
      <c r="F54" s="60">
        <v>2.953018976919031E-2</v>
      </c>
      <c r="G54" s="60">
        <v>2.953018976919031E-2</v>
      </c>
      <c r="H54" s="60">
        <v>1.7740325686694165E-2</v>
      </c>
      <c r="I54" s="60">
        <v>1.7740325686694165E-2</v>
      </c>
      <c r="J54" s="61">
        <v>2.953018976919031E-2</v>
      </c>
      <c r="K54" s="61">
        <v>6.2687462290770227E-2</v>
      </c>
      <c r="L54" s="61">
        <v>3.9739539190149518E-2</v>
      </c>
      <c r="M54" s="166">
        <v>3.9739539190149518E-2</v>
      </c>
      <c r="N54" s="60">
        <v>2.0952599704020722E-2</v>
      </c>
      <c r="O54" s="61">
        <v>2.0952599704020722E-2</v>
      </c>
      <c r="P54" s="61">
        <v>4.6191568705509611E-2</v>
      </c>
      <c r="Q54" s="61">
        <v>4.6191568705509611E-2</v>
      </c>
      <c r="R54" s="61">
        <v>2.1851183658566847E-2</v>
      </c>
      <c r="S54" s="61">
        <v>5.007558250655917E-2</v>
      </c>
      <c r="T54" s="60">
        <v>6.1490453656791587E-2</v>
      </c>
      <c r="U54" s="61">
        <v>6.1490453656791587E-2</v>
      </c>
      <c r="V54" s="61">
        <v>6.507574316342736E-2</v>
      </c>
      <c r="W54" s="61">
        <v>6.507574316342736E-2</v>
      </c>
      <c r="X54" s="61">
        <v>6.507574316342736E-2</v>
      </c>
      <c r="Y54" s="61">
        <v>8.6455140434827368E-2</v>
      </c>
      <c r="Z54" s="61">
        <v>8.6455140434827368E-2</v>
      </c>
      <c r="AA54" s="62">
        <v>2.1571691414883635E-2</v>
      </c>
      <c r="AB54" s="63">
        <v>9.6401544729925182E-2</v>
      </c>
      <c r="AC54" s="63">
        <v>4.7203748858184328E-3</v>
      </c>
      <c r="AD54" s="63">
        <v>2.7387339747331742E-2</v>
      </c>
      <c r="AE54" s="64">
        <v>9.658033478130661E-4</v>
      </c>
      <c r="AF54" s="63">
        <v>0.26301765499530755</v>
      </c>
      <c r="AG54" s="64">
        <v>4.2043827820920414E-2</v>
      </c>
      <c r="AH54" s="43">
        <v>85</v>
      </c>
    </row>
    <row r="55" spans="1:34">
      <c r="A55" s="37">
        <v>48</v>
      </c>
      <c r="B55" s="37">
        <v>100</v>
      </c>
      <c r="C55" s="57" t="s">
        <v>84</v>
      </c>
      <c r="D55" s="58" t="s">
        <v>69</v>
      </c>
      <c r="E55" s="59">
        <v>2.8126376428300306E-2</v>
      </c>
      <c r="F55" s="60">
        <v>2.9959645153251113E-2</v>
      </c>
      <c r="G55" s="60">
        <v>2.9959645153251113E-2</v>
      </c>
      <c r="H55" s="60">
        <v>1.2291379783371175E-2</v>
      </c>
      <c r="I55" s="60">
        <v>1.2291379783371175E-2</v>
      </c>
      <c r="J55" s="61">
        <v>2.9959645153251113E-2</v>
      </c>
      <c r="K55" s="61">
        <v>3.2778759271502846E-2</v>
      </c>
      <c r="L55" s="61">
        <v>2.3389815437532244E-2</v>
      </c>
      <c r="M55" s="166">
        <v>2.3389815437532244E-2</v>
      </c>
      <c r="N55" s="60">
        <v>3.6292350767423674E-3</v>
      </c>
      <c r="O55" s="61">
        <v>3.6292350767423674E-3</v>
      </c>
      <c r="P55" s="61">
        <v>2.8126376428300306E-2</v>
      </c>
      <c r="Q55" s="61">
        <v>2.8126376428300306E-2</v>
      </c>
      <c r="R55" s="61">
        <v>5.8026523255111399E-3</v>
      </c>
      <c r="S55" s="61">
        <v>2.6702601338154653E-2</v>
      </c>
      <c r="T55" s="60">
        <v>3.3640395330506036E-2</v>
      </c>
      <c r="U55" s="61">
        <v>3.3640395330506036E-2</v>
      </c>
      <c r="V55" s="61">
        <v>3.297319936703727E-2</v>
      </c>
      <c r="W55" s="61">
        <v>3.297319936703727E-2</v>
      </c>
      <c r="X55" s="61">
        <v>3.297319936703727E-2</v>
      </c>
      <c r="Y55" s="61">
        <v>4.655716843966444E-2</v>
      </c>
      <c r="Z55" s="61">
        <v>4.655716843966444E-2</v>
      </c>
      <c r="AA55" s="62">
        <v>7.8846647519259946E-2</v>
      </c>
      <c r="AB55" s="63">
        <v>5.6787622840655555E-2</v>
      </c>
      <c r="AC55" s="63">
        <v>0</v>
      </c>
      <c r="AD55" s="63">
        <v>2.0204728634778731E-3</v>
      </c>
      <c r="AE55" s="64">
        <v>0</v>
      </c>
      <c r="AF55" s="63">
        <v>4.1217777952646788E-3</v>
      </c>
      <c r="AG55" s="64">
        <v>0</v>
      </c>
      <c r="AH55" s="43" t="s">
        <v>70</v>
      </c>
    </row>
    <row r="56" spans="1:34">
      <c r="A56" s="37">
        <v>49</v>
      </c>
      <c r="B56" s="37">
        <v>100</v>
      </c>
      <c r="C56" s="57" t="s">
        <v>84</v>
      </c>
      <c r="D56" s="58" t="s">
        <v>72</v>
      </c>
      <c r="E56" s="59">
        <v>2.6248229154153681E-2</v>
      </c>
      <c r="F56" s="60">
        <v>2.7685091780691999E-2</v>
      </c>
      <c r="G56" s="60">
        <v>2.7685091780691999E-2</v>
      </c>
      <c r="H56" s="60">
        <v>1.3278927211635821E-2</v>
      </c>
      <c r="I56" s="60">
        <v>1.3278927211635821E-2</v>
      </c>
      <c r="J56" s="61">
        <v>2.7685091780691999E-2</v>
      </c>
      <c r="K56" s="61">
        <v>2.3310174898568948E-2</v>
      </c>
      <c r="L56" s="61">
        <v>8.3138853388114685E-3</v>
      </c>
      <c r="M56" s="166">
        <v>8.3138853388114685E-3</v>
      </c>
      <c r="N56" s="60">
        <v>5.7342350331304895E-3</v>
      </c>
      <c r="O56" s="61">
        <v>5.7342350331304895E-3</v>
      </c>
      <c r="P56" s="61">
        <v>2.6248229154153681E-2</v>
      </c>
      <c r="Q56" s="61">
        <v>2.6248229154153681E-2</v>
      </c>
      <c r="R56" s="61">
        <v>7.4045657211647461E-3</v>
      </c>
      <c r="S56" s="61">
        <v>1.9560070556543373E-2</v>
      </c>
      <c r="T56" s="60">
        <v>3.687063180166783E-2</v>
      </c>
      <c r="U56" s="61">
        <v>3.687063180166783E-2</v>
      </c>
      <c r="V56" s="61">
        <v>2.8680939297812499E-2</v>
      </c>
      <c r="W56" s="61">
        <v>2.8680939297812499E-2</v>
      </c>
      <c r="X56" s="61">
        <v>2.8680939297812499E-2</v>
      </c>
      <c r="Y56" s="61">
        <v>6.3509789798521135E-2</v>
      </c>
      <c r="Z56" s="61">
        <v>6.3509789798521135E-2</v>
      </c>
      <c r="AA56" s="62">
        <v>1.034487693572321E-2</v>
      </c>
      <c r="AB56" s="63">
        <v>2.8722297343796572E-2</v>
      </c>
      <c r="AC56" s="63">
        <v>0</v>
      </c>
      <c r="AD56" s="63">
        <v>3.7151736110176782E-4</v>
      </c>
      <c r="AE56" s="64">
        <v>0</v>
      </c>
      <c r="AF56" s="63">
        <v>3.2974222362117424E-3</v>
      </c>
      <c r="AG56" s="64">
        <v>0</v>
      </c>
      <c r="AH56" s="43" t="s">
        <v>73</v>
      </c>
    </row>
    <row r="57" spans="1:34">
      <c r="A57" s="37">
        <v>50</v>
      </c>
      <c r="B57" s="37">
        <v>100</v>
      </c>
      <c r="C57" s="57" t="s">
        <v>84</v>
      </c>
      <c r="D57" s="58" t="s">
        <v>75</v>
      </c>
      <c r="E57" s="67">
        <v>1.4584224754216026E-2</v>
      </c>
      <c r="F57" s="68">
        <v>7.014574796060013E-3</v>
      </c>
      <c r="G57" s="68">
        <v>7.014574796060013E-3</v>
      </c>
      <c r="H57" s="68">
        <v>5.5469769271813702E-3</v>
      </c>
      <c r="I57" s="68">
        <v>5.5469769271813702E-3</v>
      </c>
      <c r="J57" s="69">
        <v>7.014574796060013E-3</v>
      </c>
      <c r="K57" s="69">
        <v>1.4457944499239494E-2</v>
      </c>
      <c r="L57" s="69">
        <v>6.5341027376330865E-3</v>
      </c>
      <c r="M57" s="167">
        <v>6.5341027376330865E-3</v>
      </c>
      <c r="N57" s="68">
        <v>3.1218835679167767E-3</v>
      </c>
      <c r="O57" s="69">
        <v>3.1218835679167767E-3</v>
      </c>
      <c r="P57" s="69">
        <v>1.4584224754216026E-2</v>
      </c>
      <c r="Q57" s="69">
        <v>1.4584224754216026E-2</v>
      </c>
      <c r="R57" s="69">
        <v>3.4539481163915215E-3</v>
      </c>
      <c r="S57" s="69">
        <v>1.0173553394584443E-2</v>
      </c>
      <c r="T57" s="68">
        <v>1.2524535677259726E-2</v>
      </c>
      <c r="U57" s="69">
        <v>1.2524535677259726E-2</v>
      </c>
      <c r="V57" s="69">
        <v>1.5361365382601782E-2</v>
      </c>
      <c r="W57" s="69">
        <v>1.5361365382601782E-2</v>
      </c>
      <c r="X57" s="69">
        <v>1.5361365382601782E-2</v>
      </c>
      <c r="Y57" s="69">
        <v>4.1941364105362242E-2</v>
      </c>
      <c r="Z57" s="69">
        <v>4.1941364105362242E-2</v>
      </c>
      <c r="AA57" s="70">
        <v>9.8274318354408287E-3</v>
      </c>
      <c r="AB57" s="71">
        <v>1.4361148671898286E-2</v>
      </c>
      <c r="AC57" s="71">
        <v>0</v>
      </c>
      <c r="AD57" s="71">
        <v>1.8575868055088391E-4</v>
      </c>
      <c r="AE57" s="72">
        <v>0</v>
      </c>
      <c r="AF57" s="71">
        <v>1.6487111181058712E-3</v>
      </c>
      <c r="AG57" s="72">
        <v>0</v>
      </c>
      <c r="AH57" s="43">
        <v>0</v>
      </c>
    </row>
    <row r="58" spans="1:34">
      <c r="A58" s="37">
        <v>51</v>
      </c>
      <c r="B58" s="37">
        <v>100</v>
      </c>
      <c r="C58" s="73" t="s">
        <v>85</v>
      </c>
      <c r="D58" s="74" t="s">
        <v>65</v>
      </c>
      <c r="E58" s="59">
        <v>0</v>
      </c>
      <c r="F58" s="60">
        <v>0</v>
      </c>
      <c r="G58" s="60">
        <v>0</v>
      </c>
      <c r="H58" s="60">
        <v>0</v>
      </c>
      <c r="I58" s="60">
        <v>0</v>
      </c>
      <c r="J58" s="61">
        <v>0</v>
      </c>
      <c r="K58" s="61">
        <v>0</v>
      </c>
      <c r="L58" s="61">
        <v>0</v>
      </c>
      <c r="M58" s="166">
        <v>0</v>
      </c>
      <c r="N58" s="60">
        <v>0</v>
      </c>
      <c r="O58" s="61">
        <v>0</v>
      </c>
      <c r="P58" s="61">
        <v>0</v>
      </c>
      <c r="Q58" s="61">
        <v>0</v>
      </c>
      <c r="R58" s="61">
        <v>0</v>
      </c>
      <c r="S58" s="61">
        <v>0</v>
      </c>
      <c r="T58" s="60">
        <v>0</v>
      </c>
      <c r="U58" s="61">
        <v>0</v>
      </c>
      <c r="V58" s="61">
        <v>0</v>
      </c>
      <c r="W58" s="61">
        <v>0</v>
      </c>
      <c r="X58" s="61">
        <v>0</v>
      </c>
      <c r="Y58" s="61">
        <v>0</v>
      </c>
      <c r="Z58" s="61">
        <v>0</v>
      </c>
      <c r="AA58" s="62">
        <v>0</v>
      </c>
      <c r="AB58" s="63">
        <v>0</v>
      </c>
      <c r="AC58" s="63">
        <v>0</v>
      </c>
      <c r="AD58" s="63">
        <v>0</v>
      </c>
      <c r="AE58" s="64">
        <v>0</v>
      </c>
      <c r="AF58" s="63">
        <v>0</v>
      </c>
      <c r="AG58" s="64">
        <v>0</v>
      </c>
      <c r="AH58" s="43">
        <v>72</v>
      </c>
    </row>
    <row r="59" spans="1:34">
      <c r="A59" s="37">
        <v>52</v>
      </c>
      <c r="B59" s="37">
        <v>100</v>
      </c>
      <c r="C59" s="57" t="s">
        <v>85</v>
      </c>
      <c r="D59" s="58" t="s">
        <v>67</v>
      </c>
      <c r="E59" s="59">
        <v>0</v>
      </c>
      <c r="F59" s="60">
        <v>0</v>
      </c>
      <c r="G59" s="60">
        <v>0</v>
      </c>
      <c r="H59" s="60">
        <v>0</v>
      </c>
      <c r="I59" s="60">
        <v>0</v>
      </c>
      <c r="J59" s="61">
        <v>0</v>
      </c>
      <c r="K59" s="61">
        <v>0</v>
      </c>
      <c r="L59" s="61">
        <v>0</v>
      </c>
      <c r="M59" s="166">
        <v>0</v>
      </c>
      <c r="N59" s="60">
        <v>0</v>
      </c>
      <c r="O59" s="61">
        <v>0</v>
      </c>
      <c r="P59" s="61">
        <v>0</v>
      </c>
      <c r="Q59" s="61">
        <v>0</v>
      </c>
      <c r="R59" s="61">
        <v>0</v>
      </c>
      <c r="S59" s="61">
        <v>0</v>
      </c>
      <c r="T59" s="60">
        <v>0</v>
      </c>
      <c r="U59" s="61">
        <v>0</v>
      </c>
      <c r="V59" s="61">
        <v>0</v>
      </c>
      <c r="W59" s="61">
        <v>0</v>
      </c>
      <c r="X59" s="61">
        <v>0</v>
      </c>
      <c r="Y59" s="61">
        <v>0</v>
      </c>
      <c r="Z59" s="61">
        <v>0</v>
      </c>
      <c r="AA59" s="62">
        <v>0</v>
      </c>
      <c r="AB59" s="63">
        <v>0</v>
      </c>
      <c r="AC59" s="63">
        <v>0</v>
      </c>
      <c r="AD59" s="63">
        <v>0</v>
      </c>
      <c r="AE59" s="64">
        <v>0</v>
      </c>
      <c r="AF59" s="63">
        <v>0</v>
      </c>
      <c r="AG59" s="64">
        <v>0</v>
      </c>
      <c r="AH59" s="43">
        <v>85</v>
      </c>
    </row>
    <row r="60" spans="1:34">
      <c r="A60" s="37">
        <v>53</v>
      </c>
      <c r="B60" s="37">
        <v>100</v>
      </c>
      <c r="C60" s="57" t="s">
        <v>85</v>
      </c>
      <c r="D60" s="58" t="s">
        <v>69</v>
      </c>
      <c r="E60" s="59">
        <v>0</v>
      </c>
      <c r="F60" s="60">
        <v>0</v>
      </c>
      <c r="G60" s="60">
        <v>0</v>
      </c>
      <c r="H60" s="60">
        <v>0</v>
      </c>
      <c r="I60" s="60">
        <v>0</v>
      </c>
      <c r="J60" s="61">
        <v>0</v>
      </c>
      <c r="K60" s="61">
        <v>0</v>
      </c>
      <c r="L60" s="61">
        <v>0</v>
      </c>
      <c r="M60" s="166">
        <v>0</v>
      </c>
      <c r="N60" s="60">
        <v>0</v>
      </c>
      <c r="O60" s="61">
        <v>0</v>
      </c>
      <c r="P60" s="61">
        <v>0</v>
      </c>
      <c r="Q60" s="61">
        <v>0</v>
      </c>
      <c r="R60" s="61">
        <v>0</v>
      </c>
      <c r="S60" s="61">
        <v>0</v>
      </c>
      <c r="T60" s="60">
        <v>0</v>
      </c>
      <c r="U60" s="61">
        <v>0</v>
      </c>
      <c r="V60" s="61">
        <v>0</v>
      </c>
      <c r="W60" s="61">
        <v>0</v>
      </c>
      <c r="X60" s="61">
        <v>0</v>
      </c>
      <c r="Y60" s="61">
        <v>0</v>
      </c>
      <c r="Z60" s="61">
        <v>0</v>
      </c>
      <c r="AA60" s="62">
        <v>0</v>
      </c>
      <c r="AB60" s="63">
        <v>0</v>
      </c>
      <c r="AC60" s="63">
        <v>0</v>
      </c>
      <c r="AD60" s="63">
        <v>0</v>
      </c>
      <c r="AE60" s="64">
        <v>0</v>
      </c>
      <c r="AF60" s="63">
        <v>0</v>
      </c>
      <c r="AG60" s="64">
        <v>0</v>
      </c>
      <c r="AH60" s="43" t="s">
        <v>70</v>
      </c>
    </row>
    <row r="61" spans="1:34">
      <c r="A61" s="37">
        <v>54</v>
      </c>
      <c r="B61" s="37">
        <v>100</v>
      </c>
      <c r="C61" s="57" t="s">
        <v>85</v>
      </c>
      <c r="D61" s="58" t="s">
        <v>72</v>
      </c>
      <c r="E61" s="59">
        <v>0</v>
      </c>
      <c r="F61" s="60">
        <v>0</v>
      </c>
      <c r="G61" s="60">
        <v>0</v>
      </c>
      <c r="H61" s="60">
        <v>0</v>
      </c>
      <c r="I61" s="60">
        <v>0</v>
      </c>
      <c r="J61" s="61">
        <v>0</v>
      </c>
      <c r="K61" s="61">
        <v>0</v>
      </c>
      <c r="L61" s="61">
        <v>0</v>
      </c>
      <c r="M61" s="166">
        <v>0</v>
      </c>
      <c r="N61" s="60">
        <v>0</v>
      </c>
      <c r="O61" s="61">
        <v>0</v>
      </c>
      <c r="P61" s="61">
        <v>0</v>
      </c>
      <c r="Q61" s="61">
        <v>0</v>
      </c>
      <c r="R61" s="61">
        <v>0</v>
      </c>
      <c r="S61" s="61">
        <v>0</v>
      </c>
      <c r="T61" s="60">
        <v>0</v>
      </c>
      <c r="U61" s="61">
        <v>0</v>
      </c>
      <c r="V61" s="61">
        <v>0</v>
      </c>
      <c r="W61" s="61">
        <v>0</v>
      </c>
      <c r="X61" s="61">
        <v>0</v>
      </c>
      <c r="Y61" s="61">
        <v>0</v>
      </c>
      <c r="Z61" s="61">
        <v>0</v>
      </c>
      <c r="AA61" s="62">
        <v>0</v>
      </c>
      <c r="AB61" s="63">
        <v>0</v>
      </c>
      <c r="AC61" s="63">
        <v>0</v>
      </c>
      <c r="AD61" s="63">
        <v>0</v>
      </c>
      <c r="AE61" s="64">
        <v>0</v>
      </c>
      <c r="AF61" s="63">
        <v>0</v>
      </c>
      <c r="AG61" s="64">
        <v>0</v>
      </c>
      <c r="AH61" s="43" t="s">
        <v>73</v>
      </c>
    </row>
    <row r="62" spans="1:34">
      <c r="A62" s="37">
        <v>55</v>
      </c>
      <c r="B62" s="37">
        <v>100</v>
      </c>
      <c r="C62" s="57" t="s">
        <v>85</v>
      </c>
      <c r="D62" s="58" t="s">
        <v>75</v>
      </c>
      <c r="E62" s="67">
        <v>0</v>
      </c>
      <c r="F62" s="68">
        <v>0</v>
      </c>
      <c r="G62" s="68">
        <v>0</v>
      </c>
      <c r="H62" s="68">
        <v>0</v>
      </c>
      <c r="I62" s="68">
        <v>0</v>
      </c>
      <c r="J62" s="69">
        <v>0</v>
      </c>
      <c r="K62" s="69">
        <v>0</v>
      </c>
      <c r="L62" s="69">
        <v>0</v>
      </c>
      <c r="M62" s="167">
        <v>0</v>
      </c>
      <c r="N62" s="68">
        <v>0</v>
      </c>
      <c r="O62" s="69">
        <v>0</v>
      </c>
      <c r="P62" s="69">
        <v>0</v>
      </c>
      <c r="Q62" s="69">
        <v>0</v>
      </c>
      <c r="R62" s="69">
        <v>0</v>
      </c>
      <c r="S62" s="69">
        <v>0</v>
      </c>
      <c r="T62" s="68">
        <v>0</v>
      </c>
      <c r="U62" s="69">
        <v>0</v>
      </c>
      <c r="V62" s="69">
        <v>0</v>
      </c>
      <c r="W62" s="69">
        <v>0</v>
      </c>
      <c r="X62" s="69">
        <v>0</v>
      </c>
      <c r="Y62" s="69">
        <v>0</v>
      </c>
      <c r="Z62" s="69">
        <v>0</v>
      </c>
      <c r="AA62" s="70">
        <v>0</v>
      </c>
      <c r="AB62" s="71">
        <v>0</v>
      </c>
      <c r="AC62" s="71">
        <v>0</v>
      </c>
      <c r="AD62" s="71">
        <v>0</v>
      </c>
      <c r="AE62" s="72">
        <v>0</v>
      </c>
      <c r="AF62" s="71">
        <v>0</v>
      </c>
      <c r="AG62" s="72">
        <v>0</v>
      </c>
      <c r="AH62" s="43">
        <v>0</v>
      </c>
    </row>
    <row r="63" spans="1:34" ht="12.75" customHeight="1">
      <c r="A63" s="37">
        <v>56</v>
      </c>
      <c r="B63" s="37">
        <v>100</v>
      </c>
      <c r="C63" s="73" t="s">
        <v>86</v>
      </c>
      <c r="D63" s="74" t="s">
        <v>65</v>
      </c>
      <c r="E63" s="59">
        <v>0</v>
      </c>
      <c r="F63" s="60">
        <v>0</v>
      </c>
      <c r="G63" s="60">
        <v>0</v>
      </c>
      <c r="H63" s="60">
        <v>0</v>
      </c>
      <c r="I63" s="60">
        <v>0</v>
      </c>
      <c r="J63" s="61">
        <v>0</v>
      </c>
      <c r="K63" s="61">
        <v>0</v>
      </c>
      <c r="L63" s="61">
        <v>0</v>
      </c>
      <c r="M63" s="166">
        <v>0</v>
      </c>
      <c r="N63" s="60">
        <v>0</v>
      </c>
      <c r="O63" s="61">
        <v>0</v>
      </c>
      <c r="P63" s="61">
        <v>0</v>
      </c>
      <c r="Q63" s="61">
        <v>0</v>
      </c>
      <c r="R63" s="61">
        <v>0</v>
      </c>
      <c r="S63" s="61">
        <v>0</v>
      </c>
      <c r="T63" s="60">
        <v>0</v>
      </c>
      <c r="U63" s="61">
        <v>0</v>
      </c>
      <c r="V63" s="61">
        <v>0</v>
      </c>
      <c r="W63" s="61">
        <v>0</v>
      </c>
      <c r="X63" s="61">
        <v>0</v>
      </c>
      <c r="Y63" s="61">
        <v>0</v>
      </c>
      <c r="Z63" s="61">
        <v>0</v>
      </c>
      <c r="AA63" s="62">
        <v>0</v>
      </c>
      <c r="AB63" s="63">
        <v>0</v>
      </c>
      <c r="AC63" s="63">
        <v>0</v>
      </c>
      <c r="AD63" s="63">
        <v>0</v>
      </c>
      <c r="AE63" s="64">
        <v>0</v>
      </c>
      <c r="AF63" s="63">
        <v>0</v>
      </c>
      <c r="AG63" s="64">
        <v>0</v>
      </c>
      <c r="AH63" s="43">
        <v>72</v>
      </c>
    </row>
    <row r="64" spans="1:34">
      <c r="A64" s="37">
        <v>57</v>
      </c>
      <c r="B64" s="37">
        <v>100</v>
      </c>
      <c r="C64" s="57" t="s">
        <v>86</v>
      </c>
      <c r="D64" s="58" t="s">
        <v>67</v>
      </c>
      <c r="E64" s="59">
        <v>0</v>
      </c>
      <c r="F64" s="60">
        <v>0</v>
      </c>
      <c r="G64" s="60">
        <v>0</v>
      </c>
      <c r="H64" s="60">
        <v>0</v>
      </c>
      <c r="I64" s="60">
        <v>0</v>
      </c>
      <c r="J64" s="61">
        <v>0</v>
      </c>
      <c r="K64" s="61">
        <v>0</v>
      </c>
      <c r="L64" s="61">
        <v>0</v>
      </c>
      <c r="M64" s="166">
        <v>0</v>
      </c>
      <c r="N64" s="60">
        <v>0</v>
      </c>
      <c r="O64" s="61">
        <v>0</v>
      </c>
      <c r="P64" s="61">
        <v>0</v>
      </c>
      <c r="Q64" s="61">
        <v>0</v>
      </c>
      <c r="R64" s="61">
        <v>0</v>
      </c>
      <c r="S64" s="61">
        <v>0</v>
      </c>
      <c r="T64" s="60">
        <v>0</v>
      </c>
      <c r="U64" s="61">
        <v>0</v>
      </c>
      <c r="V64" s="61">
        <v>0</v>
      </c>
      <c r="W64" s="61">
        <v>0</v>
      </c>
      <c r="X64" s="61">
        <v>0</v>
      </c>
      <c r="Y64" s="61">
        <v>0</v>
      </c>
      <c r="Z64" s="61">
        <v>0</v>
      </c>
      <c r="AA64" s="62">
        <v>0</v>
      </c>
      <c r="AB64" s="63">
        <v>0</v>
      </c>
      <c r="AC64" s="63">
        <v>0</v>
      </c>
      <c r="AD64" s="63">
        <v>0</v>
      </c>
      <c r="AE64" s="64">
        <v>0</v>
      </c>
      <c r="AF64" s="63">
        <v>0</v>
      </c>
      <c r="AG64" s="64">
        <v>0</v>
      </c>
      <c r="AH64" s="43">
        <v>85</v>
      </c>
    </row>
    <row r="65" spans="1:34">
      <c r="A65" s="37">
        <v>58</v>
      </c>
      <c r="B65" s="37">
        <v>100</v>
      </c>
      <c r="C65" s="57" t="s">
        <v>86</v>
      </c>
      <c r="D65" s="58" t="s">
        <v>69</v>
      </c>
      <c r="E65" s="59">
        <v>0</v>
      </c>
      <c r="F65" s="60">
        <v>0</v>
      </c>
      <c r="G65" s="60">
        <v>0</v>
      </c>
      <c r="H65" s="60">
        <v>0</v>
      </c>
      <c r="I65" s="60">
        <v>0</v>
      </c>
      <c r="J65" s="61">
        <v>0</v>
      </c>
      <c r="K65" s="61">
        <v>0</v>
      </c>
      <c r="L65" s="61">
        <v>0</v>
      </c>
      <c r="M65" s="166">
        <v>0</v>
      </c>
      <c r="N65" s="60">
        <v>0</v>
      </c>
      <c r="O65" s="61">
        <v>0</v>
      </c>
      <c r="P65" s="61">
        <v>0</v>
      </c>
      <c r="Q65" s="61">
        <v>0</v>
      </c>
      <c r="R65" s="61">
        <v>0</v>
      </c>
      <c r="S65" s="61">
        <v>0</v>
      </c>
      <c r="T65" s="60">
        <v>0</v>
      </c>
      <c r="U65" s="61">
        <v>0</v>
      </c>
      <c r="V65" s="61">
        <v>0</v>
      </c>
      <c r="W65" s="61">
        <v>0</v>
      </c>
      <c r="X65" s="61">
        <v>0</v>
      </c>
      <c r="Y65" s="61">
        <v>0</v>
      </c>
      <c r="Z65" s="61">
        <v>0</v>
      </c>
      <c r="AA65" s="62">
        <v>0</v>
      </c>
      <c r="AB65" s="63">
        <v>0</v>
      </c>
      <c r="AC65" s="63">
        <v>0</v>
      </c>
      <c r="AD65" s="63">
        <v>0</v>
      </c>
      <c r="AE65" s="64">
        <v>0</v>
      </c>
      <c r="AF65" s="63">
        <v>0</v>
      </c>
      <c r="AG65" s="64">
        <v>0</v>
      </c>
      <c r="AH65" s="43" t="s">
        <v>70</v>
      </c>
    </row>
    <row r="66" spans="1:34">
      <c r="A66" s="37">
        <v>59</v>
      </c>
      <c r="B66" s="37">
        <v>100</v>
      </c>
      <c r="C66" s="57" t="s">
        <v>86</v>
      </c>
      <c r="D66" s="58" t="s">
        <v>72</v>
      </c>
      <c r="E66" s="59">
        <v>0</v>
      </c>
      <c r="F66" s="60">
        <v>0</v>
      </c>
      <c r="G66" s="60">
        <v>0</v>
      </c>
      <c r="H66" s="60">
        <v>0</v>
      </c>
      <c r="I66" s="60">
        <v>0</v>
      </c>
      <c r="J66" s="61">
        <v>0</v>
      </c>
      <c r="K66" s="61">
        <v>0</v>
      </c>
      <c r="L66" s="61">
        <v>0</v>
      </c>
      <c r="M66" s="166">
        <v>0</v>
      </c>
      <c r="N66" s="60">
        <v>0</v>
      </c>
      <c r="O66" s="61">
        <v>0</v>
      </c>
      <c r="P66" s="61">
        <v>0</v>
      </c>
      <c r="Q66" s="61">
        <v>0</v>
      </c>
      <c r="R66" s="61">
        <v>0</v>
      </c>
      <c r="S66" s="61">
        <v>0</v>
      </c>
      <c r="T66" s="60">
        <v>0</v>
      </c>
      <c r="U66" s="61">
        <v>0</v>
      </c>
      <c r="V66" s="61">
        <v>0</v>
      </c>
      <c r="W66" s="61">
        <v>0</v>
      </c>
      <c r="X66" s="61">
        <v>0</v>
      </c>
      <c r="Y66" s="61">
        <v>0</v>
      </c>
      <c r="Z66" s="61">
        <v>0</v>
      </c>
      <c r="AA66" s="62">
        <v>0</v>
      </c>
      <c r="AB66" s="63">
        <v>0</v>
      </c>
      <c r="AC66" s="63">
        <v>0</v>
      </c>
      <c r="AD66" s="63">
        <v>0</v>
      </c>
      <c r="AE66" s="64">
        <v>0</v>
      </c>
      <c r="AF66" s="63">
        <v>0</v>
      </c>
      <c r="AG66" s="64">
        <v>0</v>
      </c>
      <c r="AH66" s="43" t="s">
        <v>73</v>
      </c>
    </row>
    <row r="67" spans="1:34">
      <c r="A67" s="37">
        <v>60</v>
      </c>
      <c r="B67" s="37">
        <v>100</v>
      </c>
      <c r="C67" s="57" t="s">
        <v>86</v>
      </c>
      <c r="D67" s="58" t="s">
        <v>75</v>
      </c>
      <c r="E67" s="67">
        <v>0</v>
      </c>
      <c r="F67" s="68">
        <v>0</v>
      </c>
      <c r="G67" s="68">
        <v>0</v>
      </c>
      <c r="H67" s="68">
        <v>0</v>
      </c>
      <c r="I67" s="68">
        <v>0</v>
      </c>
      <c r="J67" s="69">
        <v>0</v>
      </c>
      <c r="K67" s="69">
        <v>0</v>
      </c>
      <c r="L67" s="69">
        <v>0</v>
      </c>
      <c r="M67" s="167">
        <v>0</v>
      </c>
      <c r="N67" s="68">
        <v>0</v>
      </c>
      <c r="O67" s="69">
        <v>0</v>
      </c>
      <c r="P67" s="69">
        <v>0</v>
      </c>
      <c r="Q67" s="69">
        <v>0</v>
      </c>
      <c r="R67" s="69">
        <v>0</v>
      </c>
      <c r="S67" s="69">
        <v>0</v>
      </c>
      <c r="T67" s="68">
        <v>0</v>
      </c>
      <c r="U67" s="69">
        <v>0</v>
      </c>
      <c r="V67" s="69">
        <v>0</v>
      </c>
      <c r="W67" s="69">
        <v>0</v>
      </c>
      <c r="X67" s="69">
        <v>0</v>
      </c>
      <c r="Y67" s="69">
        <v>0</v>
      </c>
      <c r="Z67" s="69">
        <v>0</v>
      </c>
      <c r="AA67" s="70">
        <v>0</v>
      </c>
      <c r="AB67" s="71">
        <v>0</v>
      </c>
      <c r="AC67" s="71">
        <v>0</v>
      </c>
      <c r="AD67" s="71">
        <v>0</v>
      </c>
      <c r="AE67" s="72">
        <v>0</v>
      </c>
      <c r="AF67" s="71">
        <v>0</v>
      </c>
      <c r="AG67" s="72">
        <v>0</v>
      </c>
      <c r="AH67" s="43">
        <v>0</v>
      </c>
    </row>
    <row r="68" spans="1:34" ht="12.75" customHeight="1">
      <c r="A68" s="37">
        <v>61</v>
      </c>
      <c r="B68" s="37">
        <v>100</v>
      </c>
      <c r="C68" s="73" t="s">
        <v>87</v>
      </c>
      <c r="D68" s="74" t="s">
        <v>65</v>
      </c>
      <c r="E68" s="59">
        <v>4.4639710430095896E-3</v>
      </c>
      <c r="F68" s="60">
        <v>1.8085983865451547E-2</v>
      </c>
      <c r="G68" s="60">
        <v>1.8085983865451547E-2</v>
      </c>
      <c r="H68" s="60">
        <v>5.6838256047823344E-3</v>
      </c>
      <c r="I68" s="60">
        <v>5.6838256047823344E-3</v>
      </c>
      <c r="J68" s="61">
        <v>1.8085983865451547E-2</v>
      </c>
      <c r="K68" s="61">
        <v>9.5372287193493978E-3</v>
      </c>
      <c r="L68" s="61">
        <v>6.1826627156716142E-3</v>
      </c>
      <c r="M68" s="166">
        <v>6.1826627156716142E-3</v>
      </c>
      <c r="N68" s="60">
        <v>2.3666712216849884E-3</v>
      </c>
      <c r="O68" s="61">
        <v>2.3666712216849884E-3</v>
      </c>
      <c r="P68" s="61">
        <v>4.4639710430095896E-3</v>
      </c>
      <c r="Q68" s="61">
        <v>4.4639710430095896E-3</v>
      </c>
      <c r="R68" s="61">
        <v>2.2545026711008518E-3</v>
      </c>
      <c r="S68" s="61">
        <v>1.7453155899457569E-2</v>
      </c>
      <c r="T68" s="60">
        <v>4.0688564920015862E-3</v>
      </c>
      <c r="U68" s="61">
        <v>4.0688564920015862E-3</v>
      </c>
      <c r="V68" s="61">
        <v>7.6633543780167844E-3</v>
      </c>
      <c r="W68" s="61">
        <v>7.6633543780167844E-3</v>
      </c>
      <c r="X68" s="61">
        <v>7.6633543780167844E-3</v>
      </c>
      <c r="Y68" s="61">
        <v>1.903868247181911E-3</v>
      </c>
      <c r="Z68" s="61">
        <v>1.903868247181911E-3</v>
      </c>
      <c r="AA68" s="62">
        <v>1.0367685665294862E-2</v>
      </c>
      <c r="AB68" s="63">
        <v>1.6758831302351125E-2</v>
      </c>
      <c r="AC68" s="63">
        <v>2.1867133362966505E-3</v>
      </c>
      <c r="AD68" s="63">
        <v>1.1391260470735068E-2</v>
      </c>
      <c r="AE68" s="64">
        <v>1.8079142462809489E-3</v>
      </c>
      <c r="AF68" s="63">
        <v>6.574683742351313E-2</v>
      </c>
      <c r="AG68" s="64">
        <v>0</v>
      </c>
      <c r="AH68" s="43">
        <v>72</v>
      </c>
    </row>
    <row r="69" spans="1:34">
      <c r="A69" s="37">
        <v>62</v>
      </c>
      <c r="B69" s="37">
        <v>100</v>
      </c>
      <c r="C69" s="57" t="s">
        <v>87</v>
      </c>
      <c r="D69" s="58" t="s">
        <v>67</v>
      </c>
      <c r="E69" s="59">
        <v>5.3832720962347369E-3</v>
      </c>
      <c r="F69" s="60">
        <v>4.4074603708343131E-3</v>
      </c>
      <c r="G69" s="60">
        <v>4.4074603708343131E-3</v>
      </c>
      <c r="H69" s="60">
        <v>3.3725303912622113E-3</v>
      </c>
      <c r="I69" s="60">
        <v>3.3725303912622113E-3</v>
      </c>
      <c r="J69" s="61">
        <v>4.4074603708343131E-3</v>
      </c>
      <c r="K69" s="61">
        <v>6.025528471145891E-3</v>
      </c>
      <c r="L69" s="61">
        <v>7.1967577188014071E-3</v>
      </c>
      <c r="M69" s="166">
        <v>7.1967577188014071E-3</v>
      </c>
      <c r="N69" s="60">
        <v>3.0455627822051907E-3</v>
      </c>
      <c r="O69" s="61">
        <v>3.0455627822051907E-3</v>
      </c>
      <c r="P69" s="61">
        <v>5.3832720962347369E-3</v>
      </c>
      <c r="Q69" s="61">
        <v>5.3832720962347369E-3</v>
      </c>
      <c r="R69" s="61">
        <v>2.5085219908618007E-3</v>
      </c>
      <c r="S69" s="61">
        <v>9.7340229392424756E-3</v>
      </c>
      <c r="T69" s="60">
        <v>4.2853814381212732E-3</v>
      </c>
      <c r="U69" s="61">
        <v>4.2853814381212732E-3</v>
      </c>
      <c r="V69" s="61">
        <v>5.51003493682908E-3</v>
      </c>
      <c r="W69" s="61">
        <v>5.51003493682908E-3</v>
      </c>
      <c r="X69" s="61">
        <v>5.51003493682908E-3</v>
      </c>
      <c r="Y69" s="61">
        <v>3.361222372528715E-3</v>
      </c>
      <c r="Z69" s="61">
        <v>3.361222372528715E-3</v>
      </c>
      <c r="AA69" s="62">
        <v>5.789258072277733E-2</v>
      </c>
      <c r="AB69" s="63">
        <v>9.4673682646342888E-3</v>
      </c>
      <c r="AC69" s="63">
        <v>0</v>
      </c>
      <c r="AD69" s="63">
        <v>2.172595334349567E-3</v>
      </c>
      <c r="AE69" s="64">
        <v>0</v>
      </c>
      <c r="AF69" s="63">
        <v>2.659675422005172E-2</v>
      </c>
      <c r="AG69" s="64">
        <v>0</v>
      </c>
      <c r="AH69" s="43">
        <v>85</v>
      </c>
    </row>
    <row r="70" spans="1:34">
      <c r="A70" s="37">
        <v>63</v>
      </c>
      <c r="B70" s="37">
        <v>100</v>
      </c>
      <c r="C70" s="57" t="s">
        <v>87</v>
      </c>
      <c r="D70" s="58" t="s">
        <v>69</v>
      </c>
      <c r="E70" s="59">
        <v>4.4815099039962458E-3</v>
      </c>
      <c r="F70" s="60">
        <v>5.6367045580982102E-3</v>
      </c>
      <c r="G70" s="60">
        <v>5.6367045580982102E-3</v>
      </c>
      <c r="H70" s="60">
        <v>2.4514335227941867E-3</v>
      </c>
      <c r="I70" s="60">
        <v>2.4514335227941867E-3</v>
      </c>
      <c r="J70" s="61">
        <v>5.6367045580982102E-3</v>
      </c>
      <c r="K70" s="61">
        <v>4.9077094826745285E-3</v>
      </c>
      <c r="L70" s="61">
        <v>5.9681290476469402E-3</v>
      </c>
      <c r="M70" s="166">
        <v>5.9681290476469402E-3</v>
      </c>
      <c r="N70" s="60">
        <v>1.4704471380432222E-3</v>
      </c>
      <c r="O70" s="61">
        <v>1.4704471380432222E-3</v>
      </c>
      <c r="P70" s="61">
        <v>4.4815099039962458E-3</v>
      </c>
      <c r="Q70" s="61">
        <v>4.4815099039962458E-3</v>
      </c>
      <c r="R70" s="61">
        <v>5.843743686060705E-4</v>
      </c>
      <c r="S70" s="61">
        <v>5.5092536283786082E-3</v>
      </c>
      <c r="T70" s="60">
        <v>3.3196918719439112E-3</v>
      </c>
      <c r="U70" s="61">
        <v>3.3196918719439112E-3</v>
      </c>
      <c r="V70" s="61">
        <v>4.6478591790656276E-3</v>
      </c>
      <c r="W70" s="61">
        <v>4.6478591790656276E-3</v>
      </c>
      <c r="X70" s="61">
        <v>4.6478591790656276E-3</v>
      </c>
      <c r="Y70" s="61">
        <v>3.6676462286548794E-3</v>
      </c>
      <c r="Z70" s="61">
        <v>3.6676462286548794E-3</v>
      </c>
      <c r="AA70" s="62">
        <v>3.4312826645605116E-2</v>
      </c>
      <c r="AB70" s="63">
        <v>8.5303845258832729E-3</v>
      </c>
      <c r="AC70" s="63">
        <v>0</v>
      </c>
      <c r="AD70" s="63">
        <v>9.9111804417289368E-4</v>
      </c>
      <c r="AE70" s="64">
        <v>0</v>
      </c>
      <c r="AF70" s="63">
        <v>0</v>
      </c>
      <c r="AG70" s="64">
        <v>0</v>
      </c>
      <c r="AH70" s="43" t="s">
        <v>70</v>
      </c>
    </row>
    <row r="71" spans="1:34">
      <c r="A71" s="37">
        <v>64</v>
      </c>
      <c r="B71" s="37">
        <v>100</v>
      </c>
      <c r="C71" s="57" t="s">
        <v>87</v>
      </c>
      <c r="D71" s="58" t="s">
        <v>72</v>
      </c>
      <c r="E71" s="59">
        <v>1.733203479577651E-3</v>
      </c>
      <c r="F71" s="60">
        <v>3.4537081173226123E-3</v>
      </c>
      <c r="G71" s="60">
        <v>3.4537081173226123E-3</v>
      </c>
      <c r="H71" s="60">
        <v>2.7402631836923744E-3</v>
      </c>
      <c r="I71" s="60">
        <v>2.7402631836923744E-3</v>
      </c>
      <c r="J71" s="61">
        <v>3.4537081173226123E-3</v>
      </c>
      <c r="K71" s="61">
        <v>2.75733500970053E-3</v>
      </c>
      <c r="L71" s="61">
        <v>1.0839595858088801E-3</v>
      </c>
      <c r="M71" s="166">
        <v>1.0839595858088801E-3</v>
      </c>
      <c r="N71" s="60">
        <v>4.5501725576621707E-4</v>
      </c>
      <c r="O71" s="61">
        <v>4.5501725576621707E-4</v>
      </c>
      <c r="P71" s="61">
        <v>1.733203479577651E-3</v>
      </c>
      <c r="Q71" s="61">
        <v>1.733203479577651E-3</v>
      </c>
      <c r="R71" s="61">
        <v>2.7042338069180306E-4</v>
      </c>
      <c r="S71" s="61">
        <v>2.5940662744999617E-3</v>
      </c>
      <c r="T71" s="60">
        <v>1.7094946578657365E-3</v>
      </c>
      <c r="U71" s="61">
        <v>1.7094946578657365E-3</v>
      </c>
      <c r="V71" s="61">
        <v>2.6132571182498842E-3</v>
      </c>
      <c r="W71" s="61">
        <v>2.6132571182498842E-3</v>
      </c>
      <c r="X71" s="61">
        <v>2.6132571182498842E-3</v>
      </c>
      <c r="Y71" s="61">
        <v>2.0796418824582255E-3</v>
      </c>
      <c r="Z71" s="61">
        <v>2.0796418824582255E-3</v>
      </c>
      <c r="AA71" s="62">
        <v>9.4325277528571269E-3</v>
      </c>
      <c r="AB71" s="63">
        <v>4.0036495399056737E-3</v>
      </c>
      <c r="AC71" s="63">
        <v>0</v>
      </c>
      <c r="AD71" s="63">
        <v>2.7794359585230386E-4</v>
      </c>
      <c r="AE71" s="64">
        <v>0</v>
      </c>
      <c r="AF71" s="63">
        <v>0</v>
      </c>
      <c r="AG71" s="64">
        <v>0</v>
      </c>
      <c r="AH71" s="43" t="s">
        <v>73</v>
      </c>
    </row>
    <row r="72" spans="1:34">
      <c r="A72" s="37">
        <v>65</v>
      </c>
      <c r="B72" s="37">
        <v>100</v>
      </c>
      <c r="C72" s="57" t="s">
        <v>87</v>
      </c>
      <c r="D72" s="58" t="s">
        <v>75</v>
      </c>
      <c r="E72" s="67">
        <v>1.1069337735918363E-3</v>
      </c>
      <c r="F72" s="68">
        <v>1.5367605186802828E-3</v>
      </c>
      <c r="G72" s="68">
        <v>1.5367605186802828E-3</v>
      </c>
      <c r="H72" s="68">
        <v>1.4684915788718801E-3</v>
      </c>
      <c r="I72" s="68">
        <v>1.4684915788718801E-3</v>
      </c>
      <c r="J72" s="69">
        <v>1.5367605186802828E-3</v>
      </c>
      <c r="K72" s="69">
        <v>1.8049850246939004E-3</v>
      </c>
      <c r="L72" s="69">
        <v>9.9786383745687282E-4</v>
      </c>
      <c r="M72" s="167">
        <v>9.9786383745687282E-4</v>
      </c>
      <c r="N72" s="68">
        <v>4.3248445236565358E-4</v>
      </c>
      <c r="O72" s="69">
        <v>4.3248445236565358E-4</v>
      </c>
      <c r="P72" s="69">
        <v>1.1069337735918363E-3</v>
      </c>
      <c r="Q72" s="69">
        <v>1.1069337735918363E-3</v>
      </c>
      <c r="R72" s="69">
        <v>3.1817381548062594E-4</v>
      </c>
      <c r="S72" s="69">
        <v>1.5238771863100742E-3</v>
      </c>
      <c r="T72" s="68">
        <v>8.5041098325225339E-4</v>
      </c>
      <c r="U72" s="69">
        <v>8.5041098325225339E-4</v>
      </c>
      <c r="V72" s="69">
        <v>1.6893262014420103E-3</v>
      </c>
      <c r="W72" s="69">
        <v>1.6893262014420103E-3</v>
      </c>
      <c r="X72" s="69">
        <v>1.6893262014420103E-3</v>
      </c>
      <c r="Y72" s="69">
        <v>1.4197827468076132E-3</v>
      </c>
      <c r="Z72" s="69">
        <v>1.4197827468076132E-3</v>
      </c>
      <c r="AA72" s="70">
        <v>1.334668463934926E-2</v>
      </c>
      <c r="AB72" s="71">
        <v>2.0018247699528369E-3</v>
      </c>
      <c r="AC72" s="71">
        <v>0</v>
      </c>
      <c r="AD72" s="71">
        <v>1.3897179792615193E-4</v>
      </c>
      <c r="AE72" s="72">
        <v>0</v>
      </c>
      <c r="AF72" s="71">
        <v>0</v>
      </c>
      <c r="AG72" s="72">
        <v>0</v>
      </c>
      <c r="AH72" s="43">
        <v>0</v>
      </c>
    </row>
    <row r="73" spans="1:34" ht="12.75" customHeight="1">
      <c r="A73" s="37">
        <v>66</v>
      </c>
      <c r="B73" s="37">
        <v>100</v>
      </c>
      <c r="C73" s="73" t="s">
        <v>88</v>
      </c>
      <c r="D73" s="74" t="s">
        <v>65</v>
      </c>
      <c r="E73" s="59">
        <v>9.3225664582189567E-3</v>
      </c>
      <c r="F73" s="60">
        <v>2.2103814064704887E-2</v>
      </c>
      <c r="G73" s="60">
        <v>2.2103814064704887E-2</v>
      </c>
      <c r="H73" s="60">
        <v>1.0831441246849354E-2</v>
      </c>
      <c r="I73" s="60">
        <v>1.0831441246849354E-2</v>
      </c>
      <c r="J73" s="61">
        <v>2.2103814064704887E-2</v>
      </c>
      <c r="K73" s="61">
        <v>1.1060410637705978E-2</v>
      </c>
      <c r="L73" s="61">
        <v>7.3604807812412886E-3</v>
      </c>
      <c r="M73" s="166">
        <v>7.3604807812412886E-3</v>
      </c>
      <c r="N73" s="60">
        <v>4.6504798760259695E-3</v>
      </c>
      <c r="O73" s="61">
        <v>4.6504798760259695E-3</v>
      </c>
      <c r="P73" s="61">
        <v>9.3225664582189567E-3</v>
      </c>
      <c r="Q73" s="61">
        <v>9.3225664582189567E-3</v>
      </c>
      <c r="R73" s="61">
        <v>3.9856995568629712E-3</v>
      </c>
      <c r="S73" s="61">
        <v>8.5177527187500612E-3</v>
      </c>
      <c r="T73" s="60">
        <v>8.4456422503119983E-3</v>
      </c>
      <c r="U73" s="61">
        <v>8.4456422503119983E-3</v>
      </c>
      <c r="V73" s="61">
        <v>8.0454989890588278E-3</v>
      </c>
      <c r="W73" s="61">
        <v>8.0454989890588278E-3</v>
      </c>
      <c r="X73" s="61">
        <v>8.0454989890588278E-3</v>
      </c>
      <c r="Y73" s="61">
        <v>9.0473389929548965E-4</v>
      </c>
      <c r="Z73" s="61">
        <v>9.0473389929548965E-4</v>
      </c>
      <c r="AA73" s="62">
        <v>4.1458220221414623E-4</v>
      </c>
      <c r="AB73" s="63">
        <v>1.0458667571193705E-2</v>
      </c>
      <c r="AC73" s="63">
        <v>4.4533902421894792E-4</v>
      </c>
      <c r="AD73" s="63">
        <v>1.0004898878847987E-2</v>
      </c>
      <c r="AE73" s="64">
        <v>0</v>
      </c>
      <c r="AF73" s="63">
        <v>4.1094502150931592E-3</v>
      </c>
      <c r="AG73" s="64">
        <v>0</v>
      </c>
      <c r="AH73" s="43">
        <v>72</v>
      </c>
    </row>
    <row r="74" spans="1:34">
      <c r="A74" s="37">
        <v>67</v>
      </c>
      <c r="B74" s="37">
        <v>100</v>
      </c>
      <c r="C74" s="57" t="s">
        <v>88</v>
      </c>
      <c r="D74" s="58" t="s">
        <v>67</v>
      </c>
      <c r="E74" s="59">
        <v>9.5113574052545762E-3</v>
      </c>
      <c r="F74" s="60">
        <v>6.4988998798263947E-3</v>
      </c>
      <c r="G74" s="60">
        <v>6.4988998798263947E-3</v>
      </c>
      <c r="H74" s="60">
        <v>6.1114777222853458E-3</v>
      </c>
      <c r="I74" s="60">
        <v>6.1114777222853458E-3</v>
      </c>
      <c r="J74" s="61">
        <v>6.4988998798263947E-3</v>
      </c>
      <c r="K74" s="61">
        <v>1.4313430085733178E-2</v>
      </c>
      <c r="L74" s="61">
        <v>6.5270457090796444E-3</v>
      </c>
      <c r="M74" s="166">
        <v>6.5270457090796444E-3</v>
      </c>
      <c r="N74" s="60">
        <v>9.7603381955731032E-3</v>
      </c>
      <c r="O74" s="61">
        <v>9.7603381955731032E-3</v>
      </c>
      <c r="P74" s="61">
        <v>9.5113574052545762E-3</v>
      </c>
      <c r="Q74" s="61">
        <v>9.5113574052545762E-3</v>
      </c>
      <c r="R74" s="61">
        <v>5.4078179480566216E-3</v>
      </c>
      <c r="S74" s="61">
        <v>6.8568038091781419E-3</v>
      </c>
      <c r="T74" s="60">
        <v>1.2850589894053818E-2</v>
      </c>
      <c r="U74" s="61">
        <v>1.2850589894053818E-2</v>
      </c>
      <c r="V74" s="61">
        <v>1.1512452052188453E-2</v>
      </c>
      <c r="W74" s="61">
        <v>1.1512452052188453E-2</v>
      </c>
      <c r="X74" s="61">
        <v>1.1512452052188453E-2</v>
      </c>
      <c r="Y74" s="61">
        <v>1.9697597602983813E-3</v>
      </c>
      <c r="Z74" s="61">
        <v>1.9697597602983813E-3</v>
      </c>
      <c r="AA74" s="62">
        <v>3.0590531425509816E-4</v>
      </c>
      <c r="AB74" s="63">
        <v>3.8226590547967107E-2</v>
      </c>
      <c r="AC74" s="63">
        <v>4.8474583420934659E-4</v>
      </c>
      <c r="AD74" s="63">
        <v>9.752866014838879E-3</v>
      </c>
      <c r="AE74" s="64">
        <v>0</v>
      </c>
      <c r="AF74" s="63">
        <v>1.2781389216582794E-2</v>
      </c>
      <c r="AG74" s="64">
        <v>2.0424330655476646E-2</v>
      </c>
      <c r="AH74" s="43">
        <v>85</v>
      </c>
    </row>
    <row r="75" spans="1:34">
      <c r="A75" s="37">
        <v>68</v>
      </c>
      <c r="B75" s="37">
        <v>100</v>
      </c>
      <c r="C75" s="57" t="s">
        <v>88</v>
      </c>
      <c r="D75" s="58" t="s">
        <v>69</v>
      </c>
      <c r="E75" s="59">
        <v>5.7191578302244871E-3</v>
      </c>
      <c r="F75" s="60">
        <v>6.6150909636592883E-3</v>
      </c>
      <c r="G75" s="60">
        <v>6.6150909636592883E-3</v>
      </c>
      <c r="H75" s="60">
        <v>4.3311290608035779E-3</v>
      </c>
      <c r="I75" s="60">
        <v>4.3311290608035779E-3</v>
      </c>
      <c r="J75" s="61">
        <v>6.6150909636592883E-3</v>
      </c>
      <c r="K75" s="61">
        <v>7.6621542041049326E-3</v>
      </c>
      <c r="L75" s="61">
        <v>3.4657067225959703E-3</v>
      </c>
      <c r="M75" s="166">
        <v>3.4657067225959703E-3</v>
      </c>
      <c r="N75" s="60">
        <v>2.1246253012853875E-3</v>
      </c>
      <c r="O75" s="61">
        <v>2.1246253012853875E-3</v>
      </c>
      <c r="P75" s="61">
        <v>5.7191578302244871E-3</v>
      </c>
      <c r="Q75" s="61">
        <v>5.7191578302244871E-3</v>
      </c>
      <c r="R75" s="61">
        <v>1.0776331116457137E-3</v>
      </c>
      <c r="S75" s="61">
        <v>3.6346530186990283E-3</v>
      </c>
      <c r="T75" s="60">
        <v>6.7301059422845057E-3</v>
      </c>
      <c r="U75" s="61">
        <v>6.7301059422845057E-3</v>
      </c>
      <c r="V75" s="61">
        <v>5.7909748245416103E-3</v>
      </c>
      <c r="W75" s="61">
        <v>5.7909748245416103E-3</v>
      </c>
      <c r="X75" s="61">
        <v>5.7909748245416103E-3</v>
      </c>
      <c r="Y75" s="61">
        <v>1.1981304935161055E-3</v>
      </c>
      <c r="Z75" s="61">
        <v>1.1981304935161055E-3</v>
      </c>
      <c r="AA75" s="62">
        <v>9.8256429154744244E-4</v>
      </c>
      <c r="AB75" s="63">
        <v>8.2055361644914407E-3</v>
      </c>
      <c r="AC75" s="63">
        <v>0</v>
      </c>
      <c r="AD75" s="63">
        <v>1.2308682664539875E-3</v>
      </c>
      <c r="AE75" s="64">
        <v>0</v>
      </c>
      <c r="AF75" s="63">
        <v>0</v>
      </c>
      <c r="AG75" s="64">
        <v>0</v>
      </c>
      <c r="AH75" s="43" t="s">
        <v>70</v>
      </c>
    </row>
    <row r="76" spans="1:34">
      <c r="A76" s="37">
        <v>69</v>
      </c>
      <c r="B76" s="37">
        <v>100</v>
      </c>
      <c r="C76" s="57" t="s">
        <v>88</v>
      </c>
      <c r="D76" s="58" t="s">
        <v>72</v>
      </c>
      <c r="E76" s="59">
        <v>4.3534431266031093E-3</v>
      </c>
      <c r="F76" s="60">
        <v>6.0973632014215554E-3</v>
      </c>
      <c r="G76" s="60">
        <v>6.0973632014215554E-3</v>
      </c>
      <c r="H76" s="60">
        <v>4.4219228949811404E-3</v>
      </c>
      <c r="I76" s="60">
        <v>4.4219228949811404E-3</v>
      </c>
      <c r="J76" s="61">
        <v>6.0973632014215554E-3</v>
      </c>
      <c r="K76" s="61">
        <v>5.1476034090950154E-3</v>
      </c>
      <c r="L76" s="61">
        <v>1.5984169673548918E-3</v>
      </c>
      <c r="M76" s="166">
        <v>1.5984169673548918E-3</v>
      </c>
      <c r="N76" s="60">
        <v>2.0097806904050964E-3</v>
      </c>
      <c r="O76" s="61">
        <v>2.0097806904050964E-3</v>
      </c>
      <c r="P76" s="61">
        <v>4.3534431266031093E-3</v>
      </c>
      <c r="Q76" s="61">
        <v>4.3534431266031093E-3</v>
      </c>
      <c r="R76" s="61">
        <v>1.0704867880718763E-3</v>
      </c>
      <c r="S76" s="61">
        <v>2.4672910187131863E-3</v>
      </c>
      <c r="T76" s="60">
        <v>6.7719102635650395E-3</v>
      </c>
      <c r="U76" s="61">
        <v>6.7719102635650395E-3</v>
      </c>
      <c r="V76" s="61">
        <v>4.377242541820224E-3</v>
      </c>
      <c r="W76" s="61">
        <v>4.377242541820224E-3</v>
      </c>
      <c r="X76" s="61">
        <v>4.377242541820224E-3</v>
      </c>
      <c r="Y76" s="61">
        <v>1.2730844496973053E-3</v>
      </c>
      <c r="Z76" s="61">
        <v>1.2730844496973053E-3</v>
      </c>
      <c r="AA76" s="62">
        <v>1.5250542713594808E-4</v>
      </c>
      <c r="AB76" s="63">
        <v>2.2571910063682592E-3</v>
      </c>
      <c r="AC76" s="63">
        <v>0</v>
      </c>
      <c r="AD76" s="63">
        <v>0</v>
      </c>
      <c r="AE76" s="64">
        <v>0</v>
      </c>
      <c r="AF76" s="63">
        <v>0</v>
      </c>
      <c r="AG76" s="64">
        <v>0</v>
      </c>
      <c r="AH76" s="43" t="s">
        <v>73</v>
      </c>
    </row>
    <row r="77" spans="1:34">
      <c r="A77" s="37">
        <v>70</v>
      </c>
      <c r="B77" s="37">
        <v>100</v>
      </c>
      <c r="C77" s="57" t="s">
        <v>88</v>
      </c>
      <c r="D77" s="58" t="s">
        <v>75</v>
      </c>
      <c r="E77" s="67">
        <v>2.4117588466180278E-3</v>
      </c>
      <c r="F77" s="68">
        <v>1.5868499611806821E-3</v>
      </c>
      <c r="G77" s="68">
        <v>1.5868499611806821E-3</v>
      </c>
      <c r="H77" s="68">
        <v>1.8514047056207301E-3</v>
      </c>
      <c r="I77" s="68">
        <v>1.8514047056207301E-3</v>
      </c>
      <c r="J77" s="69">
        <v>1.5868499611806821E-3</v>
      </c>
      <c r="K77" s="69">
        <v>3.1894331060844184E-3</v>
      </c>
      <c r="L77" s="69">
        <v>1.0458516316202867E-3</v>
      </c>
      <c r="M77" s="167">
        <v>1.0458516316202867E-3</v>
      </c>
      <c r="N77" s="68">
        <v>1.4115711033514274E-3</v>
      </c>
      <c r="O77" s="69">
        <v>1.4115711033514274E-3</v>
      </c>
      <c r="P77" s="69">
        <v>2.4117588466180278E-3</v>
      </c>
      <c r="Q77" s="69">
        <v>2.4117588466180278E-3</v>
      </c>
      <c r="R77" s="69">
        <v>6.1945632069581799E-4</v>
      </c>
      <c r="S77" s="69">
        <v>1.3063643108992614E-3</v>
      </c>
      <c r="T77" s="68">
        <v>2.3991197900390146E-3</v>
      </c>
      <c r="U77" s="69">
        <v>2.3991197900390146E-3</v>
      </c>
      <c r="V77" s="69">
        <v>2.3870673267647959E-3</v>
      </c>
      <c r="W77" s="69">
        <v>2.3870673267647959E-3</v>
      </c>
      <c r="X77" s="69">
        <v>2.3870673267647959E-3</v>
      </c>
      <c r="Y77" s="69">
        <v>8.1241026057355845E-4</v>
      </c>
      <c r="Z77" s="69">
        <v>8.1241026057355845E-4</v>
      </c>
      <c r="AA77" s="70">
        <v>1.2969669756429601E-4</v>
      </c>
      <c r="AB77" s="71">
        <v>1.1285955031841296E-3</v>
      </c>
      <c r="AC77" s="71">
        <v>0</v>
      </c>
      <c r="AD77" s="71">
        <v>0</v>
      </c>
      <c r="AE77" s="72">
        <v>0</v>
      </c>
      <c r="AF77" s="71">
        <v>0</v>
      </c>
      <c r="AG77" s="72">
        <v>0</v>
      </c>
      <c r="AH77" s="43">
        <v>0</v>
      </c>
    </row>
    <row r="78" spans="1:34" ht="12.75" customHeight="1">
      <c r="A78" s="37">
        <v>71</v>
      </c>
      <c r="B78" s="37">
        <v>100</v>
      </c>
      <c r="C78" s="73" t="s">
        <v>89</v>
      </c>
      <c r="D78" s="74" t="s">
        <v>65</v>
      </c>
      <c r="E78" s="59">
        <v>7.1767033625967569E-3</v>
      </c>
      <c r="F78" s="60">
        <v>6.1449892287170158E-3</v>
      </c>
      <c r="G78" s="60">
        <v>6.1449892287170158E-3</v>
      </c>
      <c r="H78" s="60">
        <v>8.4984344642867714E-3</v>
      </c>
      <c r="I78" s="60">
        <v>8.4984344642867714E-3</v>
      </c>
      <c r="J78" s="61">
        <v>6.1449892287170158E-3</v>
      </c>
      <c r="K78" s="61">
        <v>5.4243485109596121E-3</v>
      </c>
      <c r="L78" s="61">
        <v>6.9603472622610579E-3</v>
      </c>
      <c r="M78" s="166">
        <v>6.9603472622610579E-3</v>
      </c>
      <c r="N78" s="60">
        <v>1.8002256187798559E-2</v>
      </c>
      <c r="O78" s="61">
        <v>1.8002256187798559E-2</v>
      </c>
      <c r="P78" s="61">
        <v>7.1767033625967569E-3</v>
      </c>
      <c r="Q78" s="61">
        <v>7.1767033625967569E-3</v>
      </c>
      <c r="R78" s="61">
        <v>3.7752078443244862E-3</v>
      </c>
      <c r="S78" s="61">
        <v>1.4620340285379466E-2</v>
      </c>
      <c r="T78" s="60">
        <v>6.4097035917707653E-3</v>
      </c>
      <c r="U78" s="61">
        <v>6.4097035917707653E-3</v>
      </c>
      <c r="V78" s="61">
        <v>4.0249616196295123E-3</v>
      </c>
      <c r="W78" s="61">
        <v>4.0249616196295123E-3</v>
      </c>
      <c r="X78" s="61">
        <v>4.0249616196295123E-3</v>
      </c>
      <c r="Y78" s="61">
        <v>3.2851356109644237E-4</v>
      </c>
      <c r="Z78" s="61">
        <v>3.2851356109644237E-4</v>
      </c>
      <c r="AA78" s="62">
        <v>1.6878459883022524E-3</v>
      </c>
      <c r="AB78" s="63">
        <v>7.7825071220685377E-3</v>
      </c>
      <c r="AC78" s="63">
        <v>4.5549223789619287E-4</v>
      </c>
      <c r="AD78" s="63">
        <v>2.7252520032062764E-2</v>
      </c>
      <c r="AE78" s="64">
        <v>0</v>
      </c>
      <c r="AF78" s="63">
        <v>1.8249955145585896E-2</v>
      </c>
      <c r="AG78" s="64">
        <v>0</v>
      </c>
      <c r="AH78" s="43">
        <v>72</v>
      </c>
    </row>
    <row r="79" spans="1:34">
      <c r="A79" s="37">
        <v>72</v>
      </c>
      <c r="B79" s="37">
        <v>100</v>
      </c>
      <c r="C79" s="57" t="s">
        <v>89</v>
      </c>
      <c r="D79" s="58" t="s">
        <v>67</v>
      </c>
      <c r="E79" s="59">
        <v>1.6720491114581376E-2</v>
      </c>
      <c r="F79" s="60">
        <v>2.6317485772750769E-3</v>
      </c>
      <c r="G79" s="60">
        <v>2.6317485772750769E-3</v>
      </c>
      <c r="H79" s="60">
        <v>5.1627479477632798E-3</v>
      </c>
      <c r="I79" s="60">
        <v>5.1627479477632798E-3</v>
      </c>
      <c r="J79" s="61">
        <v>2.6317485772750769E-3</v>
      </c>
      <c r="K79" s="61">
        <v>8.81393407975028E-3</v>
      </c>
      <c r="L79" s="61">
        <v>8.2320238075915281E-3</v>
      </c>
      <c r="M79" s="166">
        <v>8.2320238075915281E-3</v>
      </c>
      <c r="N79" s="60">
        <v>5.3587367674294867E-2</v>
      </c>
      <c r="O79" s="61">
        <v>5.3587367674294867E-2</v>
      </c>
      <c r="P79" s="61">
        <v>1.6720491114581376E-2</v>
      </c>
      <c r="Q79" s="61">
        <v>1.6720491114581376E-2</v>
      </c>
      <c r="R79" s="61">
        <v>5.9712405952757593E-3</v>
      </c>
      <c r="S79" s="61">
        <v>1.3684005274365463E-2</v>
      </c>
      <c r="T79" s="60">
        <v>1.2029997377728937E-2</v>
      </c>
      <c r="U79" s="61">
        <v>1.2029997377728937E-2</v>
      </c>
      <c r="V79" s="61">
        <v>9.0864881924135887E-3</v>
      </c>
      <c r="W79" s="61">
        <v>9.0864881924135887E-3</v>
      </c>
      <c r="X79" s="61">
        <v>9.0864881924135887E-3</v>
      </c>
      <c r="Y79" s="61">
        <v>1.5881931470938353E-3</v>
      </c>
      <c r="Z79" s="61">
        <v>1.5881931470938353E-3</v>
      </c>
      <c r="AA79" s="62">
        <v>1.4002771037027958E-3</v>
      </c>
      <c r="AB79" s="63">
        <v>3.2405519868481296E-3</v>
      </c>
      <c r="AC79" s="63">
        <v>0</v>
      </c>
      <c r="AD79" s="63">
        <v>1.9543274379835825E-2</v>
      </c>
      <c r="AE79" s="64">
        <v>6.8406172678041148E-4</v>
      </c>
      <c r="AF79" s="63">
        <v>4.1758650532672172E-2</v>
      </c>
      <c r="AG79" s="64">
        <v>0</v>
      </c>
      <c r="AH79" s="43">
        <v>85</v>
      </c>
    </row>
    <row r="80" spans="1:34">
      <c r="A80" s="37">
        <v>73</v>
      </c>
      <c r="B80" s="37">
        <v>100</v>
      </c>
      <c r="C80" s="57" t="s">
        <v>89</v>
      </c>
      <c r="D80" s="58" t="s">
        <v>69</v>
      </c>
      <c r="E80" s="59">
        <v>1.0181143341801625E-2</v>
      </c>
      <c r="F80" s="60">
        <v>2.6699315129516108E-3</v>
      </c>
      <c r="G80" s="60">
        <v>2.6699315129516108E-3</v>
      </c>
      <c r="H80" s="60">
        <v>3.5771454813290368E-3</v>
      </c>
      <c r="I80" s="60">
        <v>3.5771454813290368E-3</v>
      </c>
      <c r="J80" s="61">
        <v>2.6699315129516108E-3</v>
      </c>
      <c r="K80" s="61">
        <v>4.608564646716452E-3</v>
      </c>
      <c r="L80" s="61">
        <v>4.8453558047941219E-3</v>
      </c>
      <c r="M80" s="166">
        <v>4.8453558047941219E-3</v>
      </c>
      <c r="N80" s="60">
        <v>9.2827881364063222E-3</v>
      </c>
      <c r="O80" s="61">
        <v>9.2827881364063222E-3</v>
      </c>
      <c r="P80" s="61">
        <v>1.0181143341801625E-2</v>
      </c>
      <c r="Q80" s="61">
        <v>1.0181143341801625E-2</v>
      </c>
      <c r="R80" s="61">
        <v>1.5856717511676115E-3</v>
      </c>
      <c r="S80" s="61">
        <v>7.2969777937373012E-3</v>
      </c>
      <c r="T80" s="60">
        <v>6.5817931754104447E-3</v>
      </c>
      <c r="U80" s="61">
        <v>6.5817931754104447E-3</v>
      </c>
      <c r="V80" s="61">
        <v>4.6039853645803369E-3</v>
      </c>
      <c r="W80" s="61">
        <v>4.6039853645803369E-3</v>
      </c>
      <c r="X80" s="61">
        <v>4.6039853645803369E-3</v>
      </c>
      <c r="Y80" s="61">
        <v>8.552680642338414E-4</v>
      </c>
      <c r="Z80" s="61">
        <v>8.552680642338414E-4</v>
      </c>
      <c r="AA80" s="62">
        <v>5.1185472538736818E-3</v>
      </c>
      <c r="AB80" s="63">
        <v>2.2292293413420793E-3</v>
      </c>
      <c r="AC80" s="63">
        <v>0</v>
      </c>
      <c r="AD80" s="63">
        <v>2.6671705877228161E-4</v>
      </c>
      <c r="AE80" s="64">
        <v>0</v>
      </c>
      <c r="AF80" s="63">
        <v>6.9298978285018886E-3</v>
      </c>
      <c r="AG80" s="64">
        <v>0</v>
      </c>
      <c r="AH80" s="43" t="s">
        <v>70</v>
      </c>
    </row>
    <row r="81" spans="1:34">
      <c r="A81" s="37">
        <v>74</v>
      </c>
      <c r="B81" s="37">
        <v>100</v>
      </c>
      <c r="C81" s="57" t="s">
        <v>89</v>
      </c>
      <c r="D81" s="58" t="s">
        <v>72</v>
      </c>
      <c r="E81" s="59">
        <v>9.501264287139613E-3</v>
      </c>
      <c r="F81" s="60">
        <v>2.4671103277450757E-3</v>
      </c>
      <c r="G81" s="60">
        <v>2.4671103277450757E-3</v>
      </c>
      <c r="H81" s="60">
        <v>3.8646592895579851E-3</v>
      </c>
      <c r="I81" s="60">
        <v>3.8646592895579851E-3</v>
      </c>
      <c r="J81" s="61">
        <v>2.4671103277450757E-3</v>
      </c>
      <c r="K81" s="61">
        <v>3.2775868983232715E-3</v>
      </c>
      <c r="L81" s="61">
        <v>1.7219149670401482E-3</v>
      </c>
      <c r="M81" s="166">
        <v>1.7219149670401482E-3</v>
      </c>
      <c r="N81" s="60">
        <v>1.4665947555263518E-2</v>
      </c>
      <c r="O81" s="61">
        <v>1.4665947555263518E-2</v>
      </c>
      <c r="P81" s="61">
        <v>9.501264287139613E-3</v>
      </c>
      <c r="Q81" s="61">
        <v>9.501264287139613E-3</v>
      </c>
      <c r="R81" s="61">
        <v>2.0233840700651547E-3</v>
      </c>
      <c r="S81" s="61">
        <v>5.3451536779947116E-3</v>
      </c>
      <c r="T81" s="60">
        <v>7.2146073068691512E-3</v>
      </c>
      <c r="U81" s="61">
        <v>7.2146073068691512E-3</v>
      </c>
      <c r="V81" s="61">
        <v>4.004683806211942E-3</v>
      </c>
      <c r="W81" s="61">
        <v>4.004683806211942E-3</v>
      </c>
      <c r="X81" s="61">
        <v>4.004683806211942E-3</v>
      </c>
      <c r="Y81" s="61">
        <v>1.166789544583916E-3</v>
      </c>
      <c r="Z81" s="61">
        <v>1.166789544583916E-3</v>
      </c>
      <c r="AA81" s="62">
        <v>6.7173944738473318E-4</v>
      </c>
      <c r="AB81" s="63">
        <v>7.2303747714557592E-4</v>
      </c>
      <c r="AC81" s="63">
        <v>0</v>
      </c>
      <c r="AD81" s="63">
        <v>0</v>
      </c>
      <c r="AE81" s="64">
        <v>0</v>
      </c>
      <c r="AF81" s="63">
        <v>1.893927233684332E-3</v>
      </c>
      <c r="AG81" s="64">
        <v>0</v>
      </c>
      <c r="AH81" s="43" t="s">
        <v>73</v>
      </c>
    </row>
    <row r="82" spans="1:34">
      <c r="A82" s="37">
        <v>75</v>
      </c>
      <c r="B82" s="37">
        <v>100</v>
      </c>
      <c r="C82" s="57" t="s">
        <v>89</v>
      </c>
      <c r="D82" s="58" t="s">
        <v>75</v>
      </c>
      <c r="E82" s="67">
        <v>5.2791971569837257E-3</v>
      </c>
      <c r="F82" s="68">
        <v>6.2529689285334509E-4</v>
      </c>
      <c r="G82" s="68">
        <v>6.2529689285334509E-4</v>
      </c>
      <c r="H82" s="68">
        <v>1.6138932988229038E-3</v>
      </c>
      <c r="I82" s="68">
        <v>1.6138932988229038E-3</v>
      </c>
      <c r="J82" s="69">
        <v>6.2529689285334509E-4</v>
      </c>
      <c r="K82" s="69">
        <v>2.0325952259663497E-3</v>
      </c>
      <c r="L82" s="69">
        <v>1.3535380765504117E-3</v>
      </c>
      <c r="M82" s="167">
        <v>1.3535380765504117E-3</v>
      </c>
      <c r="N82" s="68">
        <v>7.9838810500577131E-3</v>
      </c>
      <c r="O82" s="69">
        <v>7.9838810500577131E-3</v>
      </c>
      <c r="P82" s="69">
        <v>5.2791971569837257E-3</v>
      </c>
      <c r="Q82" s="69">
        <v>5.2791971569837257E-3</v>
      </c>
      <c r="R82" s="69">
        <v>9.4380196108112156E-4</v>
      </c>
      <c r="S82" s="69">
        <v>2.7800462182683786E-3</v>
      </c>
      <c r="T82" s="68">
        <v>2.4504738164139359E-3</v>
      </c>
      <c r="U82" s="69">
        <v>2.4504738164139359E-3</v>
      </c>
      <c r="V82" s="69">
        <v>2.144839628303993E-3</v>
      </c>
      <c r="W82" s="69">
        <v>2.144839628303993E-3</v>
      </c>
      <c r="X82" s="69">
        <v>2.144839628303993E-3</v>
      </c>
      <c r="Y82" s="69">
        <v>7.7049646139918477E-4</v>
      </c>
      <c r="Z82" s="69">
        <v>7.7049646139918477E-4</v>
      </c>
      <c r="AA82" s="70">
        <v>6.3774996802305555E-4</v>
      </c>
      <c r="AB82" s="71">
        <v>3.6151873857278796E-4</v>
      </c>
      <c r="AC82" s="71">
        <v>0</v>
      </c>
      <c r="AD82" s="71">
        <v>0</v>
      </c>
      <c r="AE82" s="72">
        <v>0</v>
      </c>
      <c r="AF82" s="71">
        <v>9.4696361684216599E-4</v>
      </c>
      <c r="AG82" s="72">
        <v>0</v>
      </c>
      <c r="AH82" s="43">
        <v>0</v>
      </c>
    </row>
    <row r="83" spans="1:34">
      <c r="A83" s="37">
        <v>76</v>
      </c>
      <c r="B83" s="37">
        <v>100</v>
      </c>
      <c r="C83" s="73" t="s">
        <v>90</v>
      </c>
      <c r="D83" s="74" t="s">
        <v>65</v>
      </c>
      <c r="E83" s="59">
        <v>4.4088725457590537E-3</v>
      </c>
      <c r="F83" s="60">
        <v>9.5633883947688555E-3</v>
      </c>
      <c r="G83" s="60">
        <v>9.5633883947688555E-3</v>
      </c>
      <c r="H83" s="60">
        <v>1.9040388123903317E-2</v>
      </c>
      <c r="I83" s="60">
        <v>1.9040388123903317E-2</v>
      </c>
      <c r="J83" s="61">
        <v>9.5633883947688555E-3</v>
      </c>
      <c r="K83" s="61">
        <v>4.8925354692563655E-3</v>
      </c>
      <c r="L83" s="61">
        <v>4.6484647081530559E-3</v>
      </c>
      <c r="M83" s="166">
        <v>4.6484647081530559E-3</v>
      </c>
      <c r="N83" s="60">
        <v>8.1910374684177317E-3</v>
      </c>
      <c r="O83" s="61">
        <v>8.1910374684177317E-3</v>
      </c>
      <c r="P83" s="61">
        <v>4.4088725457590537E-3</v>
      </c>
      <c r="Q83" s="61">
        <v>4.4088725457590537E-3</v>
      </c>
      <c r="R83" s="61">
        <v>1.9122912217809545E-3</v>
      </c>
      <c r="S83" s="61">
        <v>5.3863395478949833E-3</v>
      </c>
      <c r="T83" s="60">
        <v>3.3763079807177811E-3</v>
      </c>
      <c r="U83" s="61">
        <v>3.3763079807177811E-3</v>
      </c>
      <c r="V83" s="61">
        <v>1.8618719592497059E-3</v>
      </c>
      <c r="W83" s="61">
        <v>1.8618719592497059E-3</v>
      </c>
      <c r="X83" s="61">
        <v>1.8618719592497059E-3</v>
      </c>
      <c r="Y83" s="61">
        <v>4.1857158905219126E-4</v>
      </c>
      <c r="Z83" s="61">
        <v>4.1857158905219126E-4</v>
      </c>
      <c r="AA83" s="62">
        <v>2.6341846505300123E-4</v>
      </c>
      <c r="AB83" s="63">
        <v>8.9698998303161023E-3</v>
      </c>
      <c r="AC83" s="63">
        <v>3.968377956239986E-3</v>
      </c>
      <c r="AD83" s="63">
        <v>1.977375113527633E-3</v>
      </c>
      <c r="AE83" s="64">
        <v>0</v>
      </c>
      <c r="AF83" s="63">
        <v>0</v>
      </c>
      <c r="AG83" s="64">
        <v>0</v>
      </c>
      <c r="AH83" s="43">
        <v>72</v>
      </c>
    </row>
    <row r="84" spans="1:34">
      <c r="A84" s="37">
        <v>77</v>
      </c>
      <c r="B84" s="37">
        <v>100</v>
      </c>
      <c r="C84" s="57" t="s">
        <v>90</v>
      </c>
      <c r="D84" s="58" t="s">
        <v>67</v>
      </c>
      <c r="E84" s="59">
        <v>5.8318367390161226E-3</v>
      </c>
      <c r="F84" s="60">
        <v>3.2098300120337836E-3</v>
      </c>
      <c r="G84" s="60">
        <v>3.2098300120337836E-3</v>
      </c>
      <c r="H84" s="60">
        <v>1.1473577349438492E-2</v>
      </c>
      <c r="I84" s="60">
        <v>1.1473577349438492E-2</v>
      </c>
      <c r="J84" s="61">
        <v>3.2098300120337836E-3</v>
      </c>
      <c r="K84" s="61">
        <v>5.2509312147520316E-3</v>
      </c>
      <c r="L84" s="61">
        <v>5.0888232898879133E-3</v>
      </c>
      <c r="M84" s="166">
        <v>5.0888232898879133E-3</v>
      </c>
      <c r="N84" s="60">
        <v>1.2058684142430578E-2</v>
      </c>
      <c r="O84" s="61">
        <v>1.2058684142430578E-2</v>
      </c>
      <c r="P84" s="61">
        <v>5.8318367390161226E-3</v>
      </c>
      <c r="Q84" s="61">
        <v>5.8318367390161226E-3</v>
      </c>
      <c r="R84" s="61">
        <v>2.4904937654823475E-3</v>
      </c>
      <c r="S84" s="61">
        <v>3.718955346151148E-3</v>
      </c>
      <c r="T84" s="60">
        <v>4.8395566715068086E-3</v>
      </c>
      <c r="U84" s="61">
        <v>4.8395566715068086E-3</v>
      </c>
      <c r="V84" s="61">
        <v>2.0755263751675679E-3</v>
      </c>
      <c r="W84" s="61">
        <v>2.0755263751675679E-3</v>
      </c>
      <c r="X84" s="61">
        <v>2.0755263751675679E-3</v>
      </c>
      <c r="Y84" s="61">
        <v>1.6134924673162051E-3</v>
      </c>
      <c r="Z84" s="61">
        <v>1.6134924673162051E-3</v>
      </c>
      <c r="AA84" s="62">
        <v>1.1739787279526795E-3</v>
      </c>
      <c r="AB84" s="63">
        <v>9.8920921564226989E-4</v>
      </c>
      <c r="AC84" s="63">
        <v>6.930437808817567E-3</v>
      </c>
      <c r="AD84" s="63">
        <v>7.0685373433829364E-3</v>
      </c>
      <c r="AE84" s="64">
        <v>0</v>
      </c>
      <c r="AF84" s="63">
        <v>0</v>
      </c>
      <c r="AG84" s="64">
        <v>0</v>
      </c>
      <c r="AH84" s="43">
        <v>85</v>
      </c>
    </row>
    <row r="85" spans="1:34">
      <c r="A85" s="37">
        <v>78</v>
      </c>
      <c r="B85" s="37">
        <v>100</v>
      </c>
      <c r="C85" s="57" t="s">
        <v>90</v>
      </c>
      <c r="D85" s="58" t="s">
        <v>69</v>
      </c>
      <c r="E85" s="59">
        <v>3.9035547962000899E-3</v>
      </c>
      <c r="F85" s="60">
        <v>3.3986918444123379E-3</v>
      </c>
      <c r="G85" s="60">
        <v>3.3986918444123379E-3</v>
      </c>
      <c r="H85" s="60">
        <v>7.9845939969485375E-3</v>
      </c>
      <c r="I85" s="60">
        <v>7.9845939969485375E-3</v>
      </c>
      <c r="J85" s="61">
        <v>3.3986918444123379E-3</v>
      </c>
      <c r="K85" s="61">
        <v>3.128737052411765E-3</v>
      </c>
      <c r="L85" s="61">
        <v>3.162960197653256E-3</v>
      </c>
      <c r="M85" s="166">
        <v>3.162960197653256E-3</v>
      </c>
      <c r="N85" s="60">
        <v>3.7607975740166243E-3</v>
      </c>
      <c r="O85" s="61">
        <v>3.7607975740166243E-3</v>
      </c>
      <c r="P85" s="61">
        <v>3.9035547962000899E-3</v>
      </c>
      <c r="Q85" s="61">
        <v>3.9035547962000899E-3</v>
      </c>
      <c r="R85" s="61">
        <v>4.903352470321642E-4</v>
      </c>
      <c r="S85" s="61">
        <v>2.0129593913758076E-3</v>
      </c>
      <c r="T85" s="60">
        <v>2.7578184069006555E-3</v>
      </c>
      <c r="U85" s="61">
        <v>2.7578184069006555E-3</v>
      </c>
      <c r="V85" s="61">
        <v>1.2940931835577162E-3</v>
      </c>
      <c r="W85" s="61">
        <v>1.2940931835577162E-3</v>
      </c>
      <c r="X85" s="61">
        <v>1.2940931835577162E-3</v>
      </c>
      <c r="Y85" s="61">
        <v>9.481581056473182E-4</v>
      </c>
      <c r="Z85" s="61">
        <v>9.481581056473182E-4</v>
      </c>
      <c r="AA85" s="62">
        <v>7.1288460661202699E-4</v>
      </c>
      <c r="AB85" s="63">
        <v>2.4438656009105505E-4</v>
      </c>
      <c r="AC85" s="63">
        <v>2.627494633381478E-4</v>
      </c>
      <c r="AD85" s="63">
        <v>2.5700957632293246E-4</v>
      </c>
      <c r="AE85" s="64">
        <v>0</v>
      </c>
      <c r="AF85" s="63">
        <v>4.5624887863964739E-3</v>
      </c>
      <c r="AG85" s="64">
        <v>0</v>
      </c>
      <c r="AH85" s="43" t="s">
        <v>70</v>
      </c>
    </row>
    <row r="86" spans="1:34">
      <c r="A86" s="37">
        <v>79</v>
      </c>
      <c r="B86" s="37">
        <v>100</v>
      </c>
      <c r="C86" s="57" t="s">
        <v>90</v>
      </c>
      <c r="D86" s="58" t="s">
        <v>72</v>
      </c>
      <c r="E86" s="59">
        <v>2.6571374394785199E-3</v>
      </c>
      <c r="F86" s="60">
        <v>2.9294112478717121E-3</v>
      </c>
      <c r="G86" s="60">
        <v>2.9294112478717121E-3</v>
      </c>
      <c r="H86" s="60">
        <v>8.5964654881451538E-3</v>
      </c>
      <c r="I86" s="60">
        <v>8.5964654881451538E-3</v>
      </c>
      <c r="J86" s="61">
        <v>2.9294112478717121E-3</v>
      </c>
      <c r="K86" s="61">
        <v>2.0116406360079337E-3</v>
      </c>
      <c r="L86" s="61">
        <v>1.0493801458970084E-3</v>
      </c>
      <c r="M86" s="166">
        <v>1.0493801458970084E-3</v>
      </c>
      <c r="N86" s="60">
        <v>1.4922530768179611E-3</v>
      </c>
      <c r="O86" s="61">
        <v>1.4922530768179611E-3</v>
      </c>
      <c r="P86" s="61">
        <v>2.6571374394785199E-3</v>
      </c>
      <c r="Q86" s="61">
        <v>2.6571374394785199E-3</v>
      </c>
      <c r="R86" s="61">
        <v>4.2975391309940593E-4</v>
      </c>
      <c r="S86" s="61">
        <v>1.207260811451731E-3</v>
      </c>
      <c r="T86" s="60">
        <v>2.472301713772536E-3</v>
      </c>
      <c r="U86" s="61">
        <v>2.472301713772536E-3</v>
      </c>
      <c r="V86" s="61">
        <v>8.8005710232258374E-4</v>
      </c>
      <c r="W86" s="61">
        <v>8.8005710232258374E-4</v>
      </c>
      <c r="X86" s="61">
        <v>8.8005710232258374E-4</v>
      </c>
      <c r="Y86" s="61">
        <v>1.1567830970332774E-3</v>
      </c>
      <c r="Z86" s="61">
        <v>1.1567830970332774E-3</v>
      </c>
      <c r="AA86" s="62">
        <v>2.0304241618686341E-4</v>
      </c>
      <c r="AB86" s="63">
        <v>1.0040475213521377E-4</v>
      </c>
      <c r="AC86" s="63">
        <v>2.101883516498804E-4</v>
      </c>
      <c r="AD86" s="63">
        <v>0</v>
      </c>
      <c r="AE86" s="64">
        <v>0</v>
      </c>
      <c r="AF86" s="63">
        <v>3.6499910291171792E-3</v>
      </c>
      <c r="AG86" s="64">
        <v>0</v>
      </c>
      <c r="AH86" s="43" t="s">
        <v>73</v>
      </c>
    </row>
    <row r="87" spans="1:34" ht="15.75" thickBot="1">
      <c r="A87" s="37">
        <v>80</v>
      </c>
      <c r="B87" s="37">
        <v>100</v>
      </c>
      <c r="C87" s="75" t="s">
        <v>90</v>
      </c>
      <c r="D87" s="76" t="s">
        <v>75</v>
      </c>
      <c r="E87" s="77">
        <v>1.518931545825569E-3</v>
      </c>
      <c r="F87" s="78">
        <v>8.277075088590569E-4</v>
      </c>
      <c r="G87" s="78">
        <v>8.277075088590569E-4</v>
      </c>
      <c r="H87" s="78">
        <v>3.6435960411256587E-3</v>
      </c>
      <c r="I87" s="78">
        <v>3.6435960411256587E-3</v>
      </c>
      <c r="J87" s="79">
        <v>8.277075088590569E-4</v>
      </c>
      <c r="K87" s="79">
        <v>1.2652236902478062E-3</v>
      </c>
      <c r="L87" s="79">
        <v>8.0661836365856121E-4</v>
      </c>
      <c r="M87" s="168">
        <v>8.0661836365856121E-4</v>
      </c>
      <c r="N87" s="78">
        <v>1.6819647441581888E-3</v>
      </c>
      <c r="O87" s="79">
        <v>1.6819647441581888E-3</v>
      </c>
      <c r="P87" s="79">
        <v>1.518931545825569E-3</v>
      </c>
      <c r="Q87" s="79">
        <v>1.518931545825569E-3</v>
      </c>
      <c r="R87" s="79">
        <v>2.7821937004508026E-4</v>
      </c>
      <c r="S87" s="79">
        <v>6.6026097683873986E-4</v>
      </c>
      <c r="T87" s="78">
        <v>9.2066952787524801E-4</v>
      </c>
      <c r="U87" s="79">
        <v>9.2066952787524801E-4</v>
      </c>
      <c r="V87" s="79">
        <v>5.1339736698123085E-4</v>
      </c>
      <c r="W87" s="79">
        <v>5.1339736698123085E-4</v>
      </c>
      <c r="X87" s="79">
        <v>5.1339736698123085E-4</v>
      </c>
      <c r="Y87" s="79">
        <v>7.6332202730627387E-4</v>
      </c>
      <c r="Z87" s="79">
        <v>7.6332202730627387E-4</v>
      </c>
      <c r="AA87" s="80">
        <v>2.7191583489342063E-4</v>
      </c>
      <c r="AB87" s="81">
        <v>5.0202376067606883E-5</v>
      </c>
      <c r="AC87" s="81">
        <v>1.050941758249402E-4</v>
      </c>
      <c r="AD87" s="81">
        <v>0</v>
      </c>
      <c r="AE87" s="82">
        <v>0</v>
      </c>
      <c r="AF87" s="81">
        <v>1.8249955145585896E-3</v>
      </c>
      <c r="AG87" s="82">
        <v>0</v>
      </c>
      <c r="AH87" s="43">
        <v>0</v>
      </c>
    </row>
    <row r="98" spans="1:2">
      <c r="A98" s="10"/>
      <c r="B98" s="10"/>
    </row>
    <row r="99" spans="1:2">
      <c r="A99" s="10"/>
      <c r="B99" s="10"/>
    </row>
    <row r="100" spans="1:2">
      <c r="A100" s="10"/>
      <c r="B100" s="10"/>
    </row>
    <row r="101" spans="1:2">
      <c r="A101" s="10"/>
      <c r="B101" s="10"/>
    </row>
    <row r="102" spans="1:2">
      <c r="A102" s="10"/>
      <c r="B102" s="10"/>
    </row>
    <row r="103" spans="1:2">
      <c r="A103" s="10"/>
      <c r="B103" s="10"/>
    </row>
    <row r="104" spans="1:2">
      <c r="A104" s="10"/>
      <c r="B104" s="10"/>
    </row>
    <row r="105" spans="1:2">
      <c r="A105" s="10"/>
      <c r="B105" s="10"/>
    </row>
    <row r="106" spans="1:2">
      <c r="A106" s="10"/>
      <c r="B106" s="10"/>
    </row>
    <row r="107" spans="1:2">
      <c r="A107" s="10"/>
      <c r="B107" s="10"/>
    </row>
    <row r="108" spans="1:2">
      <c r="A108" s="10"/>
      <c r="B108" s="10"/>
    </row>
    <row r="109" spans="1:2">
      <c r="A109" s="10"/>
      <c r="B109" s="10"/>
    </row>
    <row r="110" spans="1:2">
      <c r="A110" s="10"/>
      <c r="B110" s="10"/>
    </row>
    <row r="111" spans="1:2">
      <c r="A111" s="10"/>
      <c r="B111" s="10"/>
    </row>
    <row r="112" spans="1:2">
      <c r="A112" s="10"/>
      <c r="B112" s="10"/>
    </row>
    <row r="113" spans="1:2">
      <c r="A113" s="10"/>
      <c r="B113" s="10"/>
    </row>
    <row r="114" spans="1:2">
      <c r="A114" s="10"/>
      <c r="B114" s="10"/>
    </row>
    <row r="115" spans="1:2">
      <c r="A115" s="10"/>
      <c r="B115" s="10"/>
    </row>
    <row r="116" spans="1:2">
      <c r="A116" s="10"/>
      <c r="B116" s="10"/>
    </row>
    <row r="117" spans="1:2">
      <c r="A117" s="10"/>
      <c r="B117" s="10"/>
    </row>
    <row r="118" spans="1:2">
      <c r="A118" s="10"/>
      <c r="B118" s="10"/>
    </row>
    <row r="119" spans="1:2">
      <c r="A119" s="10"/>
      <c r="B119" s="10"/>
    </row>
    <row r="120" spans="1:2">
      <c r="A120" s="10"/>
      <c r="B120" s="10"/>
    </row>
    <row r="121" spans="1:2">
      <c r="A121" s="10"/>
      <c r="B121" s="10"/>
    </row>
    <row r="122" spans="1:2">
      <c r="A122" s="10"/>
      <c r="B122" s="10"/>
    </row>
    <row r="123" spans="1:2">
      <c r="A123" s="10"/>
      <c r="B123" s="10"/>
    </row>
    <row r="124" spans="1:2">
      <c r="A124" s="10"/>
      <c r="B124" s="10"/>
    </row>
    <row r="125" spans="1:2">
      <c r="A125" s="10"/>
      <c r="B125" s="10"/>
    </row>
    <row r="126" spans="1:2">
      <c r="A126" s="10"/>
      <c r="B126" s="10"/>
    </row>
    <row r="127" spans="1:2">
      <c r="A127" s="10"/>
      <c r="B127" s="10"/>
    </row>
    <row r="128" spans="1:2">
      <c r="A128" s="10"/>
      <c r="B128" s="10"/>
    </row>
    <row r="129" spans="1:2">
      <c r="A129" s="10"/>
      <c r="B129" s="10"/>
    </row>
    <row r="130" spans="1:2">
      <c r="A130" s="10"/>
      <c r="B130" s="10"/>
    </row>
    <row r="131" spans="1:2">
      <c r="A131" s="10"/>
      <c r="B131" s="10"/>
    </row>
    <row r="132" spans="1:2">
      <c r="A132" s="10"/>
      <c r="B132" s="10"/>
    </row>
    <row r="133" spans="1:2">
      <c r="A133" s="10"/>
      <c r="B133" s="10"/>
    </row>
    <row r="134" spans="1:2">
      <c r="A134" s="10"/>
      <c r="B134" s="10"/>
    </row>
    <row r="135" spans="1:2">
      <c r="A135" s="10"/>
      <c r="B135" s="10"/>
    </row>
    <row r="136" spans="1:2">
      <c r="A136" s="10"/>
      <c r="B136" s="10"/>
    </row>
    <row r="137" spans="1:2">
      <c r="A137" s="10"/>
      <c r="B137" s="10"/>
    </row>
    <row r="138" spans="1:2">
      <c r="A138" s="10"/>
      <c r="B138" s="10"/>
    </row>
    <row r="139" spans="1:2">
      <c r="A139" s="10"/>
      <c r="B139" s="10"/>
    </row>
    <row r="140" spans="1:2">
      <c r="A140" s="10"/>
      <c r="B140" s="10"/>
    </row>
    <row r="141" spans="1:2">
      <c r="A141" s="10"/>
      <c r="B141" s="10"/>
    </row>
    <row r="142" spans="1:2">
      <c r="A142" s="10"/>
      <c r="B142" s="10"/>
    </row>
    <row r="143" spans="1:2">
      <c r="A143" s="10"/>
      <c r="B143" s="10"/>
    </row>
    <row r="144" spans="1:2">
      <c r="A144" s="10"/>
      <c r="B144" s="10"/>
    </row>
    <row r="145" spans="1:2">
      <c r="A145" s="10"/>
      <c r="B145" s="10"/>
    </row>
    <row r="146" spans="1:2">
      <c r="A146" s="10"/>
      <c r="B146" s="10"/>
    </row>
    <row r="147" spans="1:2">
      <c r="A147" s="10"/>
      <c r="B147" s="10"/>
    </row>
    <row r="148" spans="1:2">
      <c r="A148" s="10"/>
      <c r="B148" s="10"/>
    </row>
    <row r="149" spans="1:2">
      <c r="A149" s="10"/>
      <c r="B149" s="10"/>
    </row>
    <row r="150" spans="1:2">
      <c r="A150" s="10"/>
      <c r="B150" s="10"/>
    </row>
    <row r="151" spans="1:2">
      <c r="A151" s="10"/>
      <c r="B151" s="10"/>
    </row>
    <row r="152" spans="1:2">
      <c r="A152" s="10"/>
      <c r="B152" s="10"/>
    </row>
    <row r="153" spans="1:2">
      <c r="A153" s="10"/>
      <c r="B153" s="10"/>
    </row>
    <row r="154" spans="1:2">
      <c r="A154" s="10"/>
      <c r="B154" s="10"/>
    </row>
    <row r="155" spans="1:2">
      <c r="A155" s="10"/>
      <c r="B155" s="10"/>
    </row>
    <row r="156" spans="1:2">
      <c r="A156" s="10"/>
      <c r="B156" s="10"/>
    </row>
    <row r="157" spans="1:2">
      <c r="A157" s="10"/>
      <c r="B157" s="10"/>
    </row>
    <row r="158" spans="1:2">
      <c r="A158" s="10"/>
      <c r="B158" s="10"/>
    </row>
    <row r="159" spans="1:2">
      <c r="A159" s="10"/>
      <c r="B159" s="10"/>
    </row>
    <row r="160" spans="1:2">
      <c r="A160" s="10"/>
      <c r="B160" s="10"/>
    </row>
    <row r="161" spans="1:2">
      <c r="A161" s="10"/>
      <c r="B161" s="10"/>
    </row>
    <row r="162" spans="1:2">
      <c r="A162" s="10"/>
      <c r="B162" s="10"/>
    </row>
    <row r="163" spans="1:2">
      <c r="A163" s="10"/>
      <c r="B163" s="10"/>
    </row>
    <row r="164" spans="1:2">
      <c r="A164" s="10"/>
      <c r="B164" s="10"/>
    </row>
    <row r="165" spans="1:2">
      <c r="A165" s="10"/>
      <c r="B165" s="10"/>
    </row>
    <row r="166" spans="1:2">
      <c r="A166" s="10"/>
      <c r="B166" s="10"/>
    </row>
    <row r="167" spans="1:2">
      <c r="A167" s="10"/>
      <c r="B167" s="10"/>
    </row>
    <row r="168" spans="1:2">
      <c r="A168" s="10"/>
      <c r="B168" s="10"/>
    </row>
    <row r="169" spans="1:2">
      <c r="A169" s="10"/>
      <c r="B169" s="10"/>
    </row>
    <row r="170" spans="1:2">
      <c r="A170" s="10"/>
      <c r="B170" s="10"/>
    </row>
    <row r="171" spans="1:2">
      <c r="A171" s="10"/>
      <c r="B171" s="10"/>
    </row>
    <row r="172" spans="1:2">
      <c r="A172" s="10"/>
      <c r="B172" s="10"/>
    </row>
    <row r="173" spans="1:2">
      <c r="A173" s="10"/>
      <c r="B173" s="10"/>
    </row>
    <row r="174" spans="1:2">
      <c r="A174" s="10"/>
      <c r="B174" s="10"/>
    </row>
    <row r="175" spans="1:2">
      <c r="A175" s="10"/>
      <c r="B175" s="10"/>
    </row>
    <row r="176" spans="1:2">
      <c r="A176" s="10"/>
      <c r="B176" s="10"/>
    </row>
    <row r="177" spans="1:2">
      <c r="A177" s="10"/>
      <c r="B177" s="10"/>
    </row>
    <row r="178" spans="1:2">
      <c r="A178" s="10"/>
      <c r="B178" s="10"/>
    </row>
    <row r="179" spans="1:2">
      <c r="A179" s="10"/>
      <c r="B179" s="10"/>
    </row>
    <row r="180" spans="1:2">
      <c r="A180" s="10"/>
      <c r="B180" s="10"/>
    </row>
    <row r="181" spans="1:2">
      <c r="A181" s="10"/>
      <c r="B181" s="10"/>
    </row>
    <row r="182" spans="1:2">
      <c r="A182" s="10"/>
      <c r="B182" s="10"/>
    </row>
    <row r="183" spans="1:2">
      <c r="A183" s="10"/>
      <c r="B183" s="10"/>
    </row>
    <row r="184" spans="1:2">
      <c r="A184" s="10"/>
      <c r="B184" s="10"/>
    </row>
    <row r="185" spans="1:2">
      <c r="A185" s="10"/>
      <c r="B185" s="10"/>
    </row>
    <row r="186" spans="1:2">
      <c r="A186" s="10"/>
      <c r="B186" s="10"/>
    </row>
    <row r="187" spans="1:2">
      <c r="A187" s="10"/>
      <c r="B187" s="10"/>
    </row>
    <row r="188" spans="1:2">
      <c r="A188" s="10"/>
      <c r="B188" s="10"/>
    </row>
    <row r="189" spans="1:2">
      <c r="A189" s="10"/>
      <c r="B189" s="10"/>
    </row>
    <row r="190" spans="1:2">
      <c r="A190" s="10"/>
      <c r="B190" s="10"/>
    </row>
    <row r="191" spans="1:2">
      <c r="A191" s="10"/>
      <c r="B191" s="10"/>
    </row>
    <row r="192" spans="1:2">
      <c r="A192" s="10"/>
      <c r="B192" s="10"/>
    </row>
    <row r="193" spans="1:2">
      <c r="A193" s="10"/>
      <c r="B193" s="10"/>
    </row>
    <row r="194" spans="1:2">
      <c r="A194" s="10"/>
      <c r="B194" s="10"/>
    </row>
    <row r="195" spans="1:2">
      <c r="A195" s="10"/>
      <c r="B195" s="10"/>
    </row>
    <row r="196" spans="1:2">
      <c r="A196" s="10"/>
      <c r="B196" s="10"/>
    </row>
    <row r="197" spans="1:2">
      <c r="A197" s="10"/>
      <c r="B197" s="10"/>
    </row>
    <row r="198" spans="1:2">
      <c r="A198" s="10"/>
      <c r="B198" s="10"/>
    </row>
    <row r="199" spans="1:2">
      <c r="A199" s="10"/>
      <c r="B199" s="10"/>
    </row>
    <row r="200" spans="1:2">
      <c r="A200" s="10"/>
      <c r="B200" s="10"/>
    </row>
    <row r="201" spans="1:2">
      <c r="A201" s="10"/>
      <c r="B201" s="10"/>
    </row>
    <row r="202" spans="1:2">
      <c r="A202" s="10"/>
      <c r="B202" s="10"/>
    </row>
    <row r="203" spans="1:2">
      <c r="A203" s="10"/>
      <c r="B203" s="10"/>
    </row>
    <row r="204" spans="1:2">
      <c r="A204" s="10"/>
      <c r="B204" s="10"/>
    </row>
    <row r="205" spans="1:2">
      <c r="A205" s="10"/>
      <c r="B205" s="10"/>
    </row>
    <row r="206" spans="1:2">
      <c r="A206" s="10"/>
      <c r="B206" s="10"/>
    </row>
    <row r="207" spans="1:2">
      <c r="A207" s="10"/>
      <c r="B207" s="10"/>
    </row>
    <row r="208" spans="1:2">
      <c r="A208" s="10"/>
      <c r="B208" s="10"/>
    </row>
    <row r="209" spans="1:2">
      <c r="A209" s="10"/>
      <c r="B209" s="10"/>
    </row>
    <row r="210" spans="1:2">
      <c r="A210" s="10"/>
      <c r="B210" s="10"/>
    </row>
    <row r="211" spans="1:2">
      <c r="A211" s="10"/>
      <c r="B211" s="10"/>
    </row>
    <row r="212" spans="1:2">
      <c r="A212" s="10"/>
      <c r="B212" s="10"/>
    </row>
    <row r="213" spans="1:2">
      <c r="A213" s="10"/>
      <c r="B213" s="10"/>
    </row>
    <row r="214" spans="1:2">
      <c r="A214" s="10"/>
      <c r="B214" s="10"/>
    </row>
    <row r="215" spans="1:2">
      <c r="A215" s="10"/>
      <c r="B215" s="10"/>
    </row>
    <row r="216" spans="1:2">
      <c r="A216" s="10"/>
      <c r="B216" s="10"/>
    </row>
    <row r="217" spans="1:2">
      <c r="A217" s="10"/>
      <c r="B217" s="10"/>
    </row>
    <row r="218" spans="1:2">
      <c r="A218" s="10"/>
      <c r="B218" s="10"/>
    </row>
    <row r="219" spans="1:2">
      <c r="A219" s="10"/>
      <c r="B219" s="10"/>
    </row>
    <row r="220" spans="1:2">
      <c r="A220" s="10"/>
      <c r="B220" s="10"/>
    </row>
    <row r="221" spans="1:2">
      <c r="A221" s="10"/>
      <c r="B221" s="10"/>
    </row>
    <row r="222" spans="1:2">
      <c r="A222" s="10"/>
      <c r="B222" s="10"/>
    </row>
    <row r="223" spans="1:2">
      <c r="A223" s="10"/>
      <c r="B223" s="10"/>
    </row>
    <row r="224" spans="1:2">
      <c r="A224" s="10"/>
      <c r="B224" s="10"/>
    </row>
    <row r="225" spans="1:2">
      <c r="A225" s="10"/>
      <c r="B225" s="10"/>
    </row>
    <row r="226" spans="1:2">
      <c r="A226" s="10"/>
      <c r="B226" s="10"/>
    </row>
    <row r="227" spans="1:2">
      <c r="A227" s="10"/>
      <c r="B227" s="10"/>
    </row>
    <row r="228" spans="1:2">
      <c r="A228" s="10"/>
      <c r="B228" s="10"/>
    </row>
    <row r="229" spans="1:2">
      <c r="A229" s="10"/>
      <c r="B229" s="10"/>
    </row>
    <row r="230" spans="1:2">
      <c r="A230" s="10"/>
      <c r="B230" s="10"/>
    </row>
    <row r="231" spans="1:2">
      <c r="A231" s="10"/>
      <c r="B231" s="10"/>
    </row>
    <row r="232" spans="1:2">
      <c r="A232" s="10"/>
      <c r="B232" s="10"/>
    </row>
    <row r="233" spans="1:2">
      <c r="A233" s="10"/>
      <c r="B233" s="10"/>
    </row>
    <row r="234" spans="1:2">
      <c r="A234" s="10"/>
      <c r="B234" s="10"/>
    </row>
    <row r="235" spans="1:2">
      <c r="A235" s="10"/>
      <c r="B235" s="10"/>
    </row>
    <row r="236" spans="1:2">
      <c r="A236" s="10"/>
      <c r="B236" s="10"/>
    </row>
    <row r="237" spans="1:2">
      <c r="A237" s="10"/>
      <c r="B237" s="10"/>
    </row>
    <row r="238" spans="1:2">
      <c r="A238" s="10"/>
      <c r="B238" s="10"/>
    </row>
    <row r="239" spans="1:2">
      <c r="A239" s="10"/>
      <c r="B239" s="10"/>
    </row>
    <row r="240" spans="1:2">
      <c r="A240" s="10"/>
      <c r="B240" s="10"/>
    </row>
    <row r="241" spans="1:2">
      <c r="A241" s="10"/>
      <c r="B241" s="10"/>
    </row>
    <row r="242" spans="1:2">
      <c r="A242" s="10"/>
      <c r="B242" s="10"/>
    </row>
    <row r="243" spans="1:2">
      <c r="A243" s="10"/>
      <c r="B243" s="10"/>
    </row>
    <row r="244" spans="1:2">
      <c r="A244" s="10"/>
      <c r="B244" s="10"/>
    </row>
    <row r="245" spans="1:2">
      <c r="A245" s="10"/>
      <c r="B245" s="10"/>
    </row>
    <row r="246" spans="1:2">
      <c r="A246" s="10"/>
      <c r="B246" s="10"/>
    </row>
    <row r="247" spans="1:2">
      <c r="A247" s="10"/>
      <c r="B247" s="10"/>
    </row>
    <row r="248" spans="1:2">
      <c r="A248" s="10"/>
      <c r="B248" s="10"/>
    </row>
    <row r="249" spans="1:2">
      <c r="A249" s="10"/>
      <c r="B249" s="10"/>
    </row>
    <row r="250" spans="1:2">
      <c r="A250" s="10"/>
      <c r="B250" s="10"/>
    </row>
    <row r="251" spans="1:2">
      <c r="A251" s="10"/>
      <c r="B251" s="10"/>
    </row>
    <row r="252" spans="1:2">
      <c r="A252" s="10"/>
      <c r="B252" s="10"/>
    </row>
    <row r="253" spans="1:2">
      <c r="A253" s="10"/>
      <c r="B253" s="10"/>
    </row>
    <row r="254" spans="1:2">
      <c r="A254" s="10"/>
      <c r="B254" s="10"/>
    </row>
    <row r="255" spans="1:2">
      <c r="A255" s="10"/>
      <c r="B255" s="10"/>
    </row>
    <row r="256" spans="1:2">
      <c r="A256" s="10"/>
      <c r="B256" s="10"/>
    </row>
    <row r="257" spans="1:2">
      <c r="A257" s="10"/>
      <c r="B257" s="10"/>
    </row>
    <row r="258" spans="1:2">
      <c r="A258" s="10"/>
      <c r="B258" s="10"/>
    </row>
    <row r="259" spans="1:2">
      <c r="A259" s="10"/>
      <c r="B259" s="10"/>
    </row>
    <row r="260" spans="1:2">
      <c r="A260" s="10"/>
      <c r="B260" s="10"/>
    </row>
    <row r="261" spans="1:2">
      <c r="A261" s="10"/>
      <c r="B261" s="10"/>
    </row>
  </sheetData>
  <conditionalFormatting sqref="E43:AA57 E28:AA37 AB23:AG57 E68:AG87">
    <cfRule type="cellIs" dxfId="0" priority="1" stopIfTrue="1" operator="equal">
      <formula>0</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68"/>
  <sheetViews>
    <sheetView topLeftCell="A37" zoomScale="90" zoomScaleNormal="90" workbookViewId="0">
      <selection activeCell="F65" sqref="F65"/>
    </sheetView>
  </sheetViews>
  <sheetFormatPr defaultRowHeight="15"/>
  <cols>
    <col min="1" max="1" width="5.28515625" style="10" customWidth="1"/>
    <col min="2" max="2" width="5.140625" style="10" customWidth="1"/>
    <col min="3" max="3" width="59.28515625" style="10" customWidth="1"/>
    <col min="4" max="4" width="14.28515625" style="10" customWidth="1"/>
    <col min="5" max="5" width="15.28515625" style="10" customWidth="1"/>
    <col min="6" max="6" width="14.28515625" style="10" customWidth="1"/>
    <col min="7" max="8" width="10.5703125" style="10" customWidth="1"/>
    <col min="9" max="9" width="10.7109375" style="10" customWidth="1"/>
    <col min="10" max="16384" width="9.140625" style="10"/>
  </cols>
  <sheetData>
    <row r="1" spans="1:14" ht="9.4" customHeight="1"/>
    <row r="2" spans="1:14" ht="18.75">
      <c r="A2" s="10" t="s">
        <v>100</v>
      </c>
      <c r="D2" s="88" t="s">
        <v>1</v>
      </c>
      <c r="E2" s="88" t="s">
        <v>146</v>
      </c>
      <c r="L2" s="149" t="s">
        <v>171</v>
      </c>
      <c r="M2" s="139"/>
      <c r="N2" s="139"/>
    </row>
    <row r="3" spans="1:14">
      <c r="C3" s="87" t="s">
        <v>2</v>
      </c>
      <c r="D3" s="133">
        <v>0.77200000000000002</v>
      </c>
      <c r="L3" s="6" t="s">
        <v>122</v>
      </c>
    </row>
    <row r="4" spans="1:14" s="12" customFormat="1">
      <c r="C4" s="87" t="s">
        <v>7</v>
      </c>
      <c r="D4" s="8">
        <f>2*0.4+1*0.6</f>
        <v>1.4</v>
      </c>
      <c r="E4" s="7" t="s">
        <v>4</v>
      </c>
      <c r="L4" s="6" t="s">
        <v>135</v>
      </c>
    </row>
    <row r="5" spans="1:14">
      <c r="C5" s="87" t="s">
        <v>8</v>
      </c>
      <c r="D5" s="10">
        <v>365</v>
      </c>
      <c r="E5" s="10" t="s">
        <v>3</v>
      </c>
    </row>
    <row r="6" spans="1:14">
      <c r="C6" s="87" t="s">
        <v>163</v>
      </c>
      <c r="D6" s="110">
        <v>2.25</v>
      </c>
      <c r="E6" s="9" t="s">
        <v>94</v>
      </c>
      <c r="L6" s="134" t="s">
        <v>172</v>
      </c>
    </row>
    <row r="7" spans="1:14">
      <c r="C7" s="87" t="s">
        <v>164</v>
      </c>
      <c r="D7" s="169">
        <v>1.5</v>
      </c>
      <c r="E7" s="9" t="s">
        <v>94</v>
      </c>
    </row>
    <row r="8" spans="1:14" ht="17.25">
      <c r="C8" s="87" t="s">
        <v>161</v>
      </c>
      <c r="D8" s="10">
        <v>104</v>
      </c>
      <c r="E8" s="4" t="s">
        <v>95</v>
      </c>
      <c r="L8" s="10" t="s">
        <v>123</v>
      </c>
    </row>
    <row r="9" spans="1:14" ht="17.25">
      <c r="C9" s="87" t="s">
        <v>181</v>
      </c>
      <c r="D9" s="113">
        <f>'Water Temperatures'!D19</f>
        <v>63.258539120881032</v>
      </c>
      <c r="E9" s="4" t="s">
        <v>95</v>
      </c>
      <c r="L9" s="10" t="s">
        <v>92</v>
      </c>
    </row>
    <row r="10" spans="1:14" ht="17.25">
      <c r="C10" s="87" t="s">
        <v>160</v>
      </c>
      <c r="D10" s="113">
        <f>'Water Temperatures'!E19</f>
        <v>63.89620511247503</v>
      </c>
      <c r="E10" s="4" t="s">
        <v>95</v>
      </c>
      <c r="L10" s="10" t="s">
        <v>92</v>
      </c>
    </row>
    <row r="11" spans="1:14">
      <c r="C11" s="87" t="s">
        <v>162</v>
      </c>
      <c r="D11" s="10">
        <v>8.33</v>
      </c>
      <c r="E11" s="4" t="s">
        <v>93</v>
      </c>
    </row>
    <row r="12" spans="1:14" ht="17.25">
      <c r="C12" s="87" t="s">
        <v>166</v>
      </c>
      <c r="D12" s="10">
        <v>1</v>
      </c>
      <c r="E12" s="4" t="s">
        <v>97</v>
      </c>
    </row>
    <row r="13" spans="1:14">
      <c r="C13" s="87" t="s">
        <v>165</v>
      </c>
      <c r="D13" s="10">
        <v>0.78</v>
      </c>
      <c r="E13" s="4"/>
    </row>
    <row r="14" spans="1:14">
      <c r="C14" s="87" t="s">
        <v>182</v>
      </c>
      <c r="D14" s="111">
        <f>($D$8-D9)*$D$11/$D$13/100000</f>
        <v>4.3509790913212948E-3</v>
      </c>
      <c r="E14" s="4" t="s">
        <v>142</v>
      </c>
    </row>
    <row r="15" spans="1:14">
      <c r="C15" s="87" t="s">
        <v>125</v>
      </c>
      <c r="D15" s="10">
        <f>($D$8-D10)*$D$11/$D$13/100000</f>
        <v>4.282879633501064E-3</v>
      </c>
      <c r="E15" s="4" t="s">
        <v>142</v>
      </c>
    </row>
    <row r="16" spans="1:14">
      <c r="C16" s="5"/>
      <c r="E16" s="4"/>
    </row>
    <row r="17" spans="1:12">
      <c r="C17" s="5"/>
      <c r="E17" s="4"/>
    </row>
    <row r="18" spans="1:12" ht="48" customHeight="1">
      <c r="A18" s="10" t="s">
        <v>177</v>
      </c>
      <c r="D18" s="87" t="s">
        <v>102</v>
      </c>
      <c r="E18" s="87" t="s">
        <v>138</v>
      </c>
      <c r="F18" s="87" t="s">
        <v>103</v>
      </c>
      <c r="G18" s="87" t="s">
        <v>104</v>
      </c>
      <c r="H18" s="87" t="s">
        <v>137</v>
      </c>
      <c r="I18" s="88" t="s">
        <v>154</v>
      </c>
      <c r="J18" s="87" t="s">
        <v>146</v>
      </c>
    </row>
    <row r="19" spans="1:12">
      <c r="C19" s="87" t="s">
        <v>139</v>
      </c>
      <c r="D19" s="86">
        <f>1510*1000</f>
        <v>1510000</v>
      </c>
      <c r="E19" s="86">
        <v>4803000</v>
      </c>
      <c r="F19" s="86">
        <f>1921*1000</f>
        <v>1921000</v>
      </c>
      <c r="G19" s="86">
        <f>1842*1000</f>
        <v>1842000</v>
      </c>
      <c r="H19" s="86">
        <f>1655*1000</f>
        <v>1655000</v>
      </c>
      <c r="I19" s="86">
        <f>SUM(D19:H19)</f>
        <v>11731000</v>
      </c>
      <c r="J19" s="86" t="s">
        <v>6</v>
      </c>
      <c r="L19" s="10" t="s">
        <v>132</v>
      </c>
    </row>
    <row r="20" spans="1:12">
      <c r="C20" s="87" t="s">
        <v>133</v>
      </c>
      <c r="D20" s="10">
        <v>148</v>
      </c>
      <c r="E20" s="1">
        <v>297</v>
      </c>
      <c r="F20" s="10">
        <v>140</v>
      </c>
      <c r="G20" s="10">
        <v>168</v>
      </c>
      <c r="H20" s="10">
        <v>208</v>
      </c>
      <c r="I20" s="86">
        <f>SUM(D20:H20)</f>
        <v>961</v>
      </c>
      <c r="J20" s="86"/>
      <c r="L20" s="10" t="s">
        <v>159</v>
      </c>
    </row>
    <row r="21" spans="1:12">
      <c r="C21" s="87" t="s">
        <v>105</v>
      </c>
      <c r="D21" s="10">
        <v>0.9</v>
      </c>
      <c r="E21" s="1">
        <v>0.7</v>
      </c>
      <c r="F21" s="10">
        <v>0.8</v>
      </c>
      <c r="G21" s="10">
        <v>0.9</v>
      </c>
      <c r="H21" s="10">
        <v>0.9</v>
      </c>
      <c r="I21" s="112">
        <f>SUMPRODUCT(D21:H21,D20:H20)/I20</f>
        <v>0.82362122788761716</v>
      </c>
      <c r="J21" s="86"/>
      <c r="L21" s="10" t="s">
        <v>136</v>
      </c>
    </row>
    <row r="22" spans="1:12">
      <c r="C22" s="87" t="s">
        <v>129</v>
      </c>
      <c r="D22" s="10">
        <v>2</v>
      </c>
      <c r="E22" s="10">
        <v>1.2</v>
      </c>
      <c r="F22" s="10">
        <v>1.3</v>
      </c>
      <c r="G22" s="10">
        <v>2</v>
      </c>
      <c r="H22" s="10">
        <v>3</v>
      </c>
      <c r="I22" s="112">
        <f>SUMPRODUCT(D22:H22,D20:H20)/I20</f>
        <v>1.8672216441207077</v>
      </c>
      <c r="J22" s="86"/>
      <c r="L22" s="10" t="s">
        <v>136</v>
      </c>
    </row>
    <row r="23" spans="1:12">
      <c r="C23" s="87" t="s">
        <v>140</v>
      </c>
      <c r="D23" s="105">
        <f>D19/D20</f>
        <v>10202.702702702703</v>
      </c>
      <c r="E23" s="105">
        <f>E19/E20</f>
        <v>16171.717171717171</v>
      </c>
      <c r="F23" s="105">
        <f t="shared" ref="F23:H23" si="0">F19/F20</f>
        <v>13721.428571428571</v>
      </c>
      <c r="G23" s="10">
        <f t="shared" si="0"/>
        <v>10964.285714285714</v>
      </c>
      <c r="H23" s="105">
        <f t="shared" si="0"/>
        <v>7956.7307692307695</v>
      </c>
      <c r="I23" s="105">
        <f>I19/I20</f>
        <v>12207.075962539022</v>
      </c>
      <c r="J23" s="4" t="s">
        <v>6</v>
      </c>
      <c r="L23" s="10" t="s">
        <v>131</v>
      </c>
    </row>
    <row r="24" spans="1:12">
      <c r="C24" s="87" t="s">
        <v>155</v>
      </c>
      <c r="D24" s="105">
        <f>D19/D20/D21/D22</f>
        <v>5668.1681681681684</v>
      </c>
      <c r="E24" s="105">
        <f>E19/E20/E21/E22</f>
        <v>19252.044252044252</v>
      </c>
      <c r="F24" s="105">
        <f t="shared" ref="F24:H24" si="1">F19/F20/F21/F22</f>
        <v>13193.681318681318</v>
      </c>
      <c r="G24" s="10">
        <f t="shared" si="1"/>
        <v>6091.269841269841</v>
      </c>
      <c r="H24" s="105">
        <f t="shared" si="1"/>
        <v>2946.9373219373224</v>
      </c>
      <c r="I24" s="105">
        <f>I23/I21/I22</f>
        <v>7937.5823260348952</v>
      </c>
      <c r="J24" s="4" t="s">
        <v>6</v>
      </c>
    </row>
    <row r="25" spans="1:12" ht="30">
      <c r="C25" s="88" t="s">
        <v>156</v>
      </c>
      <c r="I25" s="107">
        <f>I24*$D$3*$D$4*$D$6/2.25</f>
        <v>8578.9389779785142</v>
      </c>
      <c r="J25" s="132" t="s">
        <v>6</v>
      </c>
      <c r="L25" s="10" t="s">
        <v>130</v>
      </c>
    </row>
    <row r="26" spans="1:12">
      <c r="C26" s="87" t="s">
        <v>98</v>
      </c>
      <c r="I26" s="106">
        <f>I25/$D$6</f>
        <v>3812.861767990451</v>
      </c>
      <c r="J26" s="10" t="s">
        <v>101</v>
      </c>
    </row>
    <row r="27" spans="1:12">
      <c r="C27" s="87" t="s">
        <v>184</v>
      </c>
      <c r="I27" s="110">
        <f>I26/$D$3/$D$5</f>
        <v>13.531342778019912</v>
      </c>
      <c r="J27" s="10" t="s">
        <v>101</v>
      </c>
    </row>
    <row r="28" spans="1:12">
      <c r="C28" s="87" t="s">
        <v>106</v>
      </c>
      <c r="I28" s="104">
        <f>$D$7*I26</f>
        <v>5719.2926519856765</v>
      </c>
      <c r="J28" s="4" t="s">
        <v>6</v>
      </c>
    </row>
    <row r="29" spans="1:12">
      <c r="C29" s="87" t="s">
        <v>107</v>
      </c>
      <c r="I29" s="106">
        <f>I25*D14</f>
        <v>37.326784118905792</v>
      </c>
      <c r="J29" s="4" t="s">
        <v>96</v>
      </c>
    </row>
    <row r="30" spans="1:12">
      <c r="C30" s="87" t="s">
        <v>108</v>
      </c>
      <c r="I30" s="106">
        <f>I25-I28</f>
        <v>2859.6463259928378</v>
      </c>
      <c r="J30" s="4" t="s">
        <v>6</v>
      </c>
    </row>
    <row r="31" spans="1:12" ht="16.149999999999999" customHeight="1">
      <c r="C31" s="5"/>
    </row>
    <row r="32" spans="1:12">
      <c r="H32" s="148"/>
      <c r="J32" s="138"/>
    </row>
    <row r="33" spans="1:12">
      <c r="C33" s="5"/>
    </row>
    <row r="34" spans="1:12">
      <c r="A34" s="10" t="s">
        <v>178</v>
      </c>
      <c r="D34" s="88" t="s">
        <v>1</v>
      </c>
      <c r="E34" s="88" t="s">
        <v>146</v>
      </c>
    </row>
    <row r="35" spans="1:12">
      <c r="C35" s="87" t="s">
        <v>184</v>
      </c>
      <c r="D35" s="139">
        <v>16.2</v>
      </c>
      <c r="E35" s="10" t="s">
        <v>5</v>
      </c>
      <c r="I35" s="84"/>
      <c r="L35" s="10" t="s">
        <v>128</v>
      </c>
    </row>
    <row r="36" spans="1:12">
      <c r="C36" s="87" t="s">
        <v>98</v>
      </c>
      <c r="D36" s="106">
        <f>D35*$D$3*$D$5</f>
        <v>4564.8359999999993</v>
      </c>
      <c r="E36" s="10" t="s">
        <v>5</v>
      </c>
    </row>
    <row r="37" spans="1:12">
      <c r="C37" s="87" t="s">
        <v>140</v>
      </c>
      <c r="D37" s="109">
        <f>$D$6*D36</f>
        <v>10270.880999999998</v>
      </c>
      <c r="E37" s="4" t="s">
        <v>6</v>
      </c>
    </row>
    <row r="38" spans="1:12" s="12" customFormat="1">
      <c r="C38" s="87" t="s">
        <v>141</v>
      </c>
      <c r="D38" s="108">
        <f>$D$7*D36</f>
        <v>6847.253999999999</v>
      </c>
      <c r="E38" s="4" t="s">
        <v>6</v>
      </c>
      <c r="I38" s="10"/>
    </row>
    <row r="39" spans="1:12" s="12" customFormat="1">
      <c r="C39" s="87" t="s">
        <v>107</v>
      </c>
      <c r="D39" s="105">
        <f>D14*D37</f>
        <v>44.688388480449142</v>
      </c>
      <c r="E39" s="4" t="s">
        <v>96</v>
      </c>
      <c r="F39" s="6"/>
    </row>
    <row r="40" spans="1:12" s="12" customFormat="1">
      <c r="C40" s="87" t="s">
        <v>108</v>
      </c>
      <c r="D40" s="105">
        <f>D37-D38</f>
        <v>3423.6269999999986</v>
      </c>
      <c r="E40" s="4" t="s">
        <v>6</v>
      </c>
      <c r="F40" s="6"/>
    </row>
    <row r="41" spans="1:12">
      <c r="C41" s="5"/>
      <c r="E41" s="4"/>
      <c r="I41" s="12"/>
    </row>
    <row r="42" spans="1:12">
      <c r="C42" s="5"/>
      <c r="E42" s="4"/>
      <c r="I42" s="12"/>
    </row>
    <row r="44" spans="1:12">
      <c r="A44" s="10" t="s">
        <v>134</v>
      </c>
      <c r="D44" s="88" t="s">
        <v>145</v>
      </c>
      <c r="E44" s="87" t="s">
        <v>143</v>
      </c>
      <c r="F44" s="87" t="s">
        <v>144</v>
      </c>
      <c r="G44" s="87" t="s">
        <v>146</v>
      </c>
    </row>
    <row r="45" spans="1:12">
      <c r="C45" s="87" t="s">
        <v>99</v>
      </c>
      <c r="D45" s="10">
        <f>E45+F45</f>
        <v>258000</v>
      </c>
      <c r="E45" s="10">
        <v>115000</v>
      </c>
      <c r="F45" s="10">
        <v>143000</v>
      </c>
      <c r="G45" s="10" t="s">
        <v>6</v>
      </c>
      <c r="L45" s="10" t="s">
        <v>126</v>
      </c>
    </row>
    <row r="46" spans="1:12">
      <c r="C46" s="87" t="s">
        <v>133</v>
      </c>
      <c r="D46" s="10">
        <f>E46+F46</f>
        <v>59</v>
      </c>
      <c r="E46" s="10">
        <v>25</v>
      </c>
      <c r="F46" s="10">
        <v>34</v>
      </c>
      <c r="L46" s="10" t="s">
        <v>127</v>
      </c>
    </row>
    <row r="47" spans="1:12">
      <c r="C47" s="87" t="s">
        <v>140</v>
      </c>
      <c r="D47" s="107">
        <f>D45/D46</f>
        <v>4372.8813559322034</v>
      </c>
      <c r="G47" s="4" t="s">
        <v>6</v>
      </c>
    </row>
    <row r="48" spans="1:12">
      <c r="C48" s="87" t="s">
        <v>98</v>
      </c>
      <c r="D48" s="105">
        <f>D47/2.25</f>
        <v>1943.5028248587571</v>
      </c>
      <c r="G48" s="4" t="s">
        <v>5</v>
      </c>
    </row>
    <row r="49" spans="3:20">
      <c r="C49" s="87" t="s">
        <v>187</v>
      </c>
      <c r="D49" s="173">
        <f>55*40/10</f>
        <v>220</v>
      </c>
      <c r="G49" s="4" t="s">
        <v>3</v>
      </c>
      <c r="L49" s="10" t="s">
        <v>175</v>
      </c>
      <c r="T49" s="162"/>
    </row>
    <row r="50" spans="3:20">
      <c r="C50" s="87" t="s">
        <v>173</v>
      </c>
      <c r="D50" s="110">
        <f>D48/D49</f>
        <v>8.8341037493579861</v>
      </c>
      <c r="G50" s="4" t="s">
        <v>5</v>
      </c>
    </row>
    <row r="51" spans="3:20">
      <c r="C51" s="87" t="s">
        <v>141</v>
      </c>
      <c r="D51" s="108">
        <f>$D$7*D48</f>
        <v>2915.2542372881358</v>
      </c>
      <c r="G51" s="4" t="s">
        <v>6</v>
      </c>
    </row>
    <row r="52" spans="3:20">
      <c r="C52" s="87" t="s">
        <v>107</v>
      </c>
      <c r="D52" s="105">
        <f>D47*D15</f>
        <v>18.728524499038549</v>
      </c>
      <c r="G52" s="4" t="s">
        <v>157</v>
      </c>
    </row>
    <row r="53" spans="3:20">
      <c r="C53" s="87" t="s">
        <v>108</v>
      </c>
      <c r="D53" s="105">
        <f>D47-D51</f>
        <v>1457.6271186440677</v>
      </c>
      <c r="G53" s="4" t="s">
        <v>158</v>
      </c>
    </row>
    <row r="54" spans="3:20">
      <c r="G54" s="138"/>
    </row>
    <row r="55" spans="3:20">
      <c r="D55" s="105"/>
      <c r="G55" s="4"/>
    </row>
    <row r="56" spans="3:20">
      <c r="C56" s="5"/>
      <c r="E56" s="4"/>
    </row>
    <row r="57" spans="3:20" ht="90.75" thickBot="1">
      <c r="C57" s="87"/>
      <c r="D57" s="88" t="s">
        <v>151</v>
      </c>
      <c r="E57" s="88" t="s">
        <v>152</v>
      </c>
      <c r="F57" s="88" t="s">
        <v>153</v>
      </c>
    </row>
    <row r="58" spans="3:20">
      <c r="C58" s="87" t="s">
        <v>179</v>
      </c>
      <c r="D58" s="91">
        <f>I27*$D$5*$D$3*$D$6</f>
        <v>8578.9389779785142</v>
      </c>
      <c r="E58" s="95">
        <f>D58*$D$7/$D$6</f>
        <v>5719.2926519856765</v>
      </c>
      <c r="F58" s="90">
        <f>D58-E58</f>
        <v>2859.6463259928378</v>
      </c>
      <c r="H58" s="157">
        <f>AVERAGE(D58:D59)</f>
        <v>9424.9099889892568</v>
      </c>
      <c r="I58" s="157">
        <f>AVERAGE(E58:E59)</f>
        <v>6283.2733259928391</v>
      </c>
    </row>
    <row r="59" spans="3:20">
      <c r="C59" s="87" t="s">
        <v>180</v>
      </c>
      <c r="D59" s="91">
        <f>D35*$D$5*$D$3*$D$6</f>
        <v>10270.881000000001</v>
      </c>
      <c r="E59" s="98">
        <f>D59*$D$7/$D$6</f>
        <v>6847.2540000000008</v>
      </c>
      <c r="F59" s="92">
        <f t="shared" ref="F59:F60" si="2">D59-E59</f>
        <v>3423.6270000000004</v>
      </c>
    </row>
    <row r="60" spans="3:20" ht="15.75" thickBot="1">
      <c r="C60" s="87" t="s">
        <v>147</v>
      </c>
      <c r="D60" s="93">
        <f>D50*$D$49*$D$6</f>
        <v>4372.8813559322025</v>
      </c>
      <c r="E60" s="89">
        <f t="shared" ref="E60" si="3">D60*$D$7/$D$6</f>
        <v>2915.2542372881348</v>
      </c>
      <c r="F60" s="94">
        <f t="shared" si="2"/>
        <v>1457.6271186440677</v>
      </c>
    </row>
    <row r="61" spans="3:20">
      <c r="C61" s="96"/>
    </row>
    <row r="62" spans="3:20" ht="81.400000000000006" customHeight="1" thickBot="1">
      <c r="C62" s="87"/>
      <c r="D62" s="88" t="s">
        <v>148</v>
      </c>
      <c r="E62" s="88" t="s">
        <v>149</v>
      </c>
      <c r="F62" s="88" t="s">
        <v>150</v>
      </c>
    </row>
    <row r="63" spans="3:20">
      <c r="C63" s="87" t="s">
        <v>179</v>
      </c>
      <c r="D63" s="99">
        <f>D58*$D$11*$D$12*($D$8-$D9)/$D$13/100000</f>
        <v>37.326784118905792</v>
      </c>
      <c r="E63" s="135">
        <f>E58*$D$11*$D$12*($D$8-$D9)/$D$13/100000</f>
        <v>24.884522745937197</v>
      </c>
      <c r="F63" s="100">
        <f>D63-E63</f>
        <v>12.442261372968595</v>
      </c>
      <c r="G63" s="105"/>
      <c r="H63" s="157">
        <f>AVERAGE(D63:D64)</f>
        <v>41.00758629967747</v>
      </c>
      <c r="I63" s="157">
        <f>AVERAGE(E63:E64)</f>
        <v>27.33839086645165</v>
      </c>
    </row>
    <row r="64" spans="3:20">
      <c r="C64" s="87" t="s">
        <v>180</v>
      </c>
      <c r="D64" s="101">
        <f>D59*$D$11*$D$12*($D$8-$D9)/$D$13/100000</f>
        <v>44.688388480449149</v>
      </c>
      <c r="E64" s="136">
        <f>E59*$D$11*$D$12*($D$8-$D9)/$D$13/100000</f>
        <v>29.792258986966104</v>
      </c>
      <c r="F64" s="102">
        <f>D64-E64</f>
        <v>14.896129493483045</v>
      </c>
    </row>
    <row r="65" spans="1:9" ht="15.75" thickBot="1">
      <c r="C65" s="87" t="s">
        <v>147</v>
      </c>
      <c r="D65" s="97">
        <f>D60*$D$11*$D$12*($D$8-$D10)/$D$13/100000</f>
        <v>18.728524499038546</v>
      </c>
      <c r="E65" s="137">
        <f>E60*$D$11*$D$12*($D$8-$D10)/$D$13/100000</f>
        <v>12.485682999359032</v>
      </c>
      <c r="F65" s="103">
        <f>D65-E65</f>
        <v>6.2428414996795141</v>
      </c>
    </row>
    <row r="68" spans="1:9" s="1" customFormat="1"/>
    <row r="69" spans="1:9" s="1" customFormat="1">
      <c r="A69" s="85" t="s">
        <v>121</v>
      </c>
    </row>
    <row r="70" spans="1:9" s="1" customFormat="1"/>
    <row r="71" spans="1:9">
      <c r="I71" s="1"/>
    </row>
    <row r="82" spans="1:3">
      <c r="C82" s="10" t="s">
        <v>176</v>
      </c>
    </row>
    <row r="83" spans="1:3">
      <c r="A83" s="85" t="s">
        <v>120</v>
      </c>
    </row>
    <row r="84" spans="1:3">
      <c r="A84" s="85"/>
    </row>
    <row r="168" spans="2:2">
      <c r="B168" s="85"/>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Showerhead Calculations</vt:lpstr>
      <vt:lpstr>Savings for 1.5 gpm </vt:lpstr>
      <vt:lpstr>Savings for 1.8 gpm </vt:lpstr>
      <vt:lpstr>SoCal Lodging Stats Summary</vt:lpstr>
      <vt:lpstr>US Lodging Stats</vt:lpstr>
      <vt:lpstr>Water Temperatures</vt:lpstr>
      <vt:lpstr>Building Weights</vt:lpstr>
      <vt:lpstr>Showerhead Calculations (Old)</vt:lpstr>
      <vt:lpstr>'Savings for 1.5 gpm '!_Toc371403225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EliCaudill</dc:creator>
  <cp:lastModifiedBy>Mendoza, Matthew D</cp:lastModifiedBy>
  <cp:lastPrinted>2017-04-04T21:40:10Z</cp:lastPrinted>
  <dcterms:created xsi:type="dcterms:W3CDTF">2016-03-08T00:52:58Z</dcterms:created>
  <dcterms:modified xsi:type="dcterms:W3CDTF">2017-12-27T23:01:04Z</dcterms:modified>
</cp:coreProperties>
</file>