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mc:AlternateContent xmlns:mc="http://schemas.openxmlformats.org/markup-compatibility/2006">
    <mc:Choice Requires="x15">
      <x15ac:absPath xmlns:x15ac="http://schemas.microsoft.com/office/spreadsheetml/2010/11/ac" url="\\irv-ees\jobs\327002 SCE Workpapers - 2019\(08.2) - SWRE002-01 - VSD for Pool or Spa Pump\Deliverables\"/>
    </mc:Choice>
  </mc:AlternateContent>
  <xr:revisionPtr revIDLastSave="0" documentId="13_ncr:1_{9010E88C-D8DC-4E08-8430-A88AA5AB3602}" xr6:coauthVersionLast="36" xr6:coauthVersionMax="36" xr10:uidLastSave="{00000000-0000-0000-0000-000000000000}"/>
  <bookViews>
    <workbookView xWindow="0" yWindow="0" windowWidth="23040" windowHeight="10212" firstSheet="1" activeTab="4" xr2:uid="{6C362EBF-5672-4F8A-B75F-28DAE5C1EF09}"/>
  </bookViews>
  <sheets>
    <sheet name="Measure Sav. Summary" sheetId="1" state="hidden" r:id="rId1"/>
    <sheet name="Summary Table" sheetId="4" r:id="rId2"/>
    <sheet name="WP Tables" sheetId="6" r:id="rId3"/>
    <sheet name="Energy Factors Tables" sheetId="13" r:id="rId4"/>
    <sheet name="Factors by Measure" sheetId="20" r:id="rId5"/>
    <sheet name="Msr A" sheetId="3" state="hidden" r:id="rId6"/>
    <sheet name="Msr A -New" sheetId="12" r:id="rId7"/>
    <sheet name="Msr B -New" sheetId="15" r:id="rId8"/>
    <sheet name="Msr B -Ex" sheetId="14" state="hidden" r:id="rId9"/>
    <sheet name="Msr B" sheetId="8" state="hidden" r:id="rId10"/>
    <sheet name="Msr C -New" sheetId="16" r:id="rId11"/>
    <sheet name="Msr C" sheetId="9" state="hidden" r:id="rId12"/>
    <sheet name="Msr D-New" sheetId="17" r:id="rId13"/>
    <sheet name="Msr F &amp; G-New" sheetId="18" r:id="rId14"/>
    <sheet name="Msr D" sheetId="10" state="hidden" r:id="rId15"/>
    <sheet name="Msr F &amp; G" sheetId="11" state="hidden" r:id="rId16"/>
    <sheet name="Peak Demand Calculations" sheetId="7" state="hidden" r:id="rId17"/>
    <sheet name="Peak Demand-New" sheetId="19" r:id="rId18"/>
    <sheet name="SFm CDF" sheetId="22" state="hidden" r:id="rId19"/>
    <sheet name="MFm CDF" sheetId="21" state="hidden" r:id="rId20"/>
    <sheet name="Meas. A &amp; C, CZ Adjustments" sheetId="5" state="hidden" r:id="rId21"/>
  </sheets>
  <definedNames>
    <definedName name="_xlnm._FilterDatabase" localSheetId="4">'Factors by Measure'!#REF!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N11" i="20" l="1"/>
  <c r="B8" i="15" l="1"/>
  <c r="C8" i="15"/>
  <c r="J5" i="4" l="1"/>
  <c r="D22" i="17" l="1"/>
  <c r="E22" i="17"/>
  <c r="I8" i="19" l="1"/>
  <c r="R38" i="19" l="1"/>
  <c r="R37" i="19"/>
  <c r="R36" i="19"/>
  <c r="R35" i="19"/>
  <c r="R34" i="19"/>
  <c r="R33" i="19"/>
  <c r="R32" i="19"/>
  <c r="R31" i="19"/>
  <c r="R30" i="19"/>
  <c r="L18" i="22" l="1"/>
  <c r="N18" i="22"/>
  <c r="M18" i="22"/>
  <c r="I5" i="22"/>
  <c r="I6" i="22" s="1"/>
  <c r="N14" i="22"/>
  <c r="N9" i="22"/>
  <c r="AG34" i="21"/>
  <c r="AG33" i="21"/>
  <c r="AF34" i="21"/>
  <c r="AE34" i="21"/>
  <c r="AD34" i="21"/>
  <c r="AC34" i="21"/>
  <c r="AF33" i="21"/>
  <c r="AD33" i="21"/>
  <c r="AC33" i="21"/>
  <c r="J8" i="19"/>
  <c r="S30" i="19" s="1"/>
  <c r="L10" i="22" l="1"/>
  <c r="L11" i="22"/>
  <c r="L12" i="22"/>
  <c r="L13" i="22"/>
  <c r="L9" i="22"/>
  <c r="N13" i="22"/>
  <c r="N12" i="22"/>
  <c r="N11" i="22"/>
  <c r="N10" i="22"/>
  <c r="T43" i="21"/>
  <c r="T42" i="21"/>
  <c r="T41" i="21"/>
  <c r="T40" i="21"/>
  <c r="T39" i="21"/>
  <c r="T38" i="21"/>
  <c r="T37" i="21"/>
  <c r="T36" i="21"/>
  <c r="T35" i="21"/>
  <c r="T34" i="21"/>
  <c r="T33" i="21"/>
  <c r="I33" i="21"/>
  <c r="J33" i="21" s="1"/>
  <c r="I34" i="21" s="1"/>
  <c r="J34" i="21" s="1"/>
  <c r="I35" i="21" s="1"/>
  <c r="J35" i="21" s="1"/>
  <c r="I36" i="21" s="1"/>
  <c r="J36" i="21" s="1"/>
  <c r="I37" i="21" s="1"/>
  <c r="J37" i="21" s="1"/>
  <c r="I38" i="21" s="1"/>
  <c r="J38" i="21" s="1"/>
  <c r="I39" i="21" s="1"/>
  <c r="J39" i="21" s="1"/>
  <c r="I40" i="21" s="1"/>
  <c r="J40" i="21" s="1"/>
  <c r="I41" i="21" s="1"/>
  <c r="J41" i="21" s="1"/>
  <c r="I42" i="21" s="1"/>
  <c r="J42" i="21" s="1"/>
  <c r="I43" i="21" s="1"/>
  <c r="J43" i="21" s="1"/>
  <c r="T32" i="21"/>
  <c r="T31" i="21"/>
  <c r="T30" i="21"/>
  <c r="T29" i="21"/>
  <c r="T28" i="21"/>
  <c r="T27" i="21"/>
  <c r="T26" i="21"/>
  <c r="T25" i="21"/>
  <c r="T24" i="21"/>
  <c r="T23" i="21"/>
  <c r="AH22" i="21"/>
  <c r="T22" i="21"/>
  <c r="AI21" i="21"/>
  <c r="AI22" i="21" s="1"/>
  <c r="AH21" i="21"/>
  <c r="AG21" i="21"/>
  <c r="AG22" i="21" s="1"/>
  <c r="AF21" i="21"/>
  <c r="AE21" i="21"/>
  <c r="AD21" i="21"/>
  <c r="AD22" i="21" s="1"/>
  <c r="AC21" i="21"/>
  <c r="T21" i="21"/>
  <c r="J21" i="21"/>
  <c r="I22" i="21" s="1"/>
  <c r="J22" i="21" s="1"/>
  <c r="I23" i="21" s="1"/>
  <c r="J23" i="21" s="1"/>
  <c r="I24" i="21" s="1"/>
  <c r="J24" i="21" s="1"/>
  <c r="I25" i="21" s="1"/>
  <c r="J25" i="21" s="1"/>
  <c r="I26" i="21" s="1"/>
  <c r="J26" i="21" s="1"/>
  <c r="I27" i="21" s="1"/>
  <c r="J27" i="21" s="1"/>
  <c r="I28" i="21" s="1"/>
  <c r="J28" i="21" s="1"/>
  <c r="I29" i="21" s="1"/>
  <c r="J29" i="21" s="1"/>
  <c r="I30" i="21" s="1"/>
  <c r="J30" i="21" s="1"/>
  <c r="I31" i="21" s="1"/>
  <c r="J31" i="21" s="1"/>
  <c r="I32" i="21" s="1"/>
  <c r="I21" i="21"/>
  <c r="AI20" i="21"/>
  <c r="AH20" i="21"/>
  <c r="AG20" i="21"/>
  <c r="AF20" i="21"/>
  <c r="AE20" i="21"/>
  <c r="AE22" i="21" s="1"/>
  <c r="AD20" i="21"/>
  <c r="AC20" i="21"/>
  <c r="T20" i="21"/>
  <c r="Q19" i="21"/>
  <c r="P19" i="21"/>
  <c r="O19" i="21"/>
  <c r="Y18" i="21"/>
  <c r="X18" i="21"/>
  <c r="W18" i="21"/>
  <c r="V18" i="21"/>
  <c r="B22" i="22"/>
  <c r="C22" i="22" s="1"/>
  <c r="B23" i="22" s="1"/>
  <c r="C23" i="22" s="1"/>
  <c r="B24" i="22" s="1"/>
  <c r="C24" i="22" s="1"/>
  <c r="B25" i="22" s="1"/>
  <c r="C25" i="22" s="1"/>
  <c r="B26" i="22" s="1"/>
  <c r="C26" i="22" s="1"/>
  <c r="B27" i="22" s="1"/>
  <c r="C27" i="22" s="1"/>
  <c r="B28" i="22" s="1"/>
  <c r="C28" i="22" s="1"/>
  <c r="B29" i="22" s="1"/>
  <c r="C29" i="22" s="1"/>
  <c r="B30" i="22" s="1"/>
  <c r="C30" i="22" s="1"/>
  <c r="B31" i="22" s="1"/>
  <c r="C31" i="22" s="1"/>
  <c r="B32" i="22" s="1"/>
  <c r="C32" i="22" s="1"/>
  <c r="B10" i="22"/>
  <c r="C10" i="22" s="1"/>
  <c r="B11" i="22" s="1"/>
  <c r="C11" i="22" s="1"/>
  <c r="B12" i="22" s="1"/>
  <c r="C12" i="22" s="1"/>
  <c r="B13" i="22" s="1"/>
  <c r="C13" i="22" s="1"/>
  <c r="B14" i="22" s="1"/>
  <c r="C14" i="22" s="1"/>
  <c r="B15" i="22" s="1"/>
  <c r="C15" i="22" s="1"/>
  <c r="B16" i="22" s="1"/>
  <c r="C16" i="22" s="1"/>
  <c r="B17" i="22" s="1"/>
  <c r="C17" i="22" s="1"/>
  <c r="B18" i="22" s="1"/>
  <c r="C18" i="22" s="1"/>
  <c r="B19" i="22" s="1"/>
  <c r="C19" i="22" s="1"/>
  <c r="B20" i="22" s="1"/>
  <c r="C20" i="22" s="1"/>
  <c r="B21" i="22" s="1"/>
  <c r="I4" i="22"/>
  <c r="AC22" i="21" l="1"/>
  <c r="AC27" i="21" s="1"/>
  <c r="AF22" i="21"/>
  <c r="AD27" i="21" s="1"/>
  <c r="M13" i="19" l="1"/>
  <c r="M12" i="19"/>
  <c r="M11" i="19"/>
  <c r="M10" i="19"/>
  <c r="M9" i="19"/>
  <c r="M8" i="19"/>
  <c r="H43" i="20"/>
  <c r="H42" i="20"/>
  <c r="H40" i="20"/>
  <c r="H17" i="20"/>
  <c r="H16" i="20"/>
  <c r="G17" i="20"/>
  <c r="G16" i="20"/>
  <c r="G14" i="20"/>
  <c r="F17" i="20"/>
  <c r="F16" i="20"/>
  <c r="I43" i="20" l="1"/>
  <c r="J16" i="20"/>
  <c r="I40" i="20" s="1"/>
  <c r="J17" i="20"/>
  <c r="G6" i="17"/>
  <c r="G8" i="17" l="1"/>
  <c r="D8" i="17"/>
  <c r="C6" i="17"/>
  <c r="F6" i="17"/>
  <c r="C8" i="17"/>
  <c r="D6" i="17"/>
  <c r="I26" i="20" l="1"/>
  <c r="H34" i="20" s="1"/>
  <c r="M14" i="20"/>
  <c r="M13" i="20"/>
  <c r="M12" i="20"/>
  <c r="O14" i="20"/>
  <c r="O13" i="20"/>
  <c r="O12" i="20"/>
  <c r="G11" i="20"/>
  <c r="G9" i="20"/>
  <c r="H11" i="20"/>
  <c r="F11" i="20"/>
  <c r="H9" i="20"/>
  <c r="F9" i="20"/>
  <c r="H8" i="15"/>
  <c r="G8" i="15"/>
  <c r="J11" i="20" l="1"/>
  <c r="N13" i="20" s="1"/>
  <c r="J9" i="20"/>
  <c r="N12" i="20" s="1"/>
  <c r="R27" i="19" l="1"/>
  <c r="R29" i="19"/>
  <c r="R28" i="19"/>
  <c r="L13" i="19"/>
  <c r="S38" i="19" s="1"/>
  <c r="T38" i="19" s="1"/>
  <c r="K12" i="19"/>
  <c r="S35" i="19" s="1"/>
  <c r="T35" i="19" s="1"/>
  <c r="J12" i="19"/>
  <c r="S32" i="19" s="1"/>
  <c r="T32" i="19" s="1"/>
  <c r="L11" i="19"/>
  <c r="E24" i="19" s="1"/>
  <c r="K10" i="19"/>
  <c r="S34" i="19" s="1"/>
  <c r="T34" i="19" s="1"/>
  <c r="J10" i="19"/>
  <c r="S31" i="19" s="1"/>
  <c r="T31" i="19" s="1"/>
  <c r="L9" i="19"/>
  <c r="S36" i="19" s="1"/>
  <c r="T36" i="19" s="1"/>
  <c r="I9" i="19"/>
  <c r="K8" i="19"/>
  <c r="S33" i="19" s="1"/>
  <c r="T33" i="19" s="1"/>
  <c r="T30" i="19"/>
  <c r="E9" i="19"/>
  <c r="E8" i="19"/>
  <c r="S27" i="19" s="1"/>
  <c r="E23" i="19" l="1"/>
  <c r="H23" i="19"/>
  <c r="H24" i="19"/>
  <c r="S37" i="19"/>
  <c r="T37" i="19" s="1"/>
  <c r="T27" i="19"/>
  <c r="H50" i="20" l="1"/>
  <c r="H49" i="20"/>
  <c r="H48" i="20"/>
  <c r="H47" i="20"/>
  <c r="H46" i="20"/>
  <c r="H45" i="20"/>
  <c r="H39" i="20"/>
  <c r="H38" i="20"/>
  <c r="M9" i="20"/>
  <c r="M8" i="20"/>
  <c r="M6" i="20"/>
  <c r="M5" i="20"/>
  <c r="M4" i="20"/>
  <c r="H35" i="20"/>
  <c r="I25" i="20"/>
  <c r="I24" i="20"/>
  <c r="M10" i="20"/>
  <c r="H12" i="20"/>
  <c r="H10" i="20"/>
  <c r="H8" i="20"/>
  <c r="H7" i="20"/>
  <c r="H6" i="20"/>
  <c r="H5" i="20"/>
  <c r="H4" i="20"/>
  <c r="O10" i="20"/>
  <c r="O9" i="20"/>
  <c r="O5" i="20"/>
  <c r="O8" i="20"/>
  <c r="O4" i="20"/>
  <c r="H23" i="20"/>
  <c r="H22" i="20"/>
  <c r="H21" i="20"/>
  <c r="H20" i="20"/>
  <c r="H19" i="20"/>
  <c r="H18" i="20"/>
  <c r="H15" i="20"/>
  <c r="H14" i="20"/>
  <c r="H13" i="20"/>
  <c r="G23" i="20"/>
  <c r="G22" i="20"/>
  <c r="G21" i="20"/>
  <c r="G20" i="20"/>
  <c r="G19" i="20"/>
  <c r="G18" i="20"/>
  <c r="G15" i="20"/>
  <c r="G13" i="20"/>
  <c r="G12" i="20"/>
  <c r="G10" i="20"/>
  <c r="G8" i="20"/>
  <c r="G7" i="20"/>
  <c r="G6" i="20"/>
  <c r="G5" i="20"/>
  <c r="G4" i="20"/>
  <c r="F23" i="20"/>
  <c r="F22" i="20"/>
  <c r="F21" i="20"/>
  <c r="F20" i="20"/>
  <c r="F19" i="20"/>
  <c r="F18" i="20"/>
  <c r="F15" i="20"/>
  <c r="F14" i="20"/>
  <c r="J14" i="20" s="1"/>
  <c r="F13" i="20"/>
  <c r="F12" i="20"/>
  <c r="F10" i="20"/>
  <c r="F8" i="20"/>
  <c r="F7" i="20"/>
  <c r="F6" i="20"/>
  <c r="F5" i="20"/>
  <c r="F4" i="20"/>
  <c r="I39" i="20" l="1"/>
  <c r="I41" i="20" s="1"/>
  <c r="J15" i="20"/>
  <c r="I42" i="20" s="1"/>
  <c r="I44" i="20" s="1"/>
  <c r="H33" i="20"/>
  <c r="H32" i="20"/>
  <c r="H37" i="20"/>
  <c r="H36" i="20"/>
  <c r="H31" i="20"/>
  <c r="J21" i="20"/>
  <c r="I48" i="20" s="1"/>
  <c r="J13" i="20"/>
  <c r="I38" i="20" s="1"/>
  <c r="J22" i="20"/>
  <c r="I49" i="20" s="1"/>
  <c r="J6" i="20"/>
  <c r="N5" i="20" s="1"/>
  <c r="J18" i="20"/>
  <c r="I45" i="20" s="1"/>
  <c r="J8" i="20"/>
  <c r="N8" i="20" s="1"/>
  <c r="J19" i="20"/>
  <c r="I46" i="20" s="1"/>
  <c r="J20" i="20"/>
  <c r="I47" i="20" s="1"/>
  <c r="J10" i="20"/>
  <c r="N9" i="20" s="1"/>
  <c r="J4" i="20"/>
  <c r="I35" i="20" s="1"/>
  <c r="J23" i="20"/>
  <c r="I50" i="20" s="1"/>
  <c r="J12" i="20"/>
  <c r="J5" i="20"/>
  <c r="N4" i="20" s="1"/>
  <c r="J7" i="20"/>
  <c r="N6" i="20" s="1"/>
  <c r="K38" i="20" l="1"/>
  <c r="N10" i="20"/>
  <c r="J25" i="20" s="1"/>
  <c r="I37" i="20" s="1"/>
  <c r="N14" i="20"/>
  <c r="N15" i="20" s="1"/>
  <c r="J26" i="20" s="1"/>
  <c r="I34" i="20" s="1"/>
  <c r="J38" i="20"/>
  <c r="K48" i="20"/>
  <c r="J45" i="20"/>
  <c r="J48" i="20"/>
  <c r="K45" i="20"/>
  <c r="N7" i="20"/>
  <c r="J24" i="20" s="1"/>
  <c r="I31" i="20" s="1"/>
  <c r="I24" i="19"/>
  <c r="J24" i="19" s="1"/>
  <c r="I23" i="19"/>
  <c r="I22" i="19"/>
  <c r="I21" i="19"/>
  <c r="I20" i="19"/>
  <c r="I19" i="19"/>
  <c r="H18" i="19"/>
  <c r="J18" i="19" s="1"/>
  <c r="H17" i="19"/>
  <c r="J17" i="19" s="1"/>
  <c r="F24" i="19"/>
  <c r="G24" i="19" s="1"/>
  <c r="H69" i="20" s="1"/>
  <c r="F23" i="19"/>
  <c r="G23" i="19" s="1"/>
  <c r="H68" i="20" s="1"/>
  <c r="F22" i="19"/>
  <c r="F21" i="19"/>
  <c r="F20" i="19"/>
  <c r="F19" i="19"/>
  <c r="F17" i="19"/>
  <c r="B16" i="16" s="1"/>
  <c r="E18" i="19"/>
  <c r="G18" i="19" s="1"/>
  <c r="E21" i="19"/>
  <c r="E22" i="19"/>
  <c r="E17" i="19"/>
  <c r="B15" i="16" s="1"/>
  <c r="B16" i="12"/>
  <c r="G21" i="19" l="1"/>
  <c r="H65" i="20" s="1"/>
  <c r="H55" i="20"/>
  <c r="H60" i="20"/>
  <c r="H57" i="20"/>
  <c r="H56" i="20"/>
  <c r="H61" i="20"/>
  <c r="H58" i="20"/>
  <c r="I33" i="20"/>
  <c r="I32" i="20"/>
  <c r="I36" i="20"/>
  <c r="G22" i="19"/>
  <c r="H66" i="20" s="1"/>
  <c r="G17" i="19"/>
  <c r="H59" i="20" s="1"/>
  <c r="J35" i="20"/>
  <c r="J23" i="19"/>
  <c r="H70" i="20" s="1"/>
  <c r="I68" i="20" s="1"/>
  <c r="E20" i="19"/>
  <c r="G20" i="19" s="1"/>
  <c r="H63" i="20" s="1"/>
  <c r="E19" i="19"/>
  <c r="G19" i="19" s="1"/>
  <c r="H62" i="20" s="1"/>
  <c r="I59" i="20" l="1"/>
  <c r="I57" i="20"/>
  <c r="J59" i="20"/>
  <c r="I55" i="20"/>
  <c r="J68" i="20"/>
  <c r="J33" i="20"/>
  <c r="J31" i="20"/>
  <c r="K35" i="20"/>
  <c r="H22" i="19"/>
  <c r="J22" i="19" s="1"/>
  <c r="H21" i="19"/>
  <c r="J21" i="19" s="1"/>
  <c r="H67" i="20" s="1"/>
  <c r="I65" i="20" s="1"/>
  <c r="H19" i="19"/>
  <c r="J19" i="19" s="1"/>
  <c r="H64" i="20" s="1"/>
  <c r="J62" i="20" s="1"/>
  <c r="H20" i="19"/>
  <c r="J20" i="19" s="1"/>
  <c r="I62" i="20" l="1"/>
  <c r="J65" i="20"/>
  <c r="B8" i="12"/>
  <c r="D31" i="18" l="1"/>
  <c r="D30" i="18"/>
  <c r="C31" i="18"/>
  <c r="C30" i="18"/>
  <c r="B31" i="18"/>
  <c r="B30" i="18"/>
  <c r="D15" i="18"/>
  <c r="D14" i="18"/>
  <c r="C15" i="18"/>
  <c r="C14" i="18"/>
  <c r="B15" i="18"/>
  <c r="B14" i="18"/>
  <c r="D21" i="17"/>
  <c r="D20" i="17"/>
  <c r="C21" i="17"/>
  <c r="C20" i="17"/>
  <c r="B21" i="17"/>
  <c r="B20" i="17"/>
  <c r="K24" i="19"/>
  <c r="K23" i="19"/>
  <c r="K22" i="19"/>
  <c r="K21" i="19"/>
  <c r="K20" i="19"/>
  <c r="K19" i="19"/>
  <c r="K18" i="19"/>
  <c r="K17" i="19"/>
  <c r="D32" i="18" l="1"/>
  <c r="C32" i="18"/>
  <c r="B32" i="18"/>
  <c r="D25" i="18"/>
  <c r="C25" i="18"/>
  <c r="B25" i="18"/>
  <c r="D9" i="18"/>
  <c r="C9" i="18"/>
  <c r="B9" i="18"/>
  <c r="B23" i="18"/>
  <c r="B7" i="18"/>
  <c r="D7" i="18" s="1"/>
  <c r="B6" i="17"/>
  <c r="F8" i="17"/>
  <c r="B8" i="17"/>
  <c r="B5" i="17"/>
  <c r="F5" i="17" s="1"/>
  <c r="D16" i="18"/>
  <c r="C16" i="18"/>
  <c r="B16" i="18"/>
  <c r="D24" i="18"/>
  <c r="D22" i="18"/>
  <c r="D8" i="18"/>
  <c r="D6" i="18"/>
  <c r="G5" i="17" l="1"/>
  <c r="G9" i="17" s="1"/>
  <c r="F9" i="17"/>
  <c r="C5" i="17"/>
  <c r="D5" i="17" s="1"/>
  <c r="D9" i="17" s="1"/>
  <c r="E32" i="18"/>
  <c r="K8" i="4" s="1"/>
  <c r="F32" i="18"/>
  <c r="L8" i="4" s="1"/>
  <c r="F16" i="18"/>
  <c r="L7" i="4" s="1"/>
  <c r="C7" i="18"/>
  <c r="C10" i="18" s="1"/>
  <c r="B26" i="18"/>
  <c r="B10" i="18"/>
  <c r="C23" i="18"/>
  <c r="C26" i="18" s="1"/>
  <c r="D23" i="18"/>
  <c r="D26" i="18" s="1"/>
  <c r="D10" i="18"/>
  <c r="E16" i="18"/>
  <c r="K7" i="4" s="1"/>
  <c r="H9" i="17" l="1"/>
  <c r="F26" i="18"/>
  <c r="J8" i="4" s="1"/>
  <c r="E26" i="18"/>
  <c r="I8" i="4" s="1"/>
  <c r="E10" i="18"/>
  <c r="I7" i="4" s="1"/>
  <c r="F10" i="18"/>
  <c r="J7" i="4" s="1"/>
  <c r="C9" i="17" l="1"/>
  <c r="E9" i="17" s="1"/>
  <c r="J9" i="17" s="1"/>
  <c r="C22" i="17"/>
  <c r="B22" i="17"/>
  <c r="F22" i="17" l="1"/>
  <c r="L6" i="4" s="1"/>
  <c r="B10" i="16"/>
  <c r="B8" i="16"/>
  <c r="B7" i="16"/>
  <c r="D17" i="16"/>
  <c r="B17" i="16"/>
  <c r="C17" i="15"/>
  <c r="B17" i="15"/>
  <c r="D17" i="15" s="1"/>
  <c r="K4" i="4" s="1"/>
  <c r="I10" i="15"/>
  <c r="H10" i="15"/>
  <c r="G10" i="15"/>
  <c r="D10" i="15"/>
  <c r="C10" i="15"/>
  <c r="B10" i="15"/>
  <c r="D8" i="15"/>
  <c r="I8" i="15" s="1"/>
  <c r="G7" i="15"/>
  <c r="D7" i="15"/>
  <c r="C7" i="15"/>
  <c r="B7" i="15"/>
  <c r="E6" i="15"/>
  <c r="J6" i="15" s="1"/>
  <c r="B6" i="15"/>
  <c r="G6" i="15" s="1"/>
  <c r="I10" i="12"/>
  <c r="H10" i="12"/>
  <c r="G10" i="12"/>
  <c r="G7" i="12"/>
  <c r="D10" i="12"/>
  <c r="B10" i="12"/>
  <c r="C10" i="12"/>
  <c r="D8" i="12"/>
  <c r="C8" i="12"/>
  <c r="E6" i="12"/>
  <c r="B6" i="12"/>
  <c r="D7" i="12"/>
  <c r="C7" i="12"/>
  <c r="B7" i="12"/>
  <c r="H11" i="15" l="1"/>
  <c r="K6" i="4"/>
  <c r="E17" i="16"/>
  <c r="K5" i="4" s="1"/>
  <c r="C17" i="16"/>
  <c r="F17" i="16" s="1"/>
  <c r="L5" i="4" s="1"/>
  <c r="I11" i="15"/>
  <c r="B11" i="15"/>
  <c r="C11" i="15"/>
  <c r="D11" i="15"/>
  <c r="G11" i="15"/>
  <c r="B9" i="17"/>
  <c r="I9" i="17" s="1"/>
  <c r="J6" i="4"/>
  <c r="B11" i="16"/>
  <c r="J11" i="15" l="1"/>
  <c r="K11" i="15" s="1"/>
  <c r="I6" i="4"/>
  <c r="E11" i="15"/>
  <c r="F11" i="15" s="1"/>
  <c r="L11" i="15" l="1"/>
  <c r="I4" i="4" s="1"/>
  <c r="D9" i="14"/>
  <c r="I9" i="14" s="1"/>
  <c r="C9" i="14"/>
  <c r="C12" i="14" s="1"/>
  <c r="B9" i="14"/>
  <c r="B12" i="14" s="1"/>
  <c r="E7" i="14"/>
  <c r="J7" i="14" s="1"/>
  <c r="B7" i="14"/>
  <c r="G7" i="14" s="1"/>
  <c r="C17" i="14"/>
  <c r="B17" i="14"/>
  <c r="C16" i="14"/>
  <c r="B16" i="14"/>
  <c r="D12" i="14"/>
  <c r="G8" i="14"/>
  <c r="C18" i="14" l="1"/>
  <c r="G9" i="14"/>
  <c r="G12" i="14"/>
  <c r="H9" i="14"/>
  <c r="H8" i="14"/>
  <c r="I8" i="14" s="1"/>
  <c r="I12" i="14" s="1"/>
  <c r="B18" i="14"/>
  <c r="D18" i="14" s="1"/>
  <c r="E12" i="14"/>
  <c r="F12" i="14" s="1"/>
  <c r="H12" i="14"/>
  <c r="J12" i="14" s="1"/>
  <c r="K12" i="14" s="1"/>
  <c r="I8" i="12"/>
  <c r="I11" i="12" s="1"/>
  <c r="G8" i="12"/>
  <c r="G11" i="12" s="1"/>
  <c r="J6" i="12"/>
  <c r="G6" i="12"/>
  <c r="H8" i="12"/>
  <c r="C17" i="12"/>
  <c r="B17" i="12"/>
  <c r="D17" i="12" s="1"/>
  <c r="K3" i="4" s="1"/>
  <c r="D11" i="12"/>
  <c r="B11" i="12"/>
  <c r="L12" i="14" l="1"/>
  <c r="C11" i="12"/>
  <c r="E11" i="12" s="1"/>
  <c r="F11" i="12" s="1"/>
  <c r="C11" i="16" s="1"/>
  <c r="H11" i="12"/>
  <c r="J11" i="12" s="1"/>
  <c r="K11" i="12" s="1"/>
  <c r="D11" i="16" s="1"/>
  <c r="E11" i="16" s="1"/>
  <c r="I5" i="4" s="1"/>
  <c r="F11" i="16" l="1"/>
  <c r="L11" i="12"/>
  <c r="I3" i="4" s="1"/>
  <c r="E6" i="3" l="1"/>
  <c r="G11" i="3"/>
  <c r="C10" i="3"/>
  <c r="G8" i="8" l="1"/>
  <c r="H8" i="8" s="1"/>
  <c r="I8" i="8" s="1"/>
  <c r="C24" i="11" l="1"/>
  <c r="C23" i="11"/>
  <c r="C19" i="11"/>
  <c r="C10" i="11"/>
  <c r="C21" i="10"/>
  <c r="C20" i="10"/>
  <c r="C25" i="11" l="1"/>
  <c r="C22" i="10"/>
  <c r="B34" i="10"/>
  <c r="C5" i="10" l="1"/>
  <c r="B5" i="10"/>
  <c r="C9" i="10"/>
  <c r="D12" i="8"/>
  <c r="C12" i="8"/>
  <c r="D24" i="11" l="1"/>
  <c r="B24" i="11"/>
  <c r="D23" i="11"/>
  <c r="B23" i="11"/>
  <c r="B19" i="11"/>
  <c r="D17" i="11"/>
  <c r="D16" i="11"/>
  <c r="D15" i="11"/>
  <c r="B10" i="11"/>
  <c r="D8" i="11"/>
  <c r="D7" i="11"/>
  <c r="D6" i="11"/>
  <c r="D21" i="10"/>
  <c r="B21" i="10"/>
  <c r="D20" i="10"/>
  <c r="B20" i="10"/>
  <c r="B9" i="10"/>
  <c r="D5" i="10"/>
  <c r="D9" i="10" s="1"/>
  <c r="F9" i="10" s="1"/>
  <c r="B17" i="9"/>
  <c r="C16" i="9"/>
  <c r="C15" i="9"/>
  <c r="B11" i="9"/>
  <c r="E11" i="9" s="1"/>
  <c r="G11" i="9" s="1"/>
  <c r="D17" i="9"/>
  <c r="E17" i="9" s="1"/>
  <c r="G17" i="9" s="1"/>
  <c r="C17" i="8"/>
  <c r="C18" i="8" s="1"/>
  <c r="B17" i="8"/>
  <c r="C16" i="8"/>
  <c r="B16" i="8"/>
  <c r="I12" i="8"/>
  <c r="H12" i="8"/>
  <c r="G12" i="8"/>
  <c r="E12" i="8"/>
  <c r="B12" i="8"/>
  <c r="B18" i="8" l="1"/>
  <c r="D25" i="11"/>
  <c r="F25" i="11" s="1"/>
  <c r="J12" i="8"/>
  <c r="K12" i="8" s="1"/>
  <c r="F12" i="8"/>
  <c r="B22" i="10"/>
  <c r="D18" i="8"/>
  <c r="D22" i="10"/>
  <c r="C17" i="9"/>
  <c r="F17" i="9" s="1"/>
  <c r="H17" i="9" s="1"/>
  <c r="D10" i="11"/>
  <c r="B25" i="11"/>
  <c r="E25" i="11" s="1"/>
  <c r="E9" i="10"/>
  <c r="D19" i="11"/>
  <c r="L12" i="8" l="1"/>
  <c r="E19" i="11"/>
  <c r="F19" i="11"/>
  <c r="E10" i="11"/>
  <c r="F10" i="11"/>
  <c r="E22" i="10"/>
  <c r="F22" i="10"/>
  <c r="E25" i="10" l="1"/>
  <c r="D37" i="5"/>
  <c r="D38" i="5"/>
  <c r="D41" i="5"/>
  <c r="D43" i="5"/>
  <c r="F4" i="7"/>
  <c r="E41" i="5" s="1"/>
  <c r="F3" i="7"/>
  <c r="E43" i="5" s="1"/>
  <c r="F2" i="7"/>
  <c r="E42" i="5" s="1"/>
  <c r="E39" i="5" l="1"/>
  <c r="E38" i="5"/>
  <c r="E19" i="6"/>
  <c r="C19" i="6"/>
  <c r="B19" i="6"/>
  <c r="E18" i="6"/>
  <c r="C18" i="6"/>
  <c r="B18" i="6"/>
  <c r="E17" i="6"/>
  <c r="C17" i="6"/>
  <c r="B17" i="6"/>
  <c r="C16" i="6"/>
  <c r="B16" i="6"/>
  <c r="E15" i="6"/>
  <c r="C15" i="6"/>
  <c r="B15" i="6"/>
  <c r="E14" i="6"/>
  <c r="C14" i="6"/>
  <c r="B14" i="6"/>
  <c r="E3" i="6" l="1"/>
  <c r="E4" i="6"/>
  <c r="E6" i="6"/>
  <c r="E7" i="6"/>
  <c r="E8" i="6"/>
  <c r="C3" i="6"/>
  <c r="C4" i="6"/>
  <c r="C5" i="6"/>
  <c r="C6" i="6"/>
  <c r="C7" i="6"/>
  <c r="C8" i="6"/>
  <c r="B3" i="6"/>
  <c r="B4" i="6"/>
  <c r="B5" i="6"/>
  <c r="B6" i="6"/>
  <c r="B7" i="6"/>
  <c r="B8" i="6"/>
  <c r="D8" i="6" l="1"/>
  <c r="D7" i="6"/>
  <c r="D6" i="6" l="1"/>
  <c r="D42" i="5" l="1"/>
  <c r="E5" i="5" s="1"/>
  <c r="D20" i="5"/>
  <c r="E20" i="5" s="1"/>
  <c r="E14" i="5"/>
  <c r="D14" i="5"/>
  <c r="E13" i="5"/>
  <c r="D13" i="5"/>
  <c r="E6" i="5"/>
  <c r="D5" i="5"/>
  <c r="F5" i="5" l="1"/>
  <c r="F13" i="5"/>
  <c r="F14" i="5"/>
  <c r="J11" i="3" l="1"/>
  <c r="E32" i="5"/>
  <c r="E25" i="5"/>
  <c r="E30" i="5"/>
  <c r="C17" i="3"/>
  <c r="B17" i="3"/>
  <c r="H11" i="9" l="1"/>
  <c r="E5" i="6"/>
  <c r="D5" i="6"/>
  <c r="D17" i="3"/>
  <c r="D16" i="6"/>
  <c r="D11" i="3"/>
  <c r="D3" i="6" l="1"/>
  <c r="E17" i="3"/>
  <c r="C11" i="3"/>
  <c r="E11" i="3" s="1"/>
  <c r="B11" i="3"/>
  <c r="D17" i="6" l="1"/>
  <c r="D4" i="6"/>
  <c r="F11" i="3"/>
  <c r="H10" i="3" s="1"/>
  <c r="C11" i="9" l="1"/>
  <c r="F8" i="9" s="1"/>
  <c r="D39" i="5"/>
  <c r="D6" i="5" s="1"/>
  <c r="F6" i="5" s="1"/>
  <c r="D30" i="5" s="1"/>
  <c r="D19" i="6"/>
  <c r="D18" i="6"/>
  <c r="I11" i="3"/>
  <c r="D15" i="6" l="1"/>
  <c r="D14" i="6"/>
  <c r="E16"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Vega, Kara</author>
  </authors>
  <commentList>
    <comment ref="I17" authorId="0" shapeId="0" xr:uid="{00000000-0006-0000-0300-000001000000}">
      <text>
        <r>
          <rPr>
            <sz val="9"/>
            <color indexed="81"/>
            <rFont val="Tahoma"/>
            <family val="2"/>
          </rPr>
          <t>MFm Report Values tab of Attachment 2</t>
        </r>
      </text>
    </comment>
    <comment ref="M17" authorId="0" shapeId="0" xr:uid="{00000000-0006-0000-0300-000002000000}">
      <text>
        <r>
          <rPr>
            <sz val="9"/>
            <color indexed="81"/>
            <rFont val="Tahoma"/>
            <family val="2"/>
          </rPr>
          <t>2-Spd CEC Data (2018) tab of Attachment 2</t>
        </r>
      </text>
    </comment>
    <comment ref="M18" authorId="0" shapeId="0" xr:uid="{00000000-0006-0000-0300-000003000000}">
      <text>
        <r>
          <rPr>
            <sz val="9"/>
            <color indexed="81"/>
            <rFont val="Tahoma"/>
            <family val="2"/>
          </rPr>
          <t>VS CEC Data (2018) tab of Attachment 2</t>
        </r>
      </text>
    </comment>
    <comment ref="I19" authorId="0" shapeId="0" xr:uid="{00000000-0006-0000-0300-000004000000}">
      <text>
        <r>
          <rPr>
            <sz val="9"/>
            <color indexed="81"/>
            <rFont val="Tahoma"/>
            <family val="2"/>
          </rPr>
          <t>MFm Report Values tab of Attachment 2</t>
        </r>
      </text>
    </comment>
    <comment ref="M19" authorId="0" shapeId="0" xr:uid="{00000000-0006-0000-0300-000005000000}">
      <text>
        <r>
          <rPr>
            <sz val="9"/>
            <color indexed="81"/>
            <rFont val="Tahoma"/>
            <family val="2"/>
          </rPr>
          <t>2-Spd CEC Data (2018) tab of Attachment 2</t>
        </r>
      </text>
    </comment>
    <comment ref="M20" authorId="0" shapeId="0" xr:uid="{00000000-0006-0000-0300-000006000000}">
      <text>
        <r>
          <rPr>
            <sz val="9"/>
            <color indexed="81"/>
            <rFont val="Tahoma"/>
            <family val="2"/>
          </rPr>
          <t>VS CEC Data (2018) tab of Attachment 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Casco, Lake</author>
  </authors>
  <commentList>
    <comment ref="K5" authorId="0" shapeId="0" xr:uid="{00000000-0006-0000-0500-000001000000}">
      <text>
        <r>
          <rPr>
            <b/>
            <sz val="9"/>
            <color indexed="81"/>
            <rFont val="Tahoma"/>
            <family val="2"/>
          </rPr>
          <t>Casco, Lake:</t>
        </r>
        <r>
          <rPr>
            <sz val="9"/>
            <color indexed="81"/>
            <rFont val="Tahoma"/>
            <family val="2"/>
          </rPr>
          <t xml:space="preserve">
Add Notes showing where values come from.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Casco, Lake</author>
  </authors>
  <commentList>
    <comment ref="I5" authorId="0" shapeId="0" xr:uid="{00000000-0006-0000-0B00-000001000000}">
      <text>
        <r>
          <rPr>
            <b/>
            <sz val="9"/>
            <color indexed="81"/>
            <rFont val="Tahoma"/>
            <family val="2"/>
          </rPr>
          <t>Casco, Lake:</t>
        </r>
        <r>
          <rPr>
            <sz val="9"/>
            <color indexed="81"/>
            <rFont val="Tahoma"/>
            <family val="2"/>
          </rPr>
          <t xml:space="preserve">
Add Notes showing where values come from.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Casco, Lake</author>
    <author>Danielle</author>
  </authors>
  <commentList>
    <comment ref="E2" authorId="0" shapeId="0" xr:uid="{00000000-0006-0000-1200-000001000000}">
      <text>
        <r>
          <rPr>
            <b/>
            <sz val="9"/>
            <color indexed="81"/>
            <rFont val="Tahoma"/>
            <family val="2"/>
          </rPr>
          <t xml:space="preserve">Casco, Lake:
</t>
        </r>
        <r>
          <rPr>
            <sz val="9"/>
            <color indexed="81"/>
            <rFont val="Tahoma"/>
            <family val="2"/>
          </rPr>
          <t xml:space="preserve">Unsure why the CZ15 programmed savings were extrapolated using NON-Programmed savings. </t>
        </r>
      </text>
    </comment>
    <comment ref="D37" authorId="1" shapeId="0" xr:uid="{00000000-0006-0000-1200-000002000000}">
      <text>
        <r>
          <rPr>
            <b/>
            <sz val="8"/>
            <color indexed="81"/>
            <rFont val="Tahoma"/>
            <family val="2"/>
          </rPr>
          <t>Danielle:</t>
        </r>
        <r>
          <rPr>
            <sz val="8"/>
            <color indexed="81"/>
            <rFont val="Tahoma"/>
            <family val="2"/>
          </rPr>
          <t xml:space="preserve">
From EC&amp;C database</t>
        </r>
      </text>
    </comment>
    <comment ref="E37" authorId="1" shapeId="0" xr:uid="{00000000-0006-0000-1200-000003000000}">
      <text>
        <r>
          <rPr>
            <b/>
            <sz val="8"/>
            <color indexed="81"/>
            <rFont val="Tahoma"/>
            <family val="2"/>
          </rPr>
          <t>Danielle:</t>
        </r>
        <r>
          <rPr>
            <sz val="8"/>
            <color indexed="81"/>
            <rFont val="Tahoma"/>
            <family val="2"/>
          </rPr>
          <t xml:space="preserve">
From Work Paper</t>
        </r>
      </text>
    </comment>
    <comment ref="D38" authorId="1" shapeId="0" xr:uid="{00000000-0006-0000-1200-000004000000}">
      <text>
        <r>
          <rPr>
            <b/>
            <sz val="8"/>
            <color indexed="81"/>
            <rFont val="Tahoma"/>
            <family val="2"/>
          </rPr>
          <t>Danielle:</t>
        </r>
        <r>
          <rPr>
            <sz val="8"/>
            <color indexed="81"/>
            <rFont val="Tahoma"/>
            <family val="2"/>
          </rPr>
          <t xml:space="preserve">
Calculated in Work Paper</t>
        </r>
      </text>
    </comment>
    <comment ref="E38" authorId="1" shapeId="0" xr:uid="{00000000-0006-0000-1200-000005000000}">
      <text>
        <r>
          <rPr>
            <b/>
            <sz val="8"/>
            <color indexed="81"/>
            <rFont val="Tahoma"/>
            <family val="2"/>
          </rPr>
          <t>Danielle:</t>
        </r>
        <r>
          <rPr>
            <sz val="8"/>
            <color indexed="81"/>
            <rFont val="Tahoma"/>
            <family val="2"/>
          </rPr>
          <t xml:space="preserve">
Calculated with Equation 6 in Work Paper</t>
        </r>
      </text>
    </comment>
    <comment ref="D39" authorId="1" shapeId="0" xr:uid="{00000000-0006-0000-1200-000006000000}">
      <text>
        <r>
          <rPr>
            <b/>
            <sz val="8"/>
            <color indexed="81"/>
            <rFont val="Tahoma"/>
            <family val="2"/>
          </rPr>
          <t>Danielle:</t>
        </r>
        <r>
          <rPr>
            <sz val="8"/>
            <color indexed="81"/>
            <rFont val="Tahoma"/>
            <family val="2"/>
          </rPr>
          <t xml:space="preserve">
Calculated in Work Paper</t>
        </r>
      </text>
    </comment>
    <comment ref="E39" authorId="1" shapeId="0" xr:uid="{00000000-0006-0000-1200-000007000000}">
      <text>
        <r>
          <rPr>
            <b/>
            <sz val="8"/>
            <color indexed="81"/>
            <rFont val="Tahoma"/>
            <family val="2"/>
          </rPr>
          <t>Danielle:</t>
        </r>
        <r>
          <rPr>
            <sz val="8"/>
            <color indexed="81"/>
            <rFont val="Tahoma"/>
            <family val="2"/>
          </rPr>
          <t xml:space="preserve">
Calculated with Equation 6 in Work Paper</t>
        </r>
      </text>
    </comment>
    <comment ref="D41" authorId="1" shapeId="0" xr:uid="{00000000-0006-0000-1200-000008000000}">
      <text>
        <r>
          <rPr>
            <b/>
            <sz val="8"/>
            <color indexed="81"/>
            <rFont val="Tahoma"/>
            <family val="2"/>
          </rPr>
          <t>Danielle:</t>
        </r>
        <r>
          <rPr>
            <sz val="8"/>
            <color indexed="81"/>
            <rFont val="Tahoma"/>
            <family val="2"/>
          </rPr>
          <t xml:space="preserve">
Calculated in Work Paper, Measure B Measure Case energy usage section</t>
        </r>
      </text>
    </comment>
    <comment ref="E41" authorId="1" shapeId="0" xr:uid="{00000000-0006-0000-1200-000009000000}">
      <text>
        <r>
          <rPr>
            <b/>
            <sz val="8"/>
            <color indexed="81"/>
            <rFont val="Tahoma"/>
            <family val="2"/>
          </rPr>
          <t>Danielle:</t>
        </r>
        <r>
          <rPr>
            <sz val="8"/>
            <color indexed="81"/>
            <rFont val="Tahoma"/>
            <family val="2"/>
          </rPr>
          <t xml:space="preserve">
Calculated with Equation 6 in Work Paper</t>
        </r>
      </text>
    </comment>
    <comment ref="D42" authorId="1" shapeId="0" xr:uid="{00000000-0006-0000-1200-00000A000000}">
      <text>
        <r>
          <rPr>
            <b/>
            <sz val="8"/>
            <color indexed="81"/>
            <rFont val="Tahoma"/>
            <family val="2"/>
          </rPr>
          <t>Danielle:</t>
        </r>
        <r>
          <rPr>
            <sz val="8"/>
            <color indexed="81"/>
            <rFont val="Tahoma"/>
            <family val="2"/>
          </rPr>
          <t xml:space="preserve">
Calculated with Equation 1, with pool size of 20,431 gallons, 1 turnover/day, EFF=2.18) and annual pump operating days of 365.25 days/year.</t>
        </r>
      </text>
    </comment>
    <comment ref="E42" authorId="1" shapeId="0" xr:uid="{00000000-0006-0000-1200-00000B000000}">
      <text>
        <r>
          <rPr>
            <b/>
            <sz val="8"/>
            <color indexed="81"/>
            <rFont val="Tahoma"/>
            <family val="2"/>
          </rPr>
          <t>Danielle:</t>
        </r>
        <r>
          <rPr>
            <sz val="8"/>
            <color indexed="81"/>
            <rFont val="Tahoma"/>
            <family val="2"/>
          </rPr>
          <t xml:space="preserve">
Calculated with Equation 6 in Work Paper</t>
        </r>
      </text>
    </comment>
    <comment ref="D43" authorId="1" shapeId="0" xr:uid="{00000000-0006-0000-1200-00000C000000}">
      <text>
        <r>
          <rPr>
            <b/>
            <sz val="8"/>
            <color indexed="81"/>
            <rFont val="Tahoma"/>
            <family val="2"/>
          </rPr>
          <t>Danielle:</t>
        </r>
        <r>
          <rPr>
            <sz val="8"/>
            <color indexed="81"/>
            <rFont val="Tahoma"/>
            <family val="2"/>
          </rPr>
          <t xml:space="preserve">
Calculated in Work Paper, Measure B 2-Speed Base Case energy usage section</t>
        </r>
      </text>
    </comment>
    <comment ref="E43" authorId="1" shapeId="0" xr:uid="{00000000-0006-0000-1200-00000D000000}">
      <text>
        <r>
          <rPr>
            <b/>
            <sz val="8"/>
            <color indexed="81"/>
            <rFont val="Tahoma"/>
            <family val="2"/>
          </rPr>
          <t>Danielle:</t>
        </r>
        <r>
          <rPr>
            <sz val="8"/>
            <color indexed="81"/>
            <rFont val="Tahoma"/>
            <family val="2"/>
          </rPr>
          <t xml:space="preserve">
Calculated with Equation 6 in Work Paper</t>
        </r>
      </text>
    </comment>
  </commentList>
</comments>
</file>

<file path=xl/sharedStrings.xml><?xml version="1.0" encoding="utf-8"?>
<sst xmlns="http://schemas.openxmlformats.org/spreadsheetml/2006/main" count="1408" uniqueCount="471">
  <si>
    <t>Measure Code (Implement ID)</t>
  </si>
  <si>
    <t>Measure Case</t>
  </si>
  <si>
    <t>SDG&amp;E</t>
  </si>
  <si>
    <t>Energy Savings, kWh/yr</t>
  </si>
  <si>
    <t>kW Reduction</t>
  </si>
  <si>
    <t>PM-99453</t>
  </si>
  <si>
    <t>Variable Speed Drive on Pool Pump Control replacing Single Speed Pool Pump for Spa or Wading Pool</t>
  </si>
  <si>
    <t>SCE</t>
  </si>
  <si>
    <t>PG&amp;E</t>
  </si>
  <si>
    <t>Program Type</t>
  </si>
  <si>
    <t xml:space="preserve"> Applicable Base Case</t>
  </si>
  <si>
    <t>Solution Code</t>
  </si>
  <si>
    <t>Building Types</t>
  </si>
  <si>
    <t>Measure A</t>
  </si>
  <si>
    <t>PM-78394</t>
  </si>
  <si>
    <t>Measure B</t>
  </si>
  <si>
    <t>Measure A2</t>
  </si>
  <si>
    <t>PM-69234</t>
  </si>
  <si>
    <t>PM-xxxx</t>
  </si>
  <si>
    <t>Measure Name</t>
  </si>
  <si>
    <t>SFm</t>
  </si>
  <si>
    <t>ROB</t>
  </si>
  <si>
    <t>DI</t>
  </si>
  <si>
    <t>DSD</t>
  </si>
  <si>
    <t>Delivery Method</t>
  </si>
  <si>
    <t>Commissioned Variable Speed Drive on Pool Pump Controls replacing Two Speed Pool Pump</t>
  </si>
  <si>
    <t>PM-98422</t>
  </si>
  <si>
    <t>Measure C</t>
  </si>
  <si>
    <t>Applicable Savings (CZ15)</t>
  </si>
  <si>
    <t>Applicable Savings (All other CZ)</t>
  </si>
  <si>
    <t>Variable Speed Drive on Pool Pump Controls replacing Two Speed Pool Pump</t>
  </si>
  <si>
    <t>Commissioned Variable Speed Motor in Pool Pump replacing Two Speed Pool Motor</t>
  </si>
  <si>
    <t>Commissioned Variable Speed Drive on Pool Pump Controls replacing Single Speed Pool Pump</t>
  </si>
  <si>
    <t>Measure Code</t>
  </si>
  <si>
    <t>Description</t>
  </si>
  <si>
    <t>Base Case</t>
  </si>
  <si>
    <t>Building Type</t>
  </si>
  <si>
    <t>Single Family Homes</t>
  </si>
  <si>
    <t>Multifamily Homes</t>
  </si>
  <si>
    <t>Measure D</t>
  </si>
  <si>
    <t>Programmable Variable Speed Drive on Pool Pump Control replacing Single Speed Pool Pump</t>
  </si>
  <si>
    <t>Install Type</t>
  </si>
  <si>
    <t>ER</t>
  </si>
  <si>
    <t>EU</t>
  </si>
  <si>
    <t>Volume</t>
  </si>
  <si>
    <t>Turnovers</t>
  </si>
  <si>
    <t>Days</t>
  </si>
  <si>
    <t>Energy Factor (gal/W-hr)</t>
  </si>
  <si>
    <t>Measures</t>
  </si>
  <si>
    <t>Measure</t>
  </si>
  <si>
    <t>Savings</t>
  </si>
  <si>
    <t>Market Percent</t>
  </si>
  <si>
    <t>Baseline - Weighted</t>
  </si>
  <si>
    <t>Baseline - Mode 1</t>
  </si>
  <si>
    <t>Baseline - Mode 2 Low Speed</t>
  </si>
  <si>
    <t>Baseline - Mode 2 High Speed</t>
  </si>
  <si>
    <t>Baseline - Mode 2 Total</t>
  </si>
  <si>
    <t>Measure - Mode 1</t>
  </si>
  <si>
    <t>Measure - Mode 2 Low Speed</t>
  </si>
  <si>
    <t>Measure - Mode 2 High Speed</t>
  </si>
  <si>
    <t>Measure - Mode 2 Total</t>
  </si>
  <si>
    <t>Measure - Weighted Total</t>
  </si>
  <si>
    <t>Baseline - Weighted Total</t>
  </si>
  <si>
    <t>Enegy Usage</t>
  </si>
  <si>
    <t>Baseline - Mode 1 (1st Baseline)</t>
  </si>
  <si>
    <t>(Same as Measure A, 2 Speed)</t>
  </si>
  <si>
    <t>Baseline  - 1 Speed</t>
  </si>
  <si>
    <t>Measure - Variable Speed</t>
  </si>
  <si>
    <t>Saving</t>
  </si>
  <si>
    <t>Demand Calculations</t>
  </si>
  <si>
    <t>Non Coincident kW</t>
  </si>
  <si>
    <t>CDF</t>
  </si>
  <si>
    <t>Peak Demand</t>
  </si>
  <si>
    <t xml:space="preserve">Baseline- 2-speed </t>
  </si>
  <si>
    <t>Peak Demand Reduction</t>
  </si>
  <si>
    <t>2nd Baseline</t>
  </si>
  <si>
    <t xml:space="preserve">Baseline- 1-speed </t>
  </si>
  <si>
    <t>Notes</t>
  </si>
  <si>
    <t xml:space="preserve">Notes: </t>
  </si>
  <si>
    <t>Baseline</t>
  </si>
  <si>
    <t>2-Speed</t>
  </si>
  <si>
    <t>1-Speed / 2-Speed</t>
  </si>
  <si>
    <t>Energy Use</t>
  </si>
  <si>
    <t>1-Speed</t>
  </si>
  <si>
    <t>Multifamily</t>
  </si>
  <si>
    <t>Single Family</t>
  </si>
  <si>
    <t>SCE Sol Code</t>
  </si>
  <si>
    <t>PM-79353</t>
  </si>
  <si>
    <t>Spa, Programmed</t>
  </si>
  <si>
    <t>Wading, Programmed</t>
  </si>
  <si>
    <t>Swimming, Programmed</t>
  </si>
  <si>
    <t>Res. Pool, Programmed</t>
  </si>
  <si>
    <r>
      <t xml:space="preserve">VSD Pool Pump </t>
    </r>
    <r>
      <rPr>
        <b/>
        <sz val="9"/>
        <rFont val="Arial"/>
        <family val="2"/>
      </rPr>
      <t>Programmed per Spec</t>
    </r>
    <r>
      <rPr>
        <sz val="9"/>
        <rFont val="Arial"/>
        <family val="2"/>
      </rPr>
      <t xml:space="preserve"> (Source: WPSCREWP001.3, </t>
    </r>
    <r>
      <rPr>
        <b/>
        <sz val="9"/>
        <rFont val="Arial"/>
        <family val="2"/>
      </rPr>
      <t>Climate Zone 15</t>
    </r>
    <r>
      <rPr>
        <sz val="9"/>
        <rFont val="Arial"/>
        <family val="2"/>
      </rPr>
      <t>)</t>
    </r>
  </si>
  <si>
    <r>
      <t xml:space="preserve">VSD Pool Pump                 </t>
    </r>
    <r>
      <rPr>
        <b/>
        <sz val="9"/>
        <rFont val="Arial"/>
        <family val="2"/>
      </rPr>
      <t>Standard Install</t>
    </r>
    <r>
      <rPr>
        <sz val="9"/>
        <rFont val="Arial"/>
        <family val="2"/>
      </rPr>
      <t xml:space="preserve">                                          (Source: WPSCREWP001.3)</t>
    </r>
  </si>
  <si>
    <t>Basecase</t>
  </si>
  <si>
    <t>Energy Savings (kWh)</t>
  </si>
  <si>
    <t>Δ Incremental kWh</t>
  </si>
  <si>
    <t>Single Speed Pool Pump</t>
  </si>
  <si>
    <t>2-Speed Pool Pump</t>
  </si>
  <si>
    <r>
      <t xml:space="preserve">VSD Pool Pump                 </t>
    </r>
    <r>
      <rPr>
        <b/>
        <sz val="9"/>
        <rFont val="Arial"/>
        <family val="2"/>
      </rPr>
      <t>Standard Install</t>
    </r>
    <r>
      <rPr>
        <sz val="9"/>
        <rFont val="Arial"/>
        <family val="2"/>
      </rPr>
      <t xml:space="preserve">                                          (Source: WPSCREWP001.3</t>
    </r>
    <r>
      <rPr>
        <sz val="9"/>
        <rFont val="Arial"/>
        <family val="2"/>
      </rPr>
      <t>)</t>
    </r>
  </si>
  <si>
    <t>Demand Reduction (kW)</t>
  </si>
  <si>
    <t>Δ Incremental Kw</t>
  </si>
  <si>
    <t>Operating Hours</t>
  </si>
  <si>
    <t>Reduction Factor</t>
  </si>
  <si>
    <t xml:space="preserve">Market Percentage </t>
  </si>
  <si>
    <t>Weighted Energy Savings (kWh)</t>
  </si>
  <si>
    <t>Weighted Demand Reduction (kW)</t>
  </si>
  <si>
    <t>Energy Usage (kWh/yr)</t>
  </si>
  <si>
    <t>Peak Demand (kW)</t>
  </si>
  <si>
    <t>Programmed VSD Pool Pump (Climate Zone 15)</t>
  </si>
  <si>
    <t>Single-Speed Pool Pump (Climate Zone 15 A Base Case)</t>
  </si>
  <si>
    <t>Two-Speed Puol Pump (Climate Zone 15 Base Case)</t>
  </si>
  <si>
    <t>Single-Speed Pool Pump (All SCE Climate Zones Base Case)</t>
  </si>
  <si>
    <t>CZ 15 Savings</t>
  </si>
  <si>
    <t>CZ 15 Peak Demand Reduction</t>
  </si>
  <si>
    <t>All Other CZ Savings</t>
  </si>
  <si>
    <t>All Other CZ Peak Demand Reduction</t>
  </si>
  <si>
    <t>CZ 15 - 1st Baseline Savings</t>
  </si>
  <si>
    <t>CZ 15 - 2nd Baseline Savings</t>
  </si>
  <si>
    <t>All Other CZ - 1st Baseline Savings</t>
  </si>
  <si>
    <t>All Other CZ - 2nd Baseline Savings</t>
  </si>
  <si>
    <t>1st Baseline</t>
  </si>
  <si>
    <t>SCE Solution Code</t>
  </si>
  <si>
    <t>PM-19753</t>
  </si>
  <si>
    <t>PM-19754</t>
  </si>
  <si>
    <t>Self-Installed Variable Speed Drive on Pool Pump Controls replacing Two Speed Pool Pump</t>
  </si>
  <si>
    <t>Variable-speed pumps (Self Installed)</t>
  </si>
  <si>
    <t>Programmable Variable Speed Drive on Pool Pump Control replacing Single Speed Pool Pump for Spa Pool</t>
  </si>
  <si>
    <t>Programmable Variable Speed Drive on Pool Pump Control replacing Single Speed Pool Pump for Wading Pool</t>
  </si>
  <si>
    <t>1st Baseline kW Red.</t>
  </si>
  <si>
    <t>2nd Baseline kW Red.</t>
  </si>
  <si>
    <t>1st Baseline kWh Saving</t>
  </si>
  <si>
    <t>2nd Baseline kWh savings</t>
  </si>
  <si>
    <t>Measure Type</t>
  </si>
  <si>
    <t>1st Baseline kW Reduction</t>
  </si>
  <si>
    <t>2nd Baseline kW Reduction</t>
  </si>
  <si>
    <t>100% Two Speed Pool Pumps</t>
  </si>
  <si>
    <t>Measure F</t>
  </si>
  <si>
    <t>Measure G</t>
  </si>
  <si>
    <t>1-Speed Pump</t>
  </si>
  <si>
    <t>Source/Notes</t>
  </si>
  <si>
    <t>2-Speed Pump</t>
  </si>
  <si>
    <t>Variable Speed Pump</t>
  </si>
  <si>
    <t>Non Coincident Demand (kW)</t>
  </si>
  <si>
    <t>Coincidence Factor</t>
  </si>
  <si>
    <t>Peak Coincident Electric Demands</t>
  </si>
  <si>
    <t>See Peak Demand Calculations Tab for Notes and Sources</t>
  </si>
  <si>
    <t>Measures D</t>
  </si>
  <si>
    <t>Measures C</t>
  </si>
  <si>
    <t>Measures B</t>
  </si>
  <si>
    <t>Measures A</t>
  </si>
  <si>
    <t>Res. Pool, Self Installed (Non-Programmed)</t>
  </si>
  <si>
    <t>Two-Speed Pool Pump (All SCE Climate Zones Base Case)</t>
  </si>
  <si>
    <t>Baseline energy usage is calculated using Eqn 1 from workpaper. Based on EC&amp;C database, 94.4% of 2-speed pumps filter pools only, for 0.98 turnovers per day. 5.6% pools also have pool sweeps at high power, for more turnovers per day. Weighted baselines were calculated on aforementioned percentages. Measure value is taken directly from EC&amp;C Database. EC&amp;C study from CZ15. All other CZ extrapolated. See section 2.1.2 in SCE17WP001.0. Savings approved by CPUC in 2017 Disposition.</t>
  </si>
  <si>
    <t>See Peak Demand Calculations Tab for Notes and Sources for CZ15 peak demands. For adjustments for all other CZ reductions see tab "Meas. A &amp; C, CZ Adjustement"</t>
  </si>
  <si>
    <t xml:space="preserve">1st Baseline- 1-speed </t>
  </si>
  <si>
    <t xml:space="preserve">2nd Baseline- 2-speed </t>
  </si>
  <si>
    <t>CZ 15 - 1st Peak Demand Reduction</t>
  </si>
  <si>
    <t>CZ 15 - 2nd Peak Demand Reduction</t>
  </si>
  <si>
    <t>Pump is programmed to not operate during peak times so Measure demand is 0 kW.See Peak Demand Calculations Tab for Notes and Sources</t>
  </si>
  <si>
    <t>Pump is programmed to not operate during peak times so Measure demand is 0 kW See Peak Demand Calculations Tab for Notes and Sources for CZ15 peak demands. For adjustments for all other CZ reductions see tab "Meas. A &amp; C, CZ Adjustement"</t>
  </si>
  <si>
    <t>INDEE Program records (see WP Section 2.1.1.2)</t>
  </si>
  <si>
    <t>CEC appliance database, average of low GPM from Curve A and B (see WP Section 2.1.1.3)</t>
  </si>
  <si>
    <t>Average 491 records, INDEE Program  (see WP Section 2.1.1.2)</t>
  </si>
  <si>
    <t>2001 and 2008 SCE DR response potential Studies.  Average of factors across peak demand times (see WP Section 2.2.1 &amp;2.2.2)</t>
  </si>
  <si>
    <t>Average 491 records, INDEE Program  ( (see WP Section 2.2.1 &amp;2.2.2))</t>
  </si>
  <si>
    <t>CEC appliance database, Curve B at low flow (20.7gpm) (see WP Section 2.2.1 &amp;2.2.2)</t>
  </si>
  <si>
    <r>
      <t>Estimated</t>
    </r>
    <r>
      <rPr>
        <sz val="9"/>
        <rFont val="Arial"/>
        <family val="2"/>
      </rPr>
      <t xml:space="preserve"> Impacts for VSD Pool Pump </t>
    </r>
    <r>
      <rPr>
        <b/>
        <sz val="9"/>
        <rFont val="Arial"/>
        <family val="2"/>
      </rPr>
      <t>Programmed per Spec    All Climate Zones except 15</t>
    </r>
  </si>
  <si>
    <r>
      <t>Estimated</t>
    </r>
    <r>
      <rPr>
        <sz val="9"/>
        <rFont val="Arial"/>
        <family val="2"/>
      </rPr>
      <t xml:space="preserve"> Impacts for VSD Pool Pump </t>
    </r>
    <r>
      <rPr>
        <b/>
        <sz val="9"/>
        <rFont val="Arial"/>
        <family val="2"/>
      </rPr>
      <t>Programmed per Spec          All Climate Zones except 15</t>
    </r>
  </si>
  <si>
    <r>
      <t>Note:</t>
    </r>
    <r>
      <rPr>
        <sz val="11"/>
        <color theme="1"/>
        <rFont val="Calibri"/>
        <family val="2"/>
        <scheme val="minor"/>
      </rPr>
      <t xml:space="preserve"> Climate Zone : ALL indicates that the savings apply to all Climate Zones except CZ15</t>
    </r>
  </si>
  <si>
    <t>Non-Programmed VSD Pool Pump (All Climate Zones except CZ15)</t>
  </si>
  <si>
    <t>SCG</t>
  </si>
  <si>
    <t>Average Pool Size (gallons)</t>
  </si>
  <si>
    <t>Std. Dev. (gallons)</t>
  </si>
  <si>
    <t>Minimum Size (gallons)</t>
  </si>
  <si>
    <t>Maximum Size (gallons)</t>
  </si>
  <si>
    <t>Count</t>
  </si>
  <si>
    <t>Weighted Average</t>
  </si>
  <si>
    <t xml:space="preserve">Average pool sizes from Attachment 12. </t>
  </si>
  <si>
    <t>Commissioned variable-speed pumps</t>
  </si>
  <si>
    <t>Programmed variable-speed pumps</t>
  </si>
  <si>
    <t>Measure A
(PM-78394)</t>
  </si>
  <si>
    <t>Measure B 
(PM-98422)</t>
  </si>
  <si>
    <t>Measure C
 (PM-69234)</t>
  </si>
  <si>
    <t>Measure D 
(PM-79353)</t>
  </si>
  <si>
    <t>Measure F 
(PM-19753)</t>
  </si>
  <si>
    <t>Measure G 
(PM-19754)</t>
  </si>
  <si>
    <t>100% Two Speed Pool Pumps (Required 2 speed in disposion)</t>
  </si>
  <si>
    <t>Baseline Energy usage is calculated using Eqn 1 from workpaper. Based on EC&amp;C database, 94.4% of 2-speed pumps filter pools only, for 0.98 turnovers per day. 5.6% pools also have pool sweeps at high power, for more turnovers per day. Weighted baselines were calculated on aforementioned percentages.
Measure value is taken directly from EC&amp;C Database. EC&amp;C study from CZ15. All other CZ extrapolated. See section 2.1.2 in SCE17WP001.0. Savings approved by CPUC in 2017 Disposition.</t>
  </si>
  <si>
    <t>General Note</t>
  </si>
  <si>
    <t>No</t>
  </si>
  <si>
    <t>Yes</t>
  </si>
  <si>
    <t>1. All ER measures require thrid party verification including data collection/gathering in full compliance with POE requirements  
2. Program design includes Direct Install type of offering with Downstream incentive</t>
  </si>
  <si>
    <t xml:space="preserve">POE
Requirements </t>
  </si>
  <si>
    <t>1st Baseline (Pre)</t>
  </si>
  <si>
    <t>2nd Baseline (Std)</t>
  </si>
  <si>
    <t>Baseline  - 2 Speed</t>
  </si>
  <si>
    <t>1st Baseline Saving</t>
  </si>
  <si>
    <t>2nd Baseline Saving</t>
  </si>
  <si>
    <t>1st Baseline Peak Demand Reduction</t>
  </si>
  <si>
    <t>2nd Baseline Peak Demand Reduction</t>
  </si>
  <si>
    <t>Uses Equation 1 from WP as noted in Disposition, and values noted in disposition. Assumes 1 speed baseline 1st baseline and 2-speed 2nd baseline. Uses 1 and 2 speed EFF for baselines and Variable speed EFF for measure. See section 2.1.2 in workpaper.</t>
  </si>
  <si>
    <t>2nd Baseline  - 2 Speed</t>
  </si>
  <si>
    <t>1st Baseline: Single Speed Pump  
2nd Baseline: 100% Two Speed Pool Pumps</t>
  </si>
  <si>
    <t xml:space="preserve">1st Baseline: 100% Single Speed Pool Pumps 
(Approved by CS in disposition)
2nd Baseline: 100% Two Speed Pool Pump
</t>
  </si>
  <si>
    <t xml:space="preserve">Uses Equation 1 from WP as noted in Disposition, and turnover noted in disposition. Volume taken as the weighted average of pools from SCE's Metering and Measuring of Multi-Family Pool Pumps – Phase 2 (Attachment 12).   Assumes 1 speed  1st baseline and 2-speed 2nd baseline. Uses 1 and 2 speed EFF for baselines and Variable speed EFF for measure. See section 2.1.2 in workpaper.
Note: Pool volume deviates from disposition because a SCE's 2016 report, Metering and Measuring of Multi-Family Pool Pumps report was available and showed a more conservative value for pool volumes. </t>
  </si>
  <si>
    <t>Energy usage is calculated using Eqn 1 from workpaper. Pool volume, turnover rate, pump size, efficiency and operating paramters were obtained from multiple database sources (InDEE). Measure is assumed to not be programmed, but operate with the same modes (filtering only vs filtering + sweeping) as assumed in Measures A and C. Variable speed EF values are taken from Curves A and B from CEC applicance database for pumps. 
Savings approved by CPUC in 2017 Disposition.</t>
  </si>
  <si>
    <t xml:space="preserve">Input parameters and measure savings approved per Dispositon 
FOR WORKPAPERS COVERING RESIDENTIAL VARIABLE SPEED POOL PUMPS
CPUC, ED, March 1, 2017
</t>
  </si>
  <si>
    <t xml:space="preserve">Estimated </t>
  </si>
  <si>
    <t>Disposition</t>
  </si>
  <si>
    <t>Disposition from Measure A</t>
  </si>
  <si>
    <t>Measure - Weighted</t>
  </si>
  <si>
    <t>Filter Volume</t>
  </si>
  <si>
    <t>Sweep Volume</t>
  </si>
  <si>
    <t>Wtd Sweep %</t>
  </si>
  <si>
    <t>Wtd Filter only %</t>
  </si>
  <si>
    <t>Filter Only Turnovers</t>
  </si>
  <si>
    <t>Filter Turnovers</t>
  </si>
  <si>
    <t>Sweep Turnover</t>
  </si>
  <si>
    <t>Turnover</t>
  </si>
  <si>
    <t>EF</t>
  </si>
  <si>
    <t>kWh</t>
  </si>
  <si>
    <t>Peak kW</t>
  </si>
  <si>
    <t>Pool Type</t>
  </si>
  <si>
    <t>Swimming</t>
  </si>
  <si>
    <t>Case</t>
  </si>
  <si>
    <t>GPM</t>
  </si>
  <si>
    <t>Single Speed Pump (Filter only)</t>
  </si>
  <si>
    <t>Mode 1</t>
  </si>
  <si>
    <t>Mode 2A</t>
  </si>
  <si>
    <t>Mode 2B</t>
  </si>
  <si>
    <t>Filter Only Pumps</t>
  </si>
  <si>
    <t>Filter + Sweep Operation Pumps. Filter Mode</t>
  </si>
  <si>
    <t>Filter + Sweep Operation Pumps. Sweep Mode</t>
  </si>
  <si>
    <t>EF (Gal/W*hr)</t>
  </si>
  <si>
    <t>Turnover (per day)</t>
  </si>
  <si>
    <t>Volume (gal)</t>
  </si>
  <si>
    <t>2-Speed Pump- Mode 1 (Filter only)</t>
  </si>
  <si>
    <t>VSD Pump- Mode 1 (Filter only)</t>
  </si>
  <si>
    <t>Percent of pools with Mode 1 operations, weighted by pool volume</t>
  </si>
  <si>
    <t>Percent of pools with Mode 2 operations, weighted by pool volume</t>
  </si>
  <si>
    <t>Market % (for multi speed systems)</t>
  </si>
  <si>
    <t>Not Applicable - Only 1 mode for single speed.</t>
  </si>
  <si>
    <t>2-Speed Pump - Mode 2A (Filter Mode)</t>
  </si>
  <si>
    <t>VSD Pump - Mode 2A (Filter Mode)</t>
  </si>
  <si>
    <t>2-speed Pump - Mode 2B (Sweep Mode)</t>
  </si>
  <si>
    <t>VSD Pump - Mode 2B (Sweep Mode)</t>
  </si>
  <si>
    <t>N/A</t>
  </si>
  <si>
    <t>MFM</t>
  </si>
  <si>
    <t>Single Speed Pump</t>
  </si>
  <si>
    <t>VSD Pump</t>
  </si>
  <si>
    <t>Spa</t>
  </si>
  <si>
    <t>Wading</t>
  </si>
  <si>
    <t>Wtd Average Vol from 2016 SCE MFm pool study (2016) Attachment 12.</t>
  </si>
  <si>
    <t>Average Turnover from 2016 SCE MFm pool study (2016) for single speed baseline and multispeed measure (Attachment 12.)</t>
  </si>
  <si>
    <t>Average GPM from 2016 SCE MFm pool study (2016) Attachment 12.</t>
  </si>
  <si>
    <t>Pool volume provided by CPUC Dispositon FOR WORKPAPERS COVERING RESIDENTIAL VARIABLE SPEED POOL PUMPS CPUC, ED, March 1, 2017</t>
  </si>
  <si>
    <t>Turnovers per day provided by CPUC Dispositon FOR WORKPAPERS COVERING RESIDENTIAL VARIABLE SPEED POOL PUMPS CPUC, ED, March 1, 2017</t>
  </si>
  <si>
    <t>Average GPM based on pool volume and turnovers provided by CPUC Dispositon FOR WORKPAPERS COVERING RESIDENTIAL VARIABLE SPEED POOL PUMPS CPUC, ED, March 1, 2017</t>
  </si>
  <si>
    <t>Base Demand</t>
  </si>
  <si>
    <t>Coincident Base Demand</t>
  </si>
  <si>
    <t>Measure Demand</t>
  </si>
  <si>
    <t>Coincident Measure Demand</t>
  </si>
  <si>
    <t>Coincident Demand Reduction</t>
  </si>
  <si>
    <t>1-speed</t>
  </si>
  <si>
    <t>2-speed</t>
  </si>
  <si>
    <t>Multi Family</t>
  </si>
  <si>
    <t>NEW</t>
  </si>
  <si>
    <t xml:space="preserve">EF based on  EF vs GPM correlation of 2018 CEC database of variable speed pumps  (1-3 HP). Curve A is used because it is representative of new construction T24 pools.  GPM of Average Filter only flow is used to find EF. </t>
  </si>
  <si>
    <t xml:space="preserve">EF based on  EF vs GPM correlation of 2018 CEC database of variable speed pumps  (1-3 HP). Curve B is used because it best matches installed data at low speeds. See Analysis 2 tab for more details.  GPM of Average Mode 2A operation is used to find EF. </t>
  </si>
  <si>
    <t xml:space="preserve">EF based on  EF vs GPM correlation of 2018 CEC database of variable speed pumps (1-3 HP). Curve A is used because it best matches installed data at High speeds. See Analysis 2 tab for more details.  GPM of Average Mode 2B operation is used to find EF. </t>
  </si>
  <si>
    <t>1st Baseline Savings</t>
  </si>
  <si>
    <t>2nd Baseline Savings</t>
  </si>
  <si>
    <t xml:space="preserve"> Savings</t>
  </si>
  <si>
    <t xml:space="preserve"> Peak Demand Reduction</t>
  </si>
  <si>
    <t>(Same as Measure A, measure Case</t>
  </si>
  <si>
    <t>MFm</t>
  </si>
  <si>
    <t>1-speed GPM--&gt;</t>
  </si>
  <si>
    <t>VS GPM--&gt;</t>
  </si>
  <si>
    <t>Pump Type</t>
  </si>
  <si>
    <t>Curve</t>
  </si>
  <si>
    <t>Power vs GPM Curve</t>
  </si>
  <si>
    <t>Baseline (Watts)</t>
  </si>
  <si>
    <t>Mode 1 (Watts)</t>
  </si>
  <si>
    <t>Mode 2A (Watts)</t>
  </si>
  <si>
    <t>Mode 2B (Watts)</t>
  </si>
  <si>
    <t>Swimming (Watts)</t>
  </si>
  <si>
    <t>Spa (Watts)</t>
  </si>
  <si>
    <t>Wading (Watts)</t>
  </si>
  <si>
    <t>Single Speed</t>
  </si>
  <si>
    <t>Curve A</t>
  </si>
  <si>
    <t>y = 0.4821x2 - 1.4193x</t>
  </si>
  <si>
    <t>Curve B</t>
  </si>
  <si>
    <t>y = 0.9453x2 + 2.5415x</t>
  </si>
  <si>
    <t>y = 0.4933x2 - 2.6782x</t>
  </si>
  <si>
    <t>y = 1.0826x2 - 1.8467x</t>
  </si>
  <si>
    <t>Variable Speed</t>
  </si>
  <si>
    <t>y = 0.5618x2 - 9.4943x</t>
  </si>
  <si>
    <t>y = 1.4823x2 - 20.247</t>
  </si>
  <si>
    <t>GPM--&gt;</t>
  </si>
  <si>
    <t>1st Peak Demand Reduction</t>
  </si>
  <si>
    <t xml:space="preserve"> 2nd Peak Demand Reduction</t>
  </si>
  <si>
    <t>Energy Savings</t>
  </si>
  <si>
    <t>System/Mode</t>
  </si>
  <si>
    <t>2-Speed: Mode 1 (Filter Only)</t>
  </si>
  <si>
    <t>2-Speed: Mode 2A (Filter)</t>
  </si>
  <si>
    <t>2-Speed: Mode 2B (Sweeping)</t>
  </si>
  <si>
    <t>Variable Speed: Mode 2B (Sweeping)</t>
  </si>
  <si>
    <t>Turnover (/day), [T]</t>
  </si>
  <si>
    <t>Energy Factor (Gal/W-hr), [EF]</t>
  </si>
  <si>
    <t>Pool Volume (Gal), [V]</t>
  </si>
  <si>
    <t xml:space="preserve">
Average Volume from SCE SFm database (1-3 HP only)</t>
  </si>
  <si>
    <t>Average of baseline single speed turnovers from SCE SFm database (1-3Hp)</t>
  </si>
  <si>
    <t>Average of baseline single speed GPM from SCE SFm database (1-3Hp)</t>
  </si>
  <si>
    <t>22 gpm - Average of Filter only VS measure case gpm from SCE SFm database (1-3hp)</t>
  </si>
  <si>
    <t>17.8 - Average Filter from Mode 2A (Filter mode of Filter+ Sweep pumps) VS measure case gpm from SCE SFm database (1-3hp)</t>
  </si>
  <si>
    <t>Average Filter from Filter+ Sweep pumps VS measure case turnovers from SCE SFm database (1-3hp)</t>
  </si>
  <si>
    <t>47.6 gpm - Average Filter from Mode 2B (Sweep mode of Filter+ Sweep pumps) VS measure case gpm from SCE SFm database (1-3hp)</t>
  </si>
  <si>
    <t>C</t>
  </si>
  <si>
    <t>EU Name</t>
  </si>
  <si>
    <t>Building</t>
  </si>
  <si>
    <t>Multi-Family</t>
  </si>
  <si>
    <t xml:space="preserve">Energy Ussage (kWh/year) </t>
  </si>
  <si>
    <t>2-Speed: Mode 1 and 2 Weighted</t>
  </si>
  <si>
    <t>Market %, [W%]</t>
  </si>
  <si>
    <t>EU_SFm, 2-spd: Wtd</t>
  </si>
  <si>
    <t xml:space="preserve">Energy Usage (kWh/year) </t>
  </si>
  <si>
    <t>Baseline/ Measure Case</t>
  </si>
  <si>
    <t xml:space="preserve">Days </t>
  </si>
  <si>
    <t>Energy Usage ID</t>
  </si>
  <si>
    <t>EU_SFm, 1-spd</t>
  </si>
  <si>
    <t>EU_SFm, 2-spd: M1</t>
  </si>
  <si>
    <t>EU_SFm, 2-spd: M2A</t>
  </si>
  <si>
    <t>EU_SFm, 2-spd: M2B</t>
  </si>
  <si>
    <t>EU_SFm, VS: M2B</t>
  </si>
  <si>
    <t>EU_MFm, Swim, 1-spd</t>
  </si>
  <si>
    <t>EU_MFm, Spa, 1-spd</t>
  </si>
  <si>
    <t>EU_MFm, Spa, 2-spd</t>
  </si>
  <si>
    <t>EU_MFm, Spa, VS</t>
  </si>
  <si>
    <t>EU_MFm, Wade, 1-spd</t>
  </si>
  <si>
    <t>EU_MFm, Wade, 2-spd</t>
  </si>
  <si>
    <t>EU_MFm, Wade, VS</t>
  </si>
  <si>
    <t>RET</t>
  </si>
  <si>
    <t xml:space="preserve">SFm 2-speed Weighted </t>
  </si>
  <si>
    <t>Electrid Demand (kW)</t>
  </si>
  <si>
    <t>Coincident Demand</t>
  </si>
  <si>
    <t>Peak Electric Demand</t>
  </si>
  <si>
    <t>Energy</t>
  </si>
  <si>
    <t xml:space="preserve">Average of Mode 1 (Filter only) VS measure case turnovers from SCE SFm database (1-3hp). Assumes Programmed not to operate 12-6pm. Applies to both 2-speed and VS pumps. </t>
  </si>
  <si>
    <t xml:space="preserve">Average Filter (Mode 2) Filter+ Sweep pumps VS measure case turnovers from SCE SFm database (1-3hp). Assumes Programmed not to operate 12-6pm.  Applies to both 2-speed and VS pumps. </t>
  </si>
  <si>
    <t xml:space="preserve">Non-Programmed pump assumed to operate an additional 3 hours per day between 12-6pm, but not 2-5pm because of T24. Applies to just measure case VS pumps. </t>
  </si>
  <si>
    <t>EU_SFm, VS: M1, Pr</t>
  </si>
  <si>
    <t>EU_SFm, VS: M1, NPr</t>
  </si>
  <si>
    <t>EU_SFm, VS: M2A, Pr</t>
  </si>
  <si>
    <t>EU_SFm, VS: M2A, NPr</t>
  </si>
  <si>
    <t>EU_SFm, VS: Wtd, Pr</t>
  </si>
  <si>
    <t>EU_SFm, VS: Wtd, NPr</t>
  </si>
  <si>
    <t>Variable Speed: Mode 1 (Filter Only), Commissioned</t>
  </si>
  <si>
    <t>Variable Speed: Mode 1 (Filter Only), Non-Commissioned</t>
  </si>
  <si>
    <t>Variable Speed: Mode 2A (Filter), Commissioned</t>
  </si>
  <si>
    <t>Variable Speed: Mode 2A (Filter), Non-Commissioned</t>
  </si>
  <si>
    <t>Variable Speed: Mode 1 and 2 Weighted, Commissioned</t>
  </si>
  <si>
    <t>Variable Speed: Mode 1 and 2 Weighted, Non-Commissioned</t>
  </si>
  <si>
    <t>Minimum of 15GPM used to estimate Energy Factor, based on observation that EF become independent of flow under 15GPM. Average GPM based on pool volume and turnovers provided by CPUC Disposition FOR WORKPAPERS COVERING RESIDENTIAL VARIABLE SPEED POOL PUMPS CPUC, ED, March 1, 2017 was only 12 GPM, thus 15 GPM was chosen.</t>
  </si>
  <si>
    <t>2-Speed Pump (High Speed)</t>
  </si>
  <si>
    <t>VSD Pump (High Speed)</t>
  </si>
  <si>
    <t>2-Speed Pump (Low Speed)</t>
  </si>
  <si>
    <t>VSD Pump (Low Speed)</t>
  </si>
  <si>
    <t>1st Baseline  - 1 Speed</t>
  </si>
  <si>
    <t>2nd Baseline  - 2 Speed (Low Speed)</t>
  </si>
  <si>
    <t>2nd Baseline  - 2 Speed (High Speed)</t>
  </si>
  <si>
    <t>Baseline  - 2 Speed Total</t>
  </si>
  <si>
    <t>Measure - Variable Speed Total</t>
  </si>
  <si>
    <t>Measure - Variable Speed (High Speed)</t>
  </si>
  <si>
    <t>Measure - Variable Speed (Low Speed)</t>
  </si>
  <si>
    <t>2-Speed (High Speed)</t>
  </si>
  <si>
    <t>Variable Speed (High Speed)</t>
  </si>
  <si>
    <t>2-Speed (Low Speed)</t>
  </si>
  <si>
    <t>Variable Speed (Low Speed)</t>
  </si>
  <si>
    <t>EU_MFm, Swim, 2-spd High</t>
  </si>
  <si>
    <t>EU_MFm, Swim, VS High</t>
  </si>
  <si>
    <t>EU_MFm, Swim, 2-spd Low</t>
  </si>
  <si>
    <t>EU_MFm, Swim, VS Low</t>
  </si>
  <si>
    <t>EU_MFm, Swim, 2-spd High + EU_MFm, Swim, 2-spd Low</t>
  </si>
  <si>
    <t>EU_MFm, Swim, VS High+EU_MFm, Swim, VS Low</t>
  </si>
  <si>
    <r>
      <t xml:space="preserve">EF Based on Average EF of 1-speed 2008 CEC database Curve A values at 1.5 HP. This horsepower was chosen because it is within 5% of the average horsepower found in the SCE MFm study (see MFm Report Values tab). Curve A is used because it is more representative of pumps at higher speeds. 
</t>
    </r>
    <r>
      <rPr>
        <b/>
        <sz val="9"/>
        <color rgb="FFFF0000"/>
        <rFont val="Calibri"/>
        <family val="2"/>
        <scheme val="minor"/>
      </rPr>
      <t>Function (1.5hp, Curve A)</t>
    </r>
  </si>
  <si>
    <r>
      <t xml:space="preserve">EF Based on Average EF of 1-speed 2008 CEC database Curve A values at 1.5 HP. This horsepower was chosen because it is within 5% of the average horsepower found in the SCE MFm study (see MFm Report Values tab). Curve A is used because it is more representative of pumps at higher speeds. 
</t>
    </r>
    <r>
      <rPr>
        <b/>
        <sz val="9"/>
        <color rgb="FFFF0000"/>
        <rFont val="Calibri"/>
        <family val="2"/>
        <scheme val="minor"/>
      </rPr>
      <t>Function(1.5hp, CurveA)</t>
    </r>
  </si>
  <si>
    <r>
      <t xml:space="preserve">EF based on  EF vs GPM correlation of 2018 CEC database of 2-speed pumps (1-3 HP). Curve A is used because it is representative of new construction T24 pools.  Average GPM based on pool volume and turnovers provided by CPUC Disposition 
FOR WORKPAPERS COVERING RESIDENTIAL VARIABLE SPEED POOL PUMPS
CPUC, ED, March 1, 2017
</t>
    </r>
    <r>
      <rPr>
        <b/>
        <sz val="9"/>
        <color rgb="FFFF0000"/>
        <rFont val="Calibri"/>
        <family val="2"/>
        <scheme val="minor"/>
      </rPr>
      <t xml:space="preserve">Function(Disp_Turnover, CurveA_2sp)
</t>
    </r>
  </si>
  <si>
    <r>
      <t xml:space="preserve">EF based on  EF vs GPM correlation of 2018 CEC database of variable speed pumps (1-3 HP). Curve A is used because it is representative of new construction T24 pools.  Average GPM based on pool volume and turnovers provided by CPUC Disposition 
FOR WORKPAPERS COVERING RESIDENTIAL VARIABLE SPEED POOL PUMPS
CPUC, ED, March 1, 2017
</t>
    </r>
    <r>
      <rPr>
        <b/>
        <sz val="9"/>
        <color rgb="FFFF0000"/>
        <rFont val="Calibri"/>
        <family val="2"/>
        <scheme val="minor"/>
      </rPr>
      <t>Function (Disp_Turnover, CurveA_VSD)</t>
    </r>
    <r>
      <rPr>
        <sz val="9"/>
        <color theme="1"/>
        <rFont val="Calibri"/>
        <family val="2"/>
        <scheme val="minor"/>
      </rPr>
      <t xml:space="preserve">
</t>
    </r>
  </si>
  <si>
    <r>
      <t xml:space="preserve">EF based on  EF vs GPM correlation of 2018 CEC database of variable speed pumps (1-3 HP). Curve B is used because it is representative of multispeed pumps at lower speeds.  Average GPM based on pool volume and turnovers provided by CPUC Disposition FOR WORKPAPERS COVERING RESIDENTIAL VARIABLE SPEED POOL PUMPS CPUC, ED, March 1, 2017
</t>
    </r>
    <r>
      <rPr>
        <b/>
        <sz val="9"/>
        <color rgb="FFFF0000"/>
        <rFont val="Calibri"/>
        <family val="2"/>
        <scheme val="minor"/>
      </rPr>
      <t>Function (Disp_Turnover, CurveB_VSD)</t>
    </r>
  </si>
  <si>
    <r>
      <t xml:space="preserve">EF based on  EF vs GPM correlation of 2018 CEC database of 2-speed pumps (1-3 HP). Curve B is used because it is representative of multispeed pumps at lower speeds.  Average GPM based on pool volume and turnovers provided by CPUC Disposition FOR WORKPAPERS COVERING RESIDENTIAL VARIABLE SPEED POOL PUMPS CPUC, ED, March 1, 2017.
</t>
    </r>
    <r>
      <rPr>
        <b/>
        <sz val="9"/>
        <color rgb="FFFF0000"/>
        <rFont val="Calibri"/>
        <family val="2"/>
        <scheme val="minor"/>
      </rPr>
      <t>Function (Disp_Turnover, CurveB_VSD)</t>
    </r>
  </si>
  <si>
    <r>
      <t xml:space="preserve">EF Based on Average EF of 1-speed 2008 CEC database Curve A values at 1.5 HP. This horsepower was chosen because it is within 5% of the average horsepower found in the SCE SFm installed data (see Analysis tab). Curve A is used because it is more representative of pumps at higher speeds. 
</t>
    </r>
    <r>
      <rPr>
        <b/>
        <sz val="9"/>
        <color rgb="FFFF0000"/>
        <rFont val="Calibri"/>
        <family val="2"/>
        <scheme val="minor"/>
      </rPr>
      <t>Function(1.5hp, Curve A)</t>
    </r>
  </si>
  <si>
    <r>
      <t xml:space="preserve">EF based on  EF vs GPM correlation of 2018 CEC database of 2-speed pumps  (1-3 HP). Curve B is used because it best matches installed data at low speeds. See Analysis 2 tab for more details. GPM of Average Mode 2A operation is used to find EF. 
</t>
    </r>
    <r>
      <rPr>
        <b/>
        <sz val="9"/>
        <color rgb="FFFF0000"/>
        <rFont val="Calibri"/>
        <family val="2"/>
        <scheme val="minor"/>
      </rPr>
      <t>Function(1.5hp, Curve B, GPM)</t>
    </r>
  </si>
  <si>
    <r>
      <t xml:space="preserve">EF based on  EF vs GPM correlation of 2018 CEC database of 2-speed pumps  (1-3 HP). Curve B is used because it best matches installed data at low speeds. See Analysis 2 tab for more details. GPM of Average Mode 1 operation is used to find EF. 
</t>
    </r>
    <r>
      <rPr>
        <b/>
        <sz val="9"/>
        <color rgb="FFFF0000"/>
        <rFont val="Calibri"/>
        <family val="2"/>
        <scheme val="minor"/>
      </rPr>
      <t>Function(1.5hp, Curve B, GPM)</t>
    </r>
  </si>
  <si>
    <r>
      <t xml:space="preserve">EF based on  EF vs GPM correlation of 2018 CEC database of 2-speed pumps (1-3 HP). Curve A is used because it is representative of new construction T24 pools.  GPM of Average Mode 2A operation is used to find EF. 
</t>
    </r>
    <r>
      <rPr>
        <b/>
        <sz val="9"/>
        <color rgb="FFFF0000"/>
        <rFont val="Calibri"/>
        <family val="2"/>
        <scheme val="minor"/>
      </rPr>
      <t>Function(1.5hp, Curve A, GPM)</t>
    </r>
  </si>
  <si>
    <r>
      <t xml:space="preserve">EF based on  EF vs GPM correlation of 2018 CEC database of 2-speed pumps (1-3 HP). Curve A is used because it is representative of new construction T24 pools.  High Speed average GPM of variable speed pool from SCE MFm pool study (2016) is used. 
</t>
    </r>
    <r>
      <rPr>
        <b/>
        <sz val="9"/>
        <color rgb="FFFF0000"/>
        <rFont val="Calibri"/>
        <family val="2"/>
        <scheme val="minor"/>
      </rPr>
      <t>Function(highGPM, CurveA_2sp)</t>
    </r>
  </si>
  <si>
    <r>
      <t xml:space="preserve">EF based on  EF vs GPM correlation of 2018 CEC database of variable pumps (1-3 HP). Curve A is used because it is representative of new construction T24 pools.  High Speed average GPM of variable speed pool from SCE MFm pool study (2016) is used. 
</t>
    </r>
    <r>
      <rPr>
        <b/>
        <sz val="9"/>
        <color rgb="FFFF0000"/>
        <rFont val="Calibri"/>
        <family val="2"/>
        <scheme val="minor"/>
      </rPr>
      <t>Function(highGPM, CurveA_VSD)</t>
    </r>
  </si>
  <si>
    <r>
      <t xml:space="preserve">EF based on  EF vs GPM correlation of 2018 CEC database of 2-speed pumps (1-3 HP). Curve A is used because it is representative of new construction T24 pools.  Low speed average GPM of variable speed pool from SCE MFm pool study (2016) is used. 
</t>
    </r>
    <r>
      <rPr>
        <b/>
        <sz val="9"/>
        <color rgb="FFFF0000"/>
        <rFont val="Calibri"/>
        <family val="2"/>
        <scheme val="minor"/>
      </rPr>
      <t>Function(lowGPM, CurveA_2-sp)</t>
    </r>
  </si>
  <si>
    <r>
      <t xml:space="preserve">EF based on  EF vs GPM correlation of 2018 CEC database of variable pumps (1-3 HP). Curve A is used because it is representative of new construction T24 pools.  Low speed average GPM of variable speed pool from SCE MFm pool study (2016) is used. 
</t>
    </r>
    <r>
      <rPr>
        <b/>
        <sz val="9"/>
        <color rgb="FFFF0000"/>
        <rFont val="Calibri"/>
        <family val="2"/>
        <scheme val="minor"/>
      </rPr>
      <t>Function(lowGPM, CurveA_VSD)</t>
    </r>
  </si>
  <si>
    <t>2-Speed
Sum of High and Low Speed Operations</t>
  </si>
  <si>
    <t>Variable Speed
Sum of High and Low Speed Operations</t>
  </si>
  <si>
    <t>Max</t>
  </si>
  <si>
    <t>Peak</t>
  </si>
  <si>
    <t>Total kW</t>
  </si>
  <si>
    <t>St. Hr</t>
  </si>
  <si>
    <t>End Hr</t>
  </si>
  <si>
    <t>Hr Type</t>
  </si>
  <si>
    <t>2008 Study</t>
  </si>
  <si>
    <t>Hour of Day (#)</t>
  </si>
  <si>
    <t>Hour of Day</t>
  </si>
  <si>
    <t>Off Peak</t>
  </si>
  <si>
    <t>0-1</t>
  </si>
  <si>
    <t>1-2</t>
  </si>
  <si>
    <t>2-3</t>
  </si>
  <si>
    <t>3-4</t>
  </si>
  <si>
    <t>4-5</t>
  </si>
  <si>
    <t>5-6</t>
  </si>
  <si>
    <t>6-7</t>
  </si>
  <si>
    <t>7-8</t>
  </si>
  <si>
    <t>8-9</t>
  </si>
  <si>
    <t>9-10</t>
  </si>
  <si>
    <t>10-11</t>
  </si>
  <si>
    <t>11-12</t>
  </si>
  <si>
    <t>12-13</t>
  </si>
  <si>
    <t>13-14</t>
  </si>
  <si>
    <t>14-15</t>
  </si>
  <si>
    <t>15-16</t>
  </si>
  <si>
    <t>16-17</t>
  </si>
  <si>
    <t>17-18</t>
  </si>
  <si>
    <t>18-19</t>
  </si>
  <si>
    <t>19-20</t>
  </si>
  <si>
    <t>20-21</t>
  </si>
  <si>
    <t>21-22</t>
  </si>
  <si>
    <t>22-23</t>
  </si>
  <si>
    <t>23-24</t>
  </si>
  <si>
    <t>Coincidence Factor (2008 Evaluation)</t>
  </si>
  <si>
    <t>4PM – 5PM</t>
  </si>
  <si>
    <t>SDGE</t>
  </si>
  <si>
    <t>PGE</t>
  </si>
  <si>
    <t>Hour Ending</t>
  </si>
  <si>
    <t>Single-Speed Pump (N=52)</t>
  </si>
  <si>
    <t>Variable Speed Pump (N=52)</t>
  </si>
  <si>
    <t>Single-Speed Pump (N=4)</t>
  </si>
  <si>
    <t>Variable Speed Pump (N=4)</t>
  </si>
  <si>
    <t>SCE Energy Savings Factor</t>
  </si>
  <si>
    <t>SCE (N=52)</t>
  </si>
  <si>
    <t>SDG&amp;E (N=25)</t>
  </si>
  <si>
    <t>SCG (N=6)</t>
  </si>
  <si>
    <t>PG&amp;E (N=4)</t>
  </si>
  <si>
    <t>Value</t>
  </si>
  <si>
    <t>Varible Speed</t>
  </si>
  <si>
    <t>Max kW</t>
  </si>
  <si>
    <t>Qty</t>
  </si>
  <si>
    <t>Weighted Average CDF</t>
  </si>
  <si>
    <t>5PM – 6PM</t>
  </si>
  <si>
    <t>6PM – 7PM</t>
  </si>
  <si>
    <t>7PM – 8PM</t>
  </si>
  <si>
    <t>8PM – 9PM</t>
  </si>
  <si>
    <t>Demand (kW)</t>
  </si>
  <si>
    <t>Count (Qty)</t>
  </si>
  <si>
    <t>Avg. Pump Type and CDF</t>
  </si>
  <si>
    <t>Single Speed (CDF)</t>
  </si>
  <si>
    <t>Variable Speed (CDF)</t>
  </si>
  <si>
    <t>Average 4PM-9PM</t>
  </si>
  <si>
    <t>Coincidence Demand Factor</t>
  </si>
  <si>
    <t>Max Demand (kW)</t>
  </si>
  <si>
    <t>Average Peak Demand (kW)</t>
  </si>
  <si>
    <t>AR</t>
  </si>
  <si>
    <t>NR</t>
  </si>
  <si>
    <t>SFm Variable speed Weighted, Non-Programmed</t>
  </si>
  <si>
    <t>SFm Variable speed Weighted, Programmed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</si>
</sst>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0.0%"/>
    <numFmt numFmtId="165" formatCode="0.0000"/>
    <numFmt numFmtId="166" formatCode="0.000"/>
    <numFmt numFmtId="167" formatCode="#,##0.000"/>
    <numFmt numFmtId="168" formatCode="#,##0.000000000000"/>
    <numFmt numFmtId="169" formatCode="0.0"/>
    <numFmt numFmtId="170" formatCode="_(* #,##0_);_(* \(#,##0\);_(* &quot;-&quot;??_);_(@_)"/>
    <numFmt numFmtId="171" formatCode="#,##0.00000"/>
  </numFmts>
  <fonts count="37" x14ac:knownFonts="1">
    <font>
      <sz val="11"/>
      <color theme="1"/>
      <name val="Calibri"/>
      <family val="2"/>
      <scheme val="minor"/>
    </font>
    <font>
      <b/>
      <sz val="10"/>
      <color theme="1"/>
      <name val="Calibri"/>
      <family val="2"/>
      <scheme val="minor"/>
    </font>
    <font>
      <sz val="11"/>
      <color theme="1"/>
      <name val="Calibri"/>
      <family val="2"/>
      <scheme val="minor"/>
    </font>
    <font>
      <b/>
      <sz val="11"/>
      <color theme="1"/>
      <name val="Calibri"/>
      <family val="2"/>
      <scheme val="minor"/>
    </font>
    <font>
      <b/>
      <sz val="9"/>
      <color theme="1"/>
      <name val="Calibri"/>
      <family val="2"/>
    </font>
    <font>
      <sz val="9"/>
      <color theme="1"/>
      <name val="Calibri"/>
      <family val="2"/>
    </font>
    <font>
      <sz val="8"/>
      <color rgb="FF000000"/>
      <name val="Calibri"/>
      <family val="2"/>
    </font>
    <font>
      <sz val="9"/>
      <color rgb="FF000000"/>
      <name val="Calibri"/>
      <family val="2"/>
    </font>
    <font>
      <sz val="8"/>
      <color theme="1"/>
      <name val="Calibri"/>
      <family val="2"/>
    </font>
    <font>
      <sz val="9"/>
      <name val="Arial"/>
      <family val="2"/>
    </font>
    <font>
      <b/>
      <sz val="9"/>
      <name val="Arial"/>
      <family val="2"/>
    </font>
    <font>
      <sz val="10"/>
      <color indexed="8"/>
      <name val="Arial"/>
      <family val="2"/>
    </font>
    <font>
      <i/>
      <sz val="9"/>
      <name val="Arial"/>
      <family val="2"/>
    </font>
    <font>
      <b/>
      <sz val="10"/>
      <name val="Arial"/>
      <family val="2"/>
    </font>
    <font>
      <b/>
      <sz val="8"/>
      <color indexed="81"/>
      <name val="Tahoma"/>
      <family val="2"/>
    </font>
    <font>
      <sz val="8"/>
      <color indexed="81"/>
      <name val="Tahoma"/>
      <family val="2"/>
    </font>
    <font>
      <sz val="10"/>
      <color theme="1"/>
      <name val="Calibri"/>
      <family val="2"/>
      <scheme val="minor"/>
    </font>
    <font>
      <sz val="10"/>
      <color rgb="FF000000"/>
      <name val="Calibri"/>
      <family val="2"/>
      <scheme val="minor"/>
    </font>
    <font>
      <sz val="9"/>
      <color indexed="81"/>
      <name val="Tahoma"/>
      <family val="2"/>
    </font>
    <font>
      <b/>
      <sz val="9"/>
      <color indexed="81"/>
      <name val="Tahoma"/>
      <family val="2"/>
    </font>
    <font>
      <sz val="8"/>
      <color theme="1"/>
      <name val="Calibri"/>
      <family val="2"/>
      <scheme val="minor"/>
    </font>
    <font>
      <b/>
      <sz val="9"/>
      <color rgb="FFFF0000"/>
      <name val="Calibri"/>
      <family val="2"/>
    </font>
    <font>
      <b/>
      <sz val="11"/>
      <color rgb="FFFF0000"/>
      <name val="Calibri"/>
      <family val="2"/>
      <scheme val="minor"/>
    </font>
    <font>
      <sz val="11"/>
      <color rgb="FFFF0000"/>
      <name val="Calibri"/>
      <family val="2"/>
      <scheme val="minor"/>
    </font>
    <font>
      <sz val="10"/>
      <name val="Arial"/>
      <family val="2"/>
    </font>
    <font>
      <sz val="9"/>
      <color theme="1"/>
      <name val="Calibri"/>
      <family val="2"/>
      <scheme val="minor"/>
    </font>
    <font>
      <i/>
      <sz val="10"/>
      <name val="Arial"/>
      <family val="2"/>
    </font>
    <font>
      <b/>
      <sz val="10"/>
      <name val="Calibri"/>
      <family val="2"/>
    </font>
    <font>
      <i/>
      <sz val="9"/>
      <color theme="1"/>
      <name val="Calibri"/>
      <family val="2"/>
      <scheme val="minor"/>
    </font>
    <font>
      <b/>
      <sz val="9"/>
      <color rgb="FFFF0000"/>
      <name val="Calibri"/>
      <family val="2"/>
      <scheme val="minor"/>
    </font>
    <font>
      <sz val="10"/>
      <color rgb="FF000000"/>
      <name val="Arial"/>
      <family val="2"/>
    </font>
    <font>
      <b/>
      <i/>
      <sz val="10"/>
      <name val="Arial"/>
      <family val="2"/>
    </font>
    <font>
      <b/>
      <sz val="10"/>
      <color rgb="FF000000"/>
      <name val="Arial"/>
      <family val="2"/>
    </font>
    <font>
      <b/>
      <sz val="9"/>
      <color rgb="FF000000"/>
      <name val="Arial"/>
      <family val="2"/>
    </font>
    <font>
      <sz val="11"/>
      <color theme="1"/>
      <name val="Calibri Light"/>
      <family val="2"/>
    </font>
    <font>
      <b/>
      <sz val="10"/>
      <color rgb="FF000000"/>
      <name val="Calibri"/>
      <family val="2"/>
    </font>
    <font>
      <sz val="10"/>
      <color rgb="FF000000"/>
      <name val="Calibri"/>
      <family val="2"/>
    </font>
  </fonts>
  <fills count="18">
    <fill>
      <patternFill patternType="none"/>
    </fill>
    <fill>
      <patternFill patternType="gray125"/>
    </fill>
    <fill>
      <patternFill patternType="solid">
        <fgColor rgb="FFD9D9D9"/>
        <bgColor indexed="64"/>
      </patternFill>
    </fill>
    <fill>
      <patternFill patternType="solid">
        <fgColor rgb="FFFFFF00"/>
        <bgColor indexed="64"/>
      </patternFill>
    </fill>
    <fill>
      <patternFill patternType="solid">
        <fgColor indexed="22"/>
        <bgColor indexed="0"/>
      </patternFill>
    </fill>
    <fill>
      <patternFill patternType="solid">
        <fgColor indexed="13"/>
        <bgColor indexed="64"/>
      </patternFill>
    </fill>
    <fill>
      <patternFill patternType="solid">
        <fgColor theme="7"/>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6" tint="0.79998168889431442"/>
        <bgColor indexed="64"/>
      </patternFill>
    </fill>
    <fill>
      <patternFill patternType="solid">
        <fgColor theme="6"/>
        <bgColor indexed="64"/>
      </patternFill>
    </fill>
    <fill>
      <patternFill patternType="solid">
        <fgColor theme="5"/>
        <bgColor indexed="64"/>
      </patternFill>
    </fill>
    <fill>
      <patternFill patternType="solid">
        <fgColor theme="8" tint="0.79998168889431442"/>
        <bgColor indexed="64"/>
      </patternFill>
    </fill>
    <fill>
      <patternFill patternType="solid">
        <fgColor theme="8"/>
        <bgColor indexed="64"/>
      </patternFill>
    </fill>
    <fill>
      <patternFill patternType="solid">
        <fgColor rgb="FF92D050"/>
        <bgColor indexed="64"/>
      </patternFill>
    </fill>
  </fills>
  <borders count="6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8"/>
      </right>
      <top style="thin">
        <color indexed="8"/>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5">
    <xf numFmtId="0" fontId="0" fillId="0" borderId="0"/>
    <xf numFmtId="9" fontId="2" fillId="0" borderId="0" applyFont="0" applyFill="0" applyBorder="0" applyAlignment="0" applyProtection="0"/>
    <xf numFmtId="0" fontId="11" fillId="0" borderId="0"/>
    <xf numFmtId="43" fontId="2" fillId="0" borderId="0" applyFont="0" applyFill="0" applyBorder="0" applyAlignment="0" applyProtection="0"/>
    <xf numFmtId="0" fontId="30" fillId="0" borderId="0"/>
  </cellStyleXfs>
  <cellXfs count="378">
    <xf numFmtId="0" fontId="0" fillId="0" borderId="0" xfId="0"/>
    <xf numFmtId="0" fontId="1" fillId="2" borderId="4" xfId="0" applyFont="1" applyFill="1" applyBorder="1" applyAlignment="1">
      <alignment vertical="center" wrapText="1"/>
    </xf>
    <xf numFmtId="0" fontId="0" fillId="0" borderId="6" xfId="0" applyBorder="1"/>
    <xf numFmtId="0" fontId="0" fillId="3" borderId="6" xfId="0" applyFill="1" applyBorder="1"/>
    <xf numFmtId="0" fontId="0" fillId="0" borderId="9" xfId="0" applyBorder="1"/>
    <xf numFmtId="0" fontId="0" fillId="0" borderId="10" xfId="0" applyBorder="1"/>
    <xf numFmtId="0" fontId="0" fillId="0" borderId="11" xfId="0" applyBorder="1"/>
    <xf numFmtId="0" fontId="0" fillId="0" borderId="0" xfId="0" applyBorder="1"/>
    <xf numFmtId="0" fontId="0" fillId="0" borderId="12" xfId="0" applyBorder="1"/>
    <xf numFmtId="0" fontId="0" fillId="0" borderId="6" xfId="0" applyBorder="1" applyAlignment="1">
      <alignment horizontal="center" vertical="center"/>
    </xf>
    <xf numFmtId="164" fontId="0" fillId="0" borderId="6" xfId="1" applyNumberFormat="1" applyFont="1" applyBorder="1" applyAlignment="1">
      <alignment horizontal="center" vertical="center"/>
    </xf>
    <xf numFmtId="0" fontId="0" fillId="0" borderId="13" xfId="0" applyBorder="1" applyAlignment="1">
      <alignment horizontal="center" vertical="center"/>
    </xf>
    <xf numFmtId="0" fontId="0" fillId="0" borderId="13" xfId="0" applyBorder="1"/>
    <xf numFmtId="0" fontId="0" fillId="0" borderId="14" xfId="0" applyBorder="1"/>
    <xf numFmtId="0" fontId="0" fillId="0" borderId="6" xfId="0" applyBorder="1" applyAlignment="1">
      <alignment horizontal="center"/>
    </xf>
    <xf numFmtId="166" fontId="0" fillId="0" borderId="6" xfId="0" applyNumberFormat="1" applyBorder="1" applyAlignment="1">
      <alignment horizontal="center"/>
    </xf>
    <xf numFmtId="0" fontId="0" fillId="0" borderId="0" xfId="0" applyAlignment="1">
      <alignment horizontal="center"/>
    </xf>
    <xf numFmtId="0" fontId="0" fillId="0" borderId="0" xfId="0" applyBorder="1" applyAlignment="1">
      <alignment horizontal="center"/>
    </xf>
    <xf numFmtId="0" fontId="0" fillId="0" borderId="9" xfId="0" applyBorder="1" applyAlignment="1">
      <alignment horizontal="center"/>
    </xf>
    <xf numFmtId="0" fontId="0" fillId="0" borderId="6" xfId="0" applyFill="1" applyBorder="1" applyAlignment="1">
      <alignment horizontal="center"/>
    </xf>
    <xf numFmtId="164" fontId="0" fillId="0" borderId="6" xfId="1" applyNumberFormat="1" applyFont="1" applyBorder="1" applyAlignment="1">
      <alignment horizontal="center"/>
    </xf>
    <xf numFmtId="0" fontId="3" fillId="0" borderId="6" xfId="0" applyFont="1" applyBorder="1" applyAlignment="1">
      <alignment horizontal="center"/>
    </xf>
    <xf numFmtId="166" fontId="0" fillId="0" borderId="15" xfId="0" applyNumberFormat="1" applyBorder="1" applyAlignment="1">
      <alignment horizontal="center"/>
    </xf>
    <xf numFmtId="166" fontId="3" fillId="0" borderId="15" xfId="0" applyNumberFormat="1" applyFont="1" applyFill="1" applyBorder="1" applyAlignment="1">
      <alignment horizontal="center"/>
    </xf>
    <xf numFmtId="0" fontId="11" fillId="4" borderId="17" xfId="2" applyFont="1" applyFill="1" applyBorder="1" applyAlignment="1">
      <alignment horizontal="center" vertical="center" wrapText="1"/>
    </xf>
    <xf numFmtId="0" fontId="11" fillId="4" borderId="18" xfId="2" applyFont="1" applyFill="1" applyBorder="1" applyAlignment="1">
      <alignment horizontal="center" vertical="center" wrapText="1"/>
    </xf>
    <xf numFmtId="0" fontId="11" fillId="4" borderId="19" xfId="2" applyFont="1" applyFill="1" applyBorder="1" applyAlignment="1">
      <alignment horizontal="center" vertical="center" wrapText="1"/>
    </xf>
    <xf numFmtId="0" fontId="11" fillId="4" borderId="20" xfId="2" applyFont="1" applyFill="1" applyBorder="1" applyAlignment="1">
      <alignment horizontal="center" vertical="center" wrapText="1"/>
    </xf>
    <xf numFmtId="0" fontId="11" fillId="0" borderId="6" xfId="2" applyFont="1" applyFill="1" applyBorder="1" applyAlignment="1">
      <alignment horizontal="center" wrapText="1"/>
    </xf>
    <xf numFmtId="2" fontId="11" fillId="0" borderId="6" xfId="2" applyNumberFormat="1" applyFont="1" applyFill="1" applyBorder="1" applyAlignment="1">
      <alignment horizontal="center" wrapText="1"/>
    </xf>
    <xf numFmtId="166" fontId="0" fillId="0" borderId="0" xfId="0" applyNumberFormat="1" applyAlignment="1">
      <alignment horizontal="center"/>
    </xf>
    <xf numFmtId="0" fontId="0" fillId="0" borderId="1" xfId="0" applyBorder="1" applyAlignment="1"/>
    <xf numFmtId="0" fontId="0" fillId="0" borderId="21" xfId="0" applyBorder="1" applyAlignment="1">
      <alignment horizontal="center"/>
    </xf>
    <xf numFmtId="0" fontId="11" fillId="4" borderId="6" xfId="2" applyFont="1" applyFill="1" applyBorder="1" applyAlignment="1">
      <alignment horizontal="center" vertical="center" wrapText="1"/>
    </xf>
    <xf numFmtId="0" fontId="11" fillId="4" borderId="22" xfId="2" applyFont="1" applyFill="1" applyBorder="1" applyAlignment="1">
      <alignment horizontal="center" vertical="center" wrapText="1"/>
    </xf>
    <xf numFmtId="9" fontId="2" fillId="0" borderId="6" xfId="1" applyBorder="1" applyAlignment="1">
      <alignment horizontal="center"/>
    </xf>
    <xf numFmtId="0" fontId="13" fillId="0" borderId="0" xfId="0" applyFont="1"/>
    <xf numFmtId="9" fontId="2" fillId="0" borderId="0" xfId="1" applyBorder="1" applyAlignment="1">
      <alignment horizontal="center"/>
    </xf>
    <xf numFmtId="166" fontId="3" fillId="0" borderId="6" xfId="0" applyNumberFormat="1" applyFont="1" applyFill="1" applyBorder="1" applyAlignment="1">
      <alignment horizontal="center"/>
    </xf>
    <xf numFmtId="1" fontId="0" fillId="0" borderId="6" xfId="0" applyNumberFormat="1" applyBorder="1" applyAlignment="1">
      <alignment horizontal="center"/>
    </xf>
    <xf numFmtId="0" fontId="0" fillId="0" borderId="13" xfId="0" applyBorder="1" applyAlignment="1">
      <alignment horizontal="left" vertical="center"/>
    </xf>
    <xf numFmtId="0" fontId="0" fillId="3" borderId="6" xfId="0" applyFill="1" applyBorder="1" applyAlignment="1">
      <alignment horizontal="center"/>
    </xf>
    <xf numFmtId="0" fontId="1" fillId="2" borderId="6" xfId="0" applyFont="1" applyFill="1" applyBorder="1" applyAlignment="1">
      <alignment horizontal="center" vertical="center" wrapText="1"/>
    </xf>
    <xf numFmtId="0" fontId="16" fillId="0" borderId="6"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 fillId="2" borderId="6" xfId="0" applyFont="1" applyFill="1" applyBorder="1" applyAlignment="1">
      <alignment horizontal="center" vertical="center" wrapText="1"/>
    </xf>
    <xf numFmtId="4" fontId="16" fillId="0" borderId="6" xfId="0" applyNumberFormat="1" applyFont="1" applyBorder="1" applyAlignment="1">
      <alignment horizontal="center" vertical="center" wrapText="1"/>
    </xf>
    <xf numFmtId="0" fontId="0" fillId="0" borderId="0" xfId="0" applyAlignment="1">
      <alignment wrapText="1"/>
    </xf>
    <xf numFmtId="0" fontId="3" fillId="9" borderId="13"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6" xfId="0" applyFont="1" applyFill="1" applyBorder="1" applyAlignment="1">
      <alignment horizontal="center" vertical="center" wrapText="1"/>
    </xf>
    <xf numFmtId="0" fontId="0" fillId="0" borderId="6" xfId="0" applyBorder="1" applyAlignment="1">
      <alignment horizontal="center" vertical="center" wrapText="1"/>
    </xf>
    <xf numFmtId="0" fontId="3" fillId="0" borderId="6" xfId="0" applyFont="1" applyFill="1" applyBorder="1" applyAlignment="1">
      <alignment horizontal="center" vertical="center" wrapText="1"/>
    </xf>
    <xf numFmtId="0" fontId="3" fillId="0" borderId="13" xfId="0" applyFont="1" applyFill="1" applyBorder="1" applyAlignment="1">
      <alignment horizontal="center" vertical="center" wrapText="1"/>
    </xf>
    <xf numFmtId="166" fontId="0" fillId="0" borderId="0" xfId="0" applyNumberFormat="1"/>
    <xf numFmtId="2" fontId="0" fillId="0" borderId="0" xfId="0" applyNumberFormat="1"/>
    <xf numFmtId="166" fontId="11" fillId="0" borderId="6" xfId="2" applyNumberFormat="1" applyFont="1" applyFill="1" applyBorder="1" applyAlignment="1">
      <alignment horizontal="center" wrapText="1"/>
    </xf>
    <xf numFmtId="0" fontId="0" fillId="0" borderId="13" xfId="0" applyBorder="1" applyAlignment="1">
      <alignment horizontal="left" vertical="center" wrapText="1"/>
    </xf>
    <xf numFmtId="4" fontId="0" fillId="0" borderId="6" xfId="0" applyNumberFormat="1" applyBorder="1" applyAlignment="1">
      <alignment horizontal="center"/>
    </xf>
    <xf numFmtId="4" fontId="3" fillId="0" borderId="6" xfId="0" applyNumberFormat="1" applyFont="1" applyBorder="1" applyAlignment="1">
      <alignment horizontal="center"/>
    </xf>
    <xf numFmtId="166" fontId="16" fillId="0" borderId="6" xfId="0" applyNumberFormat="1" applyFont="1" applyBorder="1" applyAlignment="1">
      <alignment horizontal="center" vertical="center" wrapText="1"/>
    </xf>
    <xf numFmtId="166" fontId="16" fillId="0" borderId="15" xfId="0" applyNumberFormat="1" applyFont="1" applyBorder="1" applyAlignment="1">
      <alignment horizontal="center" vertical="center" wrapText="1"/>
    </xf>
    <xf numFmtId="0" fontId="3" fillId="9" borderId="6" xfId="0" applyFont="1" applyFill="1" applyBorder="1" applyAlignment="1">
      <alignment horizontal="center" vertical="center" wrapText="1"/>
    </xf>
    <xf numFmtId="0" fontId="3" fillId="0" borderId="6" xfId="0" applyFont="1" applyFill="1" applyBorder="1" applyAlignment="1">
      <alignment horizontal="center" vertical="center" wrapText="1"/>
    </xf>
    <xf numFmtId="2" fontId="16" fillId="0" borderId="6" xfId="0" applyNumberFormat="1" applyFont="1" applyBorder="1" applyAlignment="1">
      <alignment horizontal="center" vertical="center" wrapText="1"/>
    </xf>
    <xf numFmtId="166" fontId="0" fillId="0" borderId="6" xfId="0" applyNumberFormat="1" applyBorder="1" applyAlignment="1">
      <alignment horizontal="center" vertical="center" wrapText="1"/>
    </xf>
    <xf numFmtId="0" fontId="1" fillId="2" borderId="2" xfId="0" applyFont="1" applyFill="1" applyBorder="1" applyAlignment="1">
      <alignment horizontal="center" vertical="center" wrapText="1"/>
    </xf>
    <xf numFmtId="0" fontId="1" fillId="2" borderId="33" xfId="0" applyFont="1" applyFill="1" applyBorder="1" applyAlignment="1">
      <alignment vertical="center" wrapText="1"/>
    </xf>
    <xf numFmtId="0" fontId="16" fillId="0" borderId="16" xfId="0" applyFont="1" applyBorder="1" applyAlignment="1">
      <alignment vertical="center" wrapText="1"/>
    </xf>
    <xf numFmtId="3" fontId="16" fillId="0" borderId="34" xfId="0" applyNumberFormat="1" applyFont="1" applyBorder="1" applyAlignment="1">
      <alignment horizontal="center" vertical="center" wrapText="1"/>
    </xf>
    <xf numFmtId="0" fontId="20" fillId="0" borderId="0" xfId="0" applyFont="1" applyAlignment="1">
      <alignment vertical="center"/>
    </xf>
    <xf numFmtId="0" fontId="1" fillId="0" borderId="16" xfId="0" applyFont="1" applyBorder="1" applyAlignment="1">
      <alignment vertical="center" wrapText="1"/>
    </xf>
    <xf numFmtId="3" fontId="1" fillId="0" borderId="34" xfId="0" applyNumberFormat="1" applyFont="1" applyBorder="1" applyAlignment="1">
      <alignment horizontal="center" vertical="center" wrapText="1"/>
    </xf>
    <xf numFmtId="3" fontId="0" fillId="0" borderId="6" xfId="0" applyNumberFormat="1" applyBorder="1" applyAlignment="1">
      <alignment horizontal="center"/>
    </xf>
    <xf numFmtId="0" fontId="4" fillId="9" borderId="6" xfId="0" applyFont="1" applyFill="1" applyBorder="1" applyAlignment="1">
      <alignment vertical="center" wrapText="1"/>
    </xf>
    <xf numFmtId="0" fontId="4" fillId="7" borderId="6" xfId="0" applyFont="1" applyFill="1" applyBorder="1" applyAlignment="1">
      <alignment vertical="center" wrapText="1"/>
    </xf>
    <xf numFmtId="0" fontId="5" fillId="10" borderId="6" xfId="0" applyFont="1" applyFill="1" applyBorder="1" applyAlignment="1">
      <alignment vertical="center" wrapText="1"/>
    </xf>
    <xf numFmtId="0" fontId="6" fillId="10" borderId="6" xfId="0" applyFont="1" applyFill="1" applyBorder="1" applyAlignment="1">
      <alignment vertical="center" wrapText="1"/>
    </xf>
    <xf numFmtId="0" fontId="21" fillId="10" borderId="6" xfId="0" applyFont="1" applyFill="1" applyBorder="1" applyAlignment="1">
      <alignment vertical="center" wrapText="1"/>
    </xf>
    <xf numFmtId="0" fontId="7" fillId="10" borderId="6" xfId="0" applyFont="1" applyFill="1" applyBorder="1" applyAlignment="1">
      <alignment vertical="center" wrapText="1"/>
    </xf>
    <xf numFmtId="4" fontId="5" fillId="10" borderId="6" xfId="0" applyNumberFormat="1" applyFont="1" applyFill="1" applyBorder="1" applyAlignment="1">
      <alignment vertical="center" wrapText="1"/>
    </xf>
    <xf numFmtId="0" fontId="3" fillId="8"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9" borderId="21"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4" fillId="0" borderId="0" xfId="0" applyFont="1" applyFill="1" applyBorder="1" applyAlignment="1">
      <alignment vertical="center" wrapText="1"/>
    </xf>
    <xf numFmtId="0" fontId="0" fillId="0" borderId="0" xfId="0" applyFill="1"/>
    <xf numFmtId="0" fontId="4" fillId="9" borderId="6" xfId="0" applyFont="1" applyFill="1" applyBorder="1" applyAlignment="1">
      <alignment horizontal="center" vertical="center" wrapText="1"/>
    </xf>
    <xf numFmtId="0" fontId="0" fillId="0" borderId="0" xfId="0" applyFill="1" applyAlignment="1">
      <alignment horizontal="center"/>
    </xf>
    <xf numFmtId="0" fontId="5" fillId="0" borderId="0" xfId="0" applyFont="1" applyFill="1" applyBorder="1" applyAlignment="1">
      <alignment horizontal="center" vertical="center" wrapText="1"/>
    </xf>
    <xf numFmtId="0" fontId="5" fillId="10" borderId="6" xfId="0" applyFont="1" applyFill="1" applyBorder="1" applyAlignment="1">
      <alignment horizontal="center" vertical="center" wrapText="1"/>
    </xf>
    <xf numFmtId="4" fontId="3" fillId="3" borderId="6" xfId="0" applyNumberFormat="1" applyFont="1" applyFill="1" applyBorder="1" applyAlignment="1">
      <alignment horizontal="center"/>
    </xf>
    <xf numFmtId="166" fontId="0" fillId="3" borderId="6" xfId="0" applyNumberFormat="1" applyFill="1" applyBorder="1" applyAlignment="1">
      <alignment horizontal="center"/>
    </xf>
    <xf numFmtId="166" fontId="3" fillId="3" borderId="6" xfId="0" applyNumberFormat="1" applyFont="1" applyFill="1" applyBorder="1" applyAlignment="1">
      <alignment horizontal="center"/>
    </xf>
    <xf numFmtId="167" fontId="5" fillId="10" borderId="6" xfId="0" applyNumberFormat="1" applyFont="1" applyFill="1" applyBorder="1" applyAlignment="1">
      <alignment vertical="center" wrapText="1"/>
    </xf>
    <xf numFmtId="3" fontId="3" fillId="0" borderId="6" xfId="0" applyNumberFormat="1" applyFont="1" applyBorder="1" applyAlignment="1">
      <alignment horizontal="center"/>
    </xf>
    <xf numFmtId="167" fontId="0" fillId="0" borderId="6" xfId="0" applyNumberFormat="1" applyFill="1" applyBorder="1" applyAlignment="1">
      <alignment horizontal="center"/>
    </xf>
    <xf numFmtId="0" fontId="0" fillId="0" borderId="0" xfId="0" applyFill="1" applyBorder="1" applyAlignment="1">
      <alignment horizontal="center"/>
    </xf>
    <xf numFmtId="0" fontId="5" fillId="8" borderId="6" xfId="0" applyFont="1" applyFill="1" applyBorder="1" applyAlignment="1">
      <alignment vertical="center" wrapText="1"/>
    </xf>
    <xf numFmtId="0" fontId="6" fillId="8" borderId="6" xfId="0" applyFont="1" applyFill="1" applyBorder="1" applyAlignment="1">
      <alignment vertical="center" wrapText="1"/>
    </xf>
    <xf numFmtId="0" fontId="21" fillId="8" borderId="6" xfId="0" applyFont="1" applyFill="1" applyBorder="1" applyAlignment="1">
      <alignment vertical="center" wrapText="1"/>
    </xf>
    <xf numFmtId="0" fontId="7" fillId="8" borderId="6" xfId="0" applyFont="1" applyFill="1" applyBorder="1" applyAlignment="1">
      <alignment vertical="center" wrapText="1"/>
    </xf>
    <xf numFmtId="0" fontId="5" fillId="8" borderId="6" xfId="0" applyFont="1" applyFill="1" applyBorder="1" applyAlignment="1">
      <alignment horizontal="center" vertical="center" wrapText="1"/>
    </xf>
    <xf numFmtId="4" fontId="5" fillId="8" borderId="6" xfId="0" applyNumberFormat="1" applyFont="1" applyFill="1" applyBorder="1" applyAlignment="1">
      <alignment vertical="center" wrapText="1"/>
    </xf>
    <xf numFmtId="166" fontId="5" fillId="8" borderId="6" xfId="0" applyNumberFormat="1" applyFont="1" applyFill="1" applyBorder="1" applyAlignment="1">
      <alignment vertical="center" wrapText="1"/>
    </xf>
    <xf numFmtId="0" fontId="8" fillId="8" borderId="6" xfId="0" applyFont="1" applyFill="1" applyBorder="1" applyAlignment="1">
      <alignment vertical="center" wrapText="1"/>
    </xf>
    <xf numFmtId="0" fontId="3" fillId="9" borderId="6" xfId="0" applyFont="1" applyFill="1" applyBorder="1" applyAlignment="1">
      <alignment horizontal="center" vertical="center" wrapText="1"/>
    </xf>
    <xf numFmtId="0" fontId="23" fillId="0" borderId="6" xfId="0" applyFont="1" applyBorder="1" applyAlignment="1">
      <alignment horizontal="center" vertical="center"/>
    </xf>
    <xf numFmtId="168" fontId="0" fillId="0" borderId="0" xfId="0" applyNumberFormat="1" applyBorder="1" applyAlignment="1">
      <alignment horizontal="center"/>
    </xf>
    <xf numFmtId="0" fontId="22" fillId="0" borderId="6" xfId="0" applyFont="1" applyBorder="1" applyAlignment="1">
      <alignment horizontal="center"/>
    </xf>
    <xf numFmtId="0" fontId="3" fillId="8"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3" fillId="9" borderId="0" xfId="0" applyFont="1" applyFill="1" applyBorder="1" applyAlignment="1">
      <alignment horizontal="center" vertical="center" wrapText="1"/>
    </xf>
    <xf numFmtId="0" fontId="0" fillId="0" borderId="0" xfId="0" applyBorder="1" applyAlignment="1">
      <alignment horizontal="center" vertical="center" wrapText="1"/>
    </xf>
    <xf numFmtId="4" fontId="0" fillId="0" borderId="6" xfId="0" applyNumberFormat="1" applyFill="1" applyBorder="1" applyAlignment="1">
      <alignment horizontal="center" vertical="center"/>
    </xf>
    <xf numFmtId="0" fontId="3" fillId="9" borderId="6" xfId="0" applyFont="1" applyFill="1" applyBorder="1" applyAlignment="1">
      <alignment horizontal="center" vertical="center" wrapText="1"/>
    </xf>
    <xf numFmtId="166" fontId="0" fillId="0" borderId="6" xfId="0" applyNumberFormat="1" applyBorder="1" applyAlignment="1">
      <alignment horizontal="center" vertical="center"/>
    </xf>
    <xf numFmtId="169" fontId="24" fillId="0" borderId="6" xfId="1" applyNumberFormat="1" applyFont="1" applyBorder="1"/>
    <xf numFmtId="170" fontId="0" fillId="0" borderId="6" xfId="0" applyNumberFormat="1" applyBorder="1"/>
    <xf numFmtId="9" fontId="0" fillId="0" borderId="6" xfId="1" applyFont="1" applyBorder="1"/>
    <xf numFmtId="166" fontId="0" fillId="0" borderId="6" xfId="0" applyNumberFormat="1" applyBorder="1"/>
    <xf numFmtId="0" fontId="3" fillId="8"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0" fillId="0" borderId="29" xfId="0" applyBorder="1"/>
    <xf numFmtId="0" fontId="25" fillId="0" borderId="27" xfId="0" applyFont="1" applyBorder="1" applyAlignment="1">
      <alignment horizontal="center" vertical="top" wrapText="1"/>
    </xf>
    <xf numFmtId="0" fontId="0" fillId="0" borderId="21" xfId="0" applyBorder="1"/>
    <xf numFmtId="1" fontId="25" fillId="0" borderId="39" xfId="0" applyNumberFormat="1" applyFont="1" applyBorder="1" applyAlignment="1">
      <alignment horizontal="center" vertical="center"/>
    </xf>
    <xf numFmtId="0" fontId="25" fillId="0" borderId="27" xfId="0" applyFont="1" applyBorder="1" applyAlignment="1">
      <alignment vertical="top" wrapText="1"/>
    </xf>
    <xf numFmtId="0" fontId="25" fillId="0" borderId="43" xfId="0" applyFont="1" applyBorder="1" applyAlignment="1">
      <alignment vertical="top" wrapText="1"/>
    </xf>
    <xf numFmtId="0" fontId="3" fillId="0" borderId="25" xfId="0" applyFont="1" applyBorder="1"/>
    <xf numFmtId="0" fontId="3" fillId="0" borderId="26" xfId="0" applyFont="1" applyBorder="1"/>
    <xf numFmtId="0" fontId="3" fillId="0" borderId="48" xfId="0" applyFont="1" applyBorder="1"/>
    <xf numFmtId="0" fontId="0" fillId="0" borderId="50" xfId="0" applyBorder="1"/>
    <xf numFmtId="0" fontId="3" fillId="9" borderId="6" xfId="0" applyFont="1" applyFill="1" applyBorder="1" applyAlignment="1">
      <alignment horizontal="center" vertical="center" wrapText="1"/>
    </xf>
    <xf numFmtId="2" fontId="25" fillId="0" borderId="13" xfId="0" applyNumberFormat="1" applyFont="1" applyBorder="1" applyAlignment="1">
      <alignment horizontal="center" vertical="center" wrapText="1"/>
    </xf>
    <xf numFmtId="2" fontId="25" fillId="0" borderId="14" xfId="0" applyNumberFormat="1" applyFont="1" applyBorder="1" applyAlignment="1">
      <alignment horizontal="center" vertical="center" wrapText="1"/>
    </xf>
    <xf numFmtId="2" fontId="0" fillId="0" borderId="6" xfId="0" applyNumberFormat="1" applyBorder="1" applyAlignment="1">
      <alignment horizontal="center" vertical="center"/>
    </xf>
    <xf numFmtId="2" fontId="0" fillId="0" borderId="6" xfId="0" applyNumberFormat="1" applyBorder="1" applyAlignment="1">
      <alignment horizontal="center"/>
    </xf>
    <xf numFmtId="0" fontId="3" fillId="9" borderId="6" xfId="0" applyFont="1" applyFill="1" applyBorder="1" applyAlignment="1">
      <alignment horizontal="center" vertical="center" wrapText="1"/>
    </xf>
    <xf numFmtId="0" fontId="3" fillId="9" borderId="6" xfId="0" applyFont="1" applyFill="1" applyBorder="1" applyAlignment="1">
      <alignment horizontal="center" vertical="center" wrapText="1"/>
    </xf>
    <xf numFmtId="2" fontId="0" fillId="0" borderId="6" xfId="0" applyNumberFormat="1" applyFill="1" applyBorder="1" applyAlignment="1">
      <alignment horizontal="center"/>
    </xf>
    <xf numFmtId="169" fontId="25" fillId="0" borderId="39" xfId="0" applyNumberFormat="1" applyFont="1" applyBorder="1" applyAlignment="1">
      <alignment horizontal="center" vertical="center"/>
    </xf>
    <xf numFmtId="0" fontId="0" fillId="0" borderId="6" xfId="0" applyBorder="1" applyAlignment="1">
      <alignment horizontal="center" wrapText="1"/>
    </xf>
    <xf numFmtId="0" fontId="3" fillId="0" borderId="48" xfId="0" applyFont="1" applyBorder="1" applyAlignment="1">
      <alignment horizontal="center" vertical="center"/>
    </xf>
    <xf numFmtId="0" fontId="25" fillId="0" borderId="27" xfId="0" applyFont="1" applyBorder="1" applyAlignment="1">
      <alignment horizontal="center" vertical="center" wrapText="1"/>
    </xf>
    <xf numFmtId="2" fontId="25" fillId="0" borderId="27" xfId="0" applyNumberFormat="1" applyFont="1" applyBorder="1" applyAlignment="1">
      <alignment horizontal="center" vertical="center" wrapText="1"/>
    </xf>
    <xf numFmtId="0" fontId="25" fillId="0" borderId="43" xfId="0" applyFont="1" applyBorder="1" applyAlignment="1">
      <alignment horizontal="center" vertical="center" wrapText="1"/>
    </xf>
    <xf numFmtId="2" fontId="25" fillId="0" borderId="43" xfId="0" applyNumberFormat="1" applyFont="1" applyBorder="1" applyAlignment="1">
      <alignment horizontal="center" vertical="center" wrapText="1"/>
    </xf>
    <xf numFmtId="2" fontId="0" fillId="0" borderId="6" xfId="0" applyNumberFormat="1" applyBorder="1" applyAlignment="1">
      <alignment horizontal="center" vertical="center" wrapText="1"/>
    </xf>
    <xf numFmtId="0" fontId="3" fillId="0" borderId="6" xfId="0" applyFont="1" applyFill="1" applyBorder="1" applyAlignment="1">
      <alignment horizontal="center"/>
    </xf>
    <xf numFmtId="4" fontId="0" fillId="0" borderId="6" xfId="0" applyNumberFormat="1" applyFill="1" applyBorder="1" applyAlignment="1">
      <alignment horizontal="center"/>
    </xf>
    <xf numFmtId="4" fontId="3" fillId="0" borderId="6" xfId="0" applyNumberFormat="1" applyFont="1" applyFill="1" applyBorder="1" applyAlignment="1">
      <alignment horizontal="center"/>
    </xf>
    <xf numFmtId="3" fontId="0" fillId="0" borderId="6" xfId="0" applyNumberFormat="1" applyFill="1" applyBorder="1" applyAlignment="1">
      <alignment horizontal="center"/>
    </xf>
    <xf numFmtId="166" fontId="0" fillId="0" borderId="6" xfId="0" applyNumberFormat="1" applyFill="1" applyBorder="1" applyAlignment="1">
      <alignment horizontal="center"/>
    </xf>
    <xf numFmtId="0" fontId="13" fillId="0" borderId="6" xfId="0" applyFont="1" applyBorder="1"/>
    <xf numFmtId="0" fontId="24" fillId="0" borderId="6" xfId="0" applyFont="1" applyBorder="1"/>
    <xf numFmtId="1" fontId="26" fillId="0" borderId="6" xfId="0" applyNumberFormat="1" applyFont="1" applyBorder="1"/>
    <xf numFmtId="3" fontId="0" fillId="0" borderId="6" xfId="0" applyNumberFormat="1" applyFill="1" applyBorder="1"/>
    <xf numFmtId="167" fontId="0" fillId="0" borderId="6" xfId="0" applyNumberFormat="1" applyFill="1" applyBorder="1"/>
    <xf numFmtId="3" fontId="0" fillId="8" borderId="6" xfId="0" applyNumberFormat="1" applyFill="1" applyBorder="1"/>
    <xf numFmtId="3" fontId="0" fillId="0" borderId="6" xfId="0" applyNumberFormat="1" applyBorder="1"/>
    <xf numFmtId="0" fontId="0" fillId="0" borderId="6" xfId="0" applyBorder="1" applyAlignment="1">
      <alignment horizontal="center" vertical="center" wrapText="1"/>
    </xf>
    <xf numFmtId="169" fontId="0" fillId="0" borderId="6" xfId="0" applyNumberFormat="1" applyBorder="1" applyAlignment="1">
      <alignment horizontal="center" vertical="center"/>
    </xf>
    <xf numFmtId="0" fontId="3" fillId="10" borderId="6" xfId="0" applyFont="1" applyFill="1" applyBorder="1" applyAlignment="1">
      <alignment horizontal="center" vertical="center" wrapText="1"/>
    </xf>
    <xf numFmtId="166" fontId="25" fillId="0" borderId="39" xfId="0" applyNumberFormat="1" applyFont="1" applyBorder="1" applyAlignment="1">
      <alignment horizontal="center" vertical="center"/>
    </xf>
    <xf numFmtId="3" fontId="0" fillId="0" borderId="6" xfId="0" applyNumberFormat="1" applyBorder="1" applyAlignment="1">
      <alignment horizontal="center" vertical="center"/>
    </xf>
    <xf numFmtId="0" fontId="0" fillId="0" borderId="6" xfId="0" applyBorder="1" applyAlignment="1">
      <alignment wrapText="1"/>
    </xf>
    <xf numFmtId="4" fontId="0" fillId="0" borderId="6" xfId="0" applyNumberFormat="1" applyBorder="1" applyAlignment="1">
      <alignment horizontal="center" vertical="center"/>
    </xf>
    <xf numFmtId="0" fontId="3" fillId="0" borderId="6" xfId="0" applyFont="1" applyBorder="1"/>
    <xf numFmtId="3" fontId="0" fillId="0" borderId="6" xfId="0" applyNumberFormat="1" applyBorder="1" applyAlignment="1">
      <alignment vertical="center" wrapText="1"/>
    </xf>
    <xf numFmtId="4" fontId="0" fillId="0" borderId="6" xfId="0" applyNumberFormat="1" applyBorder="1" applyAlignment="1">
      <alignment horizontal="center" vertical="center" wrapText="1"/>
    </xf>
    <xf numFmtId="4" fontId="0" fillId="0" borderId="6" xfId="0" applyNumberFormat="1" applyBorder="1" applyAlignment="1">
      <alignment horizontal="center" vertical="center" wrapText="1"/>
    </xf>
    <xf numFmtId="3" fontId="24" fillId="0" borderId="6" xfId="0" applyNumberFormat="1" applyFont="1" applyBorder="1"/>
    <xf numFmtId="0" fontId="27" fillId="2" borderId="6" xfId="0" applyFont="1" applyFill="1" applyBorder="1" applyAlignment="1">
      <alignment horizontal="center" vertical="center" wrapText="1"/>
    </xf>
    <xf numFmtId="166" fontId="28" fillId="0" borderId="39" xfId="0" applyNumberFormat="1" applyFont="1" applyBorder="1" applyAlignment="1">
      <alignment horizontal="center" vertical="center"/>
    </xf>
    <xf numFmtId="4" fontId="0" fillId="0" borderId="0" xfId="0" applyNumberFormat="1" applyBorder="1" applyAlignment="1">
      <alignment horizontal="center" vertical="center"/>
    </xf>
    <xf numFmtId="1" fontId="25" fillId="0" borderId="39" xfId="0" applyNumberFormat="1" applyFont="1" applyBorder="1" applyAlignment="1">
      <alignment horizontal="center" vertical="center"/>
    </xf>
    <xf numFmtId="0" fontId="25" fillId="0" borderId="27" xfId="0" applyFont="1" applyBorder="1" applyAlignment="1">
      <alignment horizontal="center" vertical="center" wrapText="1"/>
    </xf>
    <xf numFmtId="0" fontId="3" fillId="9" borderId="6"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xf numFmtId="4" fontId="3" fillId="0" borderId="0" xfId="0" applyNumberFormat="1" applyFont="1" applyBorder="1" applyAlignment="1">
      <alignment horizontal="center" vertical="center"/>
    </xf>
    <xf numFmtId="3" fontId="0" fillId="3" borderId="6" xfId="0" applyNumberFormat="1" applyFill="1" applyBorder="1" applyAlignment="1">
      <alignment horizontal="center" vertical="center"/>
    </xf>
    <xf numFmtId="169" fontId="0" fillId="3" borderId="6" xfId="0" applyNumberFormat="1" applyFill="1" applyBorder="1" applyAlignment="1">
      <alignment horizontal="center" vertical="center"/>
    </xf>
    <xf numFmtId="2" fontId="0" fillId="3" borderId="6" xfId="0" applyNumberFormat="1" applyFill="1" applyBorder="1" applyAlignment="1">
      <alignment horizontal="center" vertical="center"/>
    </xf>
    <xf numFmtId="4" fontId="0" fillId="3" borderId="6" xfId="0" applyNumberFormat="1" applyFill="1" applyBorder="1" applyAlignment="1">
      <alignment horizontal="center" vertical="center"/>
    </xf>
    <xf numFmtId="0" fontId="0" fillId="3" borderId="6" xfId="0" applyFill="1" applyBorder="1" applyAlignment="1">
      <alignment horizontal="center" vertical="center" wrapText="1"/>
    </xf>
    <xf numFmtId="0" fontId="0" fillId="3" borderId="6" xfId="0" applyFill="1" applyBorder="1" applyAlignment="1">
      <alignment wrapText="1"/>
    </xf>
    <xf numFmtId="3" fontId="0" fillId="3" borderId="6" xfId="0" applyNumberFormat="1" applyFill="1" applyBorder="1" applyAlignment="1">
      <alignment vertical="center" wrapText="1"/>
    </xf>
    <xf numFmtId="4" fontId="0" fillId="3" borderId="6" xfId="0" applyNumberFormat="1" applyFill="1" applyBorder="1" applyAlignment="1">
      <alignment horizontal="center" vertical="center" wrapText="1"/>
    </xf>
    <xf numFmtId="0" fontId="25" fillId="0" borderId="27" xfId="0" applyFont="1" applyFill="1" applyBorder="1" applyAlignment="1">
      <alignment vertical="top" wrapText="1"/>
    </xf>
    <xf numFmtId="0" fontId="0" fillId="0" borderId="6" xfId="0" applyFill="1" applyBorder="1" applyAlignment="1">
      <alignment horizontal="center" vertical="center" wrapText="1"/>
    </xf>
    <xf numFmtId="0" fontId="0" fillId="0" borderId="6" xfId="0" applyFill="1" applyBorder="1" applyAlignment="1">
      <alignment wrapText="1"/>
    </xf>
    <xf numFmtId="167" fontId="0" fillId="3" borderId="6" xfId="0" applyNumberFormat="1" applyFill="1" applyBorder="1"/>
    <xf numFmtId="4" fontId="24" fillId="3" borderId="6" xfId="0" applyNumberFormat="1" applyFont="1" applyFill="1" applyBorder="1"/>
    <xf numFmtId="49" fontId="0" fillId="0" borderId="0" xfId="0" applyNumberFormat="1"/>
    <xf numFmtId="0" fontId="13" fillId="10" borderId="6" xfId="0" applyFont="1" applyFill="1" applyBorder="1" applyAlignment="1">
      <alignment horizontal="center" vertical="center" wrapText="1"/>
    </xf>
    <xf numFmtId="0" fontId="30" fillId="0" borderId="6" xfId="4" applyFont="1" applyBorder="1" applyAlignment="1"/>
    <xf numFmtId="49" fontId="0" fillId="0" borderId="6" xfId="0" applyNumberFormat="1" applyBorder="1"/>
    <xf numFmtId="0" fontId="30" fillId="3" borderId="6" xfId="4" applyFont="1" applyFill="1" applyBorder="1" applyAlignment="1"/>
    <xf numFmtId="0" fontId="31" fillId="0" borderId="6" xfId="0" applyFont="1" applyBorder="1" applyAlignment="1">
      <alignment horizontal="center"/>
    </xf>
    <xf numFmtId="166" fontId="31" fillId="0" borderId="6" xfId="0" applyNumberFormat="1" applyFont="1" applyBorder="1" applyAlignment="1">
      <alignment horizontal="center"/>
    </xf>
    <xf numFmtId="0" fontId="30" fillId="0" borderId="0" xfId="4" applyFont="1" applyAlignment="1"/>
    <xf numFmtId="4" fontId="30" fillId="0" borderId="0" xfId="4" applyNumberFormat="1" applyFont="1" applyAlignment="1"/>
    <xf numFmtId="2" fontId="30" fillId="0" borderId="0" xfId="4" applyNumberFormat="1" applyFont="1" applyAlignment="1"/>
    <xf numFmtId="166" fontId="30" fillId="0" borderId="0" xfId="4" applyNumberFormat="1" applyFont="1" applyAlignment="1"/>
    <xf numFmtId="0" fontId="32" fillId="8" borderId="6" xfId="4" applyFont="1" applyFill="1" applyBorder="1" applyAlignment="1">
      <alignment horizontal="left" vertical="top" wrapText="1"/>
    </xf>
    <xf numFmtId="0" fontId="32" fillId="11" borderId="6" xfId="4" applyFont="1" applyFill="1" applyBorder="1" applyAlignment="1">
      <alignment horizontal="left" vertical="top" wrapText="1"/>
    </xf>
    <xf numFmtId="0" fontId="32" fillId="12" borderId="6" xfId="4" applyFont="1" applyFill="1" applyBorder="1" applyAlignment="1">
      <alignment horizontal="left" vertical="top" wrapText="1"/>
    </xf>
    <xf numFmtId="0" fontId="32" fillId="13" borderId="6" xfId="4" applyFont="1" applyFill="1" applyBorder="1" applyAlignment="1">
      <alignment horizontal="left" vertical="top" wrapText="1"/>
    </xf>
    <xf numFmtId="0" fontId="32" fillId="14" borderId="6" xfId="4" applyFont="1" applyFill="1" applyBorder="1" applyAlignment="1">
      <alignment horizontal="left" vertical="top" wrapText="1"/>
    </xf>
    <xf numFmtId="0" fontId="32" fillId="15" borderId="6" xfId="4" applyFont="1" applyFill="1" applyBorder="1" applyAlignment="1">
      <alignment horizontal="left" vertical="top" wrapText="1"/>
    </xf>
    <xf numFmtId="0" fontId="33" fillId="16" borderId="6" xfId="4" applyFont="1" applyFill="1" applyBorder="1" applyAlignment="1">
      <alignment horizontal="left" vertical="top" wrapText="1"/>
    </xf>
    <xf numFmtId="170" fontId="30" fillId="0" borderId="0" xfId="3" applyNumberFormat="1" applyFont="1" applyAlignment="1"/>
    <xf numFmtId="0" fontId="32" fillId="0" borderId="0" xfId="4" applyFont="1" applyAlignment="1"/>
    <xf numFmtId="0" fontId="32" fillId="8" borderId="6" xfId="4" applyFont="1" applyFill="1" applyBorder="1" applyAlignment="1">
      <alignment wrapText="1"/>
    </xf>
    <xf numFmtId="0" fontId="32" fillId="12" borderId="6" xfId="4" applyFont="1" applyFill="1" applyBorder="1" applyAlignment="1">
      <alignment wrapText="1"/>
    </xf>
    <xf numFmtId="0" fontId="32" fillId="15" borderId="6" xfId="4" applyFont="1" applyFill="1" applyBorder="1" applyAlignment="1">
      <alignment wrapText="1"/>
    </xf>
    <xf numFmtId="0" fontId="32" fillId="11" borderId="6" xfId="4" applyFont="1" applyFill="1" applyBorder="1" applyAlignment="1">
      <alignment wrapText="1"/>
    </xf>
    <xf numFmtId="0" fontId="32" fillId="13" borderId="6" xfId="4" applyFont="1" applyFill="1" applyBorder="1" applyAlignment="1">
      <alignment wrapText="1"/>
    </xf>
    <xf numFmtId="0" fontId="32" fillId="14" borderId="6" xfId="4" applyFont="1" applyFill="1" applyBorder="1" applyAlignment="1">
      <alignment wrapText="1"/>
    </xf>
    <xf numFmtId="0" fontId="32" fillId="16" borderId="6" xfId="4" applyFont="1" applyFill="1" applyBorder="1" applyAlignment="1">
      <alignment wrapText="1"/>
    </xf>
    <xf numFmtId="0" fontId="32" fillId="0" borderId="6" xfId="4" applyFont="1" applyBorder="1" applyAlignment="1">
      <alignment wrapText="1"/>
    </xf>
    <xf numFmtId="0" fontId="32" fillId="17" borderId="6" xfId="4" applyFont="1" applyFill="1" applyBorder="1" applyAlignment="1">
      <alignment horizontal="left" vertical="top" wrapText="1"/>
    </xf>
    <xf numFmtId="0" fontId="32" fillId="0" borderId="6" xfId="4" applyFont="1" applyBorder="1" applyAlignment="1">
      <alignment horizontal="left" vertical="top" wrapText="1"/>
    </xf>
    <xf numFmtId="2" fontId="30" fillId="0" borderId="6" xfId="4" applyNumberFormat="1" applyFont="1" applyBorder="1" applyAlignment="1"/>
    <xf numFmtId="9" fontId="30" fillId="17" borderId="6" xfId="1" applyFont="1" applyFill="1" applyBorder="1" applyAlignment="1"/>
    <xf numFmtId="0" fontId="32" fillId="0" borderId="6" xfId="4" applyFont="1" applyBorder="1" applyAlignment="1"/>
    <xf numFmtId="9" fontId="30" fillId="0" borderId="6" xfId="1" applyFont="1" applyBorder="1" applyAlignment="1"/>
    <xf numFmtId="166" fontId="30" fillId="0" borderId="6" xfId="4" applyNumberFormat="1" applyFont="1" applyBorder="1" applyAlignment="1"/>
    <xf numFmtId="2" fontId="30" fillId="17" borderId="6" xfId="4" applyNumberFormat="1" applyFont="1" applyFill="1" applyBorder="1" applyAlignment="1"/>
    <xf numFmtId="2" fontId="30" fillId="3" borderId="6" xfId="4" applyNumberFormat="1" applyFont="1" applyFill="1" applyBorder="1" applyAlignment="1"/>
    <xf numFmtId="3" fontId="30" fillId="0" borderId="0" xfId="4" applyNumberFormat="1" applyFont="1" applyAlignment="1"/>
    <xf numFmtId="49" fontId="0" fillId="0" borderId="6" xfId="0" applyNumberFormat="1" applyBorder="1" applyAlignment="1">
      <alignment horizontal="center"/>
    </xf>
    <xf numFmtId="0" fontId="35" fillId="2" borderId="6" xfId="0" applyFont="1" applyFill="1" applyBorder="1" applyAlignment="1">
      <alignment horizontal="center" vertical="center" wrapText="1"/>
    </xf>
    <xf numFmtId="0" fontId="34" fillId="0" borderId="6" xfId="0" applyFont="1" applyBorder="1" applyAlignment="1">
      <alignment horizontal="center" vertical="center" wrapText="1"/>
    </xf>
    <xf numFmtId="0" fontId="36" fillId="0" borderId="6" xfId="0" applyFont="1" applyBorder="1" applyAlignment="1">
      <alignment horizontal="center" vertical="center" wrapText="1"/>
    </xf>
    <xf numFmtId="2" fontId="36" fillId="0" borderId="6" xfId="0" applyNumberFormat="1" applyFont="1" applyBorder="1" applyAlignment="1">
      <alignment horizontal="center" vertical="center" wrapText="1"/>
    </xf>
    <xf numFmtId="0" fontId="36" fillId="0" borderId="6" xfId="0" applyFont="1" applyBorder="1" applyAlignment="1">
      <alignment vertical="center" wrapText="1"/>
    </xf>
    <xf numFmtId="0" fontId="35" fillId="2" borderId="6" xfId="0" applyFont="1" applyFill="1" applyBorder="1" applyAlignment="1">
      <alignment vertical="center" wrapText="1"/>
    </xf>
    <xf numFmtId="166" fontId="36" fillId="0" borderId="6" xfId="0" applyNumberFormat="1" applyFont="1" applyBorder="1" applyAlignment="1">
      <alignment horizontal="center" vertical="center" wrapText="1"/>
    </xf>
    <xf numFmtId="171" fontId="0" fillId="0" borderId="6" xfId="0" applyNumberFormat="1" applyBorder="1" applyAlignment="1">
      <alignment horizontal="center" vertical="center" wrapText="1"/>
    </xf>
    <xf numFmtId="171" fontId="0" fillId="0" borderId="6" xfId="0" applyNumberForma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3" fillId="6" borderId="8" xfId="0" applyFont="1" applyFill="1" applyBorder="1" applyAlignment="1">
      <alignment horizontal="center"/>
    </xf>
    <xf numFmtId="0" fontId="3" fillId="6" borderId="9" xfId="0" applyFont="1" applyFill="1" applyBorder="1" applyAlignment="1">
      <alignment horizontal="center"/>
    </xf>
    <xf numFmtId="0" fontId="3" fillId="6" borderId="10" xfId="0" applyFont="1" applyFill="1" applyBorder="1" applyAlignment="1">
      <alignment horizontal="center"/>
    </xf>
    <xf numFmtId="0" fontId="5" fillId="0" borderId="0" xfId="0" applyFont="1" applyFill="1" applyBorder="1" applyAlignment="1">
      <alignment horizontal="left" vertical="center" wrapText="1"/>
    </xf>
    <xf numFmtId="0" fontId="1" fillId="2" borderId="26"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60"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59"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1" fillId="2" borderId="58" xfId="0" applyFont="1" applyFill="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2" xfId="0" applyBorder="1" applyAlignment="1">
      <alignment horizontal="center" vertical="center"/>
    </xf>
    <xf numFmtId="164" fontId="25" fillId="0" borderId="39" xfId="1" applyNumberFormat="1" applyFont="1" applyBorder="1" applyAlignment="1">
      <alignment horizontal="center" vertical="center" wrapText="1"/>
    </xf>
    <xf numFmtId="164" fontId="25" fillId="0" borderId="41" xfId="1" applyNumberFormat="1" applyFont="1" applyBorder="1" applyAlignment="1">
      <alignment horizontal="center" vertical="center" wrapText="1"/>
    </xf>
    <xf numFmtId="164" fontId="25" fillId="0" borderId="40" xfId="1" applyNumberFormat="1" applyFont="1" applyBorder="1" applyAlignment="1">
      <alignment horizontal="center" vertical="center" wrapText="1"/>
    </xf>
    <xf numFmtId="164" fontId="25" fillId="0" borderId="42" xfId="1" applyNumberFormat="1" applyFont="1" applyBorder="1" applyAlignment="1">
      <alignment horizontal="center" vertical="center" wrapText="1"/>
    </xf>
    <xf numFmtId="9" fontId="25" fillId="0" borderId="44" xfId="0" applyNumberFormat="1" applyFont="1" applyBorder="1" applyAlignment="1">
      <alignment horizontal="center" vertical="center" wrapText="1"/>
    </xf>
    <xf numFmtId="9" fontId="25" fillId="0" borderId="45" xfId="0" applyNumberFormat="1" applyFont="1" applyBorder="1" applyAlignment="1">
      <alignment horizontal="center" vertical="center" wrapText="1"/>
    </xf>
    <xf numFmtId="0" fontId="25" fillId="0" borderId="44"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47" xfId="0" applyFont="1" applyBorder="1" applyAlignment="1">
      <alignment horizontal="center" vertical="center" wrapText="1"/>
    </xf>
    <xf numFmtId="9" fontId="25" fillId="0" borderId="51" xfId="0" applyNumberFormat="1" applyFont="1" applyBorder="1" applyAlignment="1">
      <alignment horizontal="center" wrapText="1"/>
    </xf>
    <xf numFmtId="9" fontId="25" fillId="0" borderId="52" xfId="0" applyNumberFormat="1" applyFont="1" applyBorder="1" applyAlignment="1">
      <alignment horizontal="center" wrapText="1"/>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49" xfId="0" applyBorder="1" applyAlignment="1">
      <alignment horizontal="center" vertical="center"/>
    </xf>
    <xf numFmtId="0" fontId="3" fillId="0" borderId="37" xfId="0" applyFont="1" applyBorder="1" applyAlignment="1">
      <alignment horizontal="center"/>
    </xf>
    <xf numFmtId="0" fontId="3" fillId="0" borderId="38" xfId="0" applyFont="1" applyBorder="1" applyAlignment="1">
      <alignment horizontal="center"/>
    </xf>
    <xf numFmtId="0" fontId="25" fillId="0" borderId="27" xfId="0" applyFont="1" applyBorder="1" applyAlignment="1">
      <alignment horizontal="center" vertical="top" wrapText="1"/>
    </xf>
    <xf numFmtId="0" fontId="25" fillId="0" borderId="43" xfId="0" applyFont="1" applyBorder="1" applyAlignment="1">
      <alignment horizontal="center" vertical="top" wrapText="1"/>
    </xf>
    <xf numFmtId="1" fontId="25" fillId="0" borderId="39" xfId="0" applyNumberFormat="1" applyFont="1" applyBorder="1" applyAlignment="1">
      <alignment horizontal="center" vertical="center"/>
    </xf>
    <xf numFmtId="1" fontId="25" fillId="0" borderId="41" xfId="0" applyNumberFormat="1" applyFont="1" applyBorder="1" applyAlignment="1">
      <alignment horizontal="center" vertical="center"/>
    </xf>
    <xf numFmtId="0" fontId="25" fillId="0" borderId="44" xfId="0" applyFont="1" applyBorder="1" applyAlignment="1">
      <alignment horizontal="center" vertical="top" wrapText="1"/>
    </xf>
    <xf numFmtId="0" fontId="25" fillId="0" borderId="45" xfId="0" applyFont="1" applyBorder="1" applyAlignment="1">
      <alignment horizontal="center" vertical="top" wrapText="1"/>
    </xf>
    <xf numFmtId="166" fontId="25" fillId="0" borderId="39" xfId="0" applyNumberFormat="1" applyFont="1" applyBorder="1" applyAlignment="1">
      <alignment horizontal="center" vertical="center"/>
    </xf>
    <xf numFmtId="166" fontId="25" fillId="0" borderId="42" xfId="0" applyNumberFormat="1" applyFont="1" applyBorder="1" applyAlignment="1">
      <alignment horizontal="center" vertical="center"/>
    </xf>
    <xf numFmtId="1" fontId="25" fillId="0" borderId="42" xfId="0" applyNumberFormat="1" applyFont="1" applyBorder="1" applyAlignment="1">
      <alignment horizontal="center" vertical="center"/>
    </xf>
    <xf numFmtId="0" fontId="25" fillId="0" borderId="27" xfId="0" applyFont="1" applyBorder="1" applyAlignment="1">
      <alignment horizontal="center" vertical="center" wrapText="1"/>
    </xf>
    <xf numFmtId="0" fontId="25" fillId="0" borderId="43" xfId="0" applyFont="1" applyBorder="1" applyAlignment="1">
      <alignment horizontal="center" vertical="center" wrapText="1"/>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24" fillId="0" borderId="53" xfId="0" applyFont="1" applyBorder="1" applyAlignment="1">
      <alignment horizontal="center" vertical="center"/>
    </xf>
    <xf numFmtId="0" fontId="24" fillId="0" borderId="4" xfId="0" applyFont="1" applyBorder="1" applyAlignment="1">
      <alignment horizontal="center" vertical="center"/>
    </xf>
    <xf numFmtId="0" fontId="24" fillId="0" borderId="16" xfId="0" applyFont="1" applyBorder="1" applyAlignment="1">
      <alignment horizontal="center" vertical="center"/>
    </xf>
    <xf numFmtId="1" fontId="25" fillId="0" borderId="40" xfId="0" applyNumberFormat="1" applyFont="1" applyBorder="1" applyAlignment="1">
      <alignment horizontal="center" vertical="center"/>
    </xf>
    <xf numFmtId="0" fontId="25" fillId="0" borderId="45" xfId="0" applyFont="1" applyBorder="1" applyAlignment="1">
      <alignment horizontal="center" vertical="center" wrapText="1"/>
    </xf>
    <xf numFmtId="0" fontId="0" fillId="0" borderId="54" xfId="0" applyBorder="1" applyAlignment="1">
      <alignment horizontal="center" vertical="center" wrapText="1"/>
    </xf>
    <xf numFmtId="0" fontId="0" fillId="0" borderId="5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5" xfId="0" applyBorder="1" applyAlignment="1">
      <alignment horizontal="center" vertical="center" wrapText="1"/>
    </xf>
    <xf numFmtId="0" fontId="0" fillId="0" borderId="34" xfId="0" applyBorder="1" applyAlignment="1">
      <alignment horizontal="center" vertical="center" wrapText="1"/>
    </xf>
    <xf numFmtId="166" fontId="25" fillId="0" borderId="40" xfId="0" applyNumberFormat="1" applyFont="1" applyBorder="1" applyAlignment="1">
      <alignment horizontal="center" vertical="center"/>
    </xf>
    <xf numFmtId="169" fontId="25" fillId="0" borderId="39" xfId="0" applyNumberFormat="1" applyFont="1" applyBorder="1" applyAlignment="1">
      <alignment horizontal="center" vertical="center"/>
    </xf>
    <xf numFmtId="169" fontId="25" fillId="0" borderId="40" xfId="0" applyNumberFormat="1" applyFont="1" applyBorder="1" applyAlignment="1">
      <alignment horizontal="center" vertical="center"/>
    </xf>
    <xf numFmtId="169" fontId="25" fillId="0" borderId="41" xfId="0" applyNumberFormat="1" applyFont="1" applyBorder="1" applyAlignment="1">
      <alignment horizontal="center" vertical="center"/>
    </xf>
    <xf numFmtId="169" fontId="25" fillId="0" borderId="42" xfId="0" applyNumberFormat="1" applyFont="1" applyBorder="1" applyAlignment="1">
      <alignment horizontal="center" vertical="center"/>
    </xf>
    <xf numFmtId="0" fontId="0" fillId="0" borderId="6" xfId="0" applyBorder="1" applyAlignment="1">
      <alignment horizontal="center" vertical="center" wrapText="1"/>
    </xf>
    <xf numFmtId="0" fontId="0" fillId="3" borderId="6" xfId="0" applyFill="1" applyBorder="1" applyAlignment="1">
      <alignment horizontal="center" vertical="center" wrapText="1"/>
    </xf>
    <xf numFmtId="4" fontId="0" fillId="0" borderId="6" xfId="0" applyNumberFormat="1" applyBorder="1" applyAlignment="1">
      <alignment horizontal="center" vertical="center" wrapText="1"/>
    </xf>
    <xf numFmtId="4" fontId="0" fillId="3" borderId="20" xfId="0" applyNumberFormat="1" applyFill="1" applyBorder="1" applyAlignment="1">
      <alignment horizontal="center" vertical="center" wrapText="1"/>
    </xf>
    <xf numFmtId="4" fontId="0" fillId="3" borderId="28" xfId="0" applyNumberFormat="1" applyFill="1" applyBorder="1" applyAlignment="1">
      <alignment horizontal="center" vertical="center" wrapText="1"/>
    </xf>
    <xf numFmtId="4" fontId="0" fillId="3" borderId="29" xfId="0" applyNumberFormat="1" applyFill="1" applyBorder="1" applyAlignment="1">
      <alignment horizontal="center" vertical="center" wrapText="1"/>
    </xf>
    <xf numFmtId="4" fontId="0" fillId="0" borderId="20" xfId="0" applyNumberFormat="1" applyBorder="1" applyAlignment="1">
      <alignment horizontal="center" vertical="center" wrapText="1"/>
    </xf>
    <xf numFmtId="4" fontId="0" fillId="0" borderId="28" xfId="0" applyNumberFormat="1" applyBorder="1" applyAlignment="1">
      <alignment horizontal="center" vertical="center" wrapText="1"/>
    </xf>
    <xf numFmtId="4" fontId="0" fillId="0" borderId="29" xfId="0" applyNumberFormat="1" applyBorder="1" applyAlignment="1">
      <alignment horizontal="center" vertical="center" wrapText="1"/>
    </xf>
    <xf numFmtId="4" fontId="3" fillId="0" borderId="21" xfId="0" applyNumberFormat="1" applyFont="1" applyBorder="1" applyAlignment="1">
      <alignment horizontal="center" vertical="center"/>
    </xf>
    <xf numFmtId="4" fontId="3" fillId="0" borderId="56" xfId="0" applyNumberFormat="1" applyFont="1" applyBorder="1" applyAlignment="1">
      <alignment horizontal="center" vertical="center"/>
    </xf>
    <xf numFmtId="0" fontId="3" fillId="0" borderId="20"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164" fontId="0" fillId="0" borderId="20" xfId="1" applyNumberFormat="1" applyFont="1" applyBorder="1" applyAlignment="1">
      <alignment horizontal="center" vertical="center"/>
    </xf>
    <xf numFmtId="164" fontId="0" fillId="0" borderId="29" xfId="1" applyNumberFormat="1" applyFont="1" applyBorder="1" applyAlignment="1">
      <alignment horizontal="center" vertical="center"/>
    </xf>
    <xf numFmtId="171" fontId="0" fillId="0" borderId="20" xfId="0" applyNumberFormat="1" applyBorder="1" applyAlignment="1">
      <alignment horizontal="center" vertical="center" wrapText="1"/>
    </xf>
    <xf numFmtId="171" fontId="0" fillId="0" borderId="29" xfId="0" applyNumberFormat="1" applyBorder="1" applyAlignment="1">
      <alignment horizontal="center" vertical="center" wrapText="1"/>
    </xf>
    <xf numFmtId="171" fontId="0" fillId="0" borderId="28" xfId="0" applyNumberFormat="1" applyBorder="1" applyAlignment="1">
      <alignment horizontal="center" vertical="center" wrapText="1"/>
    </xf>
    <xf numFmtId="0" fontId="0" fillId="0" borderId="6" xfId="0" applyFill="1" applyBorder="1" applyAlignment="1">
      <alignment horizontal="center" vertical="center" wrapText="1"/>
    </xf>
    <xf numFmtId="171" fontId="0" fillId="0" borderId="20" xfId="0" applyNumberFormat="1" applyFill="1" applyBorder="1" applyAlignment="1">
      <alignment horizontal="center" vertical="center" wrapText="1"/>
    </xf>
    <xf numFmtId="171" fontId="0" fillId="0" borderId="28" xfId="0" applyNumberFormat="1" applyFill="1" applyBorder="1" applyAlignment="1">
      <alignment horizontal="center" vertical="center" wrapText="1"/>
    </xf>
    <xf numFmtId="171" fontId="0" fillId="0" borderId="29" xfId="0" applyNumberFormat="1" applyFill="1" applyBorder="1" applyAlignment="1">
      <alignment horizontal="center" vertical="center" wrapText="1"/>
    </xf>
    <xf numFmtId="0" fontId="3" fillId="8" borderId="6" xfId="0" applyFont="1" applyFill="1" applyBorder="1" applyAlignment="1">
      <alignment horizontal="center" vertical="center" wrapText="1"/>
    </xf>
    <xf numFmtId="0" fontId="0" fillId="0" borderId="6" xfId="0" applyBorder="1" applyAlignment="1">
      <alignment horizontal="left" vertical="center" wrapText="1"/>
    </xf>
    <xf numFmtId="0" fontId="0" fillId="0" borderId="20"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0" xfId="0" applyFont="1" applyBorder="1" applyAlignment="1">
      <alignment horizontal="center" vertical="center"/>
    </xf>
    <xf numFmtId="0" fontId="22" fillId="0" borderId="12" xfId="0" applyFont="1" applyBorder="1" applyAlignment="1">
      <alignment horizontal="center" vertical="center"/>
    </xf>
    <xf numFmtId="0" fontId="22" fillId="0" borderId="35" xfId="0" applyFont="1" applyBorder="1" applyAlignment="1">
      <alignment horizontal="center" vertical="center"/>
    </xf>
    <xf numFmtId="0" fontId="22" fillId="0" borderId="36" xfId="0" applyFont="1" applyBorder="1" applyAlignment="1">
      <alignment horizontal="center" vertical="center"/>
    </xf>
    <xf numFmtId="0" fontId="22" fillId="0" borderId="34" xfId="0" applyFont="1" applyBorder="1" applyAlignment="1">
      <alignment horizontal="center" vertical="center"/>
    </xf>
    <xf numFmtId="0" fontId="3" fillId="9" borderId="6" xfId="0" applyFont="1" applyFill="1" applyBorder="1" applyAlignment="1">
      <alignment horizontal="center" vertical="center" wrapText="1"/>
    </xf>
    <xf numFmtId="0" fontId="0" fillId="3" borderId="20" xfId="0" applyFill="1" applyBorder="1" applyAlignment="1">
      <alignment horizontal="left" vertical="top" wrapText="1"/>
    </xf>
    <xf numFmtId="0" fontId="0" fillId="3" borderId="28" xfId="0" applyFill="1" applyBorder="1" applyAlignment="1">
      <alignment horizontal="left" vertical="top" wrapText="1"/>
    </xf>
    <xf numFmtId="0" fontId="0" fillId="3" borderId="29" xfId="0" applyFill="1" applyBorder="1" applyAlignment="1">
      <alignment horizontal="left" vertical="top" wrapText="1"/>
    </xf>
    <xf numFmtId="0" fontId="0" fillId="0" borderId="20" xfId="0"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3" fillId="9" borderId="51" xfId="0" applyFont="1" applyFill="1" applyBorder="1" applyAlignment="1">
      <alignment horizontal="center" vertical="center" wrapText="1"/>
    </xf>
    <xf numFmtId="0" fontId="3" fillId="9" borderId="57" xfId="0" applyFont="1" applyFill="1" applyBorder="1" applyAlignment="1">
      <alignment horizontal="center" vertical="center" wrapText="1"/>
    </xf>
    <xf numFmtId="0" fontId="3" fillId="9" borderId="56" xfId="0" applyFont="1" applyFill="1" applyBorder="1" applyAlignment="1">
      <alignment horizontal="center" vertical="center" wrapText="1"/>
    </xf>
    <xf numFmtId="0" fontId="3" fillId="9" borderId="52" xfId="0" applyFont="1" applyFill="1" applyBorder="1" applyAlignment="1">
      <alignment horizontal="center" vertical="center" wrapText="1"/>
    </xf>
    <xf numFmtId="1" fontId="0" fillId="5" borderId="6" xfId="0" applyNumberFormat="1" applyFill="1" applyBorder="1" applyAlignment="1">
      <alignment horizontal="center" vertical="center" wrapText="1"/>
    </xf>
    <xf numFmtId="165" fontId="0" fillId="5" borderId="23" xfId="0" applyNumberFormat="1" applyFill="1" applyBorder="1" applyAlignment="1">
      <alignment horizontal="center" vertical="center" wrapText="1"/>
    </xf>
    <xf numFmtId="165" fontId="0" fillId="5" borderId="24" xfId="0" applyNumberFormat="1" applyFill="1" applyBorder="1" applyAlignment="1">
      <alignment horizontal="center" vertical="center" wrapText="1"/>
    </xf>
    <xf numFmtId="0" fontId="0" fillId="0" borderId="6" xfId="0" applyBorder="1" applyAlignment="1">
      <alignment horizontal="center" wrapText="1"/>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 xfId="0" applyFont="1" applyBorder="1" applyAlignment="1">
      <alignment horizontal="center" vertical="center" wrapText="1"/>
    </xf>
    <xf numFmtId="166" fontId="0" fillId="5" borderId="23" xfId="0" applyNumberFormat="1" applyFill="1" applyBorder="1" applyAlignment="1">
      <alignment horizontal="center" vertical="center" wrapText="1"/>
    </xf>
    <xf numFmtId="166" fontId="0" fillId="5" borderId="24" xfId="0" applyNumberFormat="1" applyFill="1" applyBorder="1" applyAlignment="1">
      <alignment horizontal="center" vertical="center" wrapText="1"/>
    </xf>
    <xf numFmtId="9" fontId="0" fillId="0" borderId="0" xfId="1" applyFont="1"/>
    <xf numFmtId="4" fontId="0" fillId="0" borderId="0" xfId="0" applyNumberFormat="1"/>
  </cellXfs>
  <cellStyles count="5">
    <cellStyle name="Comma" xfId="3" builtinId="3"/>
    <cellStyle name="Normal" xfId="0" builtinId="0"/>
    <cellStyle name="Normal 2" xfId="4" xr:uid="{B38AA3F9-5437-41CF-B51B-D2ED661F780C}"/>
    <cellStyle name="Normal_Sheet1" xfId="2" xr:uid="{00000000-0005-0000-0000-000001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b="1">
                <a:solidFill>
                  <a:schemeClr val="tx1"/>
                </a:solidFill>
              </a:rPr>
              <a:t> Average Weekday Savings Profile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scatterChart>
        <c:scatterStyle val="smoothMarker"/>
        <c:varyColors val="0"/>
        <c:ser>
          <c:idx val="0"/>
          <c:order val="0"/>
          <c:tx>
            <c:v>SCE (N=52)</c:v>
          </c:tx>
          <c:spPr>
            <a:ln w="19050" cap="rnd">
              <a:solidFill>
                <a:schemeClr val="tx1"/>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0.97868712309557104</c:v>
              </c:pt>
              <c:pt idx="1">
                <c:v>0.87112116616560764</c:v>
              </c:pt>
              <c:pt idx="2">
                <c:v>0.69598442372975822</c:v>
              </c:pt>
              <c:pt idx="3">
                <c:v>0.67709146917645358</c:v>
              </c:pt>
              <c:pt idx="4">
                <c:v>0.78441601766186575</c:v>
              </c:pt>
              <c:pt idx="5">
                <c:v>0.9026921954914473</c:v>
              </c:pt>
              <c:pt idx="6">
                <c:v>1.0871595763379502</c:v>
              </c:pt>
              <c:pt idx="7">
                <c:v>1.086989483445421</c:v>
              </c:pt>
              <c:pt idx="8">
                <c:v>0.76919894409378675</c:v>
              </c:pt>
              <c:pt idx="9">
                <c:v>0.60746365801675428</c:v>
              </c:pt>
              <c:pt idx="10">
                <c:v>0.56159152525343448</c:v>
              </c:pt>
              <c:pt idx="11">
                <c:v>0.56006236552710442</c:v>
              </c:pt>
              <c:pt idx="12">
                <c:v>0.5609314787560058</c:v>
              </c:pt>
              <c:pt idx="13">
                <c:v>0.57268676843848954</c:v>
              </c:pt>
              <c:pt idx="14">
                <c:v>0.57651480535476129</c:v>
              </c:pt>
              <c:pt idx="15">
                <c:v>0.58035056187345835</c:v>
              </c:pt>
              <c:pt idx="16">
                <c:v>0.58455390693676224</c:v>
              </c:pt>
              <c:pt idx="17">
                <c:v>0.58209842396116684</c:v>
              </c:pt>
              <c:pt idx="18">
                <c:v>0.58173370126571888</c:v>
              </c:pt>
              <c:pt idx="19">
                <c:v>0.56098983490239829</c:v>
              </c:pt>
              <c:pt idx="20">
                <c:v>0.65374249392426842</c:v>
              </c:pt>
              <c:pt idx="21">
                <c:v>0.69453952983912881</c:v>
              </c:pt>
              <c:pt idx="22">
                <c:v>1.0200118269212763</c:v>
              </c:pt>
              <c:pt idx="23">
                <c:v>1.0894036201821027</c:v>
              </c:pt>
            </c:numLit>
          </c:yVal>
          <c:smooth val="1"/>
          <c:extLst>
            <c:ext xmlns:c16="http://schemas.microsoft.com/office/drawing/2014/chart" uri="{C3380CC4-5D6E-409C-BE32-E72D297353CC}">
              <c16:uniqueId val="{00000000-93C0-4C0C-ABA1-02E5A902CE9A}"/>
            </c:ext>
          </c:extLst>
        </c:ser>
        <c:ser>
          <c:idx val="1"/>
          <c:order val="1"/>
          <c:tx>
            <c:v>SDG&amp;E (N=25)</c:v>
          </c:tx>
          <c:spPr>
            <a:ln w="19050" cap="rnd">
              <a:solidFill>
                <a:schemeClr val="dk1">
                  <a:tint val="55000"/>
                </a:schemeClr>
              </a:solidFill>
              <a:round/>
            </a:ln>
            <a:effectLst/>
          </c:spPr>
          <c:marker>
            <c:symbol val="triangle"/>
            <c:size val="5"/>
            <c:spPr>
              <a:solidFill>
                <a:schemeClr val="bg1">
                  <a:lumMod val="50000"/>
                </a:schemeClr>
              </a:solidFill>
              <a:ln w="9525">
                <a:solidFill>
                  <a:schemeClr val="dk1">
                    <a:tint val="55000"/>
                  </a:schemeClr>
                </a:solidFill>
              </a:ln>
              <a:effectLst/>
            </c:spPr>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1.1193382796792799</c:v>
              </c:pt>
              <c:pt idx="1">
                <c:v>1.1155898660941539</c:v>
              </c:pt>
              <c:pt idx="2">
                <c:v>1.0748313330580659</c:v>
              </c:pt>
              <c:pt idx="3">
                <c:v>1.0689586970968734</c:v>
              </c:pt>
              <c:pt idx="4">
                <c:v>1.0980958609164835</c:v>
              </c:pt>
              <c:pt idx="5">
                <c:v>1.1758031412686594</c:v>
              </c:pt>
              <c:pt idx="6">
                <c:v>1.1366786691824693</c:v>
              </c:pt>
              <c:pt idx="7">
                <c:v>1.1212021936367855</c:v>
              </c:pt>
              <c:pt idx="8">
                <c:v>0.79942259638598379</c:v>
              </c:pt>
              <c:pt idx="9">
                <c:v>0.62828016765604555</c:v>
              </c:pt>
              <c:pt idx="10">
                <c:v>0.57428116996287126</c:v>
              </c:pt>
              <c:pt idx="11">
                <c:v>0.57059986261588391</c:v>
              </c:pt>
              <c:pt idx="12">
                <c:v>0.57002621476005599</c:v>
              </c:pt>
              <c:pt idx="13">
                <c:v>0.57525497154695426</c:v>
              </c:pt>
              <c:pt idx="14">
                <c:v>0.57740991948220122</c:v>
              </c:pt>
              <c:pt idx="15">
                <c:v>0.57927784488520107</c:v>
              </c:pt>
              <c:pt idx="16">
                <c:v>0.58284772740893009</c:v>
              </c:pt>
              <c:pt idx="17">
                <c:v>0.55814283114382912</c:v>
              </c:pt>
              <c:pt idx="18">
                <c:v>0.59076745723809931</c:v>
              </c:pt>
              <c:pt idx="19">
                <c:v>0.57690597617083283</c:v>
              </c:pt>
              <c:pt idx="20">
                <c:v>0.76217461232778994</c:v>
              </c:pt>
              <c:pt idx="21">
                <c:v>0.73117842109716324</c:v>
              </c:pt>
              <c:pt idx="22">
                <c:v>0.99732767372160602</c:v>
              </c:pt>
              <c:pt idx="23">
                <c:v>1.1104031420932277</c:v>
              </c:pt>
            </c:numLit>
          </c:yVal>
          <c:smooth val="1"/>
          <c:extLst>
            <c:ext xmlns:c16="http://schemas.microsoft.com/office/drawing/2014/chart" uri="{C3380CC4-5D6E-409C-BE32-E72D297353CC}">
              <c16:uniqueId val="{00000001-93C0-4C0C-ABA1-02E5A902CE9A}"/>
            </c:ext>
          </c:extLst>
        </c:ser>
        <c:ser>
          <c:idx val="2"/>
          <c:order val="2"/>
          <c:tx>
            <c:v>SCG (N=6)</c:v>
          </c:tx>
          <c:spPr>
            <a:ln w="19050" cap="rnd">
              <a:solidFill>
                <a:schemeClr val="dk1">
                  <a:tint val="75000"/>
                </a:schemeClr>
              </a:solidFill>
              <a:prstDash val="sysDash"/>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1.4061403083574999</c:v>
              </c:pt>
              <c:pt idx="1">
                <c:v>1.251593646531747</c:v>
              </c:pt>
              <c:pt idx="2">
                <c:v>0.99996385882744454</c:v>
              </c:pt>
              <c:pt idx="3">
                <c:v>0.97281918274614521</c:v>
              </c:pt>
              <c:pt idx="4">
                <c:v>1.1270189981317511</c:v>
              </c:pt>
              <c:pt idx="5">
                <c:v>1.2969536966067745</c:v>
              </c:pt>
              <c:pt idx="6">
                <c:v>1.5619893894898735</c:v>
              </c:pt>
              <c:pt idx="7">
                <c:v>1.5617450065132241</c:v>
              </c:pt>
              <c:pt idx="8">
                <c:v>1.1051556875656143</c:v>
              </c:pt>
              <c:pt idx="9">
                <c:v>0.8727806009114516</c:v>
              </c:pt>
              <c:pt idx="10">
                <c:v>0.80687327119732422</c:v>
              </c:pt>
              <c:pt idx="11">
                <c:v>0.80467623286058942</c:v>
              </c:pt>
              <c:pt idx="12">
                <c:v>0.8059249415794898</c:v>
              </c:pt>
              <c:pt idx="13">
                <c:v>0.82281449317252253</c:v>
              </c:pt>
              <c:pt idx="14">
                <c:v>0.82831447052261242</c:v>
              </c:pt>
              <c:pt idx="15">
                <c:v>0.83382553910286006</c:v>
              </c:pt>
              <c:pt idx="16">
                <c:v>0.83986474487554086</c:v>
              </c:pt>
              <c:pt idx="17">
                <c:v>0.83633680064598015</c:v>
              </c:pt>
              <c:pt idx="18">
                <c:v>0.83581278099624778</c:v>
              </c:pt>
              <c:pt idx="19">
                <c:v>0.80600878546355292</c:v>
              </c:pt>
              <c:pt idx="20">
                <c:v>0.93927226618195014</c:v>
              </c:pt>
              <c:pt idx="21">
                <c:v>0.99788789042756698</c:v>
              </c:pt>
              <c:pt idx="22">
                <c:v>1.4655140657197727</c:v>
              </c:pt>
              <c:pt idx="23">
                <c:v>1.5652135460446299</c:v>
              </c:pt>
            </c:numLit>
          </c:yVal>
          <c:smooth val="1"/>
          <c:extLst>
            <c:ext xmlns:c16="http://schemas.microsoft.com/office/drawing/2014/chart" uri="{C3380CC4-5D6E-409C-BE32-E72D297353CC}">
              <c16:uniqueId val="{00000002-93C0-4C0C-ABA1-02E5A902CE9A}"/>
            </c:ext>
          </c:extLst>
        </c:ser>
        <c:ser>
          <c:idx val="3"/>
          <c:order val="3"/>
          <c:tx>
            <c:v>PG&amp;E (N=4)</c:v>
          </c:tx>
          <c:spPr>
            <a:ln w="19050" cap="rnd">
              <a:solidFill>
                <a:schemeClr val="dk1">
                  <a:tint val="98500"/>
                </a:schemeClr>
              </a:solidFill>
              <a:prstDash val="sysDash"/>
              <a:round/>
            </a:ln>
            <a:effectLst/>
          </c:spPr>
          <c:marker>
            <c:symbol val="none"/>
          </c:marker>
          <c:yVal>
            <c:numLit>
              <c:formatCode>General</c:formatCode>
              <c:ptCount val="24"/>
              <c:pt idx="0">
                <c:v>0</c:v>
              </c:pt>
              <c:pt idx="1">
                <c:v>0</c:v>
              </c:pt>
              <c:pt idx="2">
                <c:v>0</c:v>
              </c:pt>
              <c:pt idx="3">
                <c:v>0</c:v>
              </c:pt>
              <c:pt idx="4">
                <c:v>0</c:v>
              </c:pt>
              <c:pt idx="5">
                <c:v>0</c:v>
              </c:pt>
              <c:pt idx="6">
                <c:v>0.32974999999999999</c:v>
              </c:pt>
              <c:pt idx="7">
                <c:v>0.37350000000000005</c:v>
              </c:pt>
              <c:pt idx="8">
                <c:v>0.60224999999999995</c:v>
              </c:pt>
              <c:pt idx="9">
                <c:v>0.60224999999999995</c:v>
              </c:pt>
              <c:pt idx="10">
                <c:v>0.60224999999999995</c:v>
              </c:pt>
              <c:pt idx="11">
                <c:v>0.59349999999999992</c:v>
              </c:pt>
              <c:pt idx="12">
                <c:v>0.59349999999999992</c:v>
              </c:pt>
              <c:pt idx="13">
                <c:v>0.59349999999999992</c:v>
              </c:pt>
              <c:pt idx="14">
                <c:v>0.60224999999999995</c:v>
              </c:pt>
              <c:pt idx="15">
                <c:v>0.60224999999999995</c:v>
              </c:pt>
              <c:pt idx="16">
                <c:v>0.60224999999999995</c:v>
              </c:pt>
              <c:pt idx="17">
                <c:v>0.60224999999999995</c:v>
              </c:pt>
              <c:pt idx="18">
                <c:v>0.37350000000000005</c:v>
              </c:pt>
              <c:pt idx="19">
                <c:v>0.37350000000000005</c:v>
              </c:pt>
              <c:pt idx="20">
                <c:v>0.37350000000000005</c:v>
              </c:pt>
              <c:pt idx="21">
                <c:v>0.37350000000000005</c:v>
              </c:pt>
              <c:pt idx="22">
                <c:v>0.26187500000000008</c:v>
              </c:pt>
              <c:pt idx="23">
                <c:v>0.12</c:v>
              </c:pt>
            </c:numLit>
          </c:yVal>
          <c:smooth val="1"/>
          <c:extLst>
            <c:ext xmlns:c16="http://schemas.microsoft.com/office/drawing/2014/chart" uri="{C3380CC4-5D6E-409C-BE32-E72D297353CC}">
              <c16:uniqueId val="{00000003-93C0-4C0C-ABA1-02E5A902CE9A}"/>
            </c:ext>
          </c:extLst>
        </c:ser>
        <c:dLbls>
          <c:showLegendKey val="0"/>
          <c:showVal val="0"/>
          <c:showCatName val="0"/>
          <c:showSerName val="0"/>
          <c:showPercent val="0"/>
          <c:showBubbleSize val="0"/>
        </c:dLbls>
        <c:axId val="335248904"/>
        <c:axId val="335249296"/>
      </c:scatterChart>
      <c:valAx>
        <c:axId val="335248904"/>
        <c:scaling>
          <c:orientation val="minMax"/>
          <c:max val="24"/>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Hour Ending</a:t>
                </a:r>
              </a:p>
            </c:rich>
          </c:tx>
          <c:layout>
            <c:manualLayout>
              <c:xMode val="edge"/>
              <c:yMode val="edge"/>
              <c:x val="0.45814457567804023"/>
              <c:y val="0.80807742782152248"/>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335249296"/>
        <c:crosses val="autoZero"/>
        <c:crossBetween val="midCat"/>
        <c:majorUnit val="1"/>
        <c:minorUnit val="1"/>
      </c:valAx>
      <c:valAx>
        <c:axId val="335249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Average Pump Power (kW)</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33524890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b="1">
                <a:solidFill>
                  <a:schemeClr val="tx1"/>
                </a:solidFill>
              </a:rPr>
              <a:t> Average Weekday Pump Load  Profile for SDGE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scatterChart>
        <c:scatterStyle val="smoothMarker"/>
        <c:varyColors val="0"/>
        <c:ser>
          <c:idx val="0"/>
          <c:order val="0"/>
          <c:tx>
            <c:v>Single-Speed Pump (N=)</c:v>
          </c:tx>
          <c:spPr>
            <a:ln w="19050" cap="rnd">
              <a:solidFill>
                <a:schemeClr val="tx1"/>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1.5923529411764705</c:v>
              </c:pt>
              <c:pt idx="1">
                <c:v>1.5923529411764705</c:v>
              </c:pt>
              <c:pt idx="2">
                <c:v>1.5923529411764705</c:v>
              </c:pt>
              <c:pt idx="3">
                <c:v>1.5923529411764705</c:v>
              </c:pt>
              <c:pt idx="4">
                <c:v>1.5923529411764705</c:v>
              </c:pt>
              <c:pt idx="5">
                <c:v>1.5923529411764705</c:v>
              </c:pt>
              <c:pt idx="6">
                <c:v>1.5923529411764705</c:v>
              </c:pt>
              <c:pt idx="7">
                <c:v>1.7629694444444486</c:v>
              </c:pt>
              <c:pt idx="8">
                <c:v>1.9334705882352941</c:v>
              </c:pt>
              <c:pt idx="9">
                <c:v>2.0298235294117646</c:v>
              </c:pt>
              <c:pt idx="10">
                <c:v>2.0298235294117646</c:v>
              </c:pt>
              <c:pt idx="11">
                <c:v>2.0298235294117646</c:v>
              </c:pt>
              <c:pt idx="12">
                <c:v>2.0298235294117646</c:v>
              </c:pt>
              <c:pt idx="13">
                <c:v>2.0298235294117646</c:v>
              </c:pt>
              <c:pt idx="14">
                <c:v>2.0298235294117646</c:v>
              </c:pt>
              <c:pt idx="15">
                <c:v>2.0298235294117646</c:v>
              </c:pt>
              <c:pt idx="16">
                <c:v>2.0298235294117646</c:v>
              </c:pt>
              <c:pt idx="17">
                <c:v>1.923470588235294</c:v>
              </c:pt>
              <c:pt idx="18">
                <c:v>1.9072941176470588</c:v>
              </c:pt>
              <c:pt idx="19">
                <c:v>1.8587647058823527</c:v>
              </c:pt>
              <c:pt idx="20">
                <c:v>1.7624117647058823</c:v>
              </c:pt>
              <c:pt idx="21">
                <c:v>1.6444705882352939</c:v>
              </c:pt>
              <c:pt idx="22">
                <c:v>1.5923529411764705</c:v>
              </c:pt>
              <c:pt idx="23">
                <c:v>1.5923529411764705</c:v>
              </c:pt>
            </c:numLit>
          </c:yVal>
          <c:smooth val="1"/>
          <c:extLst>
            <c:ext xmlns:c16="http://schemas.microsoft.com/office/drawing/2014/chart" uri="{C3380CC4-5D6E-409C-BE32-E72D297353CC}">
              <c16:uniqueId val="{00000000-C110-4B0A-8285-597CC9198A5B}"/>
            </c:ext>
          </c:extLst>
        </c:ser>
        <c:ser>
          <c:idx val="1"/>
          <c:order val="1"/>
          <c:tx>
            <c:v>Variable-Speed Pump (N=)</c:v>
          </c:tx>
          <c:spPr>
            <a:ln w="19050" cap="rnd">
              <a:solidFill>
                <a:schemeClr val="bg1">
                  <a:lumMod val="50000"/>
                </a:schemeClr>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0.18087500000000001</c:v>
              </c:pt>
              <c:pt idx="1">
                <c:v>0.18087500000000001</c:v>
              </c:pt>
              <c:pt idx="2">
                <c:v>0.18087500000000001</c:v>
              </c:pt>
              <c:pt idx="3">
                <c:v>0.18087500000000001</c:v>
              </c:pt>
              <c:pt idx="4">
                <c:v>0.18087500000000001</c:v>
              </c:pt>
              <c:pt idx="5">
                <c:v>0.47375</c:v>
              </c:pt>
              <c:pt idx="6">
                <c:v>0.47375</c:v>
              </c:pt>
              <c:pt idx="7">
                <c:v>0.58784559027777816</c:v>
              </c:pt>
              <c:pt idx="8">
                <c:v>1.1011666666666664</c:v>
              </c:pt>
              <c:pt idx="9">
                <c:v>1.338875</c:v>
              </c:pt>
              <c:pt idx="10">
                <c:v>1.3985000000000001</c:v>
              </c:pt>
              <c:pt idx="11">
                <c:v>1.3985000000000001</c:v>
              </c:pt>
              <c:pt idx="12">
                <c:v>1.3985000000000001</c:v>
              </c:pt>
              <c:pt idx="13">
                <c:v>1.3985000000000001</c:v>
              </c:pt>
              <c:pt idx="14">
                <c:v>1.3985000000000001</c:v>
              </c:pt>
              <c:pt idx="15">
                <c:v>1.3985000000000001</c:v>
              </c:pt>
              <c:pt idx="16">
                <c:v>1.3985000000000001</c:v>
              </c:pt>
              <c:pt idx="17">
                <c:v>1.3985000000000001</c:v>
              </c:pt>
              <c:pt idx="18">
                <c:v>1.2635000000000001</c:v>
              </c:pt>
              <c:pt idx="19">
                <c:v>1.2364895833333338</c:v>
              </c:pt>
              <c:pt idx="20">
                <c:v>0.53581250000000002</c:v>
              </c:pt>
              <c:pt idx="21">
                <c:v>0.18087500000000001</c:v>
              </c:pt>
              <c:pt idx="22">
                <c:v>0.18087500000000001</c:v>
              </c:pt>
              <c:pt idx="23">
                <c:v>0.18087500000000001</c:v>
              </c:pt>
            </c:numLit>
          </c:yVal>
          <c:smooth val="1"/>
          <c:extLst>
            <c:ext xmlns:c16="http://schemas.microsoft.com/office/drawing/2014/chart" uri="{C3380CC4-5D6E-409C-BE32-E72D297353CC}">
              <c16:uniqueId val="{00000001-C110-4B0A-8285-597CC9198A5B}"/>
            </c:ext>
          </c:extLst>
        </c:ser>
        <c:dLbls>
          <c:showLegendKey val="0"/>
          <c:showVal val="0"/>
          <c:showCatName val="0"/>
          <c:showSerName val="0"/>
          <c:showPercent val="0"/>
          <c:showBubbleSize val="0"/>
        </c:dLbls>
        <c:axId val="433460648"/>
        <c:axId val="433460256"/>
      </c:scatterChart>
      <c:valAx>
        <c:axId val="433460648"/>
        <c:scaling>
          <c:orientation val="minMax"/>
          <c:max val="24"/>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solidFill>
                      <a:schemeClr val="tx1"/>
                    </a:solidFill>
                  </a:rPr>
                  <a:t>Hour Ending</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433460256"/>
        <c:crosses val="autoZero"/>
        <c:crossBetween val="midCat"/>
        <c:majorUnit val="1"/>
        <c:minorUnit val="1"/>
      </c:valAx>
      <c:valAx>
        <c:axId val="4334602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b="1">
                    <a:solidFill>
                      <a:sysClr val="windowText" lastClr="000000"/>
                    </a:solidFill>
                  </a:rPr>
                  <a:t>Average Pump Power (kW)</a:t>
                </a:r>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43346064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b="1">
                <a:solidFill>
                  <a:schemeClr val="tx1"/>
                </a:solidFill>
              </a:rPr>
              <a:t> Average Weekday Load  Profile for SCE and SCG</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scatterChart>
        <c:scatterStyle val="smoothMarker"/>
        <c:varyColors val="0"/>
        <c:ser>
          <c:idx val="0"/>
          <c:order val="0"/>
          <c:tx>
            <c:v>Single-Speed Pump (N=52)</c:v>
          </c:tx>
          <c:spPr>
            <a:ln w="19050" cap="rnd">
              <a:solidFill>
                <a:schemeClr val="tx1"/>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1.2266458085294676</c:v>
              </c:pt>
              <c:pt idx="1">
                <c:v>1.0965850209587413</c:v>
              </c:pt>
              <c:pt idx="2">
                <c:v>0.91969856116717941</c:v>
              </c:pt>
              <c:pt idx="3">
                <c:v>0.90119148075709299</c:v>
              </c:pt>
              <c:pt idx="4">
                <c:v>1.0079380986093169</c:v>
              </c:pt>
              <c:pt idx="5">
                <c:v>1.1276853240226044</c:v>
              </c:pt>
              <c:pt idx="6">
                <c:v>1.4223327759374642</c:v>
              </c:pt>
              <c:pt idx="7">
                <c:v>1.586919397326239</c:v>
              </c:pt>
              <c:pt idx="8">
                <c:v>1.6860590993826852</c:v>
              </c:pt>
              <c:pt idx="9">
                <c:v>1.7123607536834209</c:v>
              </c:pt>
              <c:pt idx="10">
                <c:v>1.7162210026417775</c:v>
              </c:pt>
              <c:pt idx="11">
                <c:v>1.7256126102409182</c:v>
              </c:pt>
              <c:pt idx="12">
                <c:v>1.7305063834735426</c:v>
              </c:pt>
              <c:pt idx="13">
                <c:v>1.7463627919691289</c:v>
              </c:pt>
              <c:pt idx="14">
                <c:v>1.7497059525637697</c:v>
              </c:pt>
              <c:pt idx="15">
                <c:v>1.7541427308932147</c:v>
              </c:pt>
              <c:pt idx="16">
                <c:v>1.7531425988202718</c:v>
              </c:pt>
              <c:pt idx="17">
                <c:v>1.7481476900461279</c:v>
              </c:pt>
              <c:pt idx="18">
                <c:v>1.745393602251716</c:v>
              </c:pt>
              <c:pt idx="19">
                <c:v>1.7235563637017188</c:v>
              </c:pt>
              <c:pt idx="20">
                <c:v>1.7145382207344897</c:v>
              </c:pt>
              <c:pt idx="21">
                <c:v>1.6324692200070363</c:v>
              </c:pt>
              <c:pt idx="22">
                <c:v>1.4886865573640344</c:v>
              </c:pt>
              <c:pt idx="23">
                <c:v>1.3796827291528746</c:v>
              </c:pt>
            </c:numLit>
          </c:yVal>
          <c:smooth val="1"/>
          <c:extLst>
            <c:ext xmlns:c16="http://schemas.microsoft.com/office/drawing/2014/chart" uri="{C3380CC4-5D6E-409C-BE32-E72D297353CC}">
              <c16:uniqueId val="{00000000-3042-4696-A81C-656C4A2A3B60}"/>
            </c:ext>
          </c:extLst>
        </c:ser>
        <c:ser>
          <c:idx val="1"/>
          <c:order val="1"/>
          <c:tx>
            <c:v>Variable Speed Pump (N=52)</c:v>
          </c:tx>
          <c:spPr>
            <a:ln w="19050" cap="rnd">
              <a:solidFill>
                <a:schemeClr val="tx1"/>
              </a:solidFill>
              <a:prstDash val="sysDash"/>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0.24795868543389676</c:v>
              </c:pt>
              <c:pt idx="1">
                <c:v>0.22546385479313372</c:v>
              </c:pt>
              <c:pt idx="2">
                <c:v>0.22371413743742122</c:v>
              </c:pt>
              <c:pt idx="3">
                <c:v>0.22410001158063941</c:v>
              </c:pt>
              <c:pt idx="4">
                <c:v>0.22352208094745121</c:v>
              </c:pt>
              <c:pt idx="5">
                <c:v>0.22499312853115708</c:v>
              </c:pt>
              <c:pt idx="6">
                <c:v>0.33517319959951403</c:v>
              </c:pt>
              <c:pt idx="7">
                <c:v>0.49992991388081809</c:v>
              </c:pt>
              <c:pt idx="8">
                <c:v>0.91686015528889842</c:v>
              </c:pt>
              <c:pt idx="9">
                <c:v>1.1048970956666666</c:v>
              </c:pt>
              <c:pt idx="10">
                <c:v>1.154629477388343</c:v>
              </c:pt>
              <c:pt idx="11">
                <c:v>1.1655502447138137</c:v>
              </c:pt>
              <c:pt idx="12">
                <c:v>1.1695749047175368</c:v>
              </c:pt>
              <c:pt idx="13">
                <c:v>1.1736760235306394</c:v>
              </c:pt>
              <c:pt idx="14">
                <c:v>1.1731911472090084</c:v>
              </c:pt>
              <c:pt idx="15">
                <c:v>1.1737921690197564</c:v>
              </c:pt>
              <c:pt idx="16">
                <c:v>1.1685886918835096</c:v>
              </c:pt>
              <c:pt idx="17">
                <c:v>1.1660492660849611</c:v>
              </c:pt>
              <c:pt idx="18">
                <c:v>1.1636599009859971</c:v>
              </c:pt>
              <c:pt idx="19">
                <c:v>1.1625665287993205</c:v>
              </c:pt>
              <c:pt idx="20">
                <c:v>1.0607957268102213</c:v>
              </c:pt>
              <c:pt idx="21">
                <c:v>0.9379296901679075</c:v>
              </c:pt>
              <c:pt idx="22">
                <c:v>0.46867473044275815</c:v>
              </c:pt>
              <c:pt idx="23">
                <c:v>0.29027910897077197</c:v>
              </c:pt>
            </c:numLit>
          </c:yVal>
          <c:smooth val="1"/>
          <c:extLst>
            <c:ext xmlns:c16="http://schemas.microsoft.com/office/drawing/2014/chart" uri="{C3380CC4-5D6E-409C-BE32-E72D297353CC}">
              <c16:uniqueId val="{00000001-3042-4696-A81C-656C4A2A3B60}"/>
            </c:ext>
          </c:extLst>
        </c:ser>
        <c:ser>
          <c:idx val="2"/>
          <c:order val="2"/>
          <c:tx>
            <c:v>Variable-Speed Pump (SCG, N=)</c:v>
          </c:tx>
          <c:spPr>
            <a:ln w="19050" cap="rnd">
              <a:solidFill>
                <a:schemeClr val="dk1">
                  <a:tint val="75000"/>
                </a:schemeClr>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0.60099999999999998</c:v>
              </c:pt>
              <c:pt idx="1">
                <c:v>0.60099999999999998</c:v>
              </c:pt>
              <c:pt idx="2">
                <c:v>0.60099999999999998</c:v>
              </c:pt>
              <c:pt idx="3">
                <c:v>0.60099999999999998</c:v>
              </c:pt>
              <c:pt idx="4">
                <c:v>0.60099999999999998</c:v>
              </c:pt>
              <c:pt idx="5">
                <c:v>0.60099999999999998</c:v>
              </c:pt>
              <c:pt idx="6">
                <c:v>0.93316666666666659</c:v>
              </c:pt>
              <c:pt idx="7">
                <c:v>1.142119166666667</c:v>
              </c:pt>
              <c:pt idx="8">
                <c:v>1.423</c:v>
              </c:pt>
              <c:pt idx="9">
                <c:v>1.423</c:v>
              </c:pt>
              <c:pt idx="10">
                <c:v>1.423</c:v>
              </c:pt>
              <c:pt idx="11">
                <c:v>1.423</c:v>
              </c:pt>
              <c:pt idx="12">
                <c:v>1.423</c:v>
              </c:pt>
              <c:pt idx="13">
                <c:v>1.423</c:v>
              </c:pt>
              <c:pt idx="14">
                <c:v>1.423</c:v>
              </c:pt>
              <c:pt idx="15">
                <c:v>1.423</c:v>
              </c:pt>
              <c:pt idx="16">
                <c:v>1.423</c:v>
              </c:pt>
              <c:pt idx="17">
                <c:v>1.423</c:v>
              </c:pt>
              <c:pt idx="18">
                <c:v>1.423</c:v>
              </c:pt>
              <c:pt idx="19">
                <c:v>1.423</c:v>
              </c:pt>
              <c:pt idx="20">
                <c:v>1.423</c:v>
              </c:pt>
              <c:pt idx="21">
                <c:v>1.423</c:v>
              </c:pt>
              <c:pt idx="22">
                <c:v>0.599325</c:v>
              </c:pt>
              <c:pt idx="23">
                <c:v>0.60099999999999998</c:v>
              </c:pt>
            </c:numLit>
          </c:yVal>
          <c:smooth val="1"/>
          <c:extLst>
            <c:ext xmlns:c16="http://schemas.microsoft.com/office/drawing/2014/chart" uri="{C3380CC4-5D6E-409C-BE32-E72D297353CC}">
              <c16:uniqueId val="{00000002-3042-4696-A81C-656C4A2A3B60}"/>
            </c:ext>
          </c:extLst>
        </c:ser>
        <c:dLbls>
          <c:showLegendKey val="0"/>
          <c:showVal val="0"/>
          <c:showCatName val="0"/>
          <c:showSerName val="0"/>
          <c:showPercent val="0"/>
          <c:showBubbleSize val="0"/>
        </c:dLbls>
        <c:axId val="433461824"/>
        <c:axId val="433462216"/>
      </c:scatterChart>
      <c:valAx>
        <c:axId val="433461824"/>
        <c:scaling>
          <c:orientation val="minMax"/>
          <c:max val="24"/>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Hour Ending</a:t>
                </a:r>
              </a:p>
            </c:rich>
          </c:tx>
          <c:layout>
            <c:manualLayout>
              <c:xMode val="edge"/>
              <c:yMode val="edge"/>
              <c:x val="0.46925568678915136"/>
              <c:y val="0.70159594634004097"/>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433462216"/>
        <c:crosses val="autoZero"/>
        <c:crossBetween val="midCat"/>
        <c:majorUnit val="1"/>
        <c:minorUnit val="1"/>
      </c:valAx>
      <c:valAx>
        <c:axId val="4334622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b="1">
                    <a:solidFill>
                      <a:schemeClr val="tx1"/>
                    </a:solidFill>
                  </a:rPr>
                  <a:t>Average Pump Power (kW)</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crossAx val="43346182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en-US" b="1">
                <a:solidFill>
                  <a:schemeClr val="tx1"/>
                </a:solidFill>
              </a:rPr>
              <a:t> Average Weekday Pump Load  Profile for PG&amp;E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scatterChart>
        <c:scatterStyle val="smoothMarker"/>
        <c:varyColors val="0"/>
        <c:ser>
          <c:idx val="0"/>
          <c:order val="0"/>
          <c:tx>
            <c:v>Single-Speed Pump (N=4)</c:v>
          </c:tx>
          <c:spPr>
            <a:ln w="19050" cap="rnd">
              <a:solidFill>
                <a:schemeClr val="tx1"/>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c:v>
              </c:pt>
              <c:pt idx="1">
                <c:v>0</c:v>
              </c:pt>
              <c:pt idx="2">
                <c:v>0</c:v>
              </c:pt>
              <c:pt idx="3">
                <c:v>0</c:v>
              </c:pt>
              <c:pt idx="4">
                <c:v>0</c:v>
              </c:pt>
              <c:pt idx="5">
                <c:v>0</c:v>
              </c:pt>
              <c:pt idx="6">
                <c:v>0.88124999999999998</c:v>
              </c:pt>
              <c:pt idx="7">
                <c:v>1.31925</c:v>
              </c:pt>
              <c:pt idx="8">
                <c:v>1.8205</c:v>
              </c:pt>
              <c:pt idx="9">
                <c:v>1.8205</c:v>
              </c:pt>
              <c:pt idx="10">
                <c:v>1.8205</c:v>
              </c:pt>
              <c:pt idx="11">
                <c:v>1.8205</c:v>
              </c:pt>
              <c:pt idx="12">
                <c:v>1.8205</c:v>
              </c:pt>
              <c:pt idx="13">
                <c:v>1.8205</c:v>
              </c:pt>
              <c:pt idx="14">
                <c:v>1.8205</c:v>
              </c:pt>
              <c:pt idx="15">
                <c:v>1.8205</c:v>
              </c:pt>
              <c:pt idx="16">
                <c:v>1.8205</c:v>
              </c:pt>
              <c:pt idx="17">
                <c:v>1.8205</c:v>
              </c:pt>
              <c:pt idx="18">
                <c:v>1.31925</c:v>
              </c:pt>
              <c:pt idx="19">
                <c:v>1.31925</c:v>
              </c:pt>
              <c:pt idx="20">
                <c:v>1.31925</c:v>
              </c:pt>
              <c:pt idx="21">
                <c:v>1.31925</c:v>
              </c:pt>
              <c:pt idx="22">
                <c:v>0.80400000000000005</c:v>
              </c:pt>
              <c:pt idx="23">
                <c:v>0.29249999999999998</c:v>
              </c:pt>
            </c:numLit>
          </c:yVal>
          <c:smooth val="1"/>
          <c:extLst>
            <c:ext xmlns:c16="http://schemas.microsoft.com/office/drawing/2014/chart" uri="{C3380CC4-5D6E-409C-BE32-E72D297353CC}">
              <c16:uniqueId val="{00000000-C9CE-498B-8847-409FD8618A0F}"/>
            </c:ext>
          </c:extLst>
        </c:ser>
        <c:ser>
          <c:idx val="1"/>
          <c:order val="1"/>
          <c:tx>
            <c:v>Variable Speed Pump (N=4)</c:v>
          </c:tx>
          <c:spPr>
            <a:ln w="19050" cap="rnd">
              <a:solidFill>
                <a:schemeClr val="bg1">
                  <a:lumMod val="50000"/>
                </a:schemeClr>
              </a:solidFill>
              <a:round/>
            </a:ln>
            <a:effectLst/>
          </c:spPr>
          <c:marker>
            <c:symbol val="none"/>
          </c:marker>
          <c:xVal>
            <c:numLit>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Lit>
          </c:xVal>
          <c:yVal>
            <c:numLit>
              <c:formatCode>General</c:formatCode>
              <c:ptCount val="24"/>
              <c:pt idx="0">
                <c:v>0</c:v>
              </c:pt>
              <c:pt idx="1">
                <c:v>0</c:v>
              </c:pt>
              <c:pt idx="2">
                <c:v>0</c:v>
              </c:pt>
              <c:pt idx="3">
                <c:v>0</c:v>
              </c:pt>
              <c:pt idx="4">
                <c:v>0</c:v>
              </c:pt>
              <c:pt idx="5">
                <c:v>0</c:v>
              </c:pt>
              <c:pt idx="6">
                <c:v>0.55149999999999999</c:v>
              </c:pt>
              <c:pt idx="7">
                <c:v>0.94574999999999998</c:v>
              </c:pt>
              <c:pt idx="8">
                <c:v>1.2182500000000001</c:v>
              </c:pt>
              <c:pt idx="9">
                <c:v>1.2182500000000001</c:v>
              </c:pt>
              <c:pt idx="10">
                <c:v>1.2182500000000001</c:v>
              </c:pt>
              <c:pt idx="11">
                <c:v>1.2270000000000001</c:v>
              </c:pt>
              <c:pt idx="12">
                <c:v>1.2270000000000001</c:v>
              </c:pt>
              <c:pt idx="13">
                <c:v>1.2270000000000001</c:v>
              </c:pt>
              <c:pt idx="14">
                <c:v>1.2182500000000001</c:v>
              </c:pt>
              <c:pt idx="15">
                <c:v>1.2182500000000001</c:v>
              </c:pt>
              <c:pt idx="16">
                <c:v>1.2182500000000001</c:v>
              </c:pt>
              <c:pt idx="17">
                <c:v>1.2182500000000001</c:v>
              </c:pt>
              <c:pt idx="18">
                <c:v>0.94574999999999998</c:v>
              </c:pt>
              <c:pt idx="19">
                <c:v>0.94574999999999998</c:v>
              </c:pt>
              <c:pt idx="20">
                <c:v>0.94574999999999998</c:v>
              </c:pt>
              <c:pt idx="21">
                <c:v>0.94574999999999998</c:v>
              </c:pt>
              <c:pt idx="22">
                <c:v>0.54212499999999997</c:v>
              </c:pt>
              <c:pt idx="23">
                <c:v>0.17249999999999999</c:v>
              </c:pt>
            </c:numLit>
          </c:yVal>
          <c:smooth val="1"/>
          <c:extLst>
            <c:ext xmlns:c16="http://schemas.microsoft.com/office/drawing/2014/chart" uri="{C3380CC4-5D6E-409C-BE32-E72D297353CC}">
              <c16:uniqueId val="{00000001-C9CE-498B-8847-409FD8618A0F}"/>
            </c:ext>
          </c:extLst>
        </c:ser>
        <c:dLbls>
          <c:showLegendKey val="0"/>
          <c:showVal val="0"/>
          <c:showCatName val="0"/>
          <c:showSerName val="0"/>
          <c:showPercent val="0"/>
          <c:showBubbleSize val="0"/>
        </c:dLbls>
        <c:axId val="433460648"/>
        <c:axId val="433460256"/>
      </c:scatterChart>
      <c:valAx>
        <c:axId val="433460648"/>
        <c:scaling>
          <c:orientation val="minMax"/>
          <c:max val="24"/>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solidFill>
                      <a:schemeClr val="tx1"/>
                    </a:solidFill>
                  </a:rPr>
                  <a:t>Hour Ending</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433460256"/>
        <c:crosses val="autoZero"/>
        <c:crossBetween val="midCat"/>
        <c:majorUnit val="1"/>
        <c:minorUnit val="1"/>
      </c:valAx>
      <c:valAx>
        <c:axId val="43346025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b="1">
                    <a:solidFill>
                      <a:sysClr val="windowText" lastClr="000000"/>
                    </a:solidFill>
                  </a:rPr>
                  <a:t>Average Pump Power (kW)</a:t>
                </a:r>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43346064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3.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4.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542495</xdr:colOff>
      <xdr:row>12</xdr:row>
      <xdr:rowOff>82112</xdr:rowOff>
    </xdr:from>
    <xdr:to>
      <xdr:col>8</xdr:col>
      <xdr:colOff>1562902</xdr:colOff>
      <xdr:row>27</xdr:row>
      <xdr:rowOff>20296</xdr:rowOff>
    </xdr:to>
    <xdr:sp macro="" textlink="">
      <xdr:nvSpPr>
        <xdr:cNvPr id="2" name="TextBox 1">
          <a:extLst>
            <a:ext uri="{FF2B5EF4-FFF2-40B4-BE49-F238E27FC236}">
              <a16:creationId xmlns:a16="http://schemas.microsoft.com/office/drawing/2014/main" id="{3CD7550F-E5B9-4EF8-8FCD-8239A757CC75}"/>
            </a:ext>
          </a:extLst>
        </xdr:cNvPr>
        <xdr:cNvSpPr txBox="1"/>
      </xdr:nvSpPr>
      <xdr:spPr>
        <a:xfrm>
          <a:off x="7971361" y="2862863"/>
          <a:ext cx="7860647" cy="26783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-Based on SFm database, 71.7% of 2-speed pumps filter pools only, for 1.045 turnovers per day. 28.3% pools also have pool sweeps at high power, for more turnovers per day. Weighted baselines were calculated on aforementioned percentages.</a:t>
          </a:r>
        </a:p>
        <a:p>
          <a:endParaRPr lang="en-US" sz="1100"/>
        </a:p>
        <a:p>
          <a:r>
            <a:rPr lang="en-US" sz="1100"/>
            <a:t>-Energy</a:t>
          </a:r>
          <a:r>
            <a:rPr lang="en-US" sz="1100" baseline="0"/>
            <a:t> Factors obtained from CEC Database for 2-speed and VS pool pumps using flows from SFm Database. </a:t>
          </a:r>
        </a:p>
        <a:p>
          <a:endParaRPr lang="en-US" sz="1100" baseline="0"/>
        </a:p>
        <a:p>
          <a:r>
            <a:rPr lang="en-US" sz="1100" baseline="0"/>
            <a:t>-Pool volume is average from SFm database. </a:t>
          </a:r>
        </a:p>
        <a:p>
          <a:endParaRPr lang="en-US" sz="1100" baseline="0"/>
        </a:p>
        <a:p>
          <a:r>
            <a:rPr lang="en-US" sz="1100" b="1"/>
            <a:t>Peak Demand Calculations:</a:t>
          </a:r>
          <a:r>
            <a:rPr lang="en-US" sz="1100" b="1" baseline="0"/>
            <a:t> </a:t>
          </a:r>
        </a:p>
        <a:p>
          <a:r>
            <a:rPr lang="en-US" sz="1100" b="0"/>
            <a:t>-2016 T24 requires that residential pumps be controlled to not</a:t>
          </a:r>
          <a:r>
            <a:rPr lang="en-US" sz="1100" b="0" baseline="0"/>
            <a:t> operate during peak periods, thus no coincident demand is calculatioed. </a:t>
          </a:r>
        </a:p>
        <a:p>
          <a:endParaRPr lang="en-US" sz="1100" b="0" baseline="0"/>
        </a:p>
        <a:p>
          <a:r>
            <a:rPr lang="en-US" sz="1100" b="0" baseline="0"/>
            <a:t>See Energy Factors Tables tab for more details on values.</a:t>
          </a:r>
          <a:endParaRPr lang="en-US" sz="11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329371</xdr:colOff>
      <xdr:row>12</xdr:row>
      <xdr:rowOff>62738</xdr:rowOff>
    </xdr:from>
    <xdr:to>
      <xdr:col>8</xdr:col>
      <xdr:colOff>141159</xdr:colOff>
      <xdr:row>28</xdr:row>
      <xdr:rowOff>47052</xdr:rowOff>
    </xdr:to>
    <xdr:sp macro="" textlink="">
      <xdr:nvSpPr>
        <xdr:cNvPr id="2" name="TextBox 1">
          <a:extLst>
            <a:ext uri="{FF2B5EF4-FFF2-40B4-BE49-F238E27FC236}">
              <a16:creationId xmlns:a16="http://schemas.microsoft.com/office/drawing/2014/main" id="{2F438764-2BEB-4491-ADED-5CEAF475014A}"/>
            </a:ext>
          </a:extLst>
        </xdr:cNvPr>
        <xdr:cNvSpPr txBox="1"/>
      </xdr:nvSpPr>
      <xdr:spPr>
        <a:xfrm>
          <a:off x="8642098" y="2666347"/>
          <a:ext cx="8516625" cy="29957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-Based on SFm database, 71.7% of 2-speed pumps filter pools only, for 1.045 turnovers per day. 28.3% pools also have pool sweeps at high power, for more turnovers per day. Weighted baselines were calculated on aforementioned percentages.</a:t>
          </a:r>
        </a:p>
        <a:p>
          <a:endParaRPr lang="en-US" sz="1100"/>
        </a:p>
        <a:p>
          <a:r>
            <a:rPr lang="en-US" sz="1100"/>
            <a:t>-Energy</a:t>
          </a:r>
          <a:r>
            <a:rPr lang="en-US" sz="1100" baseline="0"/>
            <a:t> Factors obtained from CEC Database for 2-speed and VS pool pumps using flows from SFm Database. </a:t>
          </a:r>
        </a:p>
        <a:p>
          <a:endParaRPr lang="en-US" sz="1100" baseline="0"/>
        </a:p>
        <a:p>
          <a:r>
            <a:rPr lang="en-US" sz="1100" baseline="0"/>
            <a:t>-Pool volume is average from SFm database. </a:t>
          </a:r>
        </a:p>
        <a:p>
          <a:endParaRPr lang="en-US" sz="1100" baseline="0"/>
        </a:p>
        <a:p>
          <a:r>
            <a:rPr lang="en-US" sz="1100" b="1"/>
            <a:t>Peak Demand Calculations:</a:t>
          </a:r>
          <a:r>
            <a:rPr lang="en-US" sz="1100" b="1" baseline="0"/>
            <a:t> </a:t>
          </a:r>
        </a:p>
        <a:p>
          <a:r>
            <a:rPr lang="en-US" sz="1100" b="0"/>
            <a:t>-2016 T24 requires that residential pumps be controlled to not</a:t>
          </a:r>
          <a:r>
            <a:rPr lang="en-US" sz="1100" b="0" baseline="0"/>
            <a:t> operate during peak periods, thus no coincident demand is calculatioed. </a:t>
          </a: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endParaRPr lang="en-US" sz="1100" b="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533269</xdr:colOff>
      <xdr:row>18</xdr:row>
      <xdr:rowOff>62739</xdr:rowOff>
    </xdr:from>
    <xdr:to>
      <xdr:col>5</xdr:col>
      <xdr:colOff>3089825</xdr:colOff>
      <xdr:row>38</xdr:row>
      <xdr:rowOff>162379</xdr:rowOff>
    </xdr:to>
    <xdr:sp macro="" textlink="">
      <xdr:nvSpPr>
        <xdr:cNvPr id="2" name="TextBox 1">
          <a:extLst>
            <a:ext uri="{FF2B5EF4-FFF2-40B4-BE49-F238E27FC236}">
              <a16:creationId xmlns:a16="http://schemas.microsoft.com/office/drawing/2014/main" id="{53695EAE-5CFD-4E11-B59B-713130C2AA0D}"/>
            </a:ext>
          </a:extLst>
        </xdr:cNvPr>
        <xdr:cNvSpPr txBox="1"/>
      </xdr:nvSpPr>
      <xdr:spPr>
        <a:xfrm>
          <a:off x="7089344" y="3736577"/>
          <a:ext cx="7113334" cy="377347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-2-speed</a:t>
          </a:r>
          <a:r>
            <a:rPr lang="en-US" sz="1100" baseline="0"/>
            <a:t> baseline and variable speed measure case are the same was as for Measure A and B. </a:t>
          </a:r>
          <a:endParaRPr lang="en-US" sz="1100"/>
        </a:p>
        <a:p>
          <a:endParaRPr lang="en-US" sz="1100"/>
        </a:p>
        <a:p>
          <a:r>
            <a:rPr lang="en-US" sz="1100"/>
            <a:t>-Energy</a:t>
          </a:r>
          <a:r>
            <a:rPr lang="en-US" sz="1100" baseline="0"/>
            <a:t> Factors obtained from CEC Database for 2-speed and VS pool pumps using flows from SFm Database. Energy Factor for 1-speed baseline obtained using average HP from SFm database and 2008 1-speed CEC database average EFs. </a:t>
          </a:r>
        </a:p>
        <a:p>
          <a:endParaRPr lang="en-US" sz="1100" baseline="0"/>
        </a:p>
        <a:p>
          <a:r>
            <a:rPr lang="en-US" sz="1100" baseline="0"/>
            <a:t>-Pool volume is average from SFm database. </a:t>
          </a:r>
        </a:p>
        <a:p>
          <a:endParaRPr lang="en-US" sz="1100" baseline="0"/>
        </a:p>
        <a:p>
          <a:r>
            <a:rPr lang="en-US" sz="1100" b="1"/>
            <a:t>Peak Demand Calculations:</a:t>
          </a:r>
          <a:r>
            <a:rPr lang="en-US" sz="1100" b="1" baseline="0"/>
            <a:t> </a:t>
          </a:r>
        </a:p>
        <a:p>
          <a:r>
            <a:rPr lang="en-US" sz="1100" b="0"/>
            <a:t>-Non-coincident baseline</a:t>
          </a:r>
          <a:r>
            <a:rPr lang="en-US" sz="1100" b="0" baseline="0"/>
            <a:t> demand found from Flow vs Power correlation from CEC database, using baseline flow from SFm Database. </a:t>
          </a:r>
          <a:endParaRPr lang="en-US" sz="1100" b="0"/>
        </a:p>
        <a:p>
          <a:endParaRPr lang="en-US" sz="1100" b="0"/>
        </a:p>
        <a:p>
          <a:r>
            <a:rPr lang="en-US" sz="1100" b="0"/>
            <a:t>-2016 T24 requires that residential pumps be controlled to not</a:t>
          </a:r>
          <a:r>
            <a:rPr lang="en-US" sz="1100" b="0" baseline="0"/>
            <a:t> operate during peak periods, thus no coincident demand is calculated for 2-speed and variable speed baselines. It is assumed that 1-speed pumps were installed prior to outside peak time control requirement. </a:t>
          </a:r>
        </a:p>
        <a:p>
          <a:endParaRPr lang="en-US" sz="1100" b="0" baseline="0"/>
        </a:p>
        <a:p>
          <a:r>
            <a:rPr lang="en-US" sz="1100" b="0" baseline="0"/>
            <a:t>See Peak Demand tab for mor details on CDF and demand. </a:t>
          </a: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endParaRPr lang="en-US" sz="1100" b="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2051058</xdr:colOff>
      <xdr:row>9</xdr:row>
      <xdr:rowOff>32621</xdr:rowOff>
    </xdr:from>
    <xdr:to>
      <xdr:col>14</xdr:col>
      <xdr:colOff>517584</xdr:colOff>
      <xdr:row>34</xdr:row>
      <xdr:rowOff>35859</xdr:rowOff>
    </xdr:to>
    <xdr:sp macro="" textlink="">
      <xdr:nvSpPr>
        <xdr:cNvPr id="2" name="TextBox 1">
          <a:extLst>
            <a:ext uri="{FF2B5EF4-FFF2-40B4-BE49-F238E27FC236}">
              <a16:creationId xmlns:a16="http://schemas.microsoft.com/office/drawing/2014/main" id="{61E78BCC-DC20-4759-BC6D-4C5EC75EEE0C}"/>
            </a:ext>
          </a:extLst>
        </xdr:cNvPr>
        <xdr:cNvSpPr txBox="1"/>
      </xdr:nvSpPr>
      <xdr:spPr>
        <a:xfrm>
          <a:off x="11858446" y="2228974"/>
          <a:ext cx="6705091" cy="46828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a:t>
          </a:r>
          <a:r>
            <a:rPr lang="en-US" sz="1100" baseline="0"/>
            <a:t> Pool </a:t>
          </a:r>
          <a:r>
            <a:rPr lang="en-US" sz="1100"/>
            <a:t>Volume</a:t>
          </a:r>
          <a:r>
            <a:rPr lang="en-US" sz="1100" baseline="0"/>
            <a:t>, flow, turnover are from Metering and Measuring of Multi-Family Pool Pumps – Phase 2 (Attachment 12) and MFm Report Values tab of Attachment 2. </a:t>
          </a:r>
        </a:p>
        <a:p>
          <a:endParaRPr lang="en-US" sz="1100" baseline="0"/>
        </a:p>
        <a:p>
          <a:r>
            <a:rPr lang="en-US" sz="1100" baseline="0"/>
            <a:t>-</a:t>
          </a:r>
          <a:r>
            <a:rPr lang="en-US" sz="1100"/>
            <a:t>Assumes 1 speed  1st baseline and 2-speed 2nd baseline. </a:t>
          </a:r>
        </a:p>
        <a:p>
          <a:endParaRPr lang="en-US" sz="1100"/>
        </a:p>
        <a:p>
          <a:r>
            <a:rPr lang="en-US" sz="1100">
              <a:solidFill>
                <a:schemeClr val="dk1"/>
              </a:solidFill>
              <a:effectLst/>
              <a:latin typeface="+mn-lt"/>
              <a:ea typeface="+mn-ea"/>
              <a:cs typeface="+mn-cs"/>
            </a:rPr>
            <a:t>-Energy</a:t>
          </a:r>
          <a:r>
            <a:rPr lang="en-US" sz="1100" baseline="0">
              <a:solidFill>
                <a:schemeClr val="dk1"/>
              </a:solidFill>
              <a:effectLst/>
              <a:latin typeface="+mn-lt"/>
              <a:ea typeface="+mn-ea"/>
              <a:cs typeface="+mn-cs"/>
            </a:rPr>
            <a:t> Factors obtained from CEC Database for 1-speed, 2-speed and VS pool pumps. 2-speed and VS pump EF calculated using flows from SCE MFm study. 1-speed EF calculated using average HP from SCE's MFm study. </a:t>
          </a:r>
        </a:p>
        <a:p>
          <a:endParaRPr lang="en-US" sz="1100"/>
        </a:p>
        <a:p>
          <a:r>
            <a:rPr lang="en-US" sz="1100"/>
            <a:t>Note: Pool volume and turnover deviates from disposition because a SCE's 2016 report, Metering and Measuring of Multi-Family Pool Pumps report was available and showed a more conservative value for pool volumes. Turnover rates were calculated based on average high and low speed</a:t>
          </a:r>
          <a:r>
            <a:rPr lang="en-US" sz="1100" baseline="0"/>
            <a:t> GPMs provided within SCE's report. </a:t>
          </a:r>
        </a:p>
        <a:p>
          <a:endParaRPr lang="en-US" sz="1100" baseline="0"/>
        </a:p>
        <a:p>
          <a:r>
            <a:rPr lang="en-US" sz="1100" b="1"/>
            <a:t>Peak Demand Calculations:</a:t>
          </a:r>
          <a:r>
            <a:rPr lang="en-US" sz="1100" b="1" baseline="0"/>
            <a:t> </a:t>
          </a:r>
        </a:p>
        <a:p>
          <a:r>
            <a:rPr lang="en-US" sz="1100" baseline="0">
              <a:solidFill>
                <a:schemeClr val="dk1"/>
              </a:solidFill>
              <a:effectLst/>
              <a:latin typeface="+mn-lt"/>
              <a:ea typeface="+mn-ea"/>
              <a:cs typeface="+mn-cs"/>
            </a:rPr>
            <a:t>-For health code and safety reason MFm pumps must operating when occupied. Based on the SCE MFm Study (2016), MFm swimming pools operate conisistently at full speed during peak hours.  Thus, CDF for MFm pools are assumed to be 1. </a:t>
          </a:r>
        </a:p>
        <a:p>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dk1"/>
              </a:solidFill>
              <a:effectLst/>
              <a:latin typeface="+mn-lt"/>
              <a:ea typeface="+mn-ea"/>
              <a:cs typeface="+mn-cs"/>
            </a:rPr>
            <a:t>-Non-coincident baseline</a:t>
          </a:r>
          <a:r>
            <a:rPr lang="en-US" sz="1100" b="0" baseline="0">
              <a:solidFill>
                <a:schemeClr val="dk1"/>
              </a:solidFill>
              <a:effectLst/>
              <a:latin typeface="+mn-lt"/>
              <a:ea typeface="+mn-ea"/>
              <a:cs typeface="+mn-cs"/>
            </a:rPr>
            <a:t> demand found from Flow vs Power correlation from CEC database, using baseline flow from SCE's MFm Study.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-See Peak Demand tab for more details on CDF and demand. </a:t>
          </a: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endParaRPr lang="en-US">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32</xdr:row>
      <xdr:rowOff>68864</xdr:rowOff>
    </xdr:from>
    <xdr:to>
      <xdr:col>6</xdr:col>
      <xdr:colOff>3684712</xdr:colOff>
      <xdr:row>50</xdr:row>
      <xdr:rowOff>110910</xdr:rowOff>
    </xdr:to>
    <xdr:sp macro="" textlink="">
      <xdr:nvSpPr>
        <xdr:cNvPr id="2" name="TextBox 1">
          <a:extLst>
            <a:ext uri="{FF2B5EF4-FFF2-40B4-BE49-F238E27FC236}">
              <a16:creationId xmlns:a16="http://schemas.microsoft.com/office/drawing/2014/main" id="{2CE6A21B-0C0D-4354-AD56-CE46032A33BD}"/>
            </a:ext>
          </a:extLst>
        </xdr:cNvPr>
        <xdr:cNvSpPr txBox="1"/>
      </xdr:nvSpPr>
      <xdr:spPr>
        <a:xfrm>
          <a:off x="0" y="6329177"/>
          <a:ext cx="15453606" cy="33693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Energy Calculations:</a:t>
          </a:r>
          <a:r>
            <a:rPr lang="en-US" sz="1100" b="1" baseline="0"/>
            <a:t> </a:t>
          </a:r>
        </a:p>
        <a:p>
          <a:r>
            <a:rPr lang="en-US" sz="1100" baseline="0"/>
            <a:t>-</a:t>
          </a:r>
          <a:r>
            <a:rPr lang="en-US" sz="1100"/>
            <a:t>Baseline Energy usage is calculated using Eqn 1 from workpaper. </a:t>
          </a:r>
        </a:p>
        <a:p>
          <a:endParaRPr lang="en-US" sz="1100"/>
        </a:p>
        <a:p>
          <a:r>
            <a:rPr lang="en-US" sz="1100"/>
            <a:t>-</a:t>
          </a:r>
          <a:r>
            <a:rPr lang="en-US" sz="1100" baseline="0"/>
            <a:t> Pool </a:t>
          </a:r>
          <a:r>
            <a:rPr lang="en-US" sz="1100"/>
            <a:t>Volume</a:t>
          </a:r>
          <a:r>
            <a:rPr lang="en-US" sz="1100" baseline="0"/>
            <a:t> and turnover are from CPUC Dispositon FOR WORKPAPERS COVERING RESIDENTIAL VARIABLE SPEED POOL PUMPS CPUC, ED, March 1, 2017. Flow (GPM) estimated as the average flow based on provided volume and turnover.</a:t>
          </a:r>
        </a:p>
        <a:p>
          <a:endParaRPr lang="en-US" sz="1100" baseline="0"/>
        </a:p>
        <a:p>
          <a:r>
            <a:rPr lang="en-US" sz="1100" baseline="0"/>
            <a:t>-</a:t>
          </a:r>
          <a:r>
            <a:rPr lang="en-US" sz="1100"/>
            <a:t>Assumes 1 speed  1st baseline and 2-speed 2nd baseline. </a:t>
          </a:r>
        </a:p>
        <a:p>
          <a:endParaRPr lang="en-US" sz="1100"/>
        </a:p>
        <a:p>
          <a:r>
            <a:rPr lang="en-US" sz="1100">
              <a:solidFill>
                <a:schemeClr val="dk1"/>
              </a:solidFill>
              <a:effectLst/>
              <a:latin typeface="+mn-lt"/>
              <a:ea typeface="+mn-ea"/>
              <a:cs typeface="+mn-cs"/>
            </a:rPr>
            <a:t>-Energy</a:t>
          </a:r>
          <a:r>
            <a:rPr lang="en-US" sz="1100" baseline="0">
              <a:solidFill>
                <a:schemeClr val="dk1"/>
              </a:solidFill>
              <a:effectLst/>
              <a:latin typeface="+mn-lt"/>
              <a:ea typeface="+mn-ea"/>
              <a:cs typeface="+mn-cs"/>
            </a:rPr>
            <a:t> Factors obtained from CEC Database for 1-speed, 2-speed and VS pool pumps. 2-speed and VS pump EF calculated using flows calculated from turnover and volume. 1-speed EF calculated using average HP from SCE's MFm study. </a:t>
          </a:r>
        </a:p>
        <a:p>
          <a:endParaRPr lang="en-US" sz="1100"/>
        </a:p>
        <a:p>
          <a:r>
            <a:rPr lang="en-US" sz="1100" b="1"/>
            <a:t>Peak Demand Calculations:</a:t>
          </a:r>
          <a:r>
            <a:rPr lang="en-US" sz="1100" b="1" baseline="0"/>
            <a:t> </a:t>
          </a:r>
        </a:p>
        <a:p>
          <a:r>
            <a:rPr lang="en-US" sz="1100" baseline="0">
              <a:solidFill>
                <a:schemeClr val="dk1"/>
              </a:solidFill>
              <a:effectLst/>
              <a:latin typeface="+mn-lt"/>
              <a:ea typeface="+mn-ea"/>
              <a:cs typeface="+mn-cs"/>
            </a:rPr>
            <a:t>-For health code and safety reason MFm pumps must operating when occupied. Based on the SCE MFm Study (2016), MFm swimming pools operate conisistently at full speed during peak hours.  Thus, CDF for MFm pools are assumed to be 1. </a:t>
          </a:r>
        </a:p>
        <a:p>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dk1"/>
              </a:solidFill>
              <a:effectLst/>
              <a:latin typeface="+mn-lt"/>
              <a:ea typeface="+mn-ea"/>
              <a:cs typeface="+mn-cs"/>
            </a:rPr>
            <a:t>-Non-coincident baseline</a:t>
          </a:r>
          <a:r>
            <a:rPr lang="en-US" sz="1100" b="0" baseline="0">
              <a:solidFill>
                <a:schemeClr val="dk1"/>
              </a:solidFill>
              <a:effectLst/>
              <a:latin typeface="+mn-lt"/>
              <a:ea typeface="+mn-ea"/>
              <a:cs typeface="+mn-cs"/>
            </a:rPr>
            <a:t> demand found from Flow vs Power correlation from CEC database, using baseline flow calculated from disposition volume and turnover.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-See Peak Demand tab for mor details on CDF and demand.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endParaRPr lang="en-US">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75006</xdr:colOff>
      <xdr:row>25</xdr:row>
      <xdr:rowOff>50561</xdr:rowOff>
    </xdr:from>
    <xdr:to>
      <xdr:col>12</xdr:col>
      <xdr:colOff>933683</xdr:colOff>
      <xdr:row>54</xdr:row>
      <xdr:rowOff>147881</xdr:rowOff>
    </xdr:to>
    <xdr:sp macro="" textlink="">
      <xdr:nvSpPr>
        <xdr:cNvPr id="2" name="TextBox 1">
          <a:extLst>
            <a:ext uri="{FF2B5EF4-FFF2-40B4-BE49-F238E27FC236}">
              <a16:creationId xmlns:a16="http://schemas.microsoft.com/office/drawing/2014/main" id="{B4E67903-EE6C-4965-8C2F-94968289034E}"/>
            </a:ext>
          </a:extLst>
        </xdr:cNvPr>
        <xdr:cNvSpPr txBox="1"/>
      </xdr:nvSpPr>
      <xdr:spPr>
        <a:xfrm>
          <a:off x="10254176" y="5201764"/>
          <a:ext cx="5245826" cy="5458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For full calculations see Attachment 2 (Database Analysis, Peak Demand tab)</a:t>
          </a:r>
        </a:p>
        <a:p>
          <a:endParaRPr lang="en-US" sz="1100"/>
        </a:p>
        <a:p>
          <a:pPr eaLnBrk="1" fontAlgn="auto" latinLnBrk="0" hangingPunct="1"/>
          <a:r>
            <a:rPr lang="en-US" sz="1100" b="1">
              <a:solidFill>
                <a:schemeClr val="dk1"/>
              </a:solidFill>
              <a:effectLst/>
              <a:latin typeface="+mn-lt"/>
              <a:ea typeface="+mn-ea"/>
              <a:cs typeface="+mn-cs"/>
            </a:rPr>
            <a:t>Power (Watts)</a:t>
          </a:r>
          <a:endParaRPr lang="en-US">
            <a:effectLst/>
          </a:endParaRPr>
        </a:p>
        <a:p>
          <a:pPr eaLnBrk="1" fontAlgn="auto" latinLnBrk="0" hangingPunct="1"/>
          <a:r>
            <a:rPr lang="en-US" sz="1100">
              <a:solidFill>
                <a:schemeClr val="dk1"/>
              </a:solidFill>
              <a:effectLst/>
              <a:latin typeface="+mn-lt"/>
              <a:ea typeface="+mn-ea"/>
              <a:cs typeface="+mn-cs"/>
            </a:rPr>
            <a:t>-Average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Power vs Flow from the</a:t>
          </a:r>
          <a:r>
            <a:rPr lang="en-US" sz="1100" baseline="0">
              <a:solidFill>
                <a:schemeClr val="dk1"/>
              </a:solidFill>
              <a:effectLst/>
              <a:latin typeface="+mn-lt"/>
              <a:ea typeface="+mn-ea"/>
              <a:cs typeface="+mn-cs"/>
            </a:rPr>
            <a:t> CEC pump database are plotted to the left. These values represent the average power (Watts) of each of the corresponding curves for several GPM. Only averages with 6 or more data points were used for the CEC curves A, B and C.  The best fit lines are used in the table to the left to to estimate the non-coincident power (demand) associated at relevant flows for each curve. See Energy Factors Table tab for details on the GPMs used for each. </a:t>
          </a:r>
        </a:p>
        <a:p>
          <a:pPr eaLnBrk="1" fontAlgn="auto" latinLnBrk="0" hangingPunct="1"/>
          <a:endParaRPr lang="en-US">
            <a:effectLst/>
          </a:endParaRPr>
        </a:p>
        <a:p>
          <a:pPr eaLnBrk="1" fontAlgn="auto" latinLnBrk="0" hangingPunct="1"/>
          <a:r>
            <a:rPr lang="en-US" sz="1100" baseline="0">
              <a:solidFill>
                <a:schemeClr val="dk1"/>
              </a:solidFill>
              <a:effectLst/>
              <a:latin typeface="+mn-lt"/>
              <a:ea typeface="+mn-ea"/>
              <a:cs typeface="+mn-cs"/>
            </a:rPr>
            <a:t>-Curve A is used  to estimate power for both SFm and MFm peak hours because it is assumed that during peak times, if the pumps are operating, they operate at full speed (see MFm Report Values tab)  . Curve A better represents pumps at higher speeds/flows. </a:t>
          </a:r>
        </a:p>
        <a:p>
          <a:pPr eaLnBrk="1" fontAlgn="auto" latinLnBrk="0" hangingPunct="1"/>
          <a:endParaRPr lang="en-US">
            <a:effectLst/>
          </a:endParaRPr>
        </a:p>
        <a:p>
          <a:r>
            <a:rPr lang="en-US" sz="1100" b="1">
              <a:solidFill>
                <a:schemeClr val="dk1"/>
              </a:solidFill>
              <a:effectLst/>
              <a:latin typeface="+mn-lt"/>
              <a:ea typeface="+mn-ea"/>
              <a:cs typeface="+mn-cs"/>
            </a:rPr>
            <a:t>Coincidence</a:t>
          </a:r>
          <a:r>
            <a:rPr lang="en-US" sz="1100" b="1" baseline="0">
              <a:solidFill>
                <a:schemeClr val="dk1"/>
              </a:solidFill>
              <a:effectLst/>
              <a:latin typeface="+mn-lt"/>
              <a:ea typeface="+mn-ea"/>
              <a:cs typeface="+mn-cs"/>
            </a:rPr>
            <a:t> Demand Factor (CDF)</a:t>
          </a:r>
          <a:endParaRPr lang="en-US">
            <a:effectLst/>
          </a:endParaRPr>
        </a:p>
        <a:p>
          <a:r>
            <a:rPr lang="en-US" sz="1100">
              <a:solidFill>
                <a:schemeClr val="dk1"/>
              </a:solidFill>
              <a:effectLst/>
              <a:latin typeface="+mn-lt"/>
              <a:ea typeface="+mn-ea"/>
              <a:cs typeface="+mn-cs"/>
            </a:rPr>
            <a:t>-2016 T24</a:t>
          </a:r>
          <a:r>
            <a:rPr lang="en-US" sz="1100" baseline="0">
              <a:solidFill>
                <a:schemeClr val="dk1"/>
              </a:solidFill>
              <a:effectLst/>
              <a:latin typeface="+mn-lt"/>
              <a:ea typeface="+mn-ea"/>
              <a:cs typeface="+mn-cs"/>
            </a:rPr>
            <a:t> requires that residential (SFm) pool pumps not operate during peak hours. Thus, 2-speed and VS pool pumps have a CDF =0. </a:t>
          </a:r>
        </a:p>
        <a:p>
          <a:endParaRPr lang="en-US">
            <a:effectLst/>
          </a:endParaRPr>
        </a:p>
        <a:p>
          <a:r>
            <a:rPr lang="en-US" sz="1100" baseline="0">
              <a:solidFill>
                <a:schemeClr val="dk1"/>
              </a:solidFill>
              <a:effectLst/>
              <a:latin typeface="+mn-lt"/>
              <a:ea typeface="+mn-ea"/>
              <a:cs typeface="+mn-cs"/>
            </a:rPr>
            <a:t>-Single speed pumps are assumed to continue to operate during peak times. CDF for 1-speed pump comes from SCE's "Pool pump demand response potential demand adn run-time monitored data" study (2008). </a:t>
          </a:r>
        </a:p>
        <a:p>
          <a:endParaRPr lang="en-US">
            <a:effectLst/>
          </a:endParaRPr>
        </a:p>
        <a:p>
          <a:r>
            <a:rPr lang="en-US" sz="1100" baseline="0">
              <a:solidFill>
                <a:schemeClr val="dk1"/>
              </a:solidFill>
              <a:effectLst/>
              <a:latin typeface="+mn-lt"/>
              <a:ea typeface="+mn-ea"/>
              <a:cs typeface="+mn-cs"/>
            </a:rPr>
            <a:t>-For health code and safety reason MFm pumps must operating when occupied. Based on the SCE MFm Study (2016), MFm swimming pools operate conisistently at full speed during peak hours (see MFm Report Values tab).  Thus, CDF for MFm pools are assumed to be 1. </a:t>
          </a:r>
        </a:p>
        <a:p>
          <a:endParaRPr lang="en-US">
            <a:effectLst/>
          </a:endParaRPr>
        </a:p>
        <a:p>
          <a:pPr eaLnBrk="1" fontAlgn="auto" latinLnBrk="0" hangingPunct="1"/>
          <a:r>
            <a:rPr lang="en-US" sz="1100" baseline="0">
              <a:solidFill>
                <a:schemeClr val="dk1"/>
              </a:solidFill>
              <a:effectLst/>
              <a:latin typeface="+mn-lt"/>
              <a:ea typeface="+mn-ea"/>
              <a:cs typeface="+mn-cs"/>
            </a:rPr>
            <a:t>-</a:t>
          </a:r>
          <a:r>
            <a:rPr lang="en-US" sz="1100">
              <a:solidFill>
                <a:schemeClr val="dk1"/>
              </a:solidFill>
              <a:effectLst/>
              <a:latin typeface="+mn-lt"/>
              <a:ea typeface="+mn-ea"/>
              <a:cs typeface="+mn-cs"/>
            </a:rPr>
            <a:t>Rows highlighted Green are those selected for the analysis. </a:t>
          </a:r>
          <a:endParaRPr lang="en-US">
            <a:effectLst/>
          </a:endParaRPr>
        </a:p>
        <a:p>
          <a:endParaRPr lang="en-US" sz="1100"/>
        </a:p>
        <a:p>
          <a:endParaRPr lang="en-US">
            <a:effectLst/>
          </a:endParaRPr>
        </a:p>
        <a:p>
          <a:r>
            <a:rPr lang="en-US" sz="1100" b="0" baseline="0">
              <a:solidFill>
                <a:schemeClr val="dk1"/>
              </a:solidFill>
              <a:effectLst/>
              <a:latin typeface="+mn-lt"/>
              <a:ea typeface="+mn-ea"/>
              <a:cs typeface="+mn-cs"/>
            </a:rPr>
            <a:t>See Energy Factors Tables tab for more details on values.</a:t>
          </a:r>
          <a:endParaRPr lang="en-US">
            <a:effectLst/>
          </a:endParaRPr>
        </a:p>
        <a:p>
          <a:endParaRPr lang="en-US" sz="1100"/>
        </a:p>
      </xdr:txBody>
    </xdr:sp>
    <xdr:clientData/>
  </xdr:twoCellAnchor>
  <xdr:twoCellAnchor editAs="oneCell">
    <xdr:from>
      <xdr:col>0</xdr:col>
      <xdr:colOff>0</xdr:colOff>
      <xdr:row>27</xdr:row>
      <xdr:rowOff>0</xdr:rowOff>
    </xdr:from>
    <xdr:to>
      <xdr:col>7</xdr:col>
      <xdr:colOff>961444</xdr:colOff>
      <xdr:row>67</xdr:row>
      <xdr:rowOff>157932</xdr:rowOff>
    </xdr:to>
    <xdr:pic>
      <xdr:nvPicPr>
        <xdr:cNvPr id="4" name="Picture 3">
          <a:extLst>
            <a:ext uri="{FF2B5EF4-FFF2-40B4-BE49-F238E27FC236}">
              <a16:creationId xmlns:a16="http://schemas.microsoft.com/office/drawing/2014/main" id="{9F559DA3-65BC-4AEF-B690-BF5603252AE2}"/>
            </a:ext>
          </a:extLst>
        </xdr:cNvPr>
        <xdr:cNvPicPr>
          <a:picLocks noChangeAspect="1"/>
        </xdr:cNvPicPr>
      </xdr:nvPicPr>
      <xdr:blipFill>
        <a:blip xmlns:r="http://schemas.openxmlformats.org/officeDocument/2006/relationships" r:embed="rId1"/>
        <a:stretch>
          <a:fillRect/>
        </a:stretch>
      </xdr:blipFill>
      <xdr:spPr>
        <a:xfrm>
          <a:off x="0" y="5520906"/>
          <a:ext cx="9982210" cy="755200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30</xdr:col>
      <xdr:colOff>304800</xdr:colOff>
      <xdr:row>1</xdr:row>
      <xdr:rowOff>76198</xdr:rowOff>
    </xdr:from>
    <xdr:to>
      <xdr:col>35</xdr:col>
      <xdr:colOff>549274</xdr:colOff>
      <xdr:row>10</xdr:row>
      <xdr:rowOff>152400</xdr:rowOff>
    </xdr:to>
    <xdr:graphicFrame macro="">
      <xdr:nvGraphicFramePr>
        <xdr:cNvPr id="2" name="Chart 1">
          <a:extLst>
            <a:ext uri="{FF2B5EF4-FFF2-40B4-BE49-F238E27FC236}">
              <a16:creationId xmlns:a16="http://schemas.microsoft.com/office/drawing/2014/main" id="{D91871C1-B8F3-4B13-9688-553AF66819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136525</xdr:colOff>
      <xdr:row>1</xdr:row>
      <xdr:rowOff>84137</xdr:rowOff>
    </xdr:from>
    <xdr:to>
      <xdr:col>15</xdr:col>
      <xdr:colOff>365919</xdr:colOff>
      <xdr:row>12</xdr:row>
      <xdr:rowOff>88900</xdr:rowOff>
    </xdr:to>
    <xdr:graphicFrame macro="">
      <xdr:nvGraphicFramePr>
        <xdr:cNvPr id="3" name="Chart 2">
          <a:extLst>
            <a:ext uri="{FF2B5EF4-FFF2-40B4-BE49-F238E27FC236}">
              <a16:creationId xmlns:a16="http://schemas.microsoft.com/office/drawing/2014/main" id="{CAF91445-93E4-4E61-9041-4247D491D2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92075</xdr:colOff>
      <xdr:row>1</xdr:row>
      <xdr:rowOff>10318</xdr:rowOff>
    </xdr:from>
    <xdr:to>
      <xdr:col>23</xdr:col>
      <xdr:colOff>398463</xdr:colOff>
      <xdr:row>12</xdr:row>
      <xdr:rowOff>15081</xdr:rowOff>
    </xdr:to>
    <xdr:graphicFrame macro="">
      <xdr:nvGraphicFramePr>
        <xdr:cNvPr id="4" name="Chart 3">
          <a:extLst>
            <a:ext uri="{FF2B5EF4-FFF2-40B4-BE49-F238E27FC236}">
              <a16:creationId xmlns:a16="http://schemas.microsoft.com/office/drawing/2014/main" id="{AE3B1E3B-0367-40A0-9E5D-B2A16B7867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202406</xdr:colOff>
      <xdr:row>1</xdr:row>
      <xdr:rowOff>54428</xdr:rowOff>
    </xdr:from>
    <xdr:to>
      <xdr:col>29</xdr:col>
      <xdr:colOff>217714</xdr:colOff>
      <xdr:row>10</xdr:row>
      <xdr:rowOff>163285</xdr:rowOff>
    </xdr:to>
    <xdr:graphicFrame macro="">
      <xdr:nvGraphicFramePr>
        <xdr:cNvPr id="5" name="Chart 4">
          <a:extLst>
            <a:ext uri="{FF2B5EF4-FFF2-40B4-BE49-F238E27FC236}">
              <a16:creationId xmlns:a16="http://schemas.microsoft.com/office/drawing/2014/main" id="{B103E6A9-438C-4F59-B34C-BC2240D0FF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1.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14"/>
  <sheetViews>
    <sheetView workbookViewId="0"/>
  </sheetViews>
  <sheetFormatPr defaultRowHeight="14.4" x14ac:dyDescent="0.3"/>
  <cols>
    <col min="1" max="1" width="16.6640625" customWidth="1"/>
    <col min="2" max="2" width="12.6640625" bestFit="1" customWidth="1"/>
    <col min="5" max="5" width="77" bestFit="1" customWidth="1"/>
    <col min="7" max="7" width="12.33203125" bestFit="1" customWidth="1"/>
    <col min="8" max="8" width="12.33203125" customWidth="1"/>
    <col min="9" max="9" width="19.33203125" customWidth="1"/>
    <col min="10" max="10" width="17.6640625" customWidth="1"/>
    <col min="11" max="11" width="19.44140625" bestFit="1" customWidth="1"/>
    <col min="12" max="12" width="16.88671875" customWidth="1"/>
    <col min="13" max="13" width="19.44140625" bestFit="1" customWidth="1"/>
    <col min="14" max="14" width="16.88671875" customWidth="1"/>
  </cols>
  <sheetData>
    <row r="1" spans="1:14" ht="15" thickBot="1" x14ac:dyDescent="0.35"/>
    <row r="2" spans="1:14" ht="27" customHeight="1" thickBot="1" x14ac:dyDescent="0.35">
      <c r="A2" s="249" t="s">
        <v>0</v>
      </c>
      <c r="B2" s="247" t="s">
        <v>11</v>
      </c>
      <c r="C2" s="251"/>
      <c r="D2" s="248"/>
      <c r="E2" s="249" t="s">
        <v>19</v>
      </c>
      <c r="F2" s="249" t="s">
        <v>12</v>
      </c>
      <c r="G2" s="249" t="s">
        <v>9</v>
      </c>
      <c r="H2" s="249" t="s">
        <v>24</v>
      </c>
      <c r="I2" s="249" t="s">
        <v>10</v>
      </c>
      <c r="J2" s="249" t="s">
        <v>1</v>
      </c>
      <c r="K2" s="247" t="s">
        <v>28</v>
      </c>
      <c r="L2" s="248"/>
      <c r="M2" s="247" t="s">
        <v>29</v>
      </c>
      <c r="N2" s="248"/>
    </row>
    <row r="3" spans="1:14" ht="15" customHeight="1" x14ac:dyDescent="0.3">
      <c r="A3" s="250"/>
      <c r="B3" s="1" t="s">
        <v>7</v>
      </c>
      <c r="C3" s="1" t="s">
        <v>2</v>
      </c>
      <c r="D3" s="1" t="s">
        <v>8</v>
      </c>
      <c r="E3" s="250"/>
      <c r="F3" s="252"/>
      <c r="G3" s="250"/>
      <c r="H3" s="250"/>
      <c r="I3" s="250"/>
      <c r="J3" s="250"/>
      <c r="K3" s="1" t="s">
        <v>3</v>
      </c>
      <c r="L3" s="1" t="s">
        <v>4</v>
      </c>
      <c r="M3" s="1" t="s">
        <v>3</v>
      </c>
      <c r="N3" s="1" t="s">
        <v>4</v>
      </c>
    </row>
    <row r="4" spans="1:14" x14ac:dyDescent="0.3">
      <c r="A4" s="2" t="s">
        <v>13</v>
      </c>
      <c r="B4" s="2" t="s">
        <v>14</v>
      </c>
      <c r="C4" s="2">
        <v>463003</v>
      </c>
      <c r="D4" s="2"/>
      <c r="E4" s="2" t="s">
        <v>25</v>
      </c>
      <c r="F4" s="2" t="s">
        <v>20</v>
      </c>
      <c r="G4" s="2" t="s">
        <v>21</v>
      </c>
      <c r="H4" s="2" t="s">
        <v>22</v>
      </c>
      <c r="I4" s="2"/>
      <c r="J4" s="2"/>
      <c r="K4" s="2">
        <v>695</v>
      </c>
      <c r="L4" s="2">
        <v>0.19600000000000001</v>
      </c>
      <c r="M4" s="2">
        <v>677</v>
      </c>
      <c r="N4" s="2">
        <v>0.19600000000000001</v>
      </c>
    </row>
    <row r="5" spans="1:14" x14ac:dyDescent="0.3">
      <c r="A5" s="2" t="s">
        <v>15</v>
      </c>
      <c r="B5" s="2" t="s">
        <v>26</v>
      </c>
      <c r="C5" s="2"/>
      <c r="D5" s="2"/>
      <c r="E5" s="2" t="s">
        <v>30</v>
      </c>
      <c r="F5" s="2" t="s">
        <v>20</v>
      </c>
      <c r="G5" s="2" t="s">
        <v>21</v>
      </c>
      <c r="H5" s="2" t="s">
        <v>23</v>
      </c>
      <c r="I5" s="2"/>
      <c r="J5" s="2"/>
      <c r="K5" s="2">
        <v>506</v>
      </c>
      <c r="L5" s="2">
        <v>3.4000000000000002E-2</v>
      </c>
      <c r="M5" s="2">
        <v>506</v>
      </c>
      <c r="N5" s="2">
        <v>3.4000000000000002E-2</v>
      </c>
    </row>
    <row r="6" spans="1:14" x14ac:dyDescent="0.3">
      <c r="A6" s="2" t="s">
        <v>16</v>
      </c>
      <c r="B6" s="2" t="s">
        <v>18</v>
      </c>
      <c r="C6" s="2"/>
      <c r="D6" s="2"/>
      <c r="E6" s="2" t="s">
        <v>31</v>
      </c>
      <c r="F6" s="2" t="s">
        <v>20</v>
      </c>
      <c r="G6" s="2" t="s">
        <v>21</v>
      </c>
      <c r="H6" s="2" t="s">
        <v>22</v>
      </c>
      <c r="I6" s="2"/>
      <c r="J6" s="2"/>
      <c r="K6" s="2"/>
      <c r="L6" s="2"/>
      <c r="M6" s="2"/>
      <c r="N6" s="2"/>
    </row>
    <row r="7" spans="1:14" x14ac:dyDescent="0.3">
      <c r="A7" s="2" t="s">
        <v>27</v>
      </c>
      <c r="B7" s="2" t="s">
        <v>17</v>
      </c>
      <c r="C7" s="2"/>
      <c r="D7" s="2"/>
      <c r="E7" s="2" t="s">
        <v>32</v>
      </c>
      <c r="F7" s="2"/>
      <c r="G7" s="2"/>
      <c r="H7" s="2"/>
      <c r="I7" s="2"/>
      <c r="J7" s="2"/>
      <c r="K7" s="2">
        <v>1757</v>
      </c>
      <c r="L7" s="2">
        <v>0.54300000000000004</v>
      </c>
      <c r="M7" s="2">
        <v>1742</v>
      </c>
      <c r="N7" s="2">
        <v>0.54300000000000004</v>
      </c>
    </row>
    <row r="8" spans="1:14" x14ac:dyDescent="0.3">
      <c r="A8" s="2"/>
      <c r="B8" s="3" t="s">
        <v>5</v>
      </c>
      <c r="C8" s="3"/>
      <c r="D8" s="3"/>
      <c r="E8" s="3" t="s">
        <v>6</v>
      </c>
      <c r="F8" s="3"/>
      <c r="G8" s="3"/>
      <c r="H8" s="3"/>
      <c r="I8" s="2"/>
      <c r="J8" s="2"/>
      <c r="K8" s="2"/>
      <c r="L8" s="2"/>
      <c r="M8" s="2"/>
      <c r="N8" s="2"/>
    </row>
    <row r="9" spans="1:14" x14ac:dyDescent="0.3">
      <c r="A9" s="2"/>
      <c r="B9" s="2"/>
      <c r="C9" s="2"/>
      <c r="D9" s="2"/>
      <c r="E9" s="2"/>
      <c r="F9" s="2"/>
      <c r="G9" s="2"/>
      <c r="H9" s="2"/>
      <c r="I9" s="2"/>
      <c r="J9" s="2"/>
      <c r="K9" s="2"/>
      <c r="L9" s="2"/>
      <c r="M9" s="2"/>
      <c r="N9" s="2"/>
    </row>
    <row r="10" spans="1:14" x14ac:dyDescent="0.3">
      <c r="A10" s="2"/>
      <c r="B10" s="2"/>
      <c r="C10" s="2"/>
      <c r="D10" s="2"/>
      <c r="E10" s="2"/>
      <c r="F10" s="2"/>
      <c r="G10" s="2"/>
      <c r="H10" s="2"/>
      <c r="I10" s="2"/>
      <c r="J10" s="2"/>
      <c r="K10" s="2"/>
      <c r="L10" s="2"/>
      <c r="M10" s="2"/>
      <c r="N10" s="2"/>
    </row>
    <row r="11" spans="1:14" x14ac:dyDescent="0.3">
      <c r="A11" s="2"/>
      <c r="B11" s="2"/>
      <c r="C11" s="2"/>
      <c r="D11" s="2"/>
      <c r="E11" s="2"/>
      <c r="F11" s="2"/>
      <c r="G11" s="2"/>
      <c r="H11" s="2"/>
      <c r="I11" s="2"/>
      <c r="J11" s="2"/>
      <c r="K11" s="2"/>
      <c r="L11" s="2"/>
      <c r="M11" s="2"/>
      <c r="N11" s="2"/>
    </row>
    <row r="12" spans="1:14" x14ac:dyDescent="0.3">
      <c r="A12" s="2"/>
      <c r="B12" s="2"/>
      <c r="C12" s="2"/>
      <c r="D12" s="2"/>
      <c r="E12" s="2"/>
      <c r="F12" s="2"/>
      <c r="G12" s="2"/>
      <c r="H12" s="2"/>
      <c r="I12" s="2"/>
      <c r="J12" s="2"/>
      <c r="K12" s="2"/>
      <c r="L12" s="2"/>
      <c r="M12" s="2"/>
      <c r="N12" s="2"/>
    </row>
    <row r="13" spans="1:14" x14ac:dyDescent="0.3">
      <c r="A13" s="2"/>
      <c r="B13" s="2"/>
      <c r="C13" s="2"/>
      <c r="D13" s="2"/>
      <c r="E13" s="2"/>
      <c r="F13" s="2"/>
      <c r="G13" s="2"/>
      <c r="H13" s="2"/>
      <c r="I13" s="2"/>
      <c r="J13" s="2"/>
      <c r="K13" s="2"/>
      <c r="L13" s="2"/>
      <c r="M13" s="2"/>
      <c r="N13" s="2"/>
    </row>
    <row r="14" spans="1:14" x14ac:dyDescent="0.3">
      <c r="A14" s="2"/>
      <c r="B14" s="2"/>
      <c r="C14" s="2"/>
      <c r="D14" s="2"/>
      <c r="E14" s="2"/>
      <c r="F14" s="2"/>
      <c r="G14" s="2"/>
      <c r="H14" s="2"/>
      <c r="I14" s="2"/>
      <c r="J14" s="2"/>
      <c r="K14" s="2"/>
      <c r="L14" s="2"/>
      <c r="M14" s="2"/>
      <c r="N14" s="2"/>
    </row>
  </sheetData>
  <mergeCells count="10">
    <mergeCell ref="M2:N2"/>
    <mergeCell ref="A2:A3"/>
    <mergeCell ref="B2:D2"/>
    <mergeCell ref="E2:E3"/>
    <mergeCell ref="G2:G3"/>
    <mergeCell ref="F2:F3"/>
    <mergeCell ref="J2:J3"/>
    <mergeCell ref="H2:H3"/>
    <mergeCell ref="K2:L2"/>
    <mergeCell ref="I2:I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3:M18"/>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45.44140625" customWidth="1"/>
    <col min="7" max="7" width="20.44140625" customWidth="1"/>
    <col min="8" max="8" width="29.88671875" customWidth="1"/>
    <col min="9" max="9" width="26.6640625" bestFit="1" customWidth="1"/>
    <col min="10" max="10" width="51.88671875" customWidth="1"/>
    <col min="11" max="11" width="27.88671875" customWidth="1"/>
    <col min="12" max="12" width="11.6640625" customWidth="1"/>
    <col min="13" max="13" width="76.44140625" customWidth="1"/>
  </cols>
  <sheetData>
    <row r="3" spans="1:13" ht="15" thickBot="1" x14ac:dyDescent="0.35"/>
    <row r="4" spans="1:13" x14ac:dyDescent="0.3">
      <c r="A4" s="50" t="s">
        <v>149</v>
      </c>
      <c r="B4" s="51" t="s">
        <v>79</v>
      </c>
      <c r="C4" s="51" t="s">
        <v>9</v>
      </c>
      <c r="D4" s="51" t="s">
        <v>36</v>
      </c>
      <c r="E4" s="53" t="s">
        <v>122</v>
      </c>
      <c r="F4" s="17"/>
      <c r="G4" s="17"/>
      <c r="H4" s="17"/>
      <c r="I4" s="17"/>
      <c r="J4" s="7"/>
      <c r="K4" s="7"/>
      <c r="L4" s="7"/>
      <c r="M4" s="7"/>
    </row>
    <row r="5" spans="1:13" ht="28.8" x14ac:dyDescent="0.3">
      <c r="A5" s="55" t="s">
        <v>151</v>
      </c>
      <c r="B5" s="55" t="s">
        <v>80</v>
      </c>
      <c r="C5" s="55" t="s">
        <v>21</v>
      </c>
      <c r="D5" s="55" t="s">
        <v>85</v>
      </c>
      <c r="E5" s="55" t="s">
        <v>26</v>
      </c>
      <c r="F5" s="17"/>
      <c r="G5" s="17"/>
      <c r="H5" s="17"/>
      <c r="I5" s="17"/>
      <c r="J5" s="7"/>
      <c r="K5" s="7"/>
      <c r="L5" s="7"/>
      <c r="M5" s="7"/>
    </row>
    <row r="6" spans="1:13" ht="28.8" x14ac:dyDescent="0.3">
      <c r="A6" s="50" t="s">
        <v>34</v>
      </c>
      <c r="B6" s="51" t="s">
        <v>53</v>
      </c>
      <c r="C6" s="51" t="s">
        <v>54</v>
      </c>
      <c r="D6" s="51" t="s">
        <v>55</v>
      </c>
      <c r="E6" s="51" t="s">
        <v>56</v>
      </c>
      <c r="F6" s="51" t="s">
        <v>62</v>
      </c>
      <c r="G6" s="51" t="s">
        <v>57</v>
      </c>
      <c r="H6" s="51" t="s">
        <v>58</v>
      </c>
      <c r="I6" s="51" t="s">
        <v>59</v>
      </c>
      <c r="J6" s="51" t="s">
        <v>60</v>
      </c>
      <c r="K6" s="51" t="s">
        <v>61</v>
      </c>
      <c r="L6" s="51" t="s">
        <v>50</v>
      </c>
      <c r="M6" s="51" t="s">
        <v>78</v>
      </c>
    </row>
    <row r="7" spans="1:13" x14ac:dyDescent="0.3">
      <c r="A7" s="11" t="s">
        <v>51</v>
      </c>
      <c r="B7" s="10">
        <v>0.94399999999999995</v>
      </c>
      <c r="C7" s="10"/>
      <c r="D7" s="10"/>
      <c r="E7" s="10">
        <v>5.6000000000000001E-2</v>
      </c>
      <c r="F7" s="9"/>
      <c r="G7" s="10">
        <v>0.94399999999999995</v>
      </c>
      <c r="H7" s="10"/>
      <c r="I7" s="10"/>
      <c r="J7" s="10">
        <v>5.6000000000000001E-2</v>
      </c>
      <c r="K7" s="9"/>
      <c r="L7" s="9"/>
      <c r="M7" s="340" t="s">
        <v>206</v>
      </c>
    </row>
    <row r="8" spans="1:13" x14ac:dyDescent="0.3">
      <c r="A8" s="11" t="s">
        <v>44</v>
      </c>
      <c r="B8" s="9">
        <v>15700</v>
      </c>
      <c r="C8" s="9">
        <v>15700</v>
      </c>
      <c r="D8" s="9">
        <v>15700</v>
      </c>
      <c r="E8" s="9"/>
      <c r="F8" s="9"/>
      <c r="G8" s="9">
        <f>B8</f>
        <v>15700</v>
      </c>
      <c r="H8" s="9">
        <f>G8</f>
        <v>15700</v>
      </c>
      <c r="I8" s="9">
        <f>H8</f>
        <v>15700</v>
      </c>
      <c r="J8" s="9"/>
      <c r="K8" s="9"/>
      <c r="L8" s="9"/>
      <c r="M8" s="341"/>
    </row>
    <row r="9" spans="1:13" x14ac:dyDescent="0.3">
      <c r="A9" s="11" t="s">
        <v>45</v>
      </c>
      <c r="B9" s="9">
        <v>0.98</v>
      </c>
      <c r="C9" s="9">
        <v>0.86</v>
      </c>
      <c r="D9" s="9">
        <v>0.37</v>
      </c>
      <c r="E9" s="9"/>
      <c r="F9" s="9"/>
      <c r="G9" s="9">
        <v>0.98</v>
      </c>
      <c r="H9" s="9">
        <v>0.86</v>
      </c>
      <c r="I9" s="9">
        <v>0.37</v>
      </c>
      <c r="J9" s="9"/>
      <c r="K9" s="9"/>
      <c r="L9" s="9"/>
      <c r="M9" s="341"/>
    </row>
    <row r="10" spans="1:13" x14ac:dyDescent="0.3">
      <c r="A10" s="11" t="s">
        <v>46</v>
      </c>
      <c r="B10" s="9">
        <v>365.25</v>
      </c>
      <c r="C10" s="9">
        <v>365.25</v>
      </c>
      <c r="D10" s="9">
        <v>365.25</v>
      </c>
      <c r="E10" s="9"/>
      <c r="F10" s="9"/>
      <c r="G10" s="9">
        <v>365.25</v>
      </c>
      <c r="H10" s="9">
        <v>365.25</v>
      </c>
      <c r="I10" s="9">
        <v>365.25</v>
      </c>
      <c r="J10" s="9"/>
      <c r="K10" s="9"/>
      <c r="L10" s="9"/>
      <c r="M10" s="341"/>
    </row>
    <row r="11" spans="1:13" x14ac:dyDescent="0.3">
      <c r="A11" s="11" t="s">
        <v>47</v>
      </c>
      <c r="B11" s="9">
        <v>3.39</v>
      </c>
      <c r="C11" s="9">
        <v>3.39</v>
      </c>
      <c r="D11" s="9">
        <v>2.06</v>
      </c>
      <c r="E11" s="9"/>
      <c r="F11" s="9"/>
      <c r="G11" s="9">
        <v>4.37</v>
      </c>
      <c r="H11" s="9">
        <v>4.6100000000000003</v>
      </c>
      <c r="I11" s="9">
        <v>3</v>
      </c>
      <c r="J11" s="9"/>
      <c r="K11" s="9"/>
      <c r="L11" s="9"/>
      <c r="M11" s="341"/>
    </row>
    <row r="12" spans="1:13" x14ac:dyDescent="0.3">
      <c r="A12" s="12" t="s">
        <v>63</v>
      </c>
      <c r="B12" s="61">
        <f>(B8*B9*B10)/(B11*1000)</f>
        <v>1657.7393805309734</v>
      </c>
      <c r="C12" s="61">
        <f>ROUND((C8*C9*C10)/(C11*1000),2)</f>
        <v>1454.75</v>
      </c>
      <c r="D12" s="61">
        <f>ROUND((D8*D9*D10)/(D11*1000),2)</f>
        <v>1029.97</v>
      </c>
      <c r="E12" s="61">
        <f>C12+D12</f>
        <v>2484.7200000000003</v>
      </c>
      <c r="F12" s="61">
        <f>(B7*B12)+(E7*E12)</f>
        <v>1704.0502952212389</v>
      </c>
      <c r="G12" s="61">
        <f>(G8*G9*G10)/(G11*1000)</f>
        <v>1285.9808924485126</v>
      </c>
      <c r="H12" s="61">
        <f>(H8*H9*H10)/(H11*1000)</f>
        <v>1069.7625813449024</v>
      </c>
      <c r="I12" s="61">
        <f>(I8*I9*I10)/(I11*1000)</f>
        <v>707.24575000000004</v>
      </c>
      <c r="J12" s="61">
        <f>H12+I12</f>
        <v>1777.0083313449024</v>
      </c>
      <c r="K12" s="61">
        <f>(G7*G12)+(J7*J12)</f>
        <v>1313.4784290267105</v>
      </c>
      <c r="L12" s="62">
        <f>ROUND(F12-K12,2)</f>
        <v>390.57</v>
      </c>
      <c r="M12" s="342"/>
    </row>
    <row r="13" spans="1:13" x14ac:dyDescent="0.3">
      <c r="A13" s="6"/>
      <c r="B13" s="17"/>
      <c r="C13" s="17"/>
      <c r="D13" s="17"/>
      <c r="E13" s="17"/>
      <c r="F13" s="17"/>
      <c r="G13" s="17"/>
      <c r="H13" s="17"/>
      <c r="I13" s="17"/>
      <c r="J13" s="7"/>
      <c r="K13" s="7"/>
      <c r="L13" s="7"/>
      <c r="M13" s="7"/>
    </row>
    <row r="14" spans="1:13" x14ac:dyDescent="0.3">
      <c r="A14" s="51" t="s">
        <v>69</v>
      </c>
      <c r="B14" s="17"/>
      <c r="C14" s="17"/>
      <c r="D14" s="17"/>
      <c r="E14" s="17"/>
      <c r="F14" s="17"/>
      <c r="G14" s="17"/>
      <c r="H14" s="17"/>
      <c r="I14" s="17"/>
      <c r="J14" s="7"/>
      <c r="K14" s="7"/>
      <c r="L14" s="7"/>
      <c r="M14" s="7"/>
    </row>
    <row r="15" spans="1:13" x14ac:dyDescent="0.3">
      <c r="A15" s="51" t="s">
        <v>34</v>
      </c>
      <c r="B15" s="51" t="s">
        <v>73</v>
      </c>
      <c r="C15" s="51" t="s">
        <v>67</v>
      </c>
      <c r="D15" s="51" t="s">
        <v>74</v>
      </c>
      <c r="E15" s="51" t="s">
        <v>78</v>
      </c>
      <c r="F15" s="17"/>
      <c r="G15" s="17"/>
      <c r="H15" s="17"/>
      <c r="I15" s="17"/>
      <c r="J15" s="7"/>
      <c r="K15" s="7"/>
      <c r="L15" s="7"/>
      <c r="M15" s="7"/>
    </row>
    <row r="16" spans="1:13" x14ac:dyDescent="0.3">
      <c r="A16" s="12" t="s">
        <v>70</v>
      </c>
      <c r="B16" s="14">
        <f>'Peak Demand Calculations'!$B$3</f>
        <v>0.376</v>
      </c>
      <c r="C16" s="14">
        <f>'Peak Demand Calculations'!$B$4</f>
        <v>0.41499999999999998</v>
      </c>
      <c r="D16" s="14"/>
      <c r="E16" s="340" t="s">
        <v>159</v>
      </c>
      <c r="F16" s="17"/>
      <c r="G16" s="17"/>
      <c r="H16" s="17"/>
      <c r="I16" s="17"/>
      <c r="J16" s="7"/>
      <c r="K16" s="7"/>
      <c r="L16" s="7"/>
      <c r="M16" s="7"/>
    </row>
    <row r="17" spans="1:13" x14ac:dyDescent="0.3">
      <c r="A17" s="12" t="s">
        <v>71</v>
      </c>
      <c r="B17" s="14">
        <f>'Peak Demand Calculations'!$D$3</f>
        <v>0.52200000000000002</v>
      </c>
      <c r="C17" s="14">
        <f>'Peak Demand Calculations'!$D$4</f>
        <v>0.39</v>
      </c>
      <c r="D17" s="19"/>
      <c r="E17" s="341"/>
      <c r="F17" s="17"/>
      <c r="G17" s="17"/>
      <c r="H17" s="17"/>
      <c r="I17" s="17"/>
      <c r="J17" s="7"/>
      <c r="K17" s="7"/>
      <c r="L17" s="7"/>
      <c r="M17" s="7"/>
    </row>
    <row r="18" spans="1:13" x14ac:dyDescent="0.3">
      <c r="A18" s="12" t="s">
        <v>72</v>
      </c>
      <c r="B18" s="15">
        <f>B17*B16</f>
        <v>0.196272</v>
      </c>
      <c r="C18" s="15">
        <f>C17*C16</f>
        <v>0.16184999999999999</v>
      </c>
      <c r="D18" s="38">
        <f>ROUND(B18-C18,5)</f>
        <v>3.4419999999999999E-2</v>
      </c>
      <c r="E18" s="342"/>
      <c r="F18" s="17"/>
      <c r="G18" s="17"/>
      <c r="H18" s="17"/>
      <c r="I18" s="17"/>
      <c r="J18" s="7"/>
      <c r="K18" s="7"/>
      <c r="L18" s="7"/>
      <c r="M18" s="7"/>
    </row>
  </sheetData>
  <mergeCells count="2">
    <mergeCell ref="E16:E18"/>
    <mergeCell ref="M7:M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2:F17"/>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45.44140625" customWidth="1"/>
  </cols>
  <sheetData>
    <row r="2" spans="1:6" ht="15" thickBot="1" x14ac:dyDescent="0.35"/>
    <row r="3" spans="1:6" x14ac:dyDescent="0.3">
      <c r="A3" s="126" t="s">
        <v>148</v>
      </c>
      <c r="B3" s="126" t="s">
        <v>79</v>
      </c>
      <c r="C3" s="126" t="s">
        <v>9</v>
      </c>
      <c r="D3" s="126" t="s">
        <v>36</v>
      </c>
      <c r="E3" s="126" t="s">
        <v>122</v>
      </c>
      <c r="F3" s="18"/>
    </row>
    <row r="4" spans="1:6" x14ac:dyDescent="0.3">
      <c r="A4" s="56" t="s">
        <v>91</v>
      </c>
      <c r="B4" s="86" t="s">
        <v>81</v>
      </c>
      <c r="C4" s="86" t="s">
        <v>42</v>
      </c>
      <c r="D4" s="86" t="s">
        <v>85</v>
      </c>
      <c r="E4" s="86" t="s">
        <v>17</v>
      </c>
      <c r="F4" s="17"/>
    </row>
    <row r="5" spans="1:6" ht="28.8" x14ac:dyDescent="0.3">
      <c r="A5" s="126" t="s">
        <v>34</v>
      </c>
      <c r="B5" s="126" t="s">
        <v>64</v>
      </c>
      <c r="C5" s="126" t="s">
        <v>75</v>
      </c>
      <c r="D5" s="126" t="s">
        <v>49</v>
      </c>
      <c r="E5" s="126" t="s">
        <v>271</v>
      </c>
      <c r="F5" s="126" t="s">
        <v>272</v>
      </c>
    </row>
    <row r="6" spans="1:6" ht="28.8" x14ac:dyDescent="0.3">
      <c r="A6" s="12" t="s">
        <v>51</v>
      </c>
      <c r="B6" s="20" t="s">
        <v>247</v>
      </c>
      <c r="C6" s="146" t="s">
        <v>65</v>
      </c>
      <c r="D6" s="146" t="s">
        <v>275</v>
      </c>
      <c r="E6" s="14"/>
      <c r="F6" s="14"/>
    </row>
    <row r="7" spans="1:6" x14ac:dyDescent="0.3">
      <c r="A7" s="12" t="s">
        <v>44</v>
      </c>
      <c r="B7" s="9">
        <f>'Energy Factors Tables'!$E$5</f>
        <v>15700</v>
      </c>
      <c r="C7" s="14"/>
      <c r="D7" s="14"/>
      <c r="E7" s="14"/>
      <c r="F7" s="21"/>
    </row>
    <row r="8" spans="1:6" x14ac:dyDescent="0.3">
      <c r="A8" s="12" t="s">
        <v>45</v>
      </c>
      <c r="B8" s="19">
        <f>'Energy Factors Tables'!$I$5</f>
        <v>1.052</v>
      </c>
      <c r="C8" s="14"/>
      <c r="D8" s="14"/>
      <c r="E8" s="14"/>
      <c r="F8" s="62"/>
    </row>
    <row r="9" spans="1:6" x14ac:dyDescent="0.3">
      <c r="A9" s="12" t="s">
        <v>46</v>
      </c>
      <c r="B9" s="14">
        <v>365</v>
      </c>
      <c r="C9" s="14"/>
      <c r="D9" s="14"/>
      <c r="E9" s="14"/>
      <c r="F9" s="113"/>
    </row>
    <row r="10" spans="1:6" x14ac:dyDescent="0.3">
      <c r="A10" s="12" t="s">
        <v>47</v>
      </c>
      <c r="B10" s="141">
        <f>'Energy Factors Tables'!$M$5</f>
        <v>2.3817391304347821</v>
      </c>
      <c r="C10" s="14"/>
      <c r="D10" s="14"/>
      <c r="E10" s="21"/>
      <c r="F10" s="21" t="s">
        <v>208</v>
      </c>
    </row>
    <row r="11" spans="1:6" x14ac:dyDescent="0.3">
      <c r="A11" s="12" t="s">
        <v>43</v>
      </c>
      <c r="B11" s="61">
        <f>(B7*B8*B9)/(B10*1000)</f>
        <v>2531.1277473530495</v>
      </c>
      <c r="C11" s="61">
        <f>'Msr A -New'!$F$11</f>
        <v>2371.8648330749147</v>
      </c>
      <c r="D11" s="39">
        <f>'Msr A -New'!$K$11</f>
        <v>1278.9299856407488</v>
      </c>
      <c r="E11" s="62">
        <f>ROUND('Msr C -New'!B11-$D$11,3)</f>
        <v>1252.1980000000001</v>
      </c>
      <c r="F11" s="62">
        <f>ROUND('Msr C -New'!C11-$D$11,3)</f>
        <v>1092.9349999999999</v>
      </c>
    </row>
    <row r="12" spans="1:6" x14ac:dyDescent="0.3">
      <c r="A12" s="6"/>
      <c r="B12" s="17"/>
      <c r="C12" s="17"/>
      <c r="D12" s="17"/>
      <c r="E12" s="17"/>
      <c r="F12" s="17"/>
    </row>
    <row r="13" spans="1:6" x14ac:dyDescent="0.3">
      <c r="A13" s="126" t="s">
        <v>69</v>
      </c>
      <c r="B13" s="17"/>
      <c r="C13" s="17"/>
      <c r="D13" s="17"/>
      <c r="E13" s="17"/>
      <c r="F13" s="17"/>
    </row>
    <row r="14" spans="1:6" x14ac:dyDescent="0.3">
      <c r="A14" s="126" t="s">
        <v>34</v>
      </c>
      <c r="B14" s="126" t="s">
        <v>155</v>
      </c>
      <c r="C14" s="126" t="s">
        <v>156</v>
      </c>
      <c r="D14" s="126" t="s">
        <v>67</v>
      </c>
      <c r="E14" s="126" t="s">
        <v>300</v>
      </c>
      <c r="F14" s="126" t="s">
        <v>301</v>
      </c>
    </row>
    <row r="15" spans="1:6" ht="14.25" customHeight="1" x14ac:dyDescent="0.3">
      <c r="A15" s="12" t="s">
        <v>70</v>
      </c>
      <c r="B15" s="15">
        <f>'Peak Demand-New'!$E$17</f>
        <v>0.80561320000000003</v>
      </c>
      <c r="C15" s="14">
        <v>0</v>
      </c>
      <c r="D15" s="14">
        <v>0</v>
      </c>
      <c r="E15" s="14"/>
      <c r="F15" s="14"/>
    </row>
    <row r="16" spans="1:6" x14ac:dyDescent="0.3">
      <c r="A16" s="12" t="s">
        <v>71</v>
      </c>
      <c r="B16" s="15">
        <f>'Peak Demand-New'!$F$17</f>
        <v>0.33800000000000002</v>
      </c>
      <c r="C16" s="14">
        <v>0</v>
      </c>
      <c r="D16" s="14">
        <v>0</v>
      </c>
      <c r="E16" s="19"/>
      <c r="F16" s="19"/>
    </row>
    <row r="17" spans="1:6" ht="15" thickBot="1" x14ac:dyDescent="0.35">
      <c r="A17" s="13" t="s">
        <v>72</v>
      </c>
      <c r="B17" s="22">
        <f>B16*B15</f>
        <v>0.27229726160000001</v>
      </c>
      <c r="C17" s="15">
        <f>C16*C15</f>
        <v>0</v>
      </c>
      <c r="D17" s="22">
        <f>D16*D15</f>
        <v>0</v>
      </c>
      <c r="E17" s="23">
        <f>ROUND('Msr C -New'!B17-D17,3)</f>
        <v>0.27200000000000002</v>
      </c>
      <c r="F17" s="23">
        <f>ROUND('Msr C -New'!C17-D17,3)</f>
        <v>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2:J24"/>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45.44140625" customWidth="1"/>
    <col min="7" max="7" width="20.44140625" customWidth="1"/>
    <col min="8" max="8" width="29.88671875" customWidth="1"/>
    <col min="9" max="9" width="26.6640625" bestFit="1" customWidth="1"/>
    <col min="10" max="10" width="51.88671875" customWidth="1"/>
  </cols>
  <sheetData>
    <row r="2" spans="1:10" ht="15" thickBot="1" x14ac:dyDescent="0.35"/>
    <row r="3" spans="1:10" x14ac:dyDescent="0.3">
      <c r="A3" s="51" t="s">
        <v>148</v>
      </c>
      <c r="B3" s="51" t="s">
        <v>79</v>
      </c>
      <c r="C3" s="51" t="s">
        <v>9</v>
      </c>
      <c r="D3" s="51" t="s">
        <v>36</v>
      </c>
      <c r="E3" s="51" t="s">
        <v>122</v>
      </c>
      <c r="F3" s="18"/>
      <c r="G3" s="18"/>
      <c r="H3" s="4"/>
      <c r="I3" s="4"/>
      <c r="J3" s="5"/>
    </row>
    <row r="4" spans="1:10" x14ac:dyDescent="0.3">
      <c r="A4" s="56" t="s">
        <v>91</v>
      </c>
      <c r="B4" s="55" t="s">
        <v>81</v>
      </c>
      <c r="C4" s="55" t="s">
        <v>42</v>
      </c>
      <c r="D4" s="55" t="s">
        <v>85</v>
      </c>
      <c r="E4" s="55" t="s">
        <v>17</v>
      </c>
      <c r="F4" s="17"/>
      <c r="G4" s="17"/>
      <c r="H4" s="7"/>
      <c r="I4" s="7"/>
      <c r="J4" s="8"/>
    </row>
    <row r="5" spans="1:10" ht="28.8" x14ac:dyDescent="0.3">
      <c r="A5" s="51" t="s">
        <v>34</v>
      </c>
      <c r="B5" s="51" t="s">
        <v>64</v>
      </c>
      <c r="C5" s="51" t="s">
        <v>75</v>
      </c>
      <c r="D5" s="51" t="s">
        <v>49</v>
      </c>
      <c r="E5" s="51" t="s">
        <v>117</v>
      </c>
      <c r="F5" s="51" t="s">
        <v>118</v>
      </c>
      <c r="G5" s="51" t="s">
        <v>119</v>
      </c>
      <c r="H5" s="51" t="s">
        <v>120</v>
      </c>
      <c r="I5" s="352" t="s">
        <v>77</v>
      </c>
      <c r="J5" s="352"/>
    </row>
    <row r="6" spans="1:10" x14ac:dyDescent="0.3">
      <c r="A6" s="12" t="s">
        <v>51</v>
      </c>
      <c r="B6" s="20"/>
      <c r="C6" s="14" t="s">
        <v>65</v>
      </c>
      <c r="D6" s="14"/>
      <c r="E6" s="14"/>
      <c r="F6" s="14"/>
      <c r="G6" s="14"/>
      <c r="H6" s="14"/>
      <c r="I6" s="315" t="s">
        <v>153</v>
      </c>
      <c r="J6" s="315"/>
    </row>
    <row r="7" spans="1:10" x14ac:dyDescent="0.3">
      <c r="A7" s="12" t="s">
        <v>44</v>
      </c>
      <c r="B7" s="9">
        <v>15700</v>
      </c>
      <c r="C7" s="14"/>
      <c r="D7" s="14"/>
      <c r="E7" s="14"/>
      <c r="F7" s="21" t="s">
        <v>208</v>
      </c>
      <c r="G7" s="14"/>
      <c r="H7" s="14"/>
      <c r="I7" s="315"/>
      <c r="J7" s="315"/>
    </row>
    <row r="8" spans="1:10" x14ac:dyDescent="0.3">
      <c r="A8" s="12" t="s">
        <v>45</v>
      </c>
      <c r="B8" s="19">
        <v>1</v>
      </c>
      <c r="C8" s="14"/>
      <c r="D8" s="14"/>
      <c r="E8" s="14"/>
      <c r="F8" s="62">
        <f>ROUND('Msr C'!C11-$D$11,3)</f>
        <v>675.84299999999996</v>
      </c>
      <c r="G8" s="14"/>
      <c r="H8" s="113" t="s">
        <v>210</v>
      </c>
      <c r="I8" s="315"/>
      <c r="J8" s="315"/>
    </row>
    <row r="9" spans="1:10" x14ac:dyDescent="0.3">
      <c r="A9" s="12" t="s">
        <v>46</v>
      </c>
      <c r="B9" s="14">
        <v>365</v>
      </c>
      <c r="C9" s="14"/>
      <c r="D9" s="14"/>
      <c r="E9" s="14"/>
      <c r="F9" s="113">
        <v>695</v>
      </c>
      <c r="G9" s="14"/>
      <c r="H9" s="113">
        <v>677</v>
      </c>
      <c r="I9" s="315"/>
      <c r="J9" s="315"/>
    </row>
    <row r="10" spans="1:10" x14ac:dyDescent="0.3">
      <c r="A10" s="12" t="s">
        <v>47</v>
      </c>
      <c r="B10" s="14">
        <v>2.1800000000000002</v>
      </c>
      <c r="C10" s="14"/>
      <c r="D10" s="14"/>
      <c r="E10" s="21"/>
      <c r="F10" s="113" t="s">
        <v>210</v>
      </c>
      <c r="G10" s="21"/>
      <c r="H10" s="21"/>
      <c r="I10" s="315"/>
      <c r="J10" s="315"/>
    </row>
    <row r="11" spans="1:10" x14ac:dyDescent="0.3">
      <c r="A11" s="12" t="s">
        <v>43</v>
      </c>
      <c r="B11" s="61">
        <f>(B7*B8*B9)/(B10*1000)</f>
        <v>2628.669724770642</v>
      </c>
      <c r="C11" s="61">
        <f>'Msr A'!$F$11</f>
        <v>1932.8428275505121</v>
      </c>
      <c r="D11" s="39">
        <v>1257</v>
      </c>
      <c r="E11" s="62">
        <f>ROUND('Msr C'!B11-$D$11,3)</f>
        <v>1371.67</v>
      </c>
      <c r="F11" s="113">
        <v>695</v>
      </c>
      <c r="G11" s="62">
        <f>E11</f>
        <v>1371.67</v>
      </c>
      <c r="H11" s="62">
        <f>'Meas. A &amp; C, CZ Adjustments'!$D$32</f>
        <v>677</v>
      </c>
      <c r="I11" s="315"/>
      <c r="J11" s="315"/>
    </row>
    <row r="12" spans="1:10" x14ac:dyDescent="0.3">
      <c r="A12" s="6"/>
      <c r="B12" s="17"/>
      <c r="C12" s="17"/>
      <c r="D12" s="17"/>
      <c r="E12" s="17"/>
      <c r="F12" s="17"/>
      <c r="G12" s="17"/>
      <c r="H12" s="7"/>
      <c r="I12" s="7"/>
      <c r="J12" s="8"/>
    </row>
    <row r="13" spans="1:10" x14ac:dyDescent="0.3">
      <c r="A13" s="51" t="s">
        <v>69</v>
      </c>
      <c r="B13" s="17"/>
      <c r="C13" s="17"/>
      <c r="D13" s="17"/>
      <c r="E13" s="17"/>
      <c r="F13" s="17"/>
      <c r="G13" s="17"/>
      <c r="H13" s="7"/>
      <c r="I13" s="7"/>
      <c r="J13" s="8"/>
    </row>
    <row r="14" spans="1:10" ht="28.8" x14ac:dyDescent="0.3">
      <c r="A14" s="51" t="s">
        <v>34</v>
      </c>
      <c r="B14" s="51" t="s">
        <v>155</v>
      </c>
      <c r="C14" s="51" t="s">
        <v>156</v>
      </c>
      <c r="D14" s="51" t="s">
        <v>67</v>
      </c>
      <c r="E14" s="51" t="s">
        <v>157</v>
      </c>
      <c r="F14" s="51" t="s">
        <v>158</v>
      </c>
      <c r="G14" s="51" t="s">
        <v>116</v>
      </c>
      <c r="H14" s="51" t="s">
        <v>116</v>
      </c>
      <c r="I14" s="352" t="s">
        <v>78</v>
      </c>
      <c r="J14" s="352"/>
    </row>
    <row r="15" spans="1:10" x14ac:dyDescent="0.3">
      <c r="A15" s="12" t="s">
        <v>70</v>
      </c>
      <c r="B15" s="14">
        <v>1.772</v>
      </c>
      <c r="C15" s="14">
        <f>'Peak Demand Calculations'!$B$3</f>
        <v>0.376</v>
      </c>
      <c r="D15" s="14">
        <v>0.41499999999999998</v>
      </c>
      <c r="E15" s="14"/>
      <c r="F15" s="14"/>
      <c r="G15" s="14"/>
      <c r="H15" s="14"/>
      <c r="I15" s="315" t="s">
        <v>154</v>
      </c>
      <c r="J15" s="315"/>
    </row>
    <row r="16" spans="1:10" x14ac:dyDescent="0.3">
      <c r="A16" s="12" t="s">
        <v>71</v>
      </c>
      <c r="B16" s="14">
        <v>0.309</v>
      </c>
      <c r="C16" s="14">
        <f>'Peak Demand Calculations'!$D$3</f>
        <v>0.52200000000000002</v>
      </c>
      <c r="D16" s="14">
        <v>0</v>
      </c>
      <c r="E16" s="19"/>
      <c r="F16" s="19"/>
      <c r="G16" s="19"/>
      <c r="H16" s="19"/>
      <c r="I16" s="315"/>
      <c r="J16" s="315"/>
    </row>
    <row r="17" spans="1:10" ht="15" thickBot="1" x14ac:dyDescent="0.35">
      <c r="A17" s="13" t="s">
        <v>72</v>
      </c>
      <c r="B17" s="22">
        <f>B16*B15</f>
        <v>0.54754800000000003</v>
      </c>
      <c r="C17" s="15">
        <f>C16*C15</f>
        <v>0.196272</v>
      </c>
      <c r="D17" s="22">
        <f>D16*D15</f>
        <v>0</v>
      </c>
      <c r="E17" s="23">
        <f>ROUND('Msr C'!B17-D17,3)</f>
        <v>0.54800000000000004</v>
      </c>
      <c r="F17" s="23">
        <f>ROUND('Msr C'!C17-D17,3)</f>
        <v>0.19600000000000001</v>
      </c>
      <c r="G17" s="23">
        <f>E17</f>
        <v>0.54800000000000004</v>
      </c>
      <c r="H17" s="23">
        <f>F17</f>
        <v>0.19600000000000001</v>
      </c>
      <c r="I17" s="315"/>
      <c r="J17" s="315"/>
    </row>
    <row r="19" spans="1:10" ht="15" thickBot="1" x14ac:dyDescent="0.35"/>
    <row r="20" spans="1:10" x14ac:dyDescent="0.3">
      <c r="A20" s="343" t="s">
        <v>207</v>
      </c>
      <c r="B20" s="344"/>
      <c r="C20" s="345"/>
    </row>
    <row r="21" spans="1:10" x14ac:dyDescent="0.3">
      <c r="A21" s="346"/>
      <c r="B21" s="347"/>
      <c r="C21" s="348"/>
    </row>
    <row r="22" spans="1:10" x14ac:dyDescent="0.3">
      <c r="A22" s="346"/>
      <c r="B22" s="347"/>
      <c r="C22" s="348"/>
    </row>
    <row r="23" spans="1:10" x14ac:dyDescent="0.3">
      <c r="A23" s="346"/>
      <c r="B23" s="347"/>
      <c r="C23" s="348"/>
    </row>
    <row r="24" spans="1:10" ht="15" thickBot="1" x14ac:dyDescent="0.35">
      <c r="A24" s="349"/>
      <c r="B24" s="350"/>
      <c r="C24" s="351"/>
    </row>
  </sheetData>
  <mergeCells count="5">
    <mergeCell ref="I5:J5"/>
    <mergeCell ref="I6:J11"/>
    <mergeCell ref="I15:J17"/>
    <mergeCell ref="I14:J14"/>
    <mergeCell ref="A20:C24"/>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dimension ref="A2:J22"/>
  <sheetViews>
    <sheetView workbookViewId="0"/>
  </sheetViews>
  <sheetFormatPr defaultRowHeight="14.4" x14ac:dyDescent="0.3"/>
  <cols>
    <col min="1" max="1" width="27.88671875" bestFit="1" customWidth="1"/>
    <col min="2" max="2" width="27.44140625" bestFit="1" customWidth="1"/>
    <col min="3" max="3" width="30.88671875" customWidth="1"/>
    <col min="4" max="4" width="25.33203125" bestFit="1" customWidth="1"/>
    <col min="5" max="5" width="31.44140625" customWidth="1"/>
    <col min="6" max="6" width="29.88671875" customWidth="1"/>
    <col min="7" max="7" width="17.77734375" bestFit="1" customWidth="1"/>
    <col min="8" max="8" width="18.6640625" customWidth="1"/>
    <col min="9" max="9" width="9.33203125" bestFit="1" customWidth="1"/>
  </cols>
  <sheetData>
    <row r="2" spans="1:10" x14ac:dyDescent="0.3">
      <c r="A2" s="137" t="s">
        <v>147</v>
      </c>
      <c r="B2" s="137" t="s">
        <v>194</v>
      </c>
      <c r="C2" s="137" t="s">
        <v>195</v>
      </c>
      <c r="D2" s="137" t="s">
        <v>9</v>
      </c>
      <c r="E2" s="137" t="s">
        <v>36</v>
      </c>
      <c r="F2" s="137" t="s">
        <v>36</v>
      </c>
      <c r="G2" s="137" t="s">
        <v>122</v>
      </c>
    </row>
    <row r="3" spans="1:10" x14ac:dyDescent="0.3">
      <c r="A3" s="86" t="s">
        <v>90</v>
      </c>
      <c r="B3" s="86" t="s">
        <v>83</v>
      </c>
      <c r="C3" s="86" t="s">
        <v>80</v>
      </c>
      <c r="D3" s="86" t="s">
        <v>21</v>
      </c>
      <c r="E3" s="86" t="s">
        <v>84</v>
      </c>
      <c r="F3" s="86" t="s">
        <v>84</v>
      </c>
      <c r="G3" s="86" t="s">
        <v>87</v>
      </c>
    </row>
    <row r="4" spans="1:10" ht="43.2" x14ac:dyDescent="0.3">
      <c r="A4" s="137" t="s">
        <v>34</v>
      </c>
      <c r="B4" s="137" t="s">
        <v>368</v>
      </c>
      <c r="C4" s="137" t="s">
        <v>370</v>
      </c>
      <c r="D4" s="182" t="s">
        <v>369</v>
      </c>
      <c r="E4" s="182" t="s">
        <v>371</v>
      </c>
      <c r="F4" s="137" t="s">
        <v>373</v>
      </c>
      <c r="G4" s="182" t="s">
        <v>374</v>
      </c>
      <c r="H4" s="182" t="s">
        <v>372</v>
      </c>
      <c r="I4" s="137" t="s">
        <v>197</v>
      </c>
      <c r="J4" s="137" t="s">
        <v>198</v>
      </c>
    </row>
    <row r="5" spans="1:10" ht="15" customHeight="1" x14ac:dyDescent="0.3">
      <c r="A5" s="12" t="s">
        <v>44</v>
      </c>
      <c r="B5" s="76">
        <f>'Energy Factors Tables'!$E$16</f>
        <v>27527</v>
      </c>
      <c r="C5" s="156">
        <f>B5</f>
        <v>27527</v>
      </c>
      <c r="D5" s="156">
        <f>C5</f>
        <v>27527</v>
      </c>
      <c r="E5" s="156"/>
      <c r="F5" s="156">
        <f>B5</f>
        <v>27527</v>
      </c>
      <c r="G5" s="156">
        <f>F5</f>
        <v>27527</v>
      </c>
      <c r="H5" s="156"/>
      <c r="I5" s="19"/>
      <c r="J5" s="19"/>
    </row>
    <row r="6" spans="1:10" x14ac:dyDescent="0.3">
      <c r="A6" s="12" t="s">
        <v>45</v>
      </c>
      <c r="B6" s="14">
        <f>'Energy Factors Tables'!$I$16</f>
        <v>3.4</v>
      </c>
      <c r="C6" s="19">
        <f>'Energy Factors Tables'!$I$17</f>
        <v>1.855</v>
      </c>
      <c r="D6" s="19">
        <f>'Energy Factors Tables'!$I$19</f>
        <v>0.54100000000000004</v>
      </c>
      <c r="E6" s="19"/>
      <c r="F6" s="19">
        <f>'Energy Factors Tables'!$I$17</f>
        <v>1.855</v>
      </c>
      <c r="G6" s="19">
        <f>'Energy Factors Tables'!$I$19</f>
        <v>0.54100000000000004</v>
      </c>
      <c r="H6" s="19"/>
      <c r="I6" s="19"/>
      <c r="J6" s="19"/>
    </row>
    <row r="7" spans="1:10" x14ac:dyDescent="0.3">
      <c r="A7" s="12" t="s">
        <v>46</v>
      </c>
      <c r="B7" s="14">
        <v>365</v>
      </c>
      <c r="C7" s="19">
        <v>365</v>
      </c>
      <c r="D7" s="19">
        <v>365</v>
      </c>
      <c r="E7" s="19"/>
      <c r="F7" s="19">
        <v>365</v>
      </c>
      <c r="G7" s="19">
        <v>365</v>
      </c>
      <c r="H7" s="19"/>
      <c r="I7" s="19"/>
      <c r="J7" s="19"/>
    </row>
    <row r="8" spans="1:10" x14ac:dyDescent="0.3">
      <c r="A8" s="12" t="s">
        <v>47</v>
      </c>
      <c r="B8" s="144">
        <f>'Energy Factors Tables'!$M$16</f>
        <v>2.3817391304347821</v>
      </c>
      <c r="C8" s="144">
        <f>'Energy Factors Tables'!M17</f>
        <v>2.5008000000000008</v>
      </c>
      <c r="D8" s="144">
        <f>'Energy Factors Tables'!$M$19</f>
        <v>4.4963320000000007</v>
      </c>
      <c r="E8" s="144"/>
      <c r="F8" s="144">
        <f>'Energy Factors Tables'!$M$18</f>
        <v>3.3285444999999996</v>
      </c>
      <c r="G8" s="144">
        <f>'Energy Factors Tables'!$M$20</f>
        <v>8.4357566799999972</v>
      </c>
      <c r="H8" s="144"/>
      <c r="I8" s="19"/>
      <c r="J8" s="19"/>
    </row>
    <row r="9" spans="1:10" ht="30.3" customHeight="1" x14ac:dyDescent="0.3">
      <c r="A9" s="12" t="s">
        <v>63</v>
      </c>
      <c r="B9" s="61">
        <f>(B5*B6*B7)/(B8*1000)</f>
        <v>14342.883552391388</v>
      </c>
      <c r="C9" s="154">
        <f>(C5*C6*C7)/(C8*1000)</f>
        <v>7452.7525291906568</v>
      </c>
      <c r="D9" s="154">
        <f>(D5*D6*D7)/(D8*1000)</f>
        <v>1208.9007339760499</v>
      </c>
      <c r="E9" s="154">
        <f>C9+D9</f>
        <v>8661.6532631667069</v>
      </c>
      <c r="F9" s="154">
        <f>(F5*F6*F7)/(F8*1000)</f>
        <v>5599.3974318204255</v>
      </c>
      <c r="G9" s="154">
        <f>(G5*G6*G7)/(G8*1000)</f>
        <v>644.35465141936777</v>
      </c>
      <c r="H9" s="154">
        <f>F9+G9</f>
        <v>6243.7520832397931</v>
      </c>
      <c r="I9" s="155">
        <f>ROUND(B9-H9,3)</f>
        <v>8099.1310000000003</v>
      </c>
      <c r="J9" s="155">
        <f>ROUND(E9-H9,3)</f>
        <v>2417.9009999999998</v>
      </c>
    </row>
    <row r="10" spans="1:10" x14ac:dyDescent="0.3">
      <c r="A10" s="6"/>
      <c r="B10" s="17"/>
      <c r="C10" s="17"/>
      <c r="D10" s="17"/>
      <c r="E10" s="17"/>
      <c r="F10" s="17"/>
    </row>
    <row r="11" spans="1:10" x14ac:dyDescent="0.3">
      <c r="F11" s="17"/>
    </row>
    <row r="13" spans="1:10" ht="15" customHeight="1" x14ac:dyDescent="0.3"/>
    <row r="18" spans="1:6" x14ac:dyDescent="0.3">
      <c r="A18" s="137" t="s">
        <v>69</v>
      </c>
      <c r="B18" s="17"/>
      <c r="C18" s="17"/>
      <c r="D18" s="17"/>
      <c r="E18" s="17"/>
    </row>
    <row r="19" spans="1:6" ht="28.8" x14ac:dyDescent="0.3">
      <c r="A19" s="137" t="s">
        <v>34</v>
      </c>
      <c r="B19" s="137" t="s">
        <v>76</v>
      </c>
      <c r="C19" s="137" t="s">
        <v>196</v>
      </c>
      <c r="D19" s="137" t="s">
        <v>67</v>
      </c>
      <c r="E19" s="137" t="s">
        <v>199</v>
      </c>
      <c r="F19" s="137" t="s">
        <v>200</v>
      </c>
    </row>
    <row r="20" spans="1:6" ht="14.25" customHeight="1" x14ac:dyDescent="0.3">
      <c r="A20" s="12" t="s">
        <v>70</v>
      </c>
      <c r="B20" s="141">
        <f>'Peak Demand-New'!$E$19</f>
        <v>1.8224477079999997</v>
      </c>
      <c r="C20" s="144">
        <f>'Peak Demand-New'!$E$20</f>
        <v>1.3549399499999999</v>
      </c>
      <c r="D20" s="144">
        <f>'Peak Demand-New'!$H$19</f>
        <v>1.0631493999999997</v>
      </c>
      <c r="E20" s="19"/>
      <c r="F20" s="19"/>
    </row>
    <row r="21" spans="1:6" x14ac:dyDescent="0.3">
      <c r="A21" s="12" t="s">
        <v>71</v>
      </c>
      <c r="B21" s="141">
        <f>'Peak Demand-New'!$F$19</f>
        <v>0.96499999999999997</v>
      </c>
      <c r="C21" s="144">
        <f>'Peak Demand-New'!$F$20</f>
        <v>0.93100000000000005</v>
      </c>
      <c r="D21" s="144">
        <f>'Peak Demand-New'!$I$19</f>
        <v>0.93100000000000005</v>
      </c>
      <c r="E21" s="19"/>
      <c r="F21" s="19"/>
    </row>
    <row r="22" spans="1:6" x14ac:dyDescent="0.3">
      <c r="A22" s="12" t="s">
        <v>72</v>
      </c>
      <c r="B22" s="15">
        <f>B21*B20</f>
        <v>1.7586620382199996</v>
      </c>
      <c r="C22" s="157">
        <f>C21*C20</f>
        <v>1.26144909345</v>
      </c>
      <c r="D22" s="157">
        <f>D21*D20</f>
        <v>0.9897920913999998</v>
      </c>
      <c r="E22" s="38">
        <f>ROUND(B22-D22,5)</f>
        <v>0.76887000000000005</v>
      </c>
      <c r="F22" s="38">
        <f>ROUND(C22-D22,5)</f>
        <v>0.27166000000000001</v>
      </c>
    </row>
  </sheetData>
  <pageMargins left="0.7" right="0.7" top="0.75" bottom="0.75" header="0.3" footer="0.3"/>
  <ignoredErrors>
    <ignoredError sqref="E9" formula="1"/>
  </ignoredErrors>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3:G32"/>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27.109375" customWidth="1"/>
    <col min="6" max="6" width="23.109375" customWidth="1"/>
    <col min="7" max="7" width="54.109375" customWidth="1"/>
  </cols>
  <sheetData>
    <row r="3" spans="1:7" x14ac:dyDescent="0.3">
      <c r="A3" s="142" t="s">
        <v>137</v>
      </c>
      <c r="B3" s="142" t="s">
        <v>194</v>
      </c>
      <c r="C3" s="142" t="s">
        <v>195</v>
      </c>
      <c r="D3" s="142" t="s">
        <v>9</v>
      </c>
      <c r="E3" s="142" t="s">
        <v>36</v>
      </c>
      <c r="F3" s="142" t="s">
        <v>36</v>
      </c>
      <c r="G3" s="87" t="s">
        <v>122</v>
      </c>
    </row>
    <row r="4" spans="1:7" x14ac:dyDescent="0.3">
      <c r="A4" s="86" t="s">
        <v>88</v>
      </c>
      <c r="B4" s="86" t="s">
        <v>83</v>
      </c>
      <c r="C4" s="86" t="s">
        <v>80</v>
      </c>
      <c r="D4" s="86" t="s">
        <v>21</v>
      </c>
      <c r="E4" s="86" t="s">
        <v>84</v>
      </c>
      <c r="F4" s="86"/>
      <c r="G4" s="88" t="s">
        <v>123</v>
      </c>
    </row>
    <row r="5" spans="1:7" x14ac:dyDescent="0.3">
      <c r="A5" s="142" t="s">
        <v>34</v>
      </c>
      <c r="B5" s="142" t="s">
        <v>66</v>
      </c>
      <c r="C5" s="142" t="s">
        <v>196</v>
      </c>
      <c r="D5" s="142" t="s">
        <v>67</v>
      </c>
      <c r="E5" s="142" t="s">
        <v>197</v>
      </c>
      <c r="F5" s="142" t="s">
        <v>198</v>
      </c>
      <c r="G5" s="87" t="s">
        <v>78</v>
      </c>
    </row>
    <row r="6" spans="1:7" ht="14.25" customHeight="1" x14ac:dyDescent="0.3">
      <c r="A6" s="12" t="s">
        <v>44</v>
      </c>
      <c r="B6" s="14">
        <v>1400</v>
      </c>
      <c r="C6" s="14">
        <v>1400</v>
      </c>
      <c r="D6" s="14">
        <f>B6</f>
        <v>1400</v>
      </c>
      <c r="E6" s="14"/>
      <c r="F6" s="14"/>
    </row>
    <row r="7" spans="1:7" x14ac:dyDescent="0.3">
      <c r="A7" s="12" t="s">
        <v>45</v>
      </c>
      <c r="B7" s="39">
        <f>'Energy Factors Tables'!$I$21</f>
        <v>48</v>
      </c>
      <c r="C7" s="39">
        <f>B7</f>
        <v>48</v>
      </c>
      <c r="D7" s="39">
        <f>B7</f>
        <v>48</v>
      </c>
      <c r="E7" s="14"/>
      <c r="F7" s="14"/>
    </row>
    <row r="8" spans="1:7" x14ac:dyDescent="0.3">
      <c r="A8" s="12" t="s">
        <v>46</v>
      </c>
      <c r="B8" s="14">
        <v>365</v>
      </c>
      <c r="C8" s="14">
        <v>365</v>
      </c>
      <c r="D8" s="14">
        <f>B8</f>
        <v>365</v>
      </c>
      <c r="E8" s="14"/>
      <c r="F8" s="14"/>
    </row>
    <row r="9" spans="1:7" x14ac:dyDescent="0.3">
      <c r="A9" s="12" t="s">
        <v>47</v>
      </c>
      <c r="B9" s="144">
        <f>'Energy Factors Tables'!$M$21</f>
        <v>2.3817391304347821</v>
      </c>
      <c r="C9" s="144">
        <f>'Energy Factors Tables'!$M$22</f>
        <v>2.9207000000000019</v>
      </c>
      <c r="D9" s="144">
        <f>'Energy Factors Tables'!$M$23</f>
        <v>4.4708609999999993</v>
      </c>
      <c r="E9" s="153"/>
      <c r="F9" s="153"/>
    </row>
    <row r="10" spans="1:7" x14ac:dyDescent="0.3">
      <c r="A10" s="12" t="s">
        <v>63</v>
      </c>
      <c r="B10" s="154">
        <f>(B6*B7*B8)/(B9*1000)</f>
        <v>10298.357064622127</v>
      </c>
      <c r="C10" s="154">
        <f>(C6*C7*C8)/(C9*1000)</f>
        <v>8397.9867839901344</v>
      </c>
      <c r="D10" s="154">
        <f>(D6*D7*D8)/(D9*1000)</f>
        <v>5486.1915859160026</v>
      </c>
      <c r="E10" s="155">
        <f>ROUND(B10-D10,3)</f>
        <v>4812.165</v>
      </c>
      <c r="F10" s="155">
        <f>ROUND(C10-D10,3)</f>
        <v>2911.7950000000001</v>
      </c>
    </row>
    <row r="11" spans="1:7" x14ac:dyDescent="0.3">
      <c r="A11" s="6"/>
      <c r="B11" s="17"/>
      <c r="C11" s="17"/>
      <c r="D11" s="17"/>
      <c r="E11" s="17"/>
      <c r="F11" s="17"/>
    </row>
    <row r="12" spans="1:7" x14ac:dyDescent="0.3">
      <c r="A12" s="143" t="s">
        <v>69</v>
      </c>
      <c r="C12" s="17"/>
      <c r="D12" s="17"/>
      <c r="E12" s="17"/>
      <c r="F12" s="17"/>
    </row>
    <row r="13" spans="1:7" ht="28.8" x14ac:dyDescent="0.3">
      <c r="A13" s="143" t="s">
        <v>34</v>
      </c>
      <c r="B13" s="143" t="s">
        <v>155</v>
      </c>
      <c r="C13" s="143" t="s">
        <v>202</v>
      </c>
      <c r="D13" s="143" t="s">
        <v>67</v>
      </c>
      <c r="E13" s="143" t="s">
        <v>199</v>
      </c>
      <c r="F13" s="143" t="s">
        <v>200</v>
      </c>
    </row>
    <row r="14" spans="1:7" x14ac:dyDescent="0.3">
      <c r="A14" s="12" t="s">
        <v>70</v>
      </c>
      <c r="B14" s="141">
        <f>'Peak Demand-New'!$E$21</f>
        <v>0.99145479999999997</v>
      </c>
      <c r="C14" s="141">
        <f>'Peak Demand-New'!$E$22</f>
        <v>1.0607947999999998</v>
      </c>
      <c r="D14" s="141">
        <f>'Peak Demand-New'!$H$21</f>
        <v>0.75463859999999994</v>
      </c>
      <c r="E14" s="14"/>
      <c r="F14" s="14"/>
    </row>
    <row r="15" spans="1:7" ht="14.25" customHeight="1" x14ac:dyDescent="0.3">
      <c r="A15" s="12" t="s">
        <v>71</v>
      </c>
      <c r="B15" s="141">
        <f>'Peak Demand-New'!$F$21</f>
        <v>0.96499999999999997</v>
      </c>
      <c r="C15" s="141">
        <f>'Peak Demand-New'!$F$22</f>
        <v>0.93100000000000005</v>
      </c>
      <c r="D15" s="141">
        <f>'Peak Demand-New'!$I$21</f>
        <v>0.93100000000000005</v>
      </c>
      <c r="E15" s="19"/>
      <c r="F15" s="19"/>
    </row>
    <row r="16" spans="1:7" x14ac:dyDescent="0.3">
      <c r="A16" s="12" t="s">
        <v>72</v>
      </c>
      <c r="B16" s="15">
        <f>B15*B14</f>
        <v>0.95675388199999989</v>
      </c>
      <c r="C16" s="15">
        <f>C15*C14</f>
        <v>0.98759995879999984</v>
      </c>
      <c r="D16" s="15">
        <f>D15*D14</f>
        <v>0.70256853659999996</v>
      </c>
      <c r="E16" s="38">
        <f>ROUND(B16-D16,5)</f>
        <v>0.25419000000000003</v>
      </c>
      <c r="F16" s="38">
        <f>ROUND(C16-D16,5)</f>
        <v>0.28503000000000001</v>
      </c>
    </row>
    <row r="19" spans="1:7" x14ac:dyDescent="0.3">
      <c r="A19" s="142" t="s">
        <v>138</v>
      </c>
      <c r="B19" s="142" t="s">
        <v>194</v>
      </c>
      <c r="C19" s="142" t="s">
        <v>195</v>
      </c>
      <c r="D19" s="142" t="s">
        <v>9</v>
      </c>
      <c r="E19" s="142" t="s">
        <v>197</v>
      </c>
      <c r="F19" s="142" t="s">
        <v>198</v>
      </c>
      <c r="G19" s="142" t="s">
        <v>122</v>
      </c>
    </row>
    <row r="20" spans="1:7" ht="15" customHeight="1" x14ac:dyDescent="0.3">
      <c r="A20" s="86" t="s">
        <v>89</v>
      </c>
      <c r="B20" s="86" t="s">
        <v>83</v>
      </c>
      <c r="C20" s="86" t="s">
        <v>80</v>
      </c>
      <c r="D20" s="86" t="s">
        <v>21</v>
      </c>
      <c r="E20" s="86" t="s">
        <v>84</v>
      </c>
      <c r="F20" s="86"/>
      <c r="G20" s="86" t="s">
        <v>124</v>
      </c>
    </row>
    <row r="21" spans="1:7" x14ac:dyDescent="0.3">
      <c r="A21" s="142" t="s">
        <v>34</v>
      </c>
      <c r="B21" s="142" t="s">
        <v>66</v>
      </c>
      <c r="C21" s="142" t="s">
        <v>196</v>
      </c>
      <c r="D21" s="142" t="s">
        <v>67</v>
      </c>
      <c r="E21" s="142" t="s">
        <v>68</v>
      </c>
      <c r="F21" s="142" t="s">
        <v>68</v>
      </c>
      <c r="G21" s="142" t="s">
        <v>78</v>
      </c>
    </row>
    <row r="22" spans="1:7" x14ac:dyDescent="0.3">
      <c r="A22" s="12" t="s">
        <v>44</v>
      </c>
      <c r="B22" s="14">
        <v>720</v>
      </c>
      <c r="C22" s="14">
        <v>720</v>
      </c>
      <c r="D22" s="14">
        <f>B22</f>
        <v>720</v>
      </c>
      <c r="E22" s="14"/>
      <c r="F22" s="14"/>
    </row>
    <row r="23" spans="1:7" ht="14.25" customHeight="1" x14ac:dyDescent="0.3">
      <c r="A23" s="12" t="s">
        <v>45</v>
      </c>
      <c r="B23" s="39">
        <f>'Energy Factors Tables'!$I$24</f>
        <v>24</v>
      </c>
      <c r="C23" s="39">
        <f>B23</f>
        <v>24</v>
      </c>
      <c r="D23" s="39">
        <f>B23</f>
        <v>24</v>
      </c>
      <c r="E23" s="14"/>
      <c r="F23" s="14"/>
    </row>
    <row r="24" spans="1:7" x14ac:dyDescent="0.3">
      <c r="A24" s="12" t="s">
        <v>46</v>
      </c>
      <c r="B24" s="14">
        <v>365</v>
      </c>
      <c r="C24" s="14">
        <v>365</v>
      </c>
      <c r="D24" s="14">
        <f>B24</f>
        <v>365</v>
      </c>
      <c r="E24" s="14"/>
      <c r="F24" s="14"/>
    </row>
    <row r="25" spans="1:7" x14ac:dyDescent="0.3">
      <c r="A25" s="12" t="s">
        <v>47</v>
      </c>
      <c r="B25" s="144">
        <f>'Energy Factors Tables'!$M$24</f>
        <v>2.3817391304347821</v>
      </c>
      <c r="C25" s="144">
        <f>'Energy Factors Tables'!$M$25</f>
        <v>7.2055000000000007</v>
      </c>
      <c r="D25" s="144">
        <f>'Energy Factors Tables'!$M$26</f>
        <v>7.8646600000000007</v>
      </c>
      <c r="E25" s="19"/>
      <c r="F25" s="19"/>
    </row>
    <row r="26" spans="1:7" x14ac:dyDescent="0.3">
      <c r="A26" s="12" t="s">
        <v>63</v>
      </c>
      <c r="B26" s="154">
        <f>(B22*B23*B24)/(B25*1000)</f>
        <v>2648.1489594742611</v>
      </c>
      <c r="C26" s="154">
        <f>(C22*C23*C24)/(C25*1000)</f>
        <v>875.33134411213643</v>
      </c>
      <c r="D26" s="154">
        <f>(D22*D23*D24)/(D25*1000)</f>
        <v>801.96728148451416</v>
      </c>
      <c r="E26" s="155">
        <f>ROUND(B26-D26,3)</f>
        <v>1846.182</v>
      </c>
      <c r="F26" s="155">
        <f>ROUND(C26-D26,3)</f>
        <v>73.364000000000004</v>
      </c>
    </row>
    <row r="28" spans="1:7" x14ac:dyDescent="0.3">
      <c r="A28" s="143" t="s">
        <v>69</v>
      </c>
      <c r="C28" s="17"/>
      <c r="D28" s="17"/>
      <c r="E28" s="17"/>
      <c r="F28" s="17"/>
    </row>
    <row r="29" spans="1:7" ht="28.8" x14ac:dyDescent="0.3">
      <c r="A29" s="143" t="s">
        <v>34</v>
      </c>
      <c r="B29" s="143" t="s">
        <v>155</v>
      </c>
      <c r="C29" s="143" t="s">
        <v>202</v>
      </c>
      <c r="D29" s="143" t="s">
        <v>67</v>
      </c>
      <c r="E29" s="143" t="s">
        <v>199</v>
      </c>
      <c r="F29" s="143" t="s">
        <v>200</v>
      </c>
    </row>
    <row r="30" spans="1:7" x14ac:dyDescent="0.3">
      <c r="A30" s="12" t="s">
        <v>70</v>
      </c>
      <c r="B30" s="141">
        <f>'Peak Demand-New'!$E$23</f>
        <v>0.71481000000000017</v>
      </c>
      <c r="C30" s="141">
        <f>'Peak Demand-New'!$E$24</f>
        <v>0.21634999999999996</v>
      </c>
      <c r="D30" s="141">
        <f>'Peak Demand-New'!$H$23</f>
        <v>6.2757500000000049E-2</v>
      </c>
      <c r="E30" s="14"/>
      <c r="F30" s="14"/>
    </row>
    <row r="31" spans="1:7" x14ac:dyDescent="0.3">
      <c r="A31" s="12" t="s">
        <v>71</v>
      </c>
      <c r="B31" s="141">
        <f>'Peak Demand-New'!$F$23</f>
        <v>0.96499999999999997</v>
      </c>
      <c r="C31" s="141">
        <f>'Peak Demand-New'!$F$24</f>
        <v>0.93100000000000005</v>
      </c>
      <c r="D31" s="141">
        <f>'Peak Demand-New'!$I$23</f>
        <v>0.93100000000000005</v>
      </c>
      <c r="E31" s="19"/>
      <c r="F31" s="19"/>
    </row>
    <row r="32" spans="1:7" x14ac:dyDescent="0.3">
      <c r="A32" s="12" t="s">
        <v>72</v>
      </c>
      <c r="B32" s="15">
        <f>B31*B30</f>
        <v>0.68979165000000009</v>
      </c>
      <c r="C32" s="15">
        <f>C31*C30</f>
        <v>0.20142184999999999</v>
      </c>
      <c r="D32" s="15">
        <f>D31*D30</f>
        <v>5.8427232500000051E-2</v>
      </c>
      <c r="E32" s="38">
        <f>ROUND(B32-D32,5)</f>
        <v>0.63136000000000003</v>
      </c>
      <c r="F32" s="38">
        <f>ROUND(C32-D32,5)</f>
        <v>0.14299000000000001</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A2:G36"/>
  <sheetViews>
    <sheetView workbookViewId="0"/>
  </sheetViews>
  <sheetFormatPr defaultRowHeight="14.4" x14ac:dyDescent="0.3"/>
  <cols>
    <col min="1" max="1" width="27.88671875" bestFit="1" customWidth="1"/>
    <col min="2" max="2" width="27.44140625" bestFit="1" customWidth="1"/>
    <col min="3" max="3" width="30.88671875" customWidth="1"/>
    <col min="4" max="4" width="25.33203125" bestFit="1" customWidth="1"/>
    <col min="5" max="5" width="31.44140625" customWidth="1"/>
    <col min="6" max="6" width="29.88671875" customWidth="1"/>
    <col min="7" max="7" width="121.44140625" customWidth="1"/>
  </cols>
  <sheetData>
    <row r="2" spans="1:7" x14ac:dyDescent="0.3">
      <c r="A2" s="51" t="s">
        <v>147</v>
      </c>
      <c r="B2" s="51" t="s">
        <v>194</v>
      </c>
      <c r="C2" s="85" t="s">
        <v>195</v>
      </c>
      <c r="D2" s="51" t="s">
        <v>9</v>
      </c>
      <c r="E2" s="85" t="s">
        <v>36</v>
      </c>
      <c r="F2" s="85" t="s">
        <v>36</v>
      </c>
      <c r="G2" s="85" t="s">
        <v>122</v>
      </c>
    </row>
    <row r="3" spans="1:7" x14ac:dyDescent="0.3">
      <c r="A3" s="55" t="s">
        <v>90</v>
      </c>
      <c r="B3" s="55" t="s">
        <v>83</v>
      </c>
      <c r="C3" s="86" t="s">
        <v>80</v>
      </c>
      <c r="D3" s="55" t="s">
        <v>21</v>
      </c>
      <c r="E3" s="86" t="s">
        <v>84</v>
      </c>
      <c r="F3" s="86" t="s">
        <v>84</v>
      </c>
      <c r="G3" s="86" t="s">
        <v>87</v>
      </c>
    </row>
    <row r="4" spans="1:7" x14ac:dyDescent="0.3">
      <c r="A4" s="51" t="s">
        <v>34</v>
      </c>
      <c r="B4" s="51" t="s">
        <v>66</v>
      </c>
      <c r="C4" s="85" t="s">
        <v>196</v>
      </c>
      <c r="D4" s="51" t="s">
        <v>67</v>
      </c>
      <c r="E4" s="85" t="s">
        <v>197</v>
      </c>
      <c r="F4" s="85" t="s">
        <v>198</v>
      </c>
      <c r="G4" s="85" t="s">
        <v>78</v>
      </c>
    </row>
    <row r="5" spans="1:7" ht="15" customHeight="1" x14ac:dyDescent="0.3">
      <c r="A5" s="12" t="s">
        <v>44</v>
      </c>
      <c r="B5" s="76">
        <f>B34</f>
        <v>27527</v>
      </c>
      <c r="C5" s="76">
        <f>B34</f>
        <v>27527</v>
      </c>
      <c r="D5" s="76">
        <f>B5</f>
        <v>27527</v>
      </c>
      <c r="E5" s="14"/>
      <c r="F5" s="14"/>
      <c r="G5" s="353" t="s">
        <v>205</v>
      </c>
    </row>
    <row r="6" spans="1:7" x14ac:dyDescent="0.3">
      <c r="A6" s="12" t="s">
        <v>45</v>
      </c>
      <c r="B6" s="14">
        <v>4</v>
      </c>
      <c r="C6" s="14">
        <v>4</v>
      </c>
      <c r="D6" s="14">
        <v>4</v>
      </c>
      <c r="E6" s="14"/>
      <c r="F6" s="14"/>
      <c r="G6" s="354"/>
    </row>
    <row r="7" spans="1:7" x14ac:dyDescent="0.3">
      <c r="A7" s="12" t="s">
        <v>46</v>
      </c>
      <c r="B7" s="14">
        <v>365</v>
      </c>
      <c r="C7" s="14">
        <v>365</v>
      </c>
      <c r="D7" s="14">
        <v>365</v>
      </c>
      <c r="E7" s="14"/>
      <c r="F7" s="14"/>
      <c r="G7" s="354"/>
    </row>
    <row r="8" spans="1:7" x14ac:dyDescent="0.3">
      <c r="A8" s="12" t="s">
        <v>47</v>
      </c>
      <c r="B8" s="19">
        <v>2.1800000000000002</v>
      </c>
      <c r="C8" s="41">
        <v>3.39</v>
      </c>
      <c r="D8" s="14">
        <v>4.37</v>
      </c>
      <c r="E8" s="14"/>
      <c r="F8" s="14"/>
      <c r="G8" s="354"/>
    </row>
    <row r="9" spans="1:7" ht="30.3" customHeight="1" x14ac:dyDescent="0.3">
      <c r="A9" s="12" t="s">
        <v>63</v>
      </c>
      <c r="B9" s="61">
        <f>(B5*B6*B7)/(B8*1000)</f>
        <v>18435.51376146789</v>
      </c>
      <c r="C9" s="61">
        <f>(C5*C6*C7)/(C8*1000)</f>
        <v>11855.286135693215</v>
      </c>
      <c r="D9" s="61">
        <f>(D5*D6*D7)/(D8*1000)</f>
        <v>9196.6636155606411</v>
      </c>
      <c r="E9" s="62">
        <f>ROUND(B9-D9,3)</f>
        <v>9238.85</v>
      </c>
      <c r="F9" s="95">
        <f>ROUND(C9-D9,3)</f>
        <v>2658.623</v>
      </c>
      <c r="G9" s="355"/>
    </row>
    <row r="10" spans="1:7" x14ac:dyDescent="0.3">
      <c r="A10" s="6"/>
      <c r="B10" s="17"/>
      <c r="C10" s="17"/>
      <c r="D10" s="17"/>
      <c r="E10" s="17"/>
      <c r="F10" s="17"/>
    </row>
    <row r="11" spans="1:7" x14ac:dyDescent="0.3">
      <c r="F11" s="17"/>
    </row>
    <row r="13" spans="1:7" ht="15" customHeight="1" x14ac:dyDescent="0.3"/>
    <row r="18" spans="1:7" x14ac:dyDescent="0.3">
      <c r="A18" s="51" t="s">
        <v>69</v>
      </c>
      <c r="B18" s="17"/>
      <c r="C18" s="17"/>
      <c r="D18" s="17"/>
      <c r="E18" s="17"/>
    </row>
    <row r="19" spans="1:7" ht="28.8" x14ac:dyDescent="0.3">
      <c r="A19" s="51" t="s">
        <v>34</v>
      </c>
      <c r="B19" s="51" t="s">
        <v>76</v>
      </c>
      <c r="C19" s="85" t="s">
        <v>196</v>
      </c>
      <c r="D19" s="51" t="s">
        <v>67</v>
      </c>
      <c r="E19" s="85" t="s">
        <v>199</v>
      </c>
      <c r="F19" s="85" t="s">
        <v>200</v>
      </c>
      <c r="G19" s="85" t="s">
        <v>78</v>
      </c>
    </row>
    <row r="20" spans="1:7" ht="14.25" customHeight="1" x14ac:dyDescent="0.3">
      <c r="A20" s="12" t="s">
        <v>70</v>
      </c>
      <c r="B20" s="14">
        <f>'Peak Demand Calculations'!$B$2</f>
        <v>1.772</v>
      </c>
      <c r="C20" s="41">
        <f>'Peak Demand Calculations'!$B$3</f>
        <v>0.376</v>
      </c>
      <c r="D20" s="14">
        <f>'Peak Demand Calculations'!$B$4</f>
        <v>0.41499999999999998</v>
      </c>
      <c r="E20" s="14"/>
      <c r="F20" s="14"/>
      <c r="G20" s="356" t="s">
        <v>146</v>
      </c>
    </row>
    <row r="21" spans="1:7" x14ac:dyDescent="0.3">
      <c r="A21" s="12" t="s">
        <v>71</v>
      </c>
      <c r="B21" s="14">
        <f>'Peak Demand Calculations'!$D$2</f>
        <v>0.309</v>
      </c>
      <c r="C21" s="41">
        <f>'Peak Demand Calculations'!$D$3</f>
        <v>0.52200000000000002</v>
      </c>
      <c r="D21" s="14">
        <f>'Peak Demand Calculations'!$D$4</f>
        <v>0.39</v>
      </c>
      <c r="E21" s="19"/>
      <c r="F21" s="19"/>
      <c r="G21" s="357"/>
    </row>
    <row r="22" spans="1:7" x14ac:dyDescent="0.3">
      <c r="A22" s="12" t="s">
        <v>72</v>
      </c>
      <c r="B22" s="15">
        <f>B21*B20</f>
        <v>0.54754800000000003</v>
      </c>
      <c r="C22" s="96">
        <f>C21*C20</f>
        <v>0.196272</v>
      </c>
      <c r="D22" s="15">
        <f>D21*D20</f>
        <v>0.16184999999999999</v>
      </c>
      <c r="E22" s="38">
        <f>ROUND(B22-D22,5)</f>
        <v>0.38569999999999999</v>
      </c>
      <c r="F22" s="97">
        <f>ROUND(C22-D22,5)</f>
        <v>3.4419999999999999E-2</v>
      </c>
      <c r="G22" s="358"/>
    </row>
    <row r="25" spans="1:7" x14ac:dyDescent="0.3">
      <c r="E25">
        <f>E22*8760</f>
        <v>3378.732</v>
      </c>
    </row>
    <row r="27" spans="1:7" ht="15" thickBot="1" x14ac:dyDescent="0.35">
      <c r="A27" t="s">
        <v>178</v>
      </c>
    </row>
    <row r="28" spans="1:7" ht="15" thickBot="1" x14ac:dyDescent="0.35">
      <c r="A28" s="70"/>
      <c r="B28" s="69" t="s">
        <v>7</v>
      </c>
      <c r="C28" s="69" t="s">
        <v>2</v>
      </c>
      <c r="D28" s="69" t="s">
        <v>171</v>
      </c>
      <c r="E28" s="69" t="s">
        <v>8</v>
      </c>
    </row>
    <row r="29" spans="1:7" ht="15" thickBot="1" x14ac:dyDescent="0.35">
      <c r="A29" s="71" t="s">
        <v>172</v>
      </c>
      <c r="B29" s="72">
        <v>26256</v>
      </c>
      <c r="C29" s="72">
        <v>28218</v>
      </c>
      <c r="D29" s="72">
        <v>37200</v>
      </c>
      <c r="E29" s="72">
        <v>28467</v>
      </c>
    </row>
    <row r="30" spans="1:7" ht="15" thickBot="1" x14ac:dyDescent="0.35">
      <c r="A30" s="71" t="s">
        <v>173</v>
      </c>
      <c r="B30" s="72">
        <v>15067</v>
      </c>
      <c r="C30" s="72">
        <v>16116</v>
      </c>
      <c r="D30" s="72">
        <v>12518</v>
      </c>
      <c r="E30" s="72">
        <v>8231</v>
      </c>
    </row>
    <row r="31" spans="1:7" ht="15" thickBot="1" x14ac:dyDescent="0.35">
      <c r="A31" s="71" t="s">
        <v>174</v>
      </c>
      <c r="B31" s="72">
        <v>5900</v>
      </c>
      <c r="C31" s="72">
        <v>8000</v>
      </c>
      <c r="D31" s="72">
        <v>24000</v>
      </c>
      <c r="E31" s="72">
        <v>17213</v>
      </c>
    </row>
    <row r="32" spans="1:7" ht="15" thickBot="1" x14ac:dyDescent="0.35">
      <c r="A32" s="71" t="s">
        <v>175</v>
      </c>
      <c r="B32" s="72">
        <v>100000</v>
      </c>
      <c r="C32" s="72">
        <v>70000</v>
      </c>
      <c r="D32" s="72">
        <v>56000</v>
      </c>
      <c r="E32" s="72">
        <v>37000</v>
      </c>
    </row>
    <row r="33" spans="1:5" ht="15" thickBot="1" x14ac:dyDescent="0.35">
      <c r="A33" s="71" t="s">
        <v>176</v>
      </c>
      <c r="B33" s="72">
        <v>53</v>
      </c>
      <c r="C33" s="72">
        <v>22</v>
      </c>
      <c r="D33" s="72">
        <v>5</v>
      </c>
      <c r="E33" s="72">
        <v>4</v>
      </c>
    </row>
    <row r="34" spans="1:5" ht="15" thickBot="1" x14ac:dyDescent="0.35">
      <c r="A34" s="74" t="s">
        <v>177</v>
      </c>
      <c r="B34" s="75">
        <f>ROUND(SUMPRODUCT(B29:E29,B33:E33)/SUM(B33:E33),0)</f>
        <v>27527</v>
      </c>
    </row>
    <row r="35" spans="1:5" x14ac:dyDescent="0.3">
      <c r="A35" s="73"/>
    </row>
    <row r="36" spans="1:5" x14ac:dyDescent="0.3">
      <c r="A36" s="73"/>
    </row>
  </sheetData>
  <mergeCells count="2">
    <mergeCell ref="G5:G9"/>
    <mergeCell ref="G20:G2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3"/>
  <dimension ref="A3:G25"/>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27.109375" customWidth="1"/>
    <col min="6" max="6" width="23.109375" customWidth="1"/>
    <col min="7" max="7" width="54.109375" customWidth="1"/>
  </cols>
  <sheetData>
    <row r="3" spans="1:7" x14ac:dyDescent="0.3">
      <c r="A3" s="65" t="s">
        <v>137</v>
      </c>
      <c r="B3" s="65" t="s">
        <v>194</v>
      </c>
      <c r="C3" s="85" t="s">
        <v>195</v>
      </c>
      <c r="D3" s="65" t="s">
        <v>9</v>
      </c>
      <c r="E3" s="85" t="s">
        <v>36</v>
      </c>
      <c r="F3" s="85" t="s">
        <v>36</v>
      </c>
      <c r="G3" s="87" t="s">
        <v>122</v>
      </c>
    </row>
    <row r="4" spans="1:7" x14ac:dyDescent="0.3">
      <c r="A4" s="66" t="s">
        <v>88</v>
      </c>
      <c r="B4" s="66" t="s">
        <v>83</v>
      </c>
      <c r="C4" s="86" t="s">
        <v>80</v>
      </c>
      <c r="D4" s="66" t="s">
        <v>21</v>
      </c>
      <c r="E4" s="86" t="s">
        <v>84</v>
      </c>
      <c r="F4" s="86"/>
      <c r="G4" s="88" t="s">
        <v>123</v>
      </c>
    </row>
    <row r="5" spans="1:7" x14ac:dyDescent="0.3">
      <c r="A5" s="65" t="s">
        <v>34</v>
      </c>
      <c r="B5" s="65" t="s">
        <v>66</v>
      </c>
      <c r="C5" s="85" t="s">
        <v>196</v>
      </c>
      <c r="D5" s="65" t="s">
        <v>67</v>
      </c>
      <c r="E5" s="85" t="s">
        <v>197</v>
      </c>
      <c r="F5" s="85" t="s">
        <v>198</v>
      </c>
      <c r="G5" s="87" t="s">
        <v>78</v>
      </c>
    </row>
    <row r="6" spans="1:7" ht="14.25" customHeight="1" x14ac:dyDescent="0.3">
      <c r="A6" s="12" t="s">
        <v>44</v>
      </c>
      <c r="B6" s="14">
        <v>1400</v>
      </c>
      <c r="C6" s="14">
        <v>1400</v>
      </c>
      <c r="D6" s="14">
        <f>B6</f>
        <v>1400</v>
      </c>
      <c r="E6" s="14"/>
      <c r="F6" s="14"/>
      <c r="G6" s="359" t="s">
        <v>201</v>
      </c>
    </row>
    <row r="7" spans="1:7" x14ac:dyDescent="0.3">
      <c r="A7" s="12" t="s">
        <v>45</v>
      </c>
      <c r="B7" s="14">
        <v>48</v>
      </c>
      <c r="C7" s="14">
        <v>48</v>
      </c>
      <c r="D7" s="14">
        <f>B7</f>
        <v>48</v>
      </c>
      <c r="E7" s="14"/>
      <c r="F7" s="14"/>
      <c r="G7" s="360"/>
    </row>
    <row r="8" spans="1:7" x14ac:dyDescent="0.3">
      <c r="A8" s="12" t="s">
        <v>46</v>
      </c>
      <c r="B8" s="14">
        <v>365</v>
      </c>
      <c r="C8" s="14">
        <v>365</v>
      </c>
      <c r="D8" s="14">
        <f>B8</f>
        <v>365</v>
      </c>
      <c r="E8" s="14"/>
      <c r="F8" s="14"/>
      <c r="G8" s="360"/>
    </row>
    <row r="9" spans="1:7" x14ac:dyDescent="0.3">
      <c r="A9" s="12" t="s">
        <v>47</v>
      </c>
      <c r="B9" s="41">
        <v>2.1800000000000002</v>
      </c>
      <c r="C9" s="41">
        <v>3.39</v>
      </c>
      <c r="D9" s="14">
        <v>4.37</v>
      </c>
      <c r="E9" s="21"/>
      <c r="F9" s="21"/>
      <c r="G9" s="360"/>
    </row>
    <row r="10" spans="1:7" x14ac:dyDescent="0.3">
      <c r="A10" s="12" t="s">
        <v>63</v>
      </c>
      <c r="B10" s="61">
        <f>(B6*B7*B8)/(B9*1000)</f>
        <v>11251.376146788991</v>
      </c>
      <c r="C10" s="61">
        <f>(C6*C7*C8)/(C9*1000)</f>
        <v>7235.3982300884954</v>
      </c>
      <c r="D10" s="61">
        <f>(D6*D7*D8)/(D9*1000)</f>
        <v>5612.8146453089248</v>
      </c>
      <c r="E10" s="62">
        <f>ROUND(B10-D10,3)</f>
        <v>5638.5619999999999</v>
      </c>
      <c r="F10" s="95">
        <f>ROUND(C10-D10,3)</f>
        <v>1622.5840000000001</v>
      </c>
      <c r="G10" s="361"/>
    </row>
    <row r="11" spans="1:7" x14ac:dyDescent="0.3">
      <c r="A11" s="6"/>
      <c r="B11" s="17"/>
      <c r="C11" s="17"/>
      <c r="D11" s="17"/>
      <c r="E11" s="17"/>
      <c r="F11" s="17"/>
      <c r="G11" s="17"/>
    </row>
    <row r="12" spans="1:7" x14ac:dyDescent="0.3">
      <c r="A12" s="51" t="s">
        <v>138</v>
      </c>
      <c r="B12" s="85" t="s">
        <v>194</v>
      </c>
      <c r="C12" s="85" t="s">
        <v>195</v>
      </c>
      <c r="D12" s="51" t="s">
        <v>9</v>
      </c>
      <c r="E12" s="85" t="s">
        <v>197</v>
      </c>
      <c r="F12" s="85" t="s">
        <v>198</v>
      </c>
      <c r="G12" s="85" t="s">
        <v>122</v>
      </c>
    </row>
    <row r="13" spans="1:7" x14ac:dyDescent="0.3">
      <c r="A13" s="55" t="s">
        <v>89</v>
      </c>
      <c r="B13" s="86" t="s">
        <v>83</v>
      </c>
      <c r="C13" s="86" t="s">
        <v>80</v>
      </c>
      <c r="D13" s="55" t="s">
        <v>21</v>
      </c>
      <c r="E13" s="86" t="s">
        <v>84</v>
      </c>
      <c r="F13" s="86"/>
      <c r="G13" s="86" t="s">
        <v>124</v>
      </c>
    </row>
    <row r="14" spans="1:7" x14ac:dyDescent="0.3">
      <c r="A14" s="51" t="s">
        <v>34</v>
      </c>
      <c r="B14" s="85" t="s">
        <v>66</v>
      </c>
      <c r="C14" s="85" t="s">
        <v>196</v>
      </c>
      <c r="D14" s="51" t="s">
        <v>67</v>
      </c>
      <c r="E14" s="85" t="s">
        <v>68</v>
      </c>
      <c r="F14" s="85" t="s">
        <v>68</v>
      </c>
      <c r="G14" s="85" t="s">
        <v>78</v>
      </c>
    </row>
    <row r="15" spans="1:7" ht="14.25" customHeight="1" x14ac:dyDescent="0.3">
      <c r="A15" s="12" t="s">
        <v>44</v>
      </c>
      <c r="B15" s="14">
        <v>720</v>
      </c>
      <c r="C15" s="14">
        <v>720</v>
      </c>
      <c r="D15" s="14">
        <f>B15</f>
        <v>720</v>
      </c>
      <c r="E15" s="14"/>
      <c r="F15" s="14"/>
      <c r="G15" s="359" t="s">
        <v>201</v>
      </c>
    </row>
    <row r="16" spans="1:7" x14ac:dyDescent="0.3">
      <c r="A16" s="12" t="s">
        <v>45</v>
      </c>
      <c r="B16" s="14">
        <v>24</v>
      </c>
      <c r="C16" s="14">
        <v>24</v>
      </c>
      <c r="D16" s="14">
        <f>B16</f>
        <v>24</v>
      </c>
      <c r="E16" s="14"/>
      <c r="F16" s="14"/>
      <c r="G16" s="360"/>
    </row>
    <row r="17" spans="1:7" x14ac:dyDescent="0.3">
      <c r="A17" s="12" t="s">
        <v>46</v>
      </c>
      <c r="B17" s="14">
        <v>365</v>
      </c>
      <c r="C17" s="14">
        <v>365</v>
      </c>
      <c r="D17" s="14">
        <f>B17</f>
        <v>365</v>
      </c>
      <c r="E17" s="14"/>
      <c r="F17" s="14"/>
      <c r="G17" s="360"/>
    </row>
    <row r="18" spans="1:7" x14ac:dyDescent="0.3">
      <c r="A18" s="12" t="s">
        <v>47</v>
      </c>
      <c r="B18" s="41">
        <v>2.1800000000000002</v>
      </c>
      <c r="C18" s="41">
        <v>3.39</v>
      </c>
      <c r="D18" s="14">
        <v>4.37</v>
      </c>
      <c r="E18" s="14"/>
      <c r="F18" s="14"/>
      <c r="G18" s="360"/>
    </row>
    <row r="19" spans="1:7" x14ac:dyDescent="0.3">
      <c r="A19" s="12" t="s">
        <v>63</v>
      </c>
      <c r="B19" s="61">
        <f>(B15*B16*B17)/(B18*1000)</f>
        <v>2893.211009174312</v>
      </c>
      <c r="C19" s="61">
        <f>(C15*C16*C17)/(C18*1000)</f>
        <v>1860.5309734513273</v>
      </c>
      <c r="D19" s="61">
        <f>(D15*D16*D17)/(D18*1000)</f>
        <v>1443.2951945080092</v>
      </c>
      <c r="E19" s="62">
        <f>ROUND(B19-D19,3)</f>
        <v>1449.9159999999999</v>
      </c>
      <c r="F19" s="95">
        <f>ROUND(C19-D19,3)</f>
        <v>417.23599999999999</v>
      </c>
      <c r="G19" s="361"/>
    </row>
    <row r="20" spans="1:7" ht="15" customHeight="1" x14ac:dyDescent="0.3">
      <c r="A20" s="6"/>
      <c r="C20" s="17"/>
      <c r="D20" s="17"/>
      <c r="E20" s="17"/>
      <c r="F20" s="17"/>
      <c r="G20" s="17"/>
    </row>
    <row r="21" spans="1:7" x14ac:dyDescent="0.3">
      <c r="A21" s="51" t="s">
        <v>69</v>
      </c>
      <c r="C21" s="17"/>
      <c r="D21" s="17"/>
      <c r="E21" s="17"/>
      <c r="F21" s="17"/>
      <c r="G21" s="17"/>
    </row>
    <row r="22" spans="1:7" ht="28.8" x14ac:dyDescent="0.3">
      <c r="A22" s="51" t="s">
        <v>34</v>
      </c>
      <c r="B22" s="51" t="s">
        <v>155</v>
      </c>
      <c r="C22" s="85" t="s">
        <v>202</v>
      </c>
      <c r="D22" s="51" t="s">
        <v>67</v>
      </c>
      <c r="E22" s="85" t="s">
        <v>199</v>
      </c>
      <c r="F22" s="85" t="s">
        <v>200</v>
      </c>
      <c r="G22" s="85" t="s">
        <v>78</v>
      </c>
    </row>
    <row r="23" spans="1:7" ht="14.25" customHeight="1" x14ac:dyDescent="0.3">
      <c r="A23" s="12" t="s">
        <v>70</v>
      </c>
      <c r="B23" s="14">
        <f>'Peak Demand Calculations'!$B$2</f>
        <v>1.772</v>
      </c>
      <c r="C23" s="14">
        <f>'Peak Demand Calculations'!$B$3</f>
        <v>0.376</v>
      </c>
      <c r="D23" s="14">
        <f>'Peak Demand Calculations'!$B$4</f>
        <v>0.41499999999999998</v>
      </c>
      <c r="E23" s="14"/>
      <c r="F23" s="14"/>
      <c r="G23" s="356" t="s">
        <v>146</v>
      </c>
    </row>
    <row r="24" spans="1:7" x14ac:dyDescent="0.3">
      <c r="A24" s="12" t="s">
        <v>71</v>
      </c>
      <c r="B24" s="14">
        <f>'Peak Demand Calculations'!$D$2</f>
        <v>0.309</v>
      </c>
      <c r="C24" s="14">
        <f>'Peak Demand Calculations'!$D$3</f>
        <v>0.52200000000000002</v>
      </c>
      <c r="D24" s="14">
        <f>'Peak Demand Calculations'!$D$4</f>
        <v>0.39</v>
      </c>
      <c r="E24" s="19"/>
      <c r="F24" s="19"/>
      <c r="G24" s="357"/>
    </row>
    <row r="25" spans="1:7" x14ac:dyDescent="0.3">
      <c r="A25" s="12" t="s">
        <v>72</v>
      </c>
      <c r="B25" s="15">
        <f>B24*B23</f>
        <v>0.54754800000000003</v>
      </c>
      <c r="C25" s="15">
        <f>C24*C23</f>
        <v>0.196272</v>
      </c>
      <c r="D25" s="15">
        <f>D24*D23</f>
        <v>0.16184999999999999</v>
      </c>
      <c r="E25" s="38">
        <f>ROUND(B25-D25,5)</f>
        <v>0.38569999999999999</v>
      </c>
      <c r="F25" s="38">
        <f>ROUND(C25-D25,5)</f>
        <v>3.4419999999999999E-2</v>
      </c>
      <c r="G25" s="358"/>
    </row>
  </sheetData>
  <mergeCells count="3">
    <mergeCell ref="G6:G10"/>
    <mergeCell ref="G15:G19"/>
    <mergeCell ref="G23:G2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4"/>
  <dimension ref="A1:G19"/>
  <sheetViews>
    <sheetView workbookViewId="0"/>
  </sheetViews>
  <sheetFormatPr defaultRowHeight="14.4" x14ac:dyDescent="0.3"/>
  <cols>
    <col min="1" max="1" width="20.33203125" bestFit="1" customWidth="1"/>
    <col min="2" max="2" width="27.88671875" bestFit="1" customWidth="1"/>
    <col min="3" max="3" width="36.44140625" customWidth="1"/>
    <col min="4" max="4" width="26.44140625" bestFit="1" customWidth="1"/>
    <col min="5" max="5" width="36.44140625" customWidth="1"/>
    <col min="6" max="6" width="31.44140625" bestFit="1" customWidth="1"/>
    <col min="7" max="7" width="19.44140625" customWidth="1"/>
    <col min="9" max="9" width="18" customWidth="1"/>
    <col min="10" max="10" width="18.6640625" customWidth="1"/>
  </cols>
  <sheetData>
    <row r="1" spans="1:7" ht="28.8" x14ac:dyDescent="0.3">
      <c r="A1" s="50" t="s">
        <v>143</v>
      </c>
      <c r="B1" s="50" t="s">
        <v>143</v>
      </c>
      <c r="C1" s="50" t="s">
        <v>140</v>
      </c>
      <c r="D1" s="50" t="s">
        <v>144</v>
      </c>
      <c r="E1" s="50" t="s">
        <v>140</v>
      </c>
      <c r="F1" s="50" t="s">
        <v>145</v>
      </c>
    </row>
    <row r="2" spans="1:7" ht="57.6" x14ac:dyDescent="0.3">
      <c r="A2" s="60" t="s">
        <v>139</v>
      </c>
      <c r="B2" s="54">
        <v>1.772</v>
      </c>
      <c r="C2" s="60" t="s">
        <v>161</v>
      </c>
      <c r="D2" s="54">
        <v>0.309</v>
      </c>
      <c r="E2" s="60" t="s">
        <v>164</v>
      </c>
      <c r="F2" s="68">
        <f>B2*D2</f>
        <v>0.54754800000000003</v>
      </c>
      <c r="G2" s="49"/>
    </row>
    <row r="3" spans="1:7" ht="43.2" x14ac:dyDescent="0.3">
      <c r="A3" s="60" t="s">
        <v>141</v>
      </c>
      <c r="B3" s="54">
        <v>0.376</v>
      </c>
      <c r="C3" s="60" t="s">
        <v>162</v>
      </c>
      <c r="D3" s="54">
        <v>0.52200000000000002</v>
      </c>
      <c r="E3" s="60" t="s">
        <v>166</v>
      </c>
      <c r="F3" s="68">
        <f>B3*D3</f>
        <v>0.196272</v>
      </c>
      <c r="G3" s="49"/>
    </row>
    <row r="4" spans="1:7" ht="28.8" x14ac:dyDescent="0.3">
      <c r="A4" s="60" t="s">
        <v>142</v>
      </c>
      <c r="B4" s="54">
        <v>0.41499999999999998</v>
      </c>
      <c r="C4" s="60" t="s">
        <v>163</v>
      </c>
      <c r="D4" s="54">
        <v>0.39</v>
      </c>
      <c r="E4" s="60" t="s">
        <v>165</v>
      </c>
      <c r="F4" s="68">
        <f>B4*D4</f>
        <v>0.16184999999999999</v>
      </c>
      <c r="G4" s="49"/>
    </row>
    <row r="5" spans="1:7" x14ac:dyDescent="0.3">
      <c r="A5" s="49"/>
      <c r="B5" s="49"/>
      <c r="C5" s="49"/>
      <c r="D5" s="49"/>
      <c r="E5" s="49"/>
      <c r="F5" s="49"/>
      <c r="G5" s="49"/>
    </row>
    <row r="6" spans="1:7" x14ac:dyDescent="0.3">
      <c r="A6" s="49"/>
      <c r="B6" s="49"/>
      <c r="C6" s="49"/>
      <c r="D6" s="49"/>
      <c r="E6" s="49"/>
      <c r="F6" s="49"/>
      <c r="G6" s="49"/>
    </row>
    <row r="7" spans="1:7" x14ac:dyDescent="0.3">
      <c r="A7" s="49"/>
      <c r="B7" s="49"/>
      <c r="C7" s="49"/>
      <c r="D7" s="49"/>
      <c r="E7" s="49"/>
      <c r="F7" s="49"/>
      <c r="G7" s="49"/>
    </row>
    <row r="8" spans="1:7" x14ac:dyDescent="0.3">
      <c r="A8" s="49"/>
      <c r="B8" s="49"/>
      <c r="C8" s="49"/>
      <c r="D8" s="49"/>
      <c r="E8" s="49"/>
      <c r="F8" s="49"/>
      <c r="G8" s="49"/>
    </row>
    <row r="9" spans="1:7" x14ac:dyDescent="0.3">
      <c r="A9" s="49" t="s">
        <v>267</v>
      </c>
      <c r="B9" s="49"/>
      <c r="C9" s="49"/>
      <c r="D9" s="49"/>
      <c r="E9" s="49"/>
      <c r="F9" s="49"/>
      <c r="G9" s="49"/>
    </row>
    <row r="11" spans="1:7" x14ac:dyDescent="0.3">
      <c r="A11" s="50" t="s">
        <v>36</v>
      </c>
    </row>
    <row r="12" spans="1:7" x14ac:dyDescent="0.3">
      <c r="A12" s="60" t="s">
        <v>85</v>
      </c>
    </row>
    <row r="13" spans="1:7" x14ac:dyDescent="0.3">
      <c r="A13" s="60" t="s">
        <v>85</v>
      </c>
    </row>
    <row r="14" spans="1:7" x14ac:dyDescent="0.3">
      <c r="A14" s="60" t="s">
        <v>266</v>
      </c>
    </row>
    <row r="15" spans="1:7" x14ac:dyDescent="0.3">
      <c r="A15" s="60" t="s">
        <v>266</v>
      </c>
    </row>
    <row r="16" spans="1:7" x14ac:dyDescent="0.3">
      <c r="A16" s="60" t="s">
        <v>266</v>
      </c>
    </row>
    <row r="17" spans="1:1" x14ac:dyDescent="0.3">
      <c r="A17" s="60" t="s">
        <v>266</v>
      </c>
    </row>
    <row r="18" spans="1:1" x14ac:dyDescent="0.3">
      <c r="A18" s="60" t="s">
        <v>266</v>
      </c>
    </row>
    <row r="19" spans="1:1" x14ac:dyDescent="0.3">
      <c r="A19" s="60" t="s">
        <v>266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4:T38"/>
  <sheetViews>
    <sheetView workbookViewId="0"/>
  </sheetViews>
  <sheetFormatPr defaultColWidth="14.21875" defaultRowHeight="14.4" x14ac:dyDescent="0.3"/>
  <cols>
    <col min="1" max="1" width="9.6640625" customWidth="1"/>
    <col min="2" max="2" width="29.6640625" bestFit="1" customWidth="1"/>
    <col min="3" max="3" width="12.33203125" bestFit="1" customWidth="1"/>
    <col min="4" max="4" width="24" bestFit="1" customWidth="1"/>
    <col min="5" max="5" width="17.77734375" customWidth="1"/>
    <col min="6" max="6" width="14.77734375" customWidth="1"/>
    <col min="7" max="7" width="22.6640625" customWidth="1"/>
    <col min="8" max="8" width="16.77734375" customWidth="1"/>
    <col min="9" max="9" width="20.6640625" customWidth="1"/>
  </cols>
  <sheetData>
    <row r="4" spans="2:13" x14ac:dyDescent="0.3">
      <c r="E4" s="362" t="s">
        <v>20</v>
      </c>
      <c r="F4" s="363"/>
      <c r="G4" s="363"/>
      <c r="H4" s="363"/>
      <c r="I4" s="365"/>
      <c r="J4" s="362" t="s">
        <v>276</v>
      </c>
      <c r="K4" s="363"/>
      <c r="L4" s="363"/>
      <c r="M4" s="364"/>
    </row>
    <row r="5" spans="2:13" x14ac:dyDescent="0.3">
      <c r="D5" s="158"/>
      <c r="E5" s="159"/>
      <c r="F5" s="2"/>
      <c r="G5" s="2"/>
      <c r="H5" s="2"/>
      <c r="I5" s="50" t="s">
        <v>277</v>
      </c>
      <c r="J5" s="160">
        <v>63.3</v>
      </c>
      <c r="K5" s="160" t="s">
        <v>247</v>
      </c>
      <c r="L5" s="160" t="s">
        <v>247</v>
      </c>
      <c r="M5" s="160" t="s">
        <v>247</v>
      </c>
    </row>
    <row r="6" spans="2:13" x14ac:dyDescent="0.3">
      <c r="D6" s="50" t="s">
        <v>299</v>
      </c>
      <c r="E6" s="160">
        <v>41</v>
      </c>
      <c r="F6" s="160">
        <v>22</v>
      </c>
      <c r="G6" s="160">
        <v>18</v>
      </c>
      <c r="H6" s="160">
        <v>48</v>
      </c>
      <c r="I6" s="50" t="s">
        <v>278</v>
      </c>
      <c r="J6" s="160">
        <v>53.5</v>
      </c>
      <c r="K6" s="160">
        <v>47</v>
      </c>
      <c r="L6" s="160">
        <v>15</v>
      </c>
      <c r="M6" s="160"/>
    </row>
    <row r="7" spans="2:13" ht="28.8" x14ac:dyDescent="0.3">
      <c r="B7" s="50" t="s">
        <v>279</v>
      </c>
      <c r="C7" s="50" t="s">
        <v>280</v>
      </c>
      <c r="D7" s="50" t="s">
        <v>281</v>
      </c>
      <c r="E7" s="50" t="s">
        <v>282</v>
      </c>
      <c r="F7" s="50" t="s">
        <v>283</v>
      </c>
      <c r="G7" s="50" t="s">
        <v>284</v>
      </c>
      <c r="H7" s="50" t="s">
        <v>285</v>
      </c>
      <c r="I7" s="50" t="s">
        <v>71</v>
      </c>
      <c r="J7" s="50" t="s">
        <v>286</v>
      </c>
      <c r="K7" s="50" t="s">
        <v>287</v>
      </c>
      <c r="L7" s="50" t="s">
        <v>288</v>
      </c>
      <c r="M7" s="50" t="s">
        <v>71</v>
      </c>
    </row>
    <row r="8" spans="2:13" x14ac:dyDescent="0.3">
      <c r="B8" s="2" t="s">
        <v>289</v>
      </c>
      <c r="C8" s="159" t="s">
        <v>290</v>
      </c>
      <c r="D8" s="2" t="s">
        <v>291</v>
      </c>
      <c r="E8" s="163">
        <f>0.8972*POWER(E$6,2)-47.98*E$6+1264.6</f>
        <v>805.61320000000001</v>
      </c>
      <c r="F8" s="161" t="s">
        <v>247</v>
      </c>
      <c r="G8" s="161" t="s">
        <v>247</v>
      </c>
      <c r="H8" s="161" t="s">
        <v>247</v>
      </c>
      <c r="I8" s="197">
        <f>'SFm CDF'!$I$6</f>
        <v>0.33800000000000002</v>
      </c>
      <c r="J8" s="163">
        <f>0.8972*POWER(J$5,2)-47.98*J$5+1264.6</f>
        <v>1822.4477079999997</v>
      </c>
      <c r="K8" s="163">
        <f t="shared" ref="K8" si="0">0.8972*POWER(K$6,2)-47.98*K$6+1264.6</f>
        <v>991.45479999999998</v>
      </c>
      <c r="L8" s="176" t="s">
        <v>247</v>
      </c>
      <c r="M8" s="198">
        <f>'MFm CDF'!$AC$27</f>
        <v>0.96499999999999997</v>
      </c>
    </row>
    <row r="9" spans="2:13" x14ac:dyDescent="0.3">
      <c r="B9" s="2" t="s">
        <v>289</v>
      </c>
      <c r="C9" s="2" t="s">
        <v>292</v>
      </c>
      <c r="D9" s="2" t="s">
        <v>293</v>
      </c>
      <c r="E9" s="163">
        <f>1.9596*POWER(E$6,2)-68.9*E$6+1307.4</f>
        <v>1776.5875999999998</v>
      </c>
      <c r="F9" s="161" t="s">
        <v>247</v>
      </c>
      <c r="G9" s="161" t="s">
        <v>247</v>
      </c>
      <c r="H9" s="161" t="s">
        <v>247</v>
      </c>
      <c r="I9" s="162">
        <f>$AA$40</f>
        <v>0</v>
      </c>
      <c r="J9" s="176" t="s">
        <v>247</v>
      </c>
      <c r="K9" s="176" t="s">
        <v>247</v>
      </c>
      <c r="L9" s="163">
        <f>1.9596*POWER(L$6,2)-68.9*L$6+1307.4</f>
        <v>714.81000000000017</v>
      </c>
      <c r="M9" s="198">
        <f>'MFm CDF'!$AC$27</f>
        <v>0.96499999999999997</v>
      </c>
    </row>
    <row r="10" spans="2:13" x14ac:dyDescent="0.3">
      <c r="B10" s="2" t="s">
        <v>80</v>
      </c>
      <c r="C10" s="159" t="s">
        <v>290</v>
      </c>
      <c r="D10" s="2" t="s">
        <v>294</v>
      </c>
      <c r="E10" s="164" t="s">
        <v>247</v>
      </c>
      <c r="F10" s="164" t="s">
        <v>247</v>
      </c>
      <c r="G10" s="164" t="s">
        <v>247</v>
      </c>
      <c r="H10" s="161" t="s">
        <v>247</v>
      </c>
      <c r="I10" s="163">
        <v>0</v>
      </c>
      <c r="J10" s="163">
        <f>0.1642*POWER(J$6,2)+28.751*J$6-653.22</f>
        <v>1354.93995</v>
      </c>
      <c r="K10" s="163">
        <f>0.1642*POWER(K$6,2)+28.751*K$6-653.22</f>
        <v>1060.7947999999999</v>
      </c>
      <c r="L10" s="176" t="s">
        <v>247</v>
      </c>
      <c r="M10" s="198">
        <f>'MFm CDF'!$AD$27</f>
        <v>0.93100000000000005</v>
      </c>
    </row>
    <row r="11" spans="2:13" x14ac:dyDescent="0.3">
      <c r="B11" s="2" t="s">
        <v>80</v>
      </c>
      <c r="C11" s="2" t="s">
        <v>292</v>
      </c>
      <c r="D11" s="2" t="s">
        <v>295</v>
      </c>
      <c r="E11" s="161" t="s">
        <v>247</v>
      </c>
      <c r="F11" s="163" t="s">
        <v>247</v>
      </c>
      <c r="G11" s="163" t="s">
        <v>247</v>
      </c>
      <c r="H11" s="161" t="s">
        <v>247</v>
      </c>
      <c r="I11" s="164">
        <v>0</v>
      </c>
      <c r="J11" s="176" t="s">
        <v>247</v>
      </c>
      <c r="K11" s="176" t="s">
        <v>247</v>
      </c>
      <c r="L11" s="163">
        <f>0.5246*POWER(L$6,2)+28.425*L$6-328.06</f>
        <v>216.34999999999997</v>
      </c>
      <c r="M11" s="198">
        <f>'MFm CDF'!$AD$27</f>
        <v>0.93100000000000005</v>
      </c>
    </row>
    <row r="12" spans="2:13" x14ac:dyDescent="0.3">
      <c r="B12" s="2" t="s">
        <v>296</v>
      </c>
      <c r="C12" s="159" t="s">
        <v>290</v>
      </c>
      <c r="D12" s="2" t="s">
        <v>297</v>
      </c>
      <c r="E12" s="161" t="s">
        <v>247</v>
      </c>
      <c r="F12" s="164" t="s">
        <v>247</v>
      </c>
      <c r="G12" s="164" t="s">
        <v>247</v>
      </c>
      <c r="H12" s="161" t="s">
        <v>247</v>
      </c>
      <c r="I12" s="163">
        <v>0</v>
      </c>
      <c r="J12" s="163">
        <f>0.6484*POWER(J$6,2)-17.701*J$6+154.27</f>
        <v>1063.1493999999998</v>
      </c>
      <c r="K12" s="163">
        <f>0.6484*POWER(K$6,2)-17.701*K$6+154.27</f>
        <v>754.63859999999988</v>
      </c>
      <c r="L12" s="176" t="s">
        <v>247</v>
      </c>
      <c r="M12" s="198">
        <f>'MFm CDF'!$AD$27</f>
        <v>0.93100000000000005</v>
      </c>
    </row>
    <row r="13" spans="2:13" x14ac:dyDescent="0.3">
      <c r="B13" s="2" t="s">
        <v>296</v>
      </c>
      <c r="C13" s="2" t="s">
        <v>292</v>
      </c>
      <c r="D13" s="2" t="s">
        <v>298</v>
      </c>
      <c r="E13" s="161" t="s">
        <v>247</v>
      </c>
      <c r="F13" s="163" t="s">
        <v>247</v>
      </c>
      <c r="G13" s="163" t="s">
        <v>247</v>
      </c>
      <c r="H13" s="164" t="s">
        <v>247</v>
      </c>
      <c r="I13" s="164">
        <v>0</v>
      </c>
      <c r="J13" s="176" t="s">
        <v>247</v>
      </c>
      <c r="K13" s="176" t="s">
        <v>247</v>
      </c>
      <c r="L13" s="163">
        <f>1.9469*POWER(L$6,2)-47.287*L$6+334.01</f>
        <v>62.75750000000005</v>
      </c>
      <c r="M13" s="198">
        <f>'MFm CDF'!$AD$27</f>
        <v>0.93100000000000005</v>
      </c>
    </row>
    <row r="16" spans="2:13" ht="43.2" x14ac:dyDescent="0.3">
      <c r="B16" s="50" t="s">
        <v>36</v>
      </c>
      <c r="C16" s="50" t="s">
        <v>223</v>
      </c>
      <c r="D16" s="50" t="s">
        <v>35</v>
      </c>
      <c r="E16" s="50" t="s">
        <v>259</v>
      </c>
      <c r="F16" s="50" t="s">
        <v>71</v>
      </c>
      <c r="G16" s="50" t="s">
        <v>260</v>
      </c>
      <c r="H16" s="50" t="s">
        <v>261</v>
      </c>
      <c r="I16" s="50" t="s">
        <v>71</v>
      </c>
      <c r="J16" s="50" t="s">
        <v>262</v>
      </c>
      <c r="K16" s="50" t="s">
        <v>263</v>
      </c>
    </row>
    <row r="17" spans="2:20" x14ac:dyDescent="0.3">
      <c r="B17" s="60" t="s">
        <v>85</v>
      </c>
      <c r="C17" s="60" t="s">
        <v>224</v>
      </c>
      <c r="D17" s="60" t="s">
        <v>264</v>
      </c>
      <c r="E17" s="152">
        <f>$E$8/1000</f>
        <v>0.80561320000000003</v>
      </c>
      <c r="F17" s="152">
        <f>$I$8</f>
        <v>0.33800000000000002</v>
      </c>
      <c r="G17" s="152">
        <f t="shared" ref="G17" si="1">IFERROR(F17*E17,0)</f>
        <v>0.27229726160000001</v>
      </c>
      <c r="H17" s="152" t="str">
        <f>F13</f>
        <v>N/A</v>
      </c>
      <c r="I17" s="152">
        <v>0</v>
      </c>
      <c r="J17" s="152">
        <f t="shared" ref="J17" si="2">IFERROR(I17*H17,0)</f>
        <v>0</v>
      </c>
      <c r="K17" s="152">
        <f>G17-J17</f>
        <v>0.27229726160000001</v>
      </c>
    </row>
    <row r="18" spans="2:20" x14ac:dyDescent="0.3">
      <c r="B18" s="60" t="s">
        <v>85</v>
      </c>
      <c r="C18" s="60" t="s">
        <v>224</v>
      </c>
      <c r="D18" s="60" t="s">
        <v>265</v>
      </c>
      <c r="E18" s="152" t="str">
        <f>E11</f>
        <v>N/A</v>
      </c>
      <c r="F18" s="152">
        <v>0</v>
      </c>
      <c r="G18" s="152">
        <f>IFERROR(F18*E18,0)</f>
        <v>0</v>
      </c>
      <c r="H18" s="152">
        <f>E14</f>
        <v>0</v>
      </c>
      <c r="I18" s="152">
        <v>0</v>
      </c>
      <c r="J18" s="152">
        <f>IFERROR(I18*H18,0)</f>
        <v>0</v>
      </c>
      <c r="K18" s="152">
        <f t="shared" ref="K18:K24" si="3">G18-J18</f>
        <v>0</v>
      </c>
    </row>
    <row r="19" spans="2:20" x14ac:dyDescent="0.3">
      <c r="B19" s="60" t="s">
        <v>266</v>
      </c>
      <c r="C19" s="60" t="s">
        <v>224</v>
      </c>
      <c r="D19" s="60" t="s">
        <v>264</v>
      </c>
      <c r="E19" s="152">
        <f>($J$8)/1000</f>
        <v>1.8224477079999997</v>
      </c>
      <c r="F19" s="152">
        <f>$M$8</f>
        <v>0.96499999999999997</v>
      </c>
      <c r="G19" s="152">
        <f t="shared" ref="G19:G24" si="4">IFERROR(F19*E19,0)</f>
        <v>1.7586620382199996</v>
      </c>
      <c r="H19" s="152">
        <f>($J$12)/1000</f>
        <v>1.0631493999999997</v>
      </c>
      <c r="I19" s="152">
        <f>$M$12</f>
        <v>0.93100000000000005</v>
      </c>
      <c r="J19" s="152">
        <f t="shared" ref="J19:J24" si="5">IFERROR(I19*H19,0)</f>
        <v>0.9897920913999998</v>
      </c>
      <c r="K19" s="152">
        <f t="shared" si="3"/>
        <v>0.76886994681999976</v>
      </c>
    </row>
    <row r="20" spans="2:20" x14ac:dyDescent="0.3">
      <c r="B20" s="60" t="s">
        <v>266</v>
      </c>
      <c r="C20" s="60" t="s">
        <v>224</v>
      </c>
      <c r="D20" s="60" t="s">
        <v>265</v>
      </c>
      <c r="E20" s="152">
        <f>($J$10)/1000</f>
        <v>1.3549399499999999</v>
      </c>
      <c r="F20" s="152">
        <f>$M$10</f>
        <v>0.93100000000000005</v>
      </c>
      <c r="G20" s="152">
        <f t="shared" si="4"/>
        <v>1.26144909345</v>
      </c>
      <c r="H20" s="152">
        <f>($J$12)/1000</f>
        <v>1.0631493999999997</v>
      </c>
      <c r="I20" s="152">
        <f t="shared" ref="I20:I24" si="6">$M$12</f>
        <v>0.93100000000000005</v>
      </c>
      <c r="J20" s="152">
        <f t="shared" si="5"/>
        <v>0.9897920913999998</v>
      </c>
      <c r="K20" s="152">
        <f t="shared" si="3"/>
        <v>0.27165700205000021</v>
      </c>
    </row>
    <row r="21" spans="2:20" x14ac:dyDescent="0.3">
      <c r="B21" s="60" t="s">
        <v>266</v>
      </c>
      <c r="C21" s="60" t="s">
        <v>251</v>
      </c>
      <c r="D21" s="60" t="s">
        <v>264</v>
      </c>
      <c r="E21" s="152">
        <f>($K$8)/1000</f>
        <v>0.99145479999999997</v>
      </c>
      <c r="F21" s="152">
        <f>$M$8</f>
        <v>0.96499999999999997</v>
      </c>
      <c r="G21" s="152">
        <f t="shared" si="4"/>
        <v>0.95675388199999989</v>
      </c>
      <c r="H21" s="152">
        <f>($K$12)/1000</f>
        <v>0.75463859999999994</v>
      </c>
      <c r="I21" s="152">
        <f t="shared" si="6"/>
        <v>0.93100000000000005</v>
      </c>
      <c r="J21" s="152">
        <f t="shared" si="5"/>
        <v>0.70256853659999996</v>
      </c>
      <c r="K21" s="152">
        <f t="shared" si="3"/>
        <v>0.25418534539999993</v>
      </c>
    </row>
    <row r="22" spans="2:20" x14ac:dyDescent="0.3">
      <c r="B22" s="60" t="s">
        <v>266</v>
      </c>
      <c r="C22" s="60" t="s">
        <v>251</v>
      </c>
      <c r="D22" s="60" t="s">
        <v>265</v>
      </c>
      <c r="E22" s="152">
        <f>($K$10)/1000</f>
        <v>1.0607947999999998</v>
      </c>
      <c r="F22" s="152">
        <f>$M$10</f>
        <v>0.93100000000000005</v>
      </c>
      <c r="G22" s="152">
        <f t="shared" si="4"/>
        <v>0.98759995879999984</v>
      </c>
      <c r="H22" s="152">
        <f>($K$12)/1000</f>
        <v>0.75463859999999994</v>
      </c>
      <c r="I22" s="152">
        <f t="shared" si="6"/>
        <v>0.93100000000000005</v>
      </c>
      <c r="J22" s="152">
        <f t="shared" si="5"/>
        <v>0.70256853659999996</v>
      </c>
      <c r="K22" s="152">
        <f t="shared" si="3"/>
        <v>0.28503142219999988</v>
      </c>
    </row>
    <row r="23" spans="2:20" x14ac:dyDescent="0.3">
      <c r="B23" s="60" t="s">
        <v>266</v>
      </c>
      <c r="C23" s="60" t="s">
        <v>252</v>
      </c>
      <c r="D23" s="60" t="s">
        <v>264</v>
      </c>
      <c r="E23" s="152">
        <f>($L$9)/1000</f>
        <v>0.71481000000000017</v>
      </c>
      <c r="F23" s="152">
        <f>$M$8</f>
        <v>0.96499999999999997</v>
      </c>
      <c r="G23" s="152">
        <f t="shared" si="4"/>
        <v>0.68979165000000009</v>
      </c>
      <c r="H23" s="152">
        <f>($L$13)/1000</f>
        <v>6.2757500000000049E-2</v>
      </c>
      <c r="I23" s="152">
        <f t="shared" si="6"/>
        <v>0.93100000000000005</v>
      </c>
      <c r="J23" s="152">
        <f t="shared" si="5"/>
        <v>5.8427232500000051E-2</v>
      </c>
      <c r="K23" s="152">
        <f t="shared" si="3"/>
        <v>0.63136441750000005</v>
      </c>
    </row>
    <row r="24" spans="2:20" x14ac:dyDescent="0.3">
      <c r="B24" s="60" t="s">
        <v>266</v>
      </c>
      <c r="C24" s="60" t="s">
        <v>252</v>
      </c>
      <c r="D24" s="60" t="s">
        <v>265</v>
      </c>
      <c r="E24" s="152">
        <f>($L$11)/1000</f>
        <v>0.21634999999999996</v>
      </c>
      <c r="F24" s="152">
        <f>$M$10</f>
        <v>0.93100000000000005</v>
      </c>
      <c r="G24" s="152">
        <f t="shared" si="4"/>
        <v>0.20142184999999999</v>
      </c>
      <c r="H24" s="152">
        <f>($L$13)/1000</f>
        <v>6.2757500000000049E-2</v>
      </c>
      <c r="I24" s="152">
        <f t="shared" si="6"/>
        <v>0.93100000000000005</v>
      </c>
      <c r="J24" s="152">
        <f t="shared" si="5"/>
        <v>5.8427232500000051E-2</v>
      </c>
      <c r="K24" s="68">
        <f t="shared" si="3"/>
        <v>0.14299461749999992</v>
      </c>
    </row>
    <row r="26" spans="2:20" ht="27.6" x14ac:dyDescent="0.3">
      <c r="O26" s="177" t="s">
        <v>36</v>
      </c>
      <c r="P26" s="177" t="s">
        <v>223</v>
      </c>
      <c r="Q26" s="177" t="s">
        <v>279</v>
      </c>
      <c r="R26" s="177" t="s">
        <v>144</v>
      </c>
      <c r="S26" s="177" t="s">
        <v>344</v>
      </c>
      <c r="T26" s="177" t="s">
        <v>345</v>
      </c>
    </row>
    <row r="27" spans="2:20" x14ac:dyDescent="0.3">
      <c r="O27" s="2" t="s">
        <v>85</v>
      </c>
      <c r="P27" s="2" t="s">
        <v>224</v>
      </c>
      <c r="Q27" s="2" t="s">
        <v>264</v>
      </c>
      <c r="R27" s="120">
        <f>$I$8</f>
        <v>0.33800000000000002</v>
      </c>
      <c r="S27" s="120">
        <f>$E$8/1000</f>
        <v>0.80561320000000003</v>
      </c>
      <c r="T27" s="120">
        <f>R27*S27</f>
        <v>0.27229726160000001</v>
      </c>
    </row>
    <row r="28" spans="2:20" x14ac:dyDescent="0.3">
      <c r="O28" s="2" t="s">
        <v>85</v>
      </c>
      <c r="P28" s="2" t="s">
        <v>224</v>
      </c>
      <c r="Q28" s="2" t="s">
        <v>265</v>
      </c>
      <c r="R28" s="120">
        <f>$Y$49</f>
        <v>0</v>
      </c>
      <c r="S28" s="120" t="s">
        <v>247</v>
      </c>
      <c r="T28" s="120">
        <v>0</v>
      </c>
    </row>
    <row r="29" spans="2:20" x14ac:dyDescent="0.3">
      <c r="O29" s="2" t="s">
        <v>85</v>
      </c>
      <c r="P29" s="2" t="s">
        <v>224</v>
      </c>
      <c r="Q29" s="159" t="s">
        <v>296</v>
      </c>
      <c r="R29" s="120">
        <f>$Y$50</f>
        <v>0</v>
      </c>
      <c r="S29" s="120" t="s">
        <v>247</v>
      </c>
      <c r="T29" s="120">
        <v>0</v>
      </c>
    </row>
    <row r="30" spans="2:20" x14ac:dyDescent="0.3">
      <c r="O30" s="2" t="s">
        <v>266</v>
      </c>
      <c r="P30" s="2" t="s">
        <v>224</v>
      </c>
      <c r="Q30" s="2" t="s">
        <v>264</v>
      </c>
      <c r="R30" s="120">
        <f>'MFm CDF'!$AC$27</f>
        <v>0.96499999999999997</v>
      </c>
      <c r="S30" s="120">
        <f>J8/1000</f>
        <v>1.8224477079999997</v>
      </c>
      <c r="T30" s="120">
        <f t="shared" ref="T30:T38" si="7">R30*S30</f>
        <v>1.7586620382199996</v>
      </c>
    </row>
    <row r="31" spans="2:20" x14ac:dyDescent="0.3">
      <c r="O31" s="2" t="s">
        <v>266</v>
      </c>
      <c r="P31" s="2" t="s">
        <v>224</v>
      </c>
      <c r="Q31" s="2" t="s">
        <v>265</v>
      </c>
      <c r="R31" s="120">
        <f>'MFm CDF'!$AD$27</f>
        <v>0.93100000000000005</v>
      </c>
      <c r="S31" s="120">
        <f>J10/1000</f>
        <v>1.3549399499999999</v>
      </c>
      <c r="T31" s="120">
        <f t="shared" si="7"/>
        <v>1.26144909345</v>
      </c>
    </row>
    <row r="32" spans="2:20" x14ac:dyDescent="0.3">
      <c r="O32" s="2" t="s">
        <v>266</v>
      </c>
      <c r="P32" s="2" t="s">
        <v>224</v>
      </c>
      <c r="Q32" s="159" t="s">
        <v>296</v>
      </c>
      <c r="R32" s="120">
        <f>'MFm CDF'!$AD$27</f>
        <v>0.93100000000000005</v>
      </c>
      <c r="S32" s="120">
        <f>J12/1000</f>
        <v>1.0631493999999997</v>
      </c>
      <c r="T32" s="120">
        <f t="shared" si="7"/>
        <v>0.9897920913999998</v>
      </c>
    </row>
    <row r="33" spans="15:20" x14ac:dyDescent="0.3">
      <c r="O33" s="2" t="s">
        <v>266</v>
      </c>
      <c r="P33" s="2" t="s">
        <v>251</v>
      </c>
      <c r="Q33" s="2" t="s">
        <v>264</v>
      </c>
      <c r="R33" s="120">
        <f>'MFm CDF'!$AC$27</f>
        <v>0.96499999999999997</v>
      </c>
      <c r="S33" s="120">
        <f>K8/1000</f>
        <v>0.99145479999999997</v>
      </c>
      <c r="T33" s="120">
        <f t="shared" si="7"/>
        <v>0.95675388199999989</v>
      </c>
    </row>
    <row r="34" spans="15:20" x14ac:dyDescent="0.3">
      <c r="O34" s="2" t="s">
        <v>266</v>
      </c>
      <c r="P34" s="2" t="s">
        <v>251</v>
      </c>
      <c r="Q34" s="2" t="s">
        <v>265</v>
      </c>
      <c r="R34" s="120">
        <f>'MFm CDF'!$AD$27</f>
        <v>0.93100000000000005</v>
      </c>
      <c r="S34" s="120">
        <f>K10/1000</f>
        <v>1.0607947999999998</v>
      </c>
      <c r="T34" s="120">
        <f t="shared" si="7"/>
        <v>0.98759995879999984</v>
      </c>
    </row>
    <row r="35" spans="15:20" x14ac:dyDescent="0.3">
      <c r="O35" s="2" t="s">
        <v>266</v>
      </c>
      <c r="P35" s="2" t="s">
        <v>251</v>
      </c>
      <c r="Q35" s="159" t="s">
        <v>296</v>
      </c>
      <c r="R35" s="120">
        <f>'MFm CDF'!$AD$27</f>
        <v>0.93100000000000005</v>
      </c>
      <c r="S35" s="120">
        <f>K12/1000</f>
        <v>0.75463859999999994</v>
      </c>
      <c r="T35" s="120">
        <f t="shared" si="7"/>
        <v>0.70256853659999996</v>
      </c>
    </row>
    <row r="36" spans="15:20" x14ac:dyDescent="0.3">
      <c r="O36" s="2" t="s">
        <v>266</v>
      </c>
      <c r="P36" s="2" t="s">
        <v>252</v>
      </c>
      <c r="Q36" s="2" t="s">
        <v>264</v>
      </c>
      <c r="R36" s="120">
        <f>'MFm CDF'!$AC$27</f>
        <v>0.96499999999999997</v>
      </c>
      <c r="S36" s="120">
        <f>L9/1000</f>
        <v>0.71481000000000017</v>
      </c>
      <c r="T36" s="120">
        <f t="shared" si="7"/>
        <v>0.68979165000000009</v>
      </c>
    </row>
    <row r="37" spans="15:20" x14ac:dyDescent="0.3">
      <c r="O37" s="2" t="s">
        <v>266</v>
      </c>
      <c r="P37" s="2" t="s">
        <v>252</v>
      </c>
      <c r="Q37" s="2" t="s">
        <v>265</v>
      </c>
      <c r="R37" s="120">
        <f>'MFm CDF'!$AD$27</f>
        <v>0.93100000000000005</v>
      </c>
      <c r="S37" s="120">
        <f>L11/1000</f>
        <v>0.21634999999999996</v>
      </c>
      <c r="T37" s="120">
        <f t="shared" si="7"/>
        <v>0.20142184999999999</v>
      </c>
    </row>
    <row r="38" spans="15:20" x14ac:dyDescent="0.3">
      <c r="O38" s="2" t="s">
        <v>266</v>
      </c>
      <c r="P38" s="2" t="s">
        <v>252</v>
      </c>
      <c r="Q38" s="159" t="s">
        <v>296</v>
      </c>
      <c r="R38" s="120">
        <f>'MFm CDF'!$AD$27</f>
        <v>0.93100000000000005</v>
      </c>
      <c r="S38" s="120">
        <f>L13/1000</f>
        <v>6.2757500000000049E-2</v>
      </c>
      <c r="T38" s="120">
        <f t="shared" si="7"/>
        <v>5.8427232500000051E-2</v>
      </c>
    </row>
  </sheetData>
  <mergeCells count="2">
    <mergeCell ref="J4:M4"/>
    <mergeCell ref="E4:I4"/>
  </mergeCells>
  <pageMargins left="0.7" right="0.7" top="0.75" bottom="0.75" header="0.3" footer="0.3"/>
  <pageSetup orientation="portrait" horizontalDpi="1200" verticalDpi="1200" r:id="rId1"/>
  <ignoredErrors>
    <ignoredError sqref="F20:F22" formula="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946DF-19BA-4046-A07A-7B1C6B5D3B76}">
  <dimension ref="B3:N32"/>
  <sheetViews>
    <sheetView workbookViewId="0"/>
  </sheetViews>
  <sheetFormatPr defaultRowHeight="14.4" x14ac:dyDescent="0.3"/>
  <cols>
    <col min="6" max="6" width="9.88671875" bestFit="1" customWidth="1"/>
    <col min="9" max="9" width="12" bestFit="1" customWidth="1"/>
    <col min="12" max="12" width="11.5546875" customWidth="1"/>
    <col min="13" max="13" width="18" bestFit="1" customWidth="1"/>
    <col min="14" max="14" width="14.77734375" customWidth="1"/>
  </cols>
  <sheetData>
    <row r="3" spans="2:14" ht="26.4" x14ac:dyDescent="0.3">
      <c r="H3" s="200"/>
      <c r="I3" s="200" t="s">
        <v>458</v>
      </c>
    </row>
    <row r="4" spans="2:14" x14ac:dyDescent="0.3">
      <c r="H4" s="2" t="s">
        <v>401</v>
      </c>
      <c r="I4" s="2">
        <f>MAX(F9:F32)</f>
        <v>0.69099999999999995</v>
      </c>
    </row>
    <row r="5" spans="2:14" x14ac:dyDescent="0.3">
      <c r="E5" s="199"/>
      <c r="H5" s="2" t="s">
        <v>402</v>
      </c>
      <c r="I5" s="124">
        <f>AVERAGEIFS(F9:F32,D9:D32,H5)</f>
        <v>0.23380000000000001</v>
      </c>
    </row>
    <row r="6" spans="2:14" x14ac:dyDescent="0.3">
      <c r="E6" s="199"/>
      <c r="H6" s="2" t="s">
        <v>71</v>
      </c>
      <c r="I6" s="2">
        <f>ROUND(I5/I4,3)</f>
        <v>0.33800000000000002</v>
      </c>
    </row>
    <row r="7" spans="2:14" x14ac:dyDescent="0.3">
      <c r="E7" s="199"/>
      <c r="F7" t="s">
        <v>403</v>
      </c>
    </row>
    <row r="8" spans="2:14" ht="39.6" x14ac:dyDescent="0.3">
      <c r="B8" s="200" t="s">
        <v>404</v>
      </c>
      <c r="C8" s="200" t="s">
        <v>405</v>
      </c>
      <c r="D8" s="200" t="s">
        <v>406</v>
      </c>
      <c r="E8" s="200"/>
      <c r="F8" s="200" t="s">
        <v>407</v>
      </c>
      <c r="L8" s="200" t="s">
        <v>408</v>
      </c>
      <c r="M8" s="200" t="s">
        <v>409</v>
      </c>
      <c r="N8" s="200" t="s">
        <v>435</v>
      </c>
    </row>
    <row r="9" spans="2:14" x14ac:dyDescent="0.3">
      <c r="B9" s="201">
        <v>12</v>
      </c>
      <c r="C9" s="201">
        <v>1</v>
      </c>
      <c r="D9" s="201" t="s">
        <v>410</v>
      </c>
      <c r="E9" s="202" t="s">
        <v>411</v>
      </c>
      <c r="F9" s="2">
        <v>8.6999999999999994E-2</v>
      </c>
      <c r="L9" s="237" t="str">
        <f>E25</f>
        <v>16-17</v>
      </c>
      <c r="M9" s="14" t="s">
        <v>436</v>
      </c>
      <c r="N9" s="14">
        <f>F25</f>
        <v>0.39200000000000002</v>
      </c>
    </row>
    <row r="10" spans="2:14" x14ac:dyDescent="0.3">
      <c r="B10" s="201">
        <f>C9</f>
        <v>1</v>
      </c>
      <c r="C10" s="201">
        <f>B10+1</f>
        <v>2</v>
      </c>
      <c r="D10" s="201" t="s">
        <v>410</v>
      </c>
      <c r="E10" s="202" t="s">
        <v>412</v>
      </c>
      <c r="F10" s="2">
        <v>6.0999999999999999E-2</v>
      </c>
      <c r="L10" s="237" t="str">
        <f t="shared" ref="L10:L13" si="0">E26</f>
        <v>17-18</v>
      </c>
      <c r="M10" s="14" t="s">
        <v>454</v>
      </c>
      <c r="N10" s="14">
        <f t="shared" ref="N10:N13" si="1">F26</f>
        <v>0.26100000000000001</v>
      </c>
    </row>
    <row r="11" spans="2:14" x14ac:dyDescent="0.3">
      <c r="B11" s="201">
        <f t="shared" ref="B11:B32" si="2">C10</f>
        <v>2</v>
      </c>
      <c r="C11" s="201">
        <f t="shared" ref="C11:C32" si="3">B11+1</f>
        <v>3</v>
      </c>
      <c r="D11" s="201" t="s">
        <v>410</v>
      </c>
      <c r="E11" s="202" t="s">
        <v>413</v>
      </c>
      <c r="F11" s="2">
        <v>7.0000000000000007E-2</v>
      </c>
      <c r="L11" s="237" t="str">
        <f t="shared" si="0"/>
        <v>18-19</v>
      </c>
      <c r="M11" s="14" t="s">
        <v>455</v>
      </c>
      <c r="N11" s="14">
        <f t="shared" si="1"/>
        <v>0.186</v>
      </c>
    </row>
    <row r="12" spans="2:14" x14ac:dyDescent="0.3">
      <c r="B12" s="201">
        <f t="shared" si="2"/>
        <v>3</v>
      </c>
      <c r="C12" s="201">
        <f t="shared" si="3"/>
        <v>4</v>
      </c>
      <c r="D12" s="201" t="s">
        <v>410</v>
      </c>
      <c r="E12" s="202" t="s">
        <v>414</v>
      </c>
      <c r="F12" s="2">
        <v>8.1000000000000003E-2</v>
      </c>
      <c r="L12" s="237" t="str">
        <f t="shared" si="0"/>
        <v>19-20</v>
      </c>
      <c r="M12" s="14" t="s">
        <v>456</v>
      </c>
      <c r="N12" s="14">
        <f t="shared" si="1"/>
        <v>0.17899999999999999</v>
      </c>
    </row>
    <row r="13" spans="2:14" x14ac:dyDescent="0.3">
      <c r="B13" s="201">
        <f t="shared" si="2"/>
        <v>4</v>
      </c>
      <c r="C13" s="201">
        <f t="shared" si="3"/>
        <v>5</v>
      </c>
      <c r="D13" s="201" t="s">
        <v>410</v>
      </c>
      <c r="E13" s="202" t="s">
        <v>415</v>
      </c>
      <c r="F13" s="2">
        <v>0.08</v>
      </c>
      <c r="L13" s="237" t="str">
        <f t="shared" si="0"/>
        <v>20-21</v>
      </c>
      <c r="M13" s="14" t="s">
        <v>457</v>
      </c>
      <c r="N13" s="14">
        <f t="shared" si="1"/>
        <v>0.151</v>
      </c>
    </row>
    <row r="14" spans="2:14" x14ac:dyDescent="0.3">
      <c r="B14" s="201">
        <f t="shared" si="2"/>
        <v>5</v>
      </c>
      <c r="C14" s="201">
        <f t="shared" si="3"/>
        <v>6</v>
      </c>
      <c r="D14" s="201" t="s">
        <v>410</v>
      </c>
      <c r="E14" s="202" t="s">
        <v>416</v>
      </c>
      <c r="F14" s="2">
        <v>0.115</v>
      </c>
      <c r="L14" s="14"/>
      <c r="M14" s="204" t="s">
        <v>463</v>
      </c>
      <c r="N14" s="205">
        <f>AVERAGE(N9:N13)</f>
        <v>0.23380000000000001</v>
      </c>
    </row>
    <row r="15" spans="2:14" x14ac:dyDescent="0.3">
      <c r="B15" s="201">
        <f t="shared" si="2"/>
        <v>6</v>
      </c>
      <c r="C15" s="201">
        <f t="shared" si="3"/>
        <v>7</v>
      </c>
      <c r="D15" s="201" t="s">
        <v>410</v>
      </c>
      <c r="E15" s="202" t="s">
        <v>417</v>
      </c>
      <c r="F15" s="2">
        <v>0.24</v>
      </c>
    </row>
    <row r="16" spans="2:14" x14ac:dyDescent="0.3">
      <c r="B16" s="201">
        <f t="shared" si="2"/>
        <v>7</v>
      </c>
      <c r="C16" s="201">
        <f t="shared" si="3"/>
        <v>8</v>
      </c>
      <c r="D16" s="201" t="s">
        <v>410</v>
      </c>
      <c r="E16" s="202" t="s">
        <v>418</v>
      </c>
      <c r="F16" s="2">
        <v>0.32100000000000001</v>
      </c>
    </row>
    <row r="17" spans="2:14" ht="39.6" x14ac:dyDescent="0.3">
      <c r="B17" s="201">
        <f t="shared" si="2"/>
        <v>8</v>
      </c>
      <c r="C17" s="201">
        <f t="shared" si="3"/>
        <v>9</v>
      </c>
      <c r="D17" s="201" t="s">
        <v>410</v>
      </c>
      <c r="E17" s="202" t="s">
        <v>419</v>
      </c>
      <c r="F17" s="2">
        <v>0.39700000000000002</v>
      </c>
      <c r="L17" s="200" t="s">
        <v>465</v>
      </c>
      <c r="M17" s="200" t="s">
        <v>466</v>
      </c>
      <c r="N17" s="200" t="s">
        <v>464</v>
      </c>
    </row>
    <row r="18" spans="2:14" x14ac:dyDescent="0.3">
      <c r="B18" s="201">
        <f t="shared" si="2"/>
        <v>9</v>
      </c>
      <c r="C18" s="201">
        <f t="shared" si="3"/>
        <v>10</v>
      </c>
      <c r="D18" s="201" t="s">
        <v>410</v>
      </c>
      <c r="E18" s="202" t="s">
        <v>420</v>
      </c>
      <c r="F18" s="2">
        <v>0.54500000000000004</v>
      </c>
      <c r="L18" s="15">
        <f>I4</f>
        <v>0.69099999999999995</v>
      </c>
      <c r="M18" s="15">
        <f>I5</f>
        <v>0.23380000000000001</v>
      </c>
      <c r="N18" s="14">
        <f>I6</f>
        <v>0.33800000000000002</v>
      </c>
    </row>
    <row r="19" spans="2:14" x14ac:dyDescent="0.3">
      <c r="B19" s="201">
        <f t="shared" si="2"/>
        <v>10</v>
      </c>
      <c r="C19" s="201">
        <f t="shared" si="3"/>
        <v>11</v>
      </c>
      <c r="D19" s="201" t="s">
        <v>410</v>
      </c>
      <c r="E19" s="202" t="s">
        <v>421</v>
      </c>
      <c r="F19" s="2">
        <v>0.64500000000000002</v>
      </c>
    </row>
    <row r="20" spans="2:14" x14ac:dyDescent="0.3">
      <c r="B20" s="201">
        <f t="shared" si="2"/>
        <v>11</v>
      </c>
      <c r="C20" s="201">
        <f t="shared" si="3"/>
        <v>12</v>
      </c>
      <c r="D20" s="201" t="s">
        <v>410</v>
      </c>
      <c r="E20" s="202" t="s">
        <v>422</v>
      </c>
      <c r="F20" s="2">
        <v>0.69099999999999995</v>
      </c>
    </row>
    <row r="21" spans="2:14" x14ac:dyDescent="0.3">
      <c r="B21" s="201">
        <f t="shared" si="2"/>
        <v>12</v>
      </c>
      <c r="C21" s="201">
        <v>1</v>
      </c>
      <c r="D21" s="201" t="s">
        <v>410</v>
      </c>
      <c r="E21" s="202" t="s">
        <v>423</v>
      </c>
      <c r="F21" s="2">
        <v>0.64300000000000002</v>
      </c>
    </row>
    <row r="22" spans="2:14" x14ac:dyDescent="0.3">
      <c r="B22" s="201">
        <f t="shared" si="2"/>
        <v>1</v>
      </c>
      <c r="C22" s="201">
        <f t="shared" si="3"/>
        <v>2</v>
      </c>
      <c r="D22" s="201" t="s">
        <v>410</v>
      </c>
      <c r="E22" s="202" t="s">
        <v>424</v>
      </c>
      <c r="F22" s="2">
        <v>0.625</v>
      </c>
    </row>
    <row r="23" spans="2:14" x14ac:dyDescent="0.3">
      <c r="B23" s="201">
        <f t="shared" si="2"/>
        <v>2</v>
      </c>
      <c r="C23" s="201">
        <f t="shared" si="3"/>
        <v>3</v>
      </c>
      <c r="D23" s="201" t="s">
        <v>410</v>
      </c>
      <c r="E23" s="202" t="s">
        <v>425</v>
      </c>
      <c r="F23" s="2">
        <v>0.56100000000000005</v>
      </c>
    </row>
    <row r="24" spans="2:14" x14ac:dyDescent="0.3">
      <c r="B24" s="201">
        <f t="shared" si="2"/>
        <v>3</v>
      </c>
      <c r="C24" s="201">
        <f t="shared" si="3"/>
        <v>4</v>
      </c>
      <c r="D24" s="201" t="s">
        <v>410</v>
      </c>
      <c r="E24" s="202" t="s">
        <v>426</v>
      </c>
      <c r="F24" s="2">
        <v>0.46500000000000002</v>
      </c>
    </row>
    <row r="25" spans="2:14" x14ac:dyDescent="0.3">
      <c r="B25" s="203">
        <f t="shared" si="2"/>
        <v>4</v>
      </c>
      <c r="C25" s="203">
        <f t="shared" si="3"/>
        <v>5</v>
      </c>
      <c r="D25" s="201" t="s">
        <v>402</v>
      </c>
      <c r="E25" s="202" t="s">
        <v>427</v>
      </c>
      <c r="F25" s="2">
        <v>0.39200000000000002</v>
      </c>
    </row>
    <row r="26" spans="2:14" x14ac:dyDescent="0.3">
      <c r="B26" s="203">
        <f t="shared" si="2"/>
        <v>5</v>
      </c>
      <c r="C26" s="203">
        <f t="shared" si="3"/>
        <v>6</v>
      </c>
      <c r="D26" s="201" t="s">
        <v>402</v>
      </c>
      <c r="E26" s="202" t="s">
        <v>428</v>
      </c>
      <c r="F26" s="2">
        <v>0.26100000000000001</v>
      </c>
    </row>
    <row r="27" spans="2:14" x14ac:dyDescent="0.3">
      <c r="B27" s="203">
        <f t="shared" si="2"/>
        <v>6</v>
      </c>
      <c r="C27" s="203">
        <f t="shared" si="3"/>
        <v>7</v>
      </c>
      <c r="D27" s="201" t="s">
        <v>402</v>
      </c>
      <c r="E27" s="202" t="s">
        <v>429</v>
      </c>
      <c r="F27" s="2">
        <v>0.186</v>
      </c>
    </row>
    <row r="28" spans="2:14" x14ac:dyDescent="0.3">
      <c r="B28" s="203">
        <f t="shared" si="2"/>
        <v>7</v>
      </c>
      <c r="C28" s="203">
        <f t="shared" si="3"/>
        <v>8</v>
      </c>
      <c r="D28" s="201" t="s">
        <v>402</v>
      </c>
      <c r="E28" s="202" t="s">
        <v>430</v>
      </c>
      <c r="F28" s="2">
        <v>0.17899999999999999</v>
      </c>
    </row>
    <row r="29" spans="2:14" x14ac:dyDescent="0.3">
      <c r="B29" s="203">
        <f t="shared" si="2"/>
        <v>8</v>
      </c>
      <c r="C29" s="203">
        <f t="shared" si="3"/>
        <v>9</v>
      </c>
      <c r="D29" s="201" t="s">
        <v>402</v>
      </c>
      <c r="E29" s="202" t="s">
        <v>431</v>
      </c>
      <c r="F29" s="2">
        <v>0.151</v>
      </c>
    </row>
    <row r="30" spans="2:14" x14ac:dyDescent="0.3">
      <c r="B30" s="201">
        <f t="shared" si="2"/>
        <v>9</v>
      </c>
      <c r="C30" s="201">
        <f t="shared" si="3"/>
        <v>10</v>
      </c>
      <c r="D30" s="201" t="s">
        <v>410</v>
      </c>
      <c r="E30" s="202" t="s">
        <v>432</v>
      </c>
      <c r="F30" s="2">
        <v>9.8000000000000004E-2</v>
      </c>
    </row>
    <row r="31" spans="2:14" x14ac:dyDescent="0.3">
      <c r="B31" s="201">
        <f t="shared" si="2"/>
        <v>10</v>
      </c>
      <c r="C31" s="201">
        <f t="shared" si="3"/>
        <v>11</v>
      </c>
      <c r="D31" s="201" t="s">
        <v>410</v>
      </c>
      <c r="E31" s="202" t="s">
        <v>433</v>
      </c>
      <c r="F31" s="2">
        <v>7.6999999999999999E-2</v>
      </c>
    </row>
    <row r="32" spans="2:14" x14ac:dyDescent="0.3">
      <c r="B32" s="201">
        <f t="shared" si="2"/>
        <v>11</v>
      </c>
      <c r="C32" s="201">
        <f t="shared" si="3"/>
        <v>12</v>
      </c>
      <c r="D32" s="201" t="s">
        <v>410</v>
      </c>
      <c r="E32" s="202" t="s">
        <v>434</v>
      </c>
      <c r="F32" s="2">
        <v>8.7999999999999995E-2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W18"/>
  <sheetViews>
    <sheetView workbookViewId="0">
      <selection activeCell="I17" sqref="I17"/>
    </sheetView>
  </sheetViews>
  <sheetFormatPr defaultRowHeight="14.4" x14ac:dyDescent="0.3"/>
  <cols>
    <col min="1" max="1" width="16.33203125" customWidth="1"/>
    <col min="2" max="2" width="18.109375" customWidth="1"/>
    <col min="3" max="3" width="32" customWidth="1"/>
    <col min="4" max="4" width="37.6640625" customWidth="1"/>
    <col min="5" max="5" width="26.33203125" customWidth="1"/>
    <col min="6" max="6" width="16" customWidth="1"/>
    <col min="7" max="7" width="9.109375" customWidth="1"/>
    <col min="8" max="8" width="13.6640625" style="16" customWidth="1"/>
    <col min="9" max="9" width="11.44140625" customWidth="1"/>
    <col min="10" max="10" width="10.33203125" customWidth="1"/>
    <col min="11" max="11" width="10" customWidth="1"/>
    <col min="12" max="12" width="10.109375" customWidth="1"/>
    <col min="13" max="13" width="9.88671875" customWidth="1"/>
    <col min="14" max="14" width="10.44140625" customWidth="1"/>
    <col min="15" max="15" width="10.33203125" customWidth="1"/>
    <col min="16" max="16" width="9.88671875" customWidth="1"/>
  </cols>
  <sheetData>
    <row r="1" spans="1:23" x14ac:dyDescent="0.3">
      <c r="I1" s="253" t="s">
        <v>50</v>
      </c>
      <c r="J1" s="254"/>
      <c r="K1" s="254"/>
      <c r="L1" s="255"/>
    </row>
    <row r="2" spans="1:23" ht="24" x14ac:dyDescent="0.3">
      <c r="A2" s="77" t="s">
        <v>33</v>
      </c>
      <c r="B2" s="77" t="s">
        <v>86</v>
      </c>
      <c r="C2" s="77" t="s">
        <v>19</v>
      </c>
      <c r="D2" s="77" t="s">
        <v>35</v>
      </c>
      <c r="E2" s="77" t="s">
        <v>1</v>
      </c>
      <c r="F2" s="77" t="s">
        <v>36</v>
      </c>
      <c r="G2" s="77" t="s">
        <v>41</v>
      </c>
      <c r="H2" s="91" t="s">
        <v>193</v>
      </c>
      <c r="I2" s="78" t="s">
        <v>131</v>
      </c>
      <c r="J2" s="78" t="s">
        <v>132</v>
      </c>
      <c r="K2" s="78" t="s">
        <v>129</v>
      </c>
      <c r="L2" s="78" t="s">
        <v>130</v>
      </c>
    </row>
    <row r="3" spans="1:23" s="90" customFormat="1" ht="41.4" customHeight="1" x14ac:dyDescent="0.3">
      <c r="A3" s="102" t="s">
        <v>13</v>
      </c>
      <c r="B3" s="102" t="s">
        <v>14</v>
      </c>
      <c r="C3" s="103" t="s">
        <v>25</v>
      </c>
      <c r="D3" s="104" t="s">
        <v>187</v>
      </c>
      <c r="E3" s="103" t="s">
        <v>179</v>
      </c>
      <c r="F3" s="105" t="s">
        <v>37</v>
      </c>
      <c r="G3" s="102" t="s">
        <v>468</v>
      </c>
      <c r="H3" s="106" t="s">
        <v>190</v>
      </c>
      <c r="I3" s="107">
        <f>'Msr A -New'!$L$11</f>
        <v>1092.93</v>
      </c>
      <c r="J3" s="107">
        <v>0</v>
      </c>
      <c r="K3" s="108">
        <f>'Msr A -New'!$D$17</f>
        <v>0</v>
      </c>
      <c r="L3" s="108">
        <v>0</v>
      </c>
      <c r="M3"/>
      <c r="N3"/>
      <c r="O3"/>
      <c r="P3"/>
      <c r="Q3"/>
      <c r="R3"/>
      <c r="S3"/>
      <c r="T3"/>
      <c r="U3"/>
      <c r="V3"/>
      <c r="W3"/>
    </row>
    <row r="4" spans="1:23" s="90" customFormat="1" ht="41.4" customHeight="1" x14ac:dyDescent="0.3">
      <c r="A4" s="102" t="s">
        <v>15</v>
      </c>
      <c r="B4" s="102" t="s">
        <v>26</v>
      </c>
      <c r="C4" s="103" t="s">
        <v>125</v>
      </c>
      <c r="D4" s="105" t="s">
        <v>136</v>
      </c>
      <c r="E4" s="109" t="s">
        <v>126</v>
      </c>
      <c r="F4" s="105" t="s">
        <v>37</v>
      </c>
      <c r="G4" s="102" t="s">
        <v>468</v>
      </c>
      <c r="H4" s="106" t="s">
        <v>190</v>
      </c>
      <c r="I4" s="107">
        <f>'Msr B -New'!L$11</f>
        <v>1048.3800000000001</v>
      </c>
      <c r="J4" s="107">
        <v>0</v>
      </c>
      <c r="K4" s="108">
        <f>'Msr B -New'!$D$17</f>
        <v>0</v>
      </c>
      <c r="L4" s="108">
        <v>0</v>
      </c>
      <c r="M4"/>
      <c r="N4"/>
      <c r="O4"/>
      <c r="P4"/>
      <c r="Q4"/>
      <c r="R4"/>
      <c r="S4"/>
      <c r="T4"/>
      <c r="U4"/>
      <c r="V4"/>
      <c r="W4"/>
    </row>
    <row r="5" spans="1:23" s="90" customFormat="1" ht="48" x14ac:dyDescent="0.3">
      <c r="A5" s="102" t="s">
        <v>27</v>
      </c>
      <c r="B5" s="102" t="s">
        <v>17</v>
      </c>
      <c r="C5" s="103" t="s">
        <v>32</v>
      </c>
      <c r="D5" s="104" t="s">
        <v>204</v>
      </c>
      <c r="E5" s="103" t="s">
        <v>179</v>
      </c>
      <c r="F5" s="105" t="s">
        <v>37</v>
      </c>
      <c r="G5" s="102" t="s">
        <v>467</v>
      </c>
      <c r="H5" s="106" t="s">
        <v>191</v>
      </c>
      <c r="I5" s="107">
        <f>'Msr C -New'!$E$11</f>
        <v>1252.1980000000001</v>
      </c>
      <c r="J5" s="107">
        <f>'Msr C -New'!$F$11</f>
        <v>1092.9349999999999</v>
      </c>
      <c r="K5" s="108">
        <f>'Msr C -New'!$E$17</f>
        <v>0.27200000000000002</v>
      </c>
      <c r="L5" s="108">
        <f>'Msr C -New'!$F$17</f>
        <v>0</v>
      </c>
      <c r="M5"/>
      <c r="N5"/>
      <c r="O5"/>
      <c r="P5"/>
      <c r="Q5"/>
      <c r="R5"/>
      <c r="S5"/>
      <c r="T5"/>
      <c r="U5"/>
      <c r="V5"/>
      <c r="W5"/>
    </row>
    <row r="6" spans="1:23" ht="41.4" customHeight="1" x14ac:dyDescent="0.3">
      <c r="A6" s="79" t="s">
        <v>39</v>
      </c>
      <c r="B6" s="79" t="s">
        <v>87</v>
      </c>
      <c r="C6" s="80" t="s">
        <v>40</v>
      </c>
      <c r="D6" s="81" t="s">
        <v>203</v>
      </c>
      <c r="E6" s="80" t="s">
        <v>180</v>
      </c>
      <c r="F6" s="82" t="s">
        <v>38</v>
      </c>
      <c r="G6" s="79" t="s">
        <v>467</v>
      </c>
      <c r="H6" s="94" t="s">
        <v>191</v>
      </c>
      <c r="I6" s="83">
        <f>'Msr D-New'!I$9</f>
        <v>8099.1310000000003</v>
      </c>
      <c r="J6" s="83">
        <f>'Msr D-New'!$J$9</f>
        <v>2417.9009999999998</v>
      </c>
      <c r="K6" s="98">
        <f>'Msr D-New'!$E$22</f>
        <v>0.76887000000000005</v>
      </c>
      <c r="L6" s="98">
        <f>'Msr D-New'!$F$22</f>
        <v>0.27166000000000001</v>
      </c>
    </row>
    <row r="7" spans="1:23" ht="41.4" customHeight="1" x14ac:dyDescent="0.3">
      <c r="A7" s="79" t="s">
        <v>137</v>
      </c>
      <c r="B7" s="79" t="s">
        <v>123</v>
      </c>
      <c r="C7" s="80" t="s">
        <v>127</v>
      </c>
      <c r="D7" s="81" t="s">
        <v>203</v>
      </c>
      <c r="E7" s="80" t="s">
        <v>180</v>
      </c>
      <c r="F7" s="82" t="s">
        <v>38</v>
      </c>
      <c r="G7" s="79" t="s">
        <v>467</v>
      </c>
      <c r="H7" s="94" t="s">
        <v>191</v>
      </c>
      <c r="I7" s="83">
        <f>'Msr F &amp; G-New'!$E$10</f>
        <v>4812.165</v>
      </c>
      <c r="J7" s="83">
        <f>'Msr F &amp; G-New'!$F$10</f>
        <v>2911.7950000000001</v>
      </c>
      <c r="K7" s="98">
        <f>'Msr F &amp; G-New'!$E$16</f>
        <v>0.25419000000000003</v>
      </c>
      <c r="L7" s="98">
        <f>'Msr F &amp; G-New'!$F$16</f>
        <v>0.28503000000000001</v>
      </c>
    </row>
    <row r="8" spans="1:23" ht="41.4" customHeight="1" x14ac:dyDescent="0.3">
      <c r="A8" s="79" t="s">
        <v>138</v>
      </c>
      <c r="B8" s="79" t="s">
        <v>124</v>
      </c>
      <c r="C8" s="80" t="s">
        <v>128</v>
      </c>
      <c r="D8" s="81" t="s">
        <v>203</v>
      </c>
      <c r="E8" s="80" t="s">
        <v>180</v>
      </c>
      <c r="F8" s="82" t="s">
        <v>38</v>
      </c>
      <c r="G8" s="79" t="s">
        <v>467</v>
      </c>
      <c r="H8" s="94" t="s">
        <v>191</v>
      </c>
      <c r="I8" s="83">
        <f>'Msr F &amp; G-New'!$E$26</f>
        <v>1846.182</v>
      </c>
      <c r="J8" s="83">
        <f>'Msr F &amp; G-New'!$F$26</f>
        <v>73.364000000000004</v>
      </c>
      <c r="K8" s="98">
        <f>'Msr F &amp; G-New'!$E$32</f>
        <v>0.63136000000000003</v>
      </c>
      <c r="L8" s="98">
        <f>'Msr F &amp; G-New'!$F$32</f>
        <v>0.14299000000000001</v>
      </c>
    </row>
    <row r="10" spans="1:23" s="90" customFormat="1" x14ac:dyDescent="0.3">
      <c r="A10" s="89" t="s">
        <v>189</v>
      </c>
      <c r="H10" s="92"/>
      <c r="M10"/>
      <c r="N10"/>
      <c r="O10"/>
      <c r="P10"/>
      <c r="Q10"/>
      <c r="R10"/>
      <c r="S10"/>
      <c r="T10"/>
      <c r="U10"/>
      <c r="V10"/>
      <c r="W10"/>
    </row>
    <row r="11" spans="1:23" s="90" customFormat="1" ht="25.8" customHeight="1" x14ac:dyDescent="0.3">
      <c r="A11" s="256" t="s">
        <v>192</v>
      </c>
      <c r="B11" s="256"/>
      <c r="C11" s="256"/>
      <c r="D11" s="256"/>
      <c r="E11" s="256"/>
      <c r="F11" s="256"/>
      <c r="G11" s="256"/>
      <c r="H11" s="93"/>
      <c r="M11"/>
      <c r="N11"/>
      <c r="O11"/>
      <c r="P11"/>
      <c r="Q11"/>
      <c r="R11"/>
      <c r="S11"/>
      <c r="T11"/>
      <c r="U11"/>
      <c r="V11"/>
      <c r="W11"/>
    </row>
    <row r="12" spans="1:23" s="90" customFormat="1" x14ac:dyDescent="0.3">
      <c r="H12" s="92"/>
      <c r="M12"/>
      <c r="N12"/>
      <c r="O12"/>
      <c r="P12"/>
      <c r="Q12"/>
      <c r="R12"/>
      <c r="S12"/>
      <c r="T12"/>
      <c r="U12"/>
      <c r="V12"/>
      <c r="W12"/>
    </row>
    <row r="13" spans="1:23" s="90" customFormat="1" x14ac:dyDescent="0.3">
      <c r="H13" s="92"/>
      <c r="M13"/>
      <c r="N13"/>
      <c r="O13"/>
      <c r="P13"/>
      <c r="Q13"/>
      <c r="R13"/>
      <c r="S13"/>
      <c r="T13"/>
      <c r="U13"/>
      <c r="V13"/>
      <c r="W13"/>
    </row>
    <row r="14" spans="1:23" s="90" customFormat="1" x14ac:dyDescent="0.3">
      <c r="H14" s="92"/>
      <c r="M14"/>
      <c r="N14"/>
      <c r="O14"/>
      <c r="P14"/>
      <c r="Q14"/>
      <c r="R14"/>
      <c r="S14"/>
      <c r="T14"/>
      <c r="U14"/>
      <c r="V14"/>
      <c r="W14"/>
    </row>
    <row r="15" spans="1:23" s="90" customFormat="1" x14ac:dyDescent="0.3">
      <c r="H15" s="92"/>
      <c r="M15"/>
      <c r="N15"/>
      <c r="O15"/>
      <c r="P15"/>
      <c r="Q15"/>
      <c r="R15"/>
      <c r="S15"/>
      <c r="T15"/>
      <c r="U15"/>
      <c r="V15"/>
      <c r="W15"/>
    </row>
    <row r="16" spans="1:23" s="90" customFormat="1" x14ac:dyDescent="0.3">
      <c r="H16" s="92"/>
      <c r="M16"/>
      <c r="N16"/>
      <c r="O16"/>
      <c r="P16"/>
      <c r="Q16"/>
      <c r="R16"/>
      <c r="S16"/>
      <c r="T16"/>
      <c r="U16"/>
      <c r="V16"/>
      <c r="W16"/>
    </row>
    <row r="17" spans="8:23" s="90" customFormat="1" x14ac:dyDescent="0.3">
      <c r="H17" s="92"/>
      <c r="M17"/>
      <c r="N17"/>
      <c r="O17"/>
      <c r="P17"/>
      <c r="Q17"/>
      <c r="R17"/>
      <c r="S17"/>
      <c r="T17"/>
      <c r="U17"/>
      <c r="V17"/>
      <c r="W17"/>
    </row>
    <row r="18" spans="8:23" s="90" customFormat="1" x14ac:dyDescent="0.3">
      <c r="H18" s="92"/>
      <c r="M18"/>
      <c r="N18"/>
      <c r="O18"/>
      <c r="P18"/>
      <c r="Q18"/>
      <c r="R18"/>
      <c r="S18"/>
      <c r="T18"/>
      <c r="U18"/>
      <c r="V18"/>
      <c r="W18"/>
    </row>
  </sheetData>
  <mergeCells count="2">
    <mergeCell ref="I1:L1"/>
    <mergeCell ref="A11:G11"/>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EA00F-8858-4344-9D1E-EC1C39BF2C2C}">
  <dimension ref="I1:AI78"/>
  <sheetViews>
    <sheetView workbookViewId="0"/>
  </sheetViews>
  <sheetFormatPr defaultColWidth="8.6640625" defaultRowHeight="13.2" x14ac:dyDescent="0.25"/>
  <cols>
    <col min="1" max="8" width="2.5546875" style="206" customWidth="1"/>
    <col min="9" max="9" width="4.109375" style="206" customWidth="1"/>
    <col min="10" max="10" width="5.6640625" style="206" bestFit="1" customWidth="1"/>
    <col min="11" max="11" width="7.44140625" style="206" customWidth="1"/>
    <col min="12" max="22" width="8.6640625" style="206"/>
    <col min="23" max="23" width="8.88671875" style="206" customWidth="1"/>
    <col min="24" max="24" width="9.109375" style="206" customWidth="1"/>
    <col min="25" max="25" width="8.88671875" style="206" customWidth="1"/>
    <col min="26" max="26" width="14.5546875" style="206" customWidth="1"/>
    <col min="27" max="27" width="21.5546875" style="206" bestFit="1" customWidth="1"/>
    <col min="28" max="28" width="15" style="206" customWidth="1"/>
    <col min="29" max="29" width="12.109375" style="206" customWidth="1"/>
    <col min="30" max="30" width="12" style="206" customWidth="1"/>
    <col min="31" max="31" width="11.44140625" style="206" customWidth="1"/>
    <col min="32" max="32" width="12.77734375" style="206" bestFit="1" customWidth="1"/>
    <col min="33" max="33" width="14.5546875" style="206" bestFit="1" customWidth="1"/>
    <col min="34" max="34" width="12.44140625" style="206" bestFit="1" customWidth="1"/>
    <col min="35" max="35" width="13.5546875" style="206" bestFit="1" customWidth="1"/>
    <col min="36" max="36" width="17.6640625" style="206" bestFit="1" customWidth="1"/>
    <col min="37" max="16384" width="8.6640625" style="206"/>
  </cols>
  <sheetData>
    <row r="1" spans="11:35" ht="21" customHeight="1" x14ac:dyDescent="0.25"/>
    <row r="2" spans="11:35" ht="21" customHeight="1" x14ac:dyDescent="0.25"/>
    <row r="3" spans="11:35" ht="21" customHeight="1" x14ac:dyDescent="0.25">
      <c r="K3" s="207"/>
    </row>
    <row r="4" spans="11:35" ht="21" customHeight="1" x14ac:dyDescent="0.25">
      <c r="AE4" s="207"/>
      <c r="AI4" s="207"/>
    </row>
    <row r="5" spans="11:35" ht="21" customHeight="1" x14ac:dyDescent="0.25">
      <c r="AE5" s="207"/>
      <c r="AI5" s="207"/>
    </row>
    <row r="6" spans="11:35" ht="21" customHeight="1" x14ac:dyDescent="0.25">
      <c r="N6" s="208"/>
      <c r="O6" s="208"/>
      <c r="P6" s="208"/>
      <c r="Q6" s="208"/>
    </row>
    <row r="7" spans="11:35" ht="21" customHeight="1" x14ac:dyDescent="0.25">
      <c r="N7" s="208"/>
      <c r="O7" s="208"/>
      <c r="P7" s="208"/>
      <c r="Q7" s="208"/>
    </row>
    <row r="8" spans="11:35" ht="21" customHeight="1" x14ac:dyDescent="0.25">
      <c r="N8" s="208"/>
      <c r="O8" s="208"/>
      <c r="P8" s="208"/>
      <c r="Q8" s="208"/>
    </row>
    <row r="9" spans="11:35" ht="21" customHeight="1" x14ac:dyDescent="0.25"/>
    <row r="10" spans="11:35" ht="21" customHeight="1" x14ac:dyDescent="0.25"/>
    <row r="11" spans="11:35" ht="21" customHeight="1" x14ac:dyDescent="0.25"/>
    <row r="12" spans="11:35" ht="21" customHeight="1" x14ac:dyDescent="0.25"/>
    <row r="13" spans="11:35" ht="21" customHeight="1" x14ac:dyDescent="0.25"/>
    <row r="14" spans="11:35" ht="21" customHeight="1" x14ac:dyDescent="0.25">
      <c r="M14" s="209"/>
      <c r="N14" s="209"/>
    </row>
    <row r="15" spans="11:35" ht="21" customHeight="1" x14ac:dyDescent="0.25"/>
    <row r="16" spans="11:35" ht="21" customHeight="1" x14ac:dyDescent="0.25">
      <c r="N16" s="208"/>
      <c r="P16" s="208"/>
      <c r="Q16" s="208"/>
      <c r="R16" s="208"/>
      <c r="S16" s="208"/>
    </row>
    <row r="17" spans="9:35" x14ac:dyDescent="0.25">
      <c r="M17" s="210" t="s">
        <v>7</v>
      </c>
      <c r="N17" s="211" t="s">
        <v>7</v>
      </c>
      <c r="O17" s="212" t="s">
        <v>437</v>
      </c>
      <c r="P17" s="213" t="s">
        <v>437</v>
      </c>
      <c r="Q17" s="214" t="s">
        <v>171</v>
      </c>
      <c r="R17" s="215" t="s">
        <v>438</v>
      </c>
      <c r="S17" s="216" t="s">
        <v>438</v>
      </c>
    </row>
    <row r="18" spans="9:35" ht="26.4" x14ac:dyDescent="0.25">
      <c r="M18" s="210" t="s">
        <v>289</v>
      </c>
      <c r="N18" s="211" t="s">
        <v>296</v>
      </c>
      <c r="O18" s="212" t="s">
        <v>289</v>
      </c>
      <c r="P18" s="213" t="s">
        <v>296</v>
      </c>
      <c r="Q18" s="214" t="s">
        <v>296</v>
      </c>
      <c r="R18" s="215" t="s">
        <v>289</v>
      </c>
      <c r="S18" s="216" t="s">
        <v>296</v>
      </c>
      <c r="V18" s="217">
        <f>SUM(V20:V43)*365</f>
        <v>6438.605438628003</v>
      </c>
      <c r="W18" s="217">
        <f>SUM(W20:W43)*365</f>
        <v>7188.6014997417487</v>
      </c>
      <c r="X18" s="217">
        <f>SUM(X20:X43)*365</f>
        <v>9250.7425746323388</v>
      </c>
      <c r="Y18" s="217">
        <f>SUM(Y20:Y43)*365</f>
        <v>3130.0118749999992</v>
      </c>
      <c r="AB18" s="218"/>
      <c r="AC18" s="219" t="s">
        <v>7</v>
      </c>
      <c r="AD18" s="220" t="s">
        <v>437</v>
      </c>
      <c r="AE18" s="221" t="s">
        <v>438</v>
      </c>
      <c r="AF18" s="222" t="s">
        <v>7</v>
      </c>
      <c r="AG18" s="223" t="s">
        <v>437</v>
      </c>
      <c r="AH18" s="224" t="s">
        <v>171</v>
      </c>
      <c r="AI18" s="225" t="s">
        <v>438</v>
      </c>
    </row>
    <row r="19" spans="9:35" ht="66" x14ac:dyDescent="0.25">
      <c r="I19" s="201" t="s">
        <v>404</v>
      </c>
      <c r="J19" s="201" t="s">
        <v>405</v>
      </c>
      <c r="K19" s="201" t="s">
        <v>406</v>
      </c>
      <c r="L19" s="226" t="s">
        <v>439</v>
      </c>
      <c r="M19" s="210" t="s">
        <v>440</v>
      </c>
      <c r="N19" s="211" t="s">
        <v>441</v>
      </c>
      <c r="O19" s="212" t="str">
        <f>"Single-Speed Pump (N="&amp;O12&amp;")"</f>
        <v>Single-Speed Pump (N=)</v>
      </c>
      <c r="P19" s="213" t="str">
        <f>"Variable-Speed Pump (N="&amp;O11&amp;")"</f>
        <v>Variable-Speed Pump (N=)</v>
      </c>
      <c r="Q19" s="214" t="str">
        <f>"Variable-Speed Pump (SCG, N="&amp;O10&amp;")"</f>
        <v>Variable-Speed Pump (SCG, N=)</v>
      </c>
      <c r="R19" s="215" t="s">
        <v>442</v>
      </c>
      <c r="S19" s="216" t="s">
        <v>443</v>
      </c>
      <c r="T19" s="227" t="s">
        <v>444</v>
      </c>
      <c r="U19" s="226" t="s">
        <v>439</v>
      </c>
      <c r="V19" s="228" t="s">
        <v>445</v>
      </c>
      <c r="W19" s="228" t="s">
        <v>446</v>
      </c>
      <c r="X19" s="228" t="s">
        <v>447</v>
      </c>
      <c r="Y19" s="228" t="s">
        <v>448</v>
      </c>
      <c r="AB19" s="226" t="s">
        <v>449</v>
      </c>
      <c r="AC19" s="219" t="s">
        <v>289</v>
      </c>
      <c r="AD19" s="220" t="s">
        <v>289</v>
      </c>
      <c r="AE19" s="221" t="s">
        <v>289</v>
      </c>
      <c r="AF19" s="222" t="s">
        <v>450</v>
      </c>
      <c r="AG19" s="223" t="s">
        <v>450</v>
      </c>
      <c r="AH19" s="224" t="s">
        <v>296</v>
      </c>
      <c r="AI19" s="225" t="s">
        <v>450</v>
      </c>
    </row>
    <row r="20" spans="9:35" x14ac:dyDescent="0.25">
      <c r="I20" s="201">
        <v>12</v>
      </c>
      <c r="J20" s="201">
        <v>1</v>
      </c>
      <c r="K20" s="201" t="s">
        <v>410</v>
      </c>
      <c r="L20" s="201">
        <v>1</v>
      </c>
      <c r="M20" s="229">
        <v>1.2266458085294676</v>
      </c>
      <c r="N20" s="229">
        <v>0.24795868543389676</v>
      </c>
      <c r="O20" s="229">
        <v>1.5923529411764705</v>
      </c>
      <c r="P20" s="229">
        <v>0.18087500000000001</v>
      </c>
      <c r="Q20" s="229">
        <v>0.60099999999999998</v>
      </c>
      <c r="R20" s="229">
        <v>0</v>
      </c>
      <c r="S20" s="229">
        <v>0</v>
      </c>
      <c r="T20" s="230">
        <f>1-(M20-N20)/M20</f>
        <v>0.20214366992469945</v>
      </c>
      <c r="U20" s="201">
        <v>1</v>
      </c>
      <c r="V20" s="229">
        <v>0.97868712309557104</v>
      </c>
      <c r="W20" s="229">
        <v>1.1193382796792799</v>
      </c>
      <c r="X20" s="229">
        <v>1.4061403083574999</v>
      </c>
      <c r="Y20" s="229">
        <v>0</v>
      </c>
      <c r="AB20" s="231" t="s">
        <v>451</v>
      </c>
      <c r="AC20" s="229">
        <f>MAX(M20:M43)</f>
        <v>1.7541427308932147</v>
      </c>
      <c r="AD20" s="229">
        <f>MAX(O20:O43)</f>
        <v>2.0298235294117646</v>
      </c>
      <c r="AE20" s="229">
        <f>MAX(R20:R43)</f>
        <v>1.8205</v>
      </c>
      <c r="AF20" s="229">
        <f>MAX(N20:N43)</f>
        <v>1.1737921690197564</v>
      </c>
      <c r="AG20" s="229">
        <f>MAX(P20:P43)</f>
        <v>1.3985000000000001</v>
      </c>
      <c r="AH20" s="229">
        <f>MAX(Q20:Q43)</f>
        <v>1.423</v>
      </c>
      <c r="AI20" s="229">
        <f>MAX(S20:S43)</f>
        <v>1.2270000000000001</v>
      </c>
    </row>
    <row r="21" spans="9:35" x14ac:dyDescent="0.25">
      <c r="I21" s="201">
        <f>J20</f>
        <v>1</v>
      </c>
      <c r="J21" s="201">
        <f>I21+1</f>
        <v>2</v>
      </c>
      <c r="K21" s="201" t="s">
        <v>410</v>
      </c>
      <c r="L21" s="201">
        <v>2</v>
      </c>
      <c r="M21" s="229">
        <v>1.0965850209587413</v>
      </c>
      <c r="N21" s="229">
        <v>0.22546385479313372</v>
      </c>
      <c r="O21" s="229">
        <v>1.5923529411764705</v>
      </c>
      <c r="P21" s="229">
        <v>0.18087500000000001</v>
      </c>
      <c r="Q21" s="229">
        <v>0.60099999999999998</v>
      </c>
      <c r="R21" s="229">
        <v>0</v>
      </c>
      <c r="S21" s="229">
        <v>0</v>
      </c>
      <c r="T21" s="230">
        <f>1-(M21-N21)/M21</f>
        <v>0.20560544826338345</v>
      </c>
      <c r="U21" s="201">
        <v>2</v>
      </c>
      <c r="V21" s="229">
        <v>0.87112116616560764</v>
      </c>
      <c r="W21" s="229">
        <v>1.1155898660941539</v>
      </c>
      <c r="X21" s="229">
        <v>1.251593646531747</v>
      </c>
      <c r="Y21" s="229">
        <v>0</v>
      </c>
      <c r="AB21" s="231" t="s">
        <v>402</v>
      </c>
      <c r="AC21" s="229">
        <f>AVERAGEIFS(M$20:M$43,$K$20:$K$43,$AB21)</f>
        <v>1.7369556951108649</v>
      </c>
      <c r="AD21" s="229">
        <f>AVERAGEIFS(O$20:O$43,$K$20:$K$43,$AB21)</f>
        <v>1.8963529411764704</v>
      </c>
      <c r="AE21" s="229">
        <f>AVERAGEIFS(R$20:R$43,$K$20:$K$43,$AB21)</f>
        <v>1.5197500000000002</v>
      </c>
      <c r="AF21" s="229">
        <f>AVERAGEIFS(N$20:N$43,$K$20:$K$43,$AB21)</f>
        <v>1.144332022912802</v>
      </c>
      <c r="AG21" s="229">
        <f>AVERAGEIFS(P$20:P$43,$K$20:$K$43,$AB21)</f>
        <v>1.1665604166666668</v>
      </c>
      <c r="AH21" s="229">
        <f>AVERAGEIFS(Q$20:Q$43,$K$20:$K$43,$AB21)</f>
        <v>1.423</v>
      </c>
      <c r="AI21" s="229">
        <f>AVERAGEIFS(S$20:S$43,$K$20:$K$43,$AB21)</f>
        <v>1.0547500000000001</v>
      </c>
    </row>
    <row r="22" spans="9:35" x14ac:dyDescent="0.25">
      <c r="I22" s="201">
        <f t="shared" ref="I22:I43" si="0">J21</f>
        <v>2</v>
      </c>
      <c r="J22" s="201">
        <f t="shared" ref="J22:J43" si="1">I22+1</f>
        <v>3</v>
      </c>
      <c r="K22" s="201" t="s">
        <v>410</v>
      </c>
      <c r="L22" s="201">
        <v>3</v>
      </c>
      <c r="M22" s="229">
        <v>0.91969856116717941</v>
      </c>
      <c r="N22" s="229">
        <v>0.22371413743742122</v>
      </c>
      <c r="O22" s="229">
        <v>1.5923529411764705</v>
      </c>
      <c r="P22" s="229">
        <v>0.18087500000000001</v>
      </c>
      <c r="Q22" s="229">
        <v>0.60099999999999998</v>
      </c>
      <c r="R22" s="229">
        <v>0</v>
      </c>
      <c r="S22" s="229">
        <v>0</v>
      </c>
      <c r="T22" s="230">
        <f>1-(M22-N22)/M22</f>
        <v>0.24324724087151772</v>
      </c>
      <c r="U22" s="201">
        <v>3</v>
      </c>
      <c r="V22" s="229">
        <v>0.69598442372975822</v>
      </c>
      <c r="W22" s="229">
        <v>1.0748313330580659</v>
      </c>
      <c r="X22" s="229">
        <v>0.99996385882744454</v>
      </c>
      <c r="Y22" s="229">
        <v>0</v>
      </c>
      <c r="AB22" s="231" t="s">
        <v>71</v>
      </c>
      <c r="AC22" s="232">
        <f>AC21/AC20</f>
        <v>0.99020203118043981</v>
      </c>
      <c r="AD22" s="232">
        <f>AD21/AD20</f>
        <v>0.93424522560639867</v>
      </c>
      <c r="AE22" s="232">
        <f>AE21/AE20</f>
        <v>0.83479813238121403</v>
      </c>
      <c r="AF22" s="232">
        <f t="shared" ref="AF22:AI22" si="2">AF21/AF20</f>
        <v>0.97490173568668737</v>
      </c>
      <c r="AG22" s="232">
        <f t="shared" si="2"/>
        <v>0.83415117387677273</v>
      </c>
      <c r="AH22" s="232">
        <f>AH21/AH20</f>
        <v>1</v>
      </c>
      <c r="AI22" s="232">
        <f t="shared" si="2"/>
        <v>0.85961695191524046</v>
      </c>
    </row>
    <row r="23" spans="9:35" x14ac:dyDescent="0.25">
      <c r="I23" s="201">
        <f t="shared" si="0"/>
        <v>3</v>
      </c>
      <c r="J23" s="201">
        <f t="shared" si="1"/>
        <v>4</v>
      </c>
      <c r="K23" s="201" t="s">
        <v>410</v>
      </c>
      <c r="L23" s="201">
        <v>4</v>
      </c>
      <c r="M23" s="229">
        <v>0.90119148075709299</v>
      </c>
      <c r="N23" s="229">
        <v>0.22410001158063941</v>
      </c>
      <c r="O23" s="229">
        <v>1.5923529411764705</v>
      </c>
      <c r="P23" s="229">
        <v>0.18087500000000001</v>
      </c>
      <c r="Q23" s="229">
        <v>0.60099999999999998</v>
      </c>
      <c r="R23" s="229">
        <v>0</v>
      </c>
      <c r="S23" s="229">
        <v>0</v>
      </c>
      <c r="T23" s="230">
        <f>1-(M23-N23)/M23</f>
        <v>0.24867080566759514</v>
      </c>
      <c r="U23" s="201">
        <v>4</v>
      </c>
      <c r="V23" s="229">
        <v>0.67709146917645358</v>
      </c>
      <c r="W23" s="229">
        <v>1.0689586970968734</v>
      </c>
      <c r="X23" s="229">
        <v>0.97281918274614521</v>
      </c>
      <c r="Y23" s="229">
        <v>0</v>
      </c>
      <c r="AB23" s="231" t="s">
        <v>452</v>
      </c>
      <c r="AC23" s="201">
        <v>52</v>
      </c>
      <c r="AD23" s="201">
        <v>25</v>
      </c>
      <c r="AE23" s="201">
        <v>4</v>
      </c>
      <c r="AF23" s="201">
        <v>52</v>
      </c>
      <c r="AG23" s="201">
        <v>25</v>
      </c>
      <c r="AH23" s="201">
        <v>6</v>
      </c>
      <c r="AI23" s="201">
        <v>4</v>
      </c>
    </row>
    <row r="24" spans="9:35" x14ac:dyDescent="0.25">
      <c r="I24" s="201">
        <f t="shared" si="0"/>
        <v>4</v>
      </c>
      <c r="J24" s="201">
        <f t="shared" si="1"/>
        <v>5</v>
      </c>
      <c r="K24" s="201" t="s">
        <v>410</v>
      </c>
      <c r="L24" s="201">
        <v>5</v>
      </c>
      <c r="M24" s="229">
        <v>1.0079380986093169</v>
      </c>
      <c r="N24" s="229">
        <v>0.22352208094745121</v>
      </c>
      <c r="O24" s="229">
        <v>1.5923529411764705</v>
      </c>
      <c r="P24" s="229">
        <v>0.18087500000000001</v>
      </c>
      <c r="Q24" s="229">
        <v>0.60099999999999998</v>
      </c>
      <c r="R24" s="229">
        <v>0</v>
      </c>
      <c r="S24" s="229">
        <v>0</v>
      </c>
      <c r="T24" s="230">
        <f t="shared" ref="T24:T43" si="3">1-(M24-N24)/M24</f>
        <v>0.22176171458927041</v>
      </c>
      <c r="U24" s="201">
        <v>5</v>
      </c>
      <c r="V24" s="229">
        <v>0.78441601766186575</v>
      </c>
      <c r="W24" s="229">
        <v>1.0980958609164835</v>
      </c>
      <c r="X24" s="229">
        <v>1.1270189981317511</v>
      </c>
      <c r="Y24" s="229">
        <v>0</v>
      </c>
    </row>
    <row r="25" spans="9:35" x14ac:dyDescent="0.25">
      <c r="I25" s="201">
        <f t="shared" si="0"/>
        <v>5</v>
      </c>
      <c r="J25" s="201">
        <f t="shared" si="1"/>
        <v>6</v>
      </c>
      <c r="K25" s="201" t="s">
        <v>410</v>
      </c>
      <c r="L25" s="201">
        <v>6</v>
      </c>
      <c r="M25" s="229">
        <v>1.1276853240226044</v>
      </c>
      <c r="N25" s="229">
        <v>0.22499312853115708</v>
      </c>
      <c r="O25" s="229">
        <v>1.5923529411764705</v>
      </c>
      <c r="P25" s="229">
        <v>0.47375</v>
      </c>
      <c r="Q25" s="229">
        <v>0.60099999999999998</v>
      </c>
      <c r="R25" s="229">
        <v>0</v>
      </c>
      <c r="S25" s="229">
        <v>0</v>
      </c>
      <c r="T25" s="230">
        <f t="shared" si="3"/>
        <v>0.19951765243213104</v>
      </c>
      <c r="U25" s="201">
        <v>6</v>
      </c>
      <c r="V25" s="229">
        <v>0.9026921954914473</v>
      </c>
      <c r="W25" s="229">
        <v>1.1758031412686594</v>
      </c>
      <c r="X25" s="229">
        <v>1.2969536966067745</v>
      </c>
      <c r="Y25" s="229">
        <v>0</v>
      </c>
    </row>
    <row r="26" spans="9:35" x14ac:dyDescent="0.25">
      <c r="I26" s="201">
        <f t="shared" si="0"/>
        <v>6</v>
      </c>
      <c r="J26" s="201">
        <f t="shared" si="1"/>
        <v>7</v>
      </c>
      <c r="K26" s="201" t="s">
        <v>410</v>
      </c>
      <c r="L26" s="201">
        <v>7</v>
      </c>
      <c r="M26" s="229">
        <v>1.4223327759374642</v>
      </c>
      <c r="N26" s="229">
        <v>0.33517319959951403</v>
      </c>
      <c r="O26" s="229">
        <v>1.5923529411764705</v>
      </c>
      <c r="P26" s="229">
        <v>0.47375</v>
      </c>
      <c r="Q26" s="229">
        <v>0.93316666666666659</v>
      </c>
      <c r="R26" s="229">
        <v>0.88124999999999998</v>
      </c>
      <c r="S26" s="229">
        <v>0.55149999999999999</v>
      </c>
      <c r="T26" s="230">
        <f t="shared" si="3"/>
        <v>0.23565033814157887</v>
      </c>
      <c r="U26" s="201">
        <v>7</v>
      </c>
      <c r="V26" s="229">
        <v>1.0871595763379502</v>
      </c>
      <c r="W26" s="229">
        <v>1.1366786691824693</v>
      </c>
      <c r="X26" s="229">
        <v>1.5619893894898735</v>
      </c>
      <c r="Y26" s="229">
        <v>0.32974999999999999</v>
      </c>
      <c r="AB26" s="201"/>
      <c r="AC26" s="231" t="s">
        <v>289</v>
      </c>
      <c r="AD26" s="231" t="s">
        <v>296</v>
      </c>
    </row>
    <row r="27" spans="9:35" ht="26.4" x14ac:dyDescent="0.25">
      <c r="I27" s="201">
        <f t="shared" si="0"/>
        <v>7</v>
      </c>
      <c r="J27" s="201">
        <f t="shared" si="1"/>
        <v>8</v>
      </c>
      <c r="K27" s="201" t="s">
        <v>410</v>
      </c>
      <c r="L27" s="201">
        <v>8</v>
      </c>
      <c r="M27" s="229">
        <v>1.586919397326239</v>
      </c>
      <c r="N27" s="229">
        <v>0.49992991388081809</v>
      </c>
      <c r="O27" s="229">
        <v>1.7629694444444486</v>
      </c>
      <c r="P27" s="229">
        <v>0.58784559027777816</v>
      </c>
      <c r="Q27" s="229">
        <v>1.142119166666667</v>
      </c>
      <c r="R27" s="229">
        <v>1.31925</v>
      </c>
      <c r="S27" s="229">
        <v>0.94574999999999998</v>
      </c>
      <c r="T27" s="230">
        <f t="shared" si="3"/>
        <v>0.3150316989779931</v>
      </c>
      <c r="U27" s="201">
        <v>8</v>
      </c>
      <c r="V27" s="229">
        <v>1.086989483445421</v>
      </c>
      <c r="W27" s="229">
        <v>1.1212021936367855</v>
      </c>
      <c r="X27" s="229">
        <v>1.5617450065132241</v>
      </c>
      <c r="Y27" s="229">
        <v>0.37350000000000005</v>
      </c>
      <c r="AB27" s="226" t="s">
        <v>453</v>
      </c>
      <c r="AC27" s="233">
        <f>ROUND(SUMPRODUCT(AC22:AE22,AC23:AE23)/SUM(AC23:AE23),3)</f>
        <v>0.96499999999999997</v>
      </c>
      <c r="AD27" s="233">
        <f>ROUND(SUMPRODUCT(AF22:AI22,AF23:AI23)/SUM(AF23:AI23),3)</f>
        <v>0.93100000000000005</v>
      </c>
    </row>
    <row r="28" spans="9:35" x14ac:dyDescent="0.25">
      <c r="I28" s="201">
        <f t="shared" si="0"/>
        <v>8</v>
      </c>
      <c r="J28" s="201">
        <f t="shared" si="1"/>
        <v>9</v>
      </c>
      <c r="K28" s="201" t="s">
        <v>410</v>
      </c>
      <c r="L28" s="201">
        <v>9</v>
      </c>
      <c r="M28" s="229">
        <v>1.6860590993826852</v>
      </c>
      <c r="N28" s="229">
        <v>0.91686015528889842</v>
      </c>
      <c r="O28" s="229">
        <v>1.9334705882352941</v>
      </c>
      <c r="P28" s="229">
        <v>1.1011666666666664</v>
      </c>
      <c r="Q28" s="229">
        <v>1.423</v>
      </c>
      <c r="R28" s="229">
        <v>1.8205</v>
      </c>
      <c r="S28" s="229">
        <v>1.2182500000000001</v>
      </c>
      <c r="T28" s="230">
        <f t="shared" si="3"/>
        <v>0.54378885984755065</v>
      </c>
      <c r="U28" s="201">
        <v>9</v>
      </c>
      <c r="V28" s="229">
        <v>0.76919894409378675</v>
      </c>
      <c r="W28" s="229">
        <v>0.79942259638598379</v>
      </c>
      <c r="X28" s="229">
        <v>1.1051556875656143</v>
      </c>
      <c r="Y28" s="229">
        <v>0.60224999999999995</v>
      </c>
    </row>
    <row r="29" spans="9:35" x14ac:dyDescent="0.25">
      <c r="I29" s="201">
        <f t="shared" si="0"/>
        <v>9</v>
      </c>
      <c r="J29" s="201">
        <f t="shared" si="1"/>
        <v>10</v>
      </c>
      <c r="K29" s="201" t="s">
        <v>410</v>
      </c>
      <c r="L29" s="201">
        <v>10</v>
      </c>
      <c r="M29" s="229">
        <v>1.7123607536834209</v>
      </c>
      <c r="N29" s="229">
        <v>1.1048970956666666</v>
      </c>
      <c r="O29" s="229">
        <v>2.0298235294117646</v>
      </c>
      <c r="P29" s="229">
        <v>1.338875</v>
      </c>
      <c r="Q29" s="229">
        <v>1.423</v>
      </c>
      <c r="R29" s="229">
        <v>1.8205</v>
      </c>
      <c r="S29" s="229">
        <v>1.2182500000000001</v>
      </c>
      <c r="T29" s="230">
        <f t="shared" si="3"/>
        <v>0.64524785054197675</v>
      </c>
      <c r="U29" s="201">
        <v>10</v>
      </c>
      <c r="V29" s="229">
        <v>0.60746365801675428</v>
      </c>
      <c r="W29" s="229">
        <v>0.62828016765604555</v>
      </c>
      <c r="X29" s="229">
        <v>0.8727806009114516</v>
      </c>
      <c r="Y29" s="229">
        <v>0.60224999999999995</v>
      </c>
    </row>
    <row r="30" spans="9:35" x14ac:dyDescent="0.25">
      <c r="I30" s="201">
        <f t="shared" si="0"/>
        <v>10</v>
      </c>
      <c r="J30" s="201">
        <f t="shared" si="1"/>
        <v>11</v>
      </c>
      <c r="K30" s="201" t="s">
        <v>410</v>
      </c>
      <c r="L30" s="201">
        <v>11</v>
      </c>
      <c r="M30" s="229">
        <v>1.7162210026417775</v>
      </c>
      <c r="N30" s="229">
        <v>1.154629477388343</v>
      </c>
      <c r="O30" s="229">
        <v>2.0298235294117646</v>
      </c>
      <c r="P30" s="229">
        <v>1.3985000000000001</v>
      </c>
      <c r="Q30" s="229">
        <v>1.423</v>
      </c>
      <c r="R30" s="229">
        <v>1.8205</v>
      </c>
      <c r="S30" s="229">
        <v>1.2182500000000001</v>
      </c>
      <c r="T30" s="230">
        <f t="shared" si="3"/>
        <v>0.67277435459129264</v>
      </c>
      <c r="U30" s="201">
        <v>11</v>
      </c>
      <c r="V30" s="229">
        <v>0.56159152525343448</v>
      </c>
      <c r="W30" s="229">
        <v>0.57428116996287126</v>
      </c>
      <c r="X30" s="229">
        <v>0.80687327119732422</v>
      </c>
      <c r="Y30" s="229">
        <v>0.60224999999999995</v>
      </c>
    </row>
    <row r="31" spans="9:35" ht="27.6" x14ac:dyDescent="0.25">
      <c r="I31" s="201">
        <f t="shared" si="0"/>
        <v>11</v>
      </c>
      <c r="J31" s="201">
        <f t="shared" si="1"/>
        <v>12</v>
      </c>
      <c r="K31" s="201" t="s">
        <v>410</v>
      </c>
      <c r="L31" s="201">
        <v>12</v>
      </c>
      <c r="M31" s="229">
        <v>1.7256126102409182</v>
      </c>
      <c r="N31" s="229">
        <v>1.1655502447138137</v>
      </c>
      <c r="O31" s="229">
        <v>2.0298235294117646</v>
      </c>
      <c r="P31" s="229">
        <v>1.3985000000000001</v>
      </c>
      <c r="Q31" s="229">
        <v>1.423</v>
      </c>
      <c r="R31" s="229">
        <v>1.8205</v>
      </c>
      <c r="S31" s="229">
        <v>1.2270000000000001</v>
      </c>
      <c r="T31" s="230">
        <f t="shared" si="3"/>
        <v>0.67544142746562774</v>
      </c>
      <c r="U31" s="201">
        <v>12</v>
      </c>
      <c r="V31" s="229">
        <v>0.56006236552710442</v>
      </c>
      <c r="W31" s="229">
        <v>0.57059986261588391</v>
      </c>
      <c r="X31" s="229">
        <v>0.80467623286058942</v>
      </c>
      <c r="Y31" s="229">
        <v>0.59349999999999992</v>
      </c>
      <c r="AB31" s="243" t="s">
        <v>460</v>
      </c>
      <c r="AC31" s="238" t="s">
        <v>7</v>
      </c>
      <c r="AD31" s="238" t="s">
        <v>2</v>
      </c>
      <c r="AE31" s="238" t="s">
        <v>171</v>
      </c>
      <c r="AF31" s="238" t="s">
        <v>8</v>
      </c>
      <c r="AG31" s="238" t="s">
        <v>177</v>
      </c>
    </row>
    <row r="32" spans="9:35" ht="14.4" x14ac:dyDescent="0.25">
      <c r="I32" s="201">
        <f t="shared" si="0"/>
        <v>12</v>
      </c>
      <c r="J32" s="201">
        <v>1</v>
      </c>
      <c r="K32" s="201" t="s">
        <v>410</v>
      </c>
      <c r="L32" s="201">
        <v>13</v>
      </c>
      <c r="M32" s="229">
        <v>1.7305063834735426</v>
      </c>
      <c r="N32" s="229">
        <v>1.1695749047175368</v>
      </c>
      <c r="O32" s="229">
        <v>2.0298235294117646</v>
      </c>
      <c r="P32" s="229">
        <v>1.3985000000000001</v>
      </c>
      <c r="Q32" s="229">
        <v>1.423</v>
      </c>
      <c r="R32" s="229">
        <v>1.8205</v>
      </c>
      <c r="S32" s="229">
        <v>1.2270000000000001</v>
      </c>
      <c r="T32" s="230">
        <f t="shared" si="3"/>
        <v>0.67585702999252661</v>
      </c>
      <c r="U32" s="201">
        <v>13</v>
      </c>
      <c r="V32" s="229">
        <v>0.5609314787560058</v>
      </c>
      <c r="W32" s="229">
        <v>0.57002621476005599</v>
      </c>
      <c r="X32" s="229">
        <v>0.8059249415794898</v>
      </c>
      <c r="Y32" s="229">
        <v>0.59349999999999992</v>
      </c>
      <c r="AB32" s="242" t="s">
        <v>459</v>
      </c>
      <c r="AC32" s="239">
        <v>53</v>
      </c>
      <c r="AD32" s="239">
        <v>22</v>
      </c>
      <c r="AE32" s="239">
        <v>5</v>
      </c>
      <c r="AF32" s="239">
        <v>4</v>
      </c>
      <c r="AG32" s="239"/>
    </row>
    <row r="33" spans="9:35" ht="12.6" customHeight="1" x14ac:dyDescent="0.25">
      <c r="I33" s="201">
        <f t="shared" si="0"/>
        <v>1</v>
      </c>
      <c r="J33" s="201">
        <f t="shared" si="1"/>
        <v>2</v>
      </c>
      <c r="K33" s="201" t="s">
        <v>410</v>
      </c>
      <c r="L33" s="201">
        <v>14</v>
      </c>
      <c r="M33" s="229">
        <v>1.7463627919691289</v>
      </c>
      <c r="N33" s="229">
        <v>1.1736760235306394</v>
      </c>
      <c r="O33" s="229">
        <v>2.0298235294117646</v>
      </c>
      <c r="P33" s="229">
        <v>1.3985000000000001</v>
      </c>
      <c r="Q33" s="229">
        <v>1.423</v>
      </c>
      <c r="R33" s="229">
        <v>1.8205</v>
      </c>
      <c r="S33" s="229">
        <v>1.2270000000000001</v>
      </c>
      <c r="T33" s="230">
        <f t="shared" si="3"/>
        <v>0.67206884441648529</v>
      </c>
      <c r="U33" s="201">
        <v>14</v>
      </c>
      <c r="V33" s="229">
        <v>0.57268676843848954</v>
      </c>
      <c r="W33" s="229">
        <v>0.57525497154695426</v>
      </c>
      <c r="X33" s="229">
        <v>0.82281449317252253</v>
      </c>
      <c r="Y33" s="229">
        <v>0.59349999999999992</v>
      </c>
      <c r="AB33" s="242" t="s">
        <v>461</v>
      </c>
      <c r="AC33" s="241">
        <f>AC22</f>
        <v>0.99020203118043981</v>
      </c>
      <c r="AD33" s="241">
        <f>AD22</f>
        <v>0.93424522560639867</v>
      </c>
      <c r="AE33" s="240" t="s">
        <v>247</v>
      </c>
      <c r="AF33" s="241">
        <f>AE22</f>
        <v>0.83479813238121403</v>
      </c>
      <c r="AG33" s="244">
        <f>AC27</f>
        <v>0.96499999999999997</v>
      </c>
    </row>
    <row r="34" spans="9:35" ht="27.6" x14ac:dyDescent="0.25">
      <c r="I34" s="201">
        <f t="shared" si="0"/>
        <v>2</v>
      </c>
      <c r="J34" s="201">
        <f t="shared" si="1"/>
        <v>3</v>
      </c>
      <c r="K34" s="201" t="s">
        <v>410</v>
      </c>
      <c r="L34" s="201">
        <v>15</v>
      </c>
      <c r="M34" s="229">
        <v>1.7497059525637697</v>
      </c>
      <c r="N34" s="229">
        <v>1.1731911472090084</v>
      </c>
      <c r="O34" s="229">
        <v>2.0298235294117646</v>
      </c>
      <c r="P34" s="229">
        <v>1.3985000000000001</v>
      </c>
      <c r="Q34" s="229">
        <v>1.423</v>
      </c>
      <c r="R34" s="229">
        <v>1.8205</v>
      </c>
      <c r="S34" s="229">
        <v>1.2182500000000001</v>
      </c>
      <c r="T34" s="230">
        <f t="shared" si="3"/>
        <v>0.67050760471494164</v>
      </c>
      <c r="U34" s="201">
        <v>15</v>
      </c>
      <c r="V34" s="234">
        <v>0.57651480535476129</v>
      </c>
      <c r="W34" s="234">
        <v>0.57740991948220122</v>
      </c>
      <c r="X34" s="234">
        <v>0.82831447052261242</v>
      </c>
      <c r="Y34" s="229">
        <v>0.60224999999999995</v>
      </c>
      <c r="AB34" s="242" t="s">
        <v>462</v>
      </c>
      <c r="AC34" s="241">
        <f>AF22</f>
        <v>0.97490173568668737</v>
      </c>
      <c r="AD34" s="241">
        <f>AG22</f>
        <v>0.83415117387677273</v>
      </c>
      <c r="AE34" s="241">
        <f>AH22</f>
        <v>1</v>
      </c>
      <c r="AF34" s="241">
        <f>AI22</f>
        <v>0.85961695191524046</v>
      </c>
      <c r="AG34" s="233">
        <f>AD27</f>
        <v>0.93100000000000005</v>
      </c>
    </row>
    <row r="35" spans="9:35" ht="14.4" x14ac:dyDescent="0.3">
      <c r="I35" s="201">
        <f t="shared" si="0"/>
        <v>3</v>
      </c>
      <c r="J35" s="201">
        <f t="shared" si="1"/>
        <v>4</v>
      </c>
      <c r="K35" s="201" t="s">
        <v>410</v>
      </c>
      <c r="L35" s="201">
        <v>16</v>
      </c>
      <c r="M35" s="229">
        <v>1.7541427308932147</v>
      </c>
      <c r="N35" s="229">
        <v>1.1737921690197564</v>
      </c>
      <c r="O35" s="229">
        <v>2.0298235294117646</v>
      </c>
      <c r="P35" s="229">
        <v>1.3985000000000001</v>
      </c>
      <c r="Q35" s="229">
        <v>1.423</v>
      </c>
      <c r="R35" s="229">
        <v>1.8205</v>
      </c>
      <c r="S35" s="229">
        <v>1.2182500000000001</v>
      </c>
      <c r="T35" s="230">
        <f t="shared" si="3"/>
        <v>0.66915431016383597</v>
      </c>
      <c r="U35" s="201">
        <v>16</v>
      </c>
      <c r="V35" s="234">
        <v>0.58035056187345835</v>
      </c>
      <c r="W35" s="234">
        <v>0.57927784488520107</v>
      </c>
      <c r="X35" s="234">
        <v>0.83382553910286006</v>
      </c>
      <c r="Y35" s="229">
        <v>0.60224999999999995</v>
      </c>
      <c r="AB35"/>
      <c r="AC35"/>
      <c r="AD35"/>
      <c r="AE35"/>
      <c r="AF35"/>
      <c r="AG35"/>
      <c r="AH35"/>
      <c r="AI35"/>
    </row>
    <row r="36" spans="9:35" ht="14.4" x14ac:dyDescent="0.3">
      <c r="I36" s="203">
        <f t="shared" si="0"/>
        <v>4</v>
      </c>
      <c r="J36" s="203">
        <f t="shared" si="1"/>
        <v>5</v>
      </c>
      <c r="K36" s="201" t="s">
        <v>402</v>
      </c>
      <c r="L36" s="201">
        <v>17</v>
      </c>
      <c r="M36" s="235">
        <v>1.7531425988202718</v>
      </c>
      <c r="N36" s="235">
        <v>1.1685886918835096</v>
      </c>
      <c r="O36" s="235">
        <v>2.0298235294117646</v>
      </c>
      <c r="P36" s="235">
        <v>1.3985000000000001</v>
      </c>
      <c r="Q36" s="235">
        <v>1.423</v>
      </c>
      <c r="R36" s="235">
        <v>1.8205</v>
      </c>
      <c r="S36" s="235">
        <v>1.2182500000000001</v>
      </c>
      <c r="T36" s="230">
        <f t="shared" si="3"/>
        <v>0.66656796353581194</v>
      </c>
      <c r="U36" s="201">
        <v>17</v>
      </c>
      <c r="V36" s="235">
        <v>0.58455390693676224</v>
      </c>
      <c r="W36" s="235">
        <v>0.58284772740893009</v>
      </c>
      <c r="X36" s="235">
        <v>0.83986474487554086</v>
      </c>
      <c r="Y36" s="229">
        <v>0.60224999999999995</v>
      </c>
      <c r="AB36"/>
      <c r="AC36"/>
      <c r="AD36"/>
      <c r="AE36"/>
      <c r="AF36"/>
      <c r="AG36"/>
      <c r="AH36"/>
      <c r="AI36"/>
    </row>
    <row r="37" spans="9:35" ht="14.4" x14ac:dyDescent="0.3">
      <c r="I37" s="203">
        <f t="shared" si="0"/>
        <v>5</v>
      </c>
      <c r="J37" s="203">
        <f t="shared" si="1"/>
        <v>6</v>
      </c>
      <c r="K37" s="201" t="s">
        <v>402</v>
      </c>
      <c r="L37" s="201">
        <v>18</v>
      </c>
      <c r="M37" s="235">
        <v>1.7481476900461279</v>
      </c>
      <c r="N37" s="235">
        <v>1.1660492660849611</v>
      </c>
      <c r="O37" s="235">
        <v>1.923470588235294</v>
      </c>
      <c r="P37" s="235">
        <v>1.3985000000000001</v>
      </c>
      <c r="Q37" s="235">
        <v>1.423</v>
      </c>
      <c r="R37" s="235">
        <v>1.8205</v>
      </c>
      <c r="S37" s="235">
        <v>1.2182500000000001</v>
      </c>
      <c r="T37" s="230">
        <f t="shared" si="3"/>
        <v>0.66701988208684637</v>
      </c>
      <c r="U37" s="201">
        <v>18</v>
      </c>
      <c r="V37" s="235">
        <v>0.58209842396116684</v>
      </c>
      <c r="W37" s="235">
        <v>0.55814283114382912</v>
      </c>
      <c r="X37" s="235">
        <v>0.83633680064598015</v>
      </c>
      <c r="Y37" s="229">
        <v>0.60224999999999995</v>
      </c>
      <c r="AB37"/>
      <c r="AC37"/>
      <c r="AD37"/>
      <c r="AE37"/>
      <c r="AF37"/>
      <c r="AG37"/>
      <c r="AH37"/>
      <c r="AI37"/>
    </row>
    <row r="38" spans="9:35" ht="14.4" x14ac:dyDescent="0.3">
      <c r="I38" s="203">
        <f t="shared" si="0"/>
        <v>6</v>
      </c>
      <c r="J38" s="203">
        <f t="shared" si="1"/>
        <v>7</v>
      </c>
      <c r="K38" s="201" t="s">
        <v>402</v>
      </c>
      <c r="L38" s="201">
        <v>19</v>
      </c>
      <c r="M38" s="235">
        <v>1.745393602251716</v>
      </c>
      <c r="N38" s="235">
        <v>1.1636599009859971</v>
      </c>
      <c r="O38" s="235">
        <v>1.9072941176470588</v>
      </c>
      <c r="P38" s="235">
        <v>1.2635000000000001</v>
      </c>
      <c r="Q38" s="235">
        <v>1.423</v>
      </c>
      <c r="R38" s="235">
        <v>1.31925</v>
      </c>
      <c r="S38" s="235">
        <v>0.94574999999999998</v>
      </c>
      <c r="T38" s="230">
        <f t="shared" si="3"/>
        <v>0.66670342980790709</v>
      </c>
      <c r="U38" s="201">
        <v>19</v>
      </c>
      <c r="V38" s="235">
        <v>0.58173370126571888</v>
      </c>
      <c r="W38" s="235">
        <v>0.59076745723809931</v>
      </c>
      <c r="X38" s="235">
        <v>0.83581278099624778</v>
      </c>
      <c r="Y38" s="229">
        <v>0.37350000000000005</v>
      </c>
      <c r="AB38"/>
      <c r="AC38"/>
      <c r="AD38"/>
      <c r="AE38"/>
      <c r="AF38"/>
      <c r="AG38"/>
      <c r="AH38"/>
      <c r="AI38"/>
    </row>
    <row r="39" spans="9:35" ht="14.4" x14ac:dyDescent="0.3">
      <c r="I39" s="203">
        <f t="shared" si="0"/>
        <v>7</v>
      </c>
      <c r="J39" s="203">
        <f t="shared" si="1"/>
        <v>8</v>
      </c>
      <c r="K39" s="201" t="s">
        <v>402</v>
      </c>
      <c r="L39" s="201">
        <v>20</v>
      </c>
      <c r="M39" s="235">
        <v>1.7235563637017188</v>
      </c>
      <c r="N39" s="235">
        <v>1.1625665287993205</v>
      </c>
      <c r="O39" s="235">
        <v>1.8587647058823527</v>
      </c>
      <c r="P39" s="235">
        <v>1.2364895833333338</v>
      </c>
      <c r="Q39" s="235">
        <v>1.423</v>
      </c>
      <c r="R39" s="235">
        <v>1.31925</v>
      </c>
      <c r="S39" s="235">
        <v>0.94574999999999998</v>
      </c>
      <c r="T39" s="230">
        <f t="shared" si="3"/>
        <v>0.67451610709292475</v>
      </c>
      <c r="U39" s="201">
        <v>20</v>
      </c>
      <c r="V39" s="235">
        <v>0.56098983490239829</v>
      </c>
      <c r="W39" s="235">
        <v>0.57690597617083283</v>
      </c>
      <c r="X39" s="235">
        <v>0.80600878546355292</v>
      </c>
      <c r="Y39" s="229">
        <v>0.37350000000000005</v>
      </c>
      <c r="AB39"/>
      <c r="AC39"/>
      <c r="AD39"/>
      <c r="AE39"/>
      <c r="AF39"/>
      <c r="AG39"/>
      <c r="AH39"/>
      <c r="AI39"/>
    </row>
    <row r="40" spans="9:35" ht="14.4" x14ac:dyDescent="0.3">
      <c r="I40" s="203">
        <f t="shared" si="0"/>
        <v>8</v>
      </c>
      <c r="J40" s="203">
        <f t="shared" si="1"/>
        <v>9</v>
      </c>
      <c r="K40" s="201" t="s">
        <v>402</v>
      </c>
      <c r="L40" s="201">
        <v>21</v>
      </c>
      <c r="M40" s="235">
        <v>1.7145382207344897</v>
      </c>
      <c r="N40" s="235">
        <v>1.0607957268102213</v>
      </c>
      <c r="O40" s="235">
        <v>1.7624117647058823</v>
      </c>
      <c r="P40" s="235">
        <v>0.53581250000000002</v>
      </c>
      <c r="Q40" s="235">
        <v>1.423</v>
      </c>
      <c r="R40" s="235">
        <v>1.31925</v>
      </c>
      <c r="S40" s="235">
        <v>0.94574999999999998</v>
      </c>
      <c r="T40" s="230">
        <f t="shared" si="3"/>
        <v>0.61870637468541689</v>
      </c>
      <c r="U40" s="201">
        <v>21</v>
      </c>
      <c r="V40" s="235">
        <v>0.65374249392426842</v>
      </c>
      <c r="W40" s="235">
        <v>0.76217461232778994</v>
      </c>
      <c r="X40" s="235">
        <v>0.93927226618195014</v>
      </c>
      <c r="Y40" s="229">
        <v>0.37350000000000005</v>
      </c>
      <c r="AB40"/>
      <c r="AC40"/>
      <c r="AD40"/>
      <c r="AE40"/>
      <c r="AF40"/>
      <c r="AG40"/>
    </row>
    <row r="41" spans="9:35" x14ac:dyDescent="0.25">
      <c r="I41" s="201">
        <f t="shared" si="0"/>
        <v>9</v>
      </c>
      <c r="J41" s="201">
        <f t="shared" si="1"/>
        <v>10</v>
      </c>
      <c r="K41" s="201" t="s">
        <v>410</v>
      </c>
      <c r="L41" s="201">
        <v>22</v>
      </c>
      <c r="M41" s="229">
        <v>1.6324692200070363</v>
      </c>
      <c r="N41" s="229">
        <v>0.9379296901679075</v>
      </c>
      <c r="O41" s="229">
        <v>1.6444705882352939</v>
      </c>
      <c r="P41" s="229">
        <v>0.18087500000000001</v>
      </c>
      <c r="Q41" s="229">
        <v>1.423</v>
      </c>
      <c r="R41" s="229">
        <v>1.31925</v>
      </c>
      <c r="S41" s="229">
        <v>0.94574999999999998</v>
      </c>
      <c r="T41" s="230">
        <f t="shared" si="3"/>
        <v>0.57454663075599355</v>
      </c>
      <c r="U41" s="201">
        <v>22</v>
      </c>
      <c r="V41" s="229">
        <v>0.69453952983912881</v>
      </c>
      <c r="W41" s="229">
        <v>0.73117842109716324</v>
      </c>
      <c r="X41" s="229">
        <v>0.99788789042756698</v>
      </c>
      <c r="Y41" s="229">
        <v>0.37350000000000005</v>
      </c>
    </row>
    <row r="42" spans="9:35" x14ac:dyDescent="0.25">
      <c r="I42" s="201">
        <f t="shared" si="0"/>
        <v>10</v>
      </c>
      <c r="J42" s="201">
        <f t="shared" si="1"/>
        <v>11</v>
      </c>
      <c r="K42" s="201" t="s">
        <v>410</v>
      </c>
      <c r="L42" s="201">
        <v>23</v>
      </c>
      <c r="M42" s="229">
        <v>1.4886865573640344</v>
      </c>
      <c r="N42" s="229">
        <v>0.46867473044275815</v>
      </c>
      <c r="O42" s="229">
        <v>1.5923529411764705</v>
      </c>
      <c r="P42" s="229">
        <v>0.18087500000000001</v>
      </c>
      <c r="Q42" s="229">
        <v>0.599325</v>
      </c>
      <c r="R42" s="229">
        <v>0.80400000000000005</v>
      </c>
      <c r="S42" s="229">
        <v>0.54212499999999997</v>
      </c>
      <c r="T42" s="230">
        <f t="shared" si="3"/>
        <v>0.31482431820478329</v>
      </c>
      <c r="U42" s="201">
        <v>23</v>
      </c>
      <c r="V42" s="229">
        <v>1.0200118269212763</v>
      </c>
      <c r="W42" s="229">
        <v>0.99732767372160602</v>
      </c>
      <c r="X42" s="229">
        <v>1.4655140657197727</v>
      </c>
      <c r="Y42" s="229">
        <v>0.26187500000000008</v>
      </c>
    </row>
    <row r="43" spans="9:35" x14ac:dyDescent="0.25">
      <c r="I43" s="201">
        <f t="shared" si="0"/>
        <v>11</v>
      </c>
      <c r="J43" s="201">
        <f t="shared" si="1"/>
        <v>12</v>
      </c>
      <c r="K43" s="201" t="s">
        <v>410</v>
      </c>
      <c r="L43" s="201">
        <v>24</v>
      </c>
      <c r="M43" s="229">
        <v>1.3796827291528746</v>
      </c>
      <c r="N43" s="229">
        <v>0.29027910897077197</v>
      </c>
      <c r="O43" s="229">
        <v>1.5923529411764705</v>
      </c>
      <c r="P43" s="229">
        <v>0.18087500000000001</v>
      </c>
      <c r="Q43" s="229">
        <v>0.60099999999999998</v>
      </c>
      <c r="R43" s="229">
        <v>0.29249999999999998</v>
      </c>
      <c r="S43" s="229">
        <v>0.17249999999999999</v>
      </c>
      <c r="T43" s="230">
        <f t="shared" si="3"/>
        <v>0.2103955516997762</v>
      </c>
      <c r="U43" s="201">
        <v>24</v>
      </c>
      <c r="V43" s="229">
        <v>1.0894036201821027</v>
      </c>
      <c r="W43" s="229">
        <v>1.1104031420932277</v>
      </c>
      <c r="X43" s="229">
        <v>1.5652135460446299</v>
      </c>
      <c r="Y43" s="229">
        <v>0.12</v>
      </c>
    </row>
    <row r="73" spans="11:11" ht="12.6" customHeight="1" x14ac:dyDescent="0.25">
      <c r="K73" s="236"/>
    </row>
    <row r="74" spans="11:11" x14ac:dyDescent="0.25">
      <c r="K74" s="236"/>
    </row>
    <row r="75" spans="11:11" x14ac:dyDescent="0.25">
      <c r="K75" s="236"/>
    </row>
    <row r="76" spans="11:11" x14ac:dyDescent="0.25">
      <c r="K76" s="236"/>
    </row>
    <row r="77" spans="11:11" x14ac:dyDescent="0.25">
      <c r="K77" s="236"/>
    </row>
    <row r="78" spans="11:11" x14ac:dyDescent="0.25">
      <c r="K78" s="236"/>
    </row>
  </sheetData>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5"/>
  <dimension ref="A1:F43"/>
  <sheetViews>
    <sheetView workbookViewId="0"/>
  </sheetViews>
  <sheetFormatPr defaultRowHeight="14.4" x14ac:dyDescent="0.3"/>
  <cols>
    <col min="2" max="2" width="30.44140625" customWidth="1"/>
    <col min="3" max="3" width="28" style="16" customWidth="1"/>
    <col min="4" max="4" width="23.44140625" customWidth="1"/>
    <col min="5" max="5" width="25.109375" customWidth="1"/>
    <col min="6" max="6" width="12.109375" customWidth="1"/>
    <col min="258" max="258" width="30.44140625" customWidth="1"/>
    <col min="259" max="259" width="22.6640625" customWidth="1"/>
    <col min="260" max="260" width="23.44140625" customWidth="1"/>
    <col min="261" max="261" width="25.109375" customWidth="1"/>
    <col min="262" max="262" width="12.109375" customWidth="1"/>
    <col min="514" max="514" width="30.44140625" customWidth="1"/>
    <col min="515" max="515" width="22.6640625" customWidth="1"/>
    <col min="516" max="516" width="23.44140625" customWidth="1"/>
    <col min="517" max="517" width="25.109375" customWidth="1"/>
    <col min="518" max="518" width="12.109375" customWidth="1"/>
    <col min="770" max="770" width="30.44140625" customWidth="1"/>
    <col min="771" max="771" width="22.6640625" customWidth="1"/>
    <col min="772" max="772" width="23.44140625" customWidth="1"/>
    <col min="773" max="773" width="25.109375" customWidth="1"/>
    <col min="774" max="774" width="12.109375" customWidth="1"/>
    <col min="1026" max="1026" width="30.44140625" customWidth="1"/>
    <col min="1027" max="1027" width="22.6640625" customWidth="1"/>
    <col min="1028" max="1028" width="23.44140625" customWidth="1"/>
    <col min="1029" max="1029" width="25.109375" customWidth="1"/>
    <col min="1030" max="1030" width="12.109375" customWidth="1"/>
    <col min="1282" max="1282" width="30.44140625" customWidth="1"/>
    <col min="1283" max="1283" width="22.6640625" customWidth="1"/>
    <col min="1284" max="1284" width="23.44140625" customWidth="1"/>
    <col min="1285" max="1285" width="25.109375" customWidth="1"/>
    <col min="1286" max="1286" width="12.109375" customWidth="1"/>
    <col min="1538" max="1538" width="30.44140625" customWidth="1"/>
    <col min="1539" max="1539" width="22.6640625" customWidth="1"/>
    <col min="1540" max="1540" width="23.44140625" customWidth="1"/>
    <col min="1541" max="1541" width="25.109375" customWidth="1"/>
    <col min="1542" max="1542" width="12.109375" customWidth="1"/>
    <col min="1794" max="1794" width="30.44140625" customWidth="1"/>
    <col min="1795" max="1795" width="22.6640625" customWidth="1"/>
    <col min="1796" max="1796" width="23.44140625" customWidth="1"/>
    <col min="1797" max="1797" width="25.109375" customWidth="1"/>
    <col min="1798" max="1798" width="12.109375" customWidth="1"/>
    <col min="2050" max="2050" width="30.44140625" customWidth="1"/>
    <col min="2051" max="2051" width="22.6640625" customWidth="1"/>
    <col min="2052" max="2052" width="23.44140625" customWidth="1"/>
    <col min="2053" max="2053" width="25.109375" customWidth="1"/>
    <col min="2054" max="2054" width="12.109375" customWidth="1"/>
    <col min="2306" max="2306" width="30.44140625" customWidth="1"/>
    <col min="2307" max="2307" width="22.6640625" customWidth="1"/>
    <col min="2308" max="2308" width="23.44140625" customWidth="1"/>
    <col min="2309" max="2309" width="25.109375" customWidth="1"/>
    <col min="2310" max="2310" width="12.109375" customWidth="1"/>
    <col min="2562" max="2562" width="30.44140625" customWidth="1"/>
    <col min="2563" max="2563" width="22.6640625" customWidth="1"/>
    <col min="2564" max="2564" width="23.44140625" customWidth="1"/>
    <col min="2565" max="2565" width="25.109375" customWidth="1"/>
    <col min="2566" max="2566" width="12.109375" customWidth="1"/>
    <col min="2818" max="2818" width="30.44140625" customWidth="1"/>
    <col min="2819" max="2819" width="22.6640625" customWidth="1"/>
    <col min="2820" max="2820" width="23.44140625" customWidth="1"/>
    <col min="2821" max="2821" width="25.109375" customWidth="1"/>
    <col min="2822" max="2822" width="12.109375" customWidth="1"/>
    <col min="3074" max="3074" width="30.44140625" customWidth="1"/>
    <col min="3075" max="3075" width="22.6640625" customWidth="1"/>
    <col min="3076" max="3076" width="23.44140625" customWidth="1"/>
    <col min="3077" max="3077" width="25.109375" customWidth="1"/>
    <col min="3078" max="3078" width="12.109375" customWidth="1"/>
    <col min="3330" max="3330" width="30.44140625" customWidth="1"/>
    <col min="3331" max="3331" width="22.6640625" customWidth="1"/>
    <col min="3332" max="3332" width="23.44140625" customWidth="1"/>
    <col min="3333" max="3333" width="25.109375" customWidth="1"/>
    <col min="3334" max="3334" width="12.109375" customWidth="1"/>
    <col min="3586" max="3586" width="30.44140625" customWidth="1"/>
    <col min="3587" max="3587" width="22.6640625" customWidth="1"/>
    <col min="3588" max="3588" width="23.44140625" customWidth="1"/>
    <col min="3589" max="3589" width="25.109375" customWidth="1"/>
    <col min="3590" max="3590" width="12.109375" customWidth="1"/>
    <col min="3842" max="3842" width="30.44140625" customWidth="1"/>
    <col min="3843" max="3843" width="22.6640625" customWidth="1"/>
    <col min="3844" max="3844" width="23.44140625" customWidth="1"/>
    <col min="3845" max="3845" width="25.109375" customWidth="1"/>
    <col min="3846" max="3846" width="12.109375" customWidth="1"/>
    <col min="4098" max="4098" width="30.44140625" customWidth="1"/>
    <col min="4099" max="4099" width="22.6640625" customWidth="1"/>
    <col min="4100" max="4100" width="23.44140625" customWidth="1"/>
    <col min="4101" max="4101" width="25.109375" customWidth="1"/>
    <col min="4102" max="4102" width="12.109375" customWidth="1"/>
    <col min="4354" max="4354" width="30.44140625" customWidth="1"/>
    <col min="4355" max="4355" width="22.6640625" customWidth="1"/>
    <col min="4356" max="4356" width="23.44140625" customWidth="1"/>
    <col min="4357" max="4357" width="25.109375" customWidth="1"/>
    <col min="4358" max="4358" width="12.109375" customWidth="1"/>
    <col min="4610" max="4610" width="30.44140625" customWidth="1"/>
    <col min="4611" max="4611" width="22.6640625" customWidth="1"/>
    <col min="4612" max="4612" width="23.44140625" customWidth="1"/>
    <col min="4613" max="4613" width="25.109375" customWidth="1"/>
    <col min="4614" max="4614" width="12.109375" customWidth="1"/>
    <col min="4866" max="4866" width="30.44140625" customWidth="1"/>
    <col min="4867" max="4867" width="22.6640625" customWidth="1"/>
    <col min="4868" max="4868" width="23.44140625" customWidth="1"/>
    <col min="4869" max="4869" width="25.109375" customWidth="1"/>
    <col min="4870" max="4870" width="12.109375" customWidth="1"/>
    <col min="5122" max="5122" width="30.44140625" customWidth="1"/>
    <col min="5123" max="5123" width="22.6640625" customWidth="1"/>
    <col min="5124" max="5124" width="23.44140625" customWidth="1"/>
    <col min="5125" max="5125" width="25.109375" customWidth="1"/>
    <col min="5126" max="5126" width="12.109375" customWidth="1"/>
    <col min="5378" max="5378" width="30.44140625" customWidth="1"/>
    <col min="5379" max="5379" width="22.6640625" customWidth="1"/>
    <col min="5380" max="5380" width="23.44140625" customWidth="1"/>
    <col min="5381" max="5381" width="25.109375" customWidth="1"/>
    <col min="5382" max="5382" width="12.109375" customWidth="1"/>
    <col min="5634" max="5634" width="30.44140625" customWidth="1"/>
    <col min="5635" max="5635" width="22.6640625" customWidth="1"/>
    <col min="5636" max="5636" width="23.44140625" customWidth="1"/>
    <col min="5637" max="5637" width="25.109375" customWidth="1"/>
    <col min="5638" max="5638" width="12.109375" customWidth="1"/>
    <col min="5890" max="5890" width="30.44140625" customWidth="1"/>
    <col min="5891" max="5891" width="22.6640625" customWidth="1"/>
    <col min="5892" max="5892" width="23.44140625" customWidth="1"/>
    <col min="5893" max="5893" width="25.109375" customWidth="1"/>
    <col min="5894" max="5894" width="12.109375" customWidth="1"/>
    <col min="6146" max="6146" width="30.44140625" customWidth="1"/>
    <col min="6147" max="6147" width="22.6640625" customWidth="1"/>
    <col min="6148" max="6148" width="23.44140625" customWidth="1"/>
    <col min="6149" max="6149" width="25.109375" customWidth="1"/>
    <col min="6150" max="6150" width="12.109375" customWidth="1"/>
    <col min="6402" max="6402" width="30.44140625" customWidth="1"/>
    <col min="6403" max="6403" width="22.6640625" customWidth="1"/>
    <col min="6404" max="6404" width="23.44140625" customWidth="1"/>
    <col min="6405" max="6405" width="25.109375" customWidth="1"/>
    <col min="6406" max="6406" width="12.109375" customWidth="1"/>
    <col min="6658" max="6658" width="30.44140625" customWidth="1"/>
    <col min="6659" max="6659" width="22.6640625" customWidth="1"/>
    <col min="6660" max="6660" width="23.44140625" customWidth="1"/>
    <col min="6661" max="6661" width="25.109375" customWidth="1"/>
    <col min="6662" max="6662" width="12.109375" customWidth="1"/>
    <col min="6914" max="6914" width="30.44140625" customWidth="1"/>
    <col min="6915" max="6915" width="22.6640625" customWidth="1"/>
    <col min="6916" max="6916" width="23.44140625" customWidth="1"/>
    <col min="6917" max="6917" width="25.109375" customWidth="1"/>
    <col min="6918" max="6918" width="12.109375" customWidth="1"/>
    <col min="7170" max="7170" width="30.44140625" customWidth="1"/>
    <col min="7171" max="7171" width="22.6640625" customWidth="1"/>
    <col min="7172" max="7172" width="23.44140625" customWidth="1"/>
    <col min="7173" max="7173" width="25.109375" customWidth="1"/>
    <col min="7174" max="7174" width="12.109375" customWidth="1"/>
    <col min="7426" max="7426" width="30.44140625" customWidth="1"/>
    <col min="7427" max="7427" width="22.6640625" customWidth="1"/>
    <col min="7428" max="7428" width="23.44140625" customWidth="1"/>
    <col min="7429" max="7429" width="25.109375" customWidth="1"/>
    <col min="7430" max="7430" width="12.109375" customWidth="1"/>
    <col min="7682" max="7682" width="30.44140625" customWidth="1"/>
    <col min="7683" max="7683" width="22.6640625" customWidth="1"/>
    <col min="7684" max="7684" width="23.44140625" customWidth="1"/>
    <col min="7685" max="7685" width="25.109375" customWidth="1"/>
    <col min="7686" max="7686" width="12.109375" customWidth="1"/>
    <col min="7938" max="7938" width="30.44140625" customWidth="1"/>
    <col min="7939" max="7939" width="22.6640625" customWidth="1"/>
    <col min="7940" max="7940" width="23.44140625" customWidth="1"/>
    <col min="7941" max="7941" width="25.109375" customWidth="1"/>
    <col min="7942" max="7942" width="12.109375" customWidth="1"/>
    <col min="8194" max="8194" width="30.44140625" customWidth="1"/>
    <col min="8195" max="8195" width="22.6640625" customWidth="1"/>
    <col min="8196" max="8196" width="23.44140625" customWidth="1"/>
    <col min="8197" max="8197" width="25.109375" customWidth="1"/>
    <col min="8198" max="8198" width="12.109375" customWidth="1"/>
    <col min="8450" max="8450" width="30.44140625" customWidth="1"/>
    <col min="8451" max="8451" width="22.6640625" customWidth="1"/>
    <col min="8452" max="8452" width="23.44140625" customWidth="1"/>
    <col min="8453" max="8453" width="25.109375" customWidth="1"/>
    <col min="8454" max="8454" width="12.109375" customWidth="1"/>
    <col min="8706" max="8706" width="30.44140625" customWidth="1"/>
    <col min="8707" max="8707" width="22.6640625" customWidth="1"/>
    <col min="8708" max="8708" width="23.44140625" customWidth="1"/>
    <col min="8709" max="8709" width="25.109375" customWidth="1"/>
    <col min="8710" max="8710" width="12.109375" customWidth="1"/>
    <col min="8962" max="8962" width="30.44140625" customWidth="1"/>
    <col min="8963" max="8963" width="22.6640625" customWidth="1"/>
    <col min="8964" max="8964" width="23.44140625" customWidth="1"/>
    <col min="8965" max="8965" width="25.109375" customWidth="1"/>
    <col min="8966" max="8966" width="12.109375" customWidth="1"/>
    <col min="9218" max="9218" width="30.44140625" customWidth="1"/>
    <col min="9219" max="9219" width="22.6640625" customWidth="1"/>
    <col min="9220" max="9220" width="23.44140625" customWidth="1"/>
    <col min="9221" max="9221" width="25.109375" customWidth="1"/>
    <col min="9222" max="9222" width="12.109375" customWidth="1"/>
    <col min="9474" max="9474" width="30.44140625" customWidth="1"/>
    <col min="9475" max="9475" width="22.6640625" customWidth="1"/>
    <col min="9476" max="9476" width="23.44140625" customWidth="1"/>
    <col min="9477" max="9477" width="25.109375" customWidth="1"/>
    <col min="9478" max="9478" width="12.109375" customWidth="1"/>
    <col min="9730" max="9730" width="30.44140625" customWidth="1"/>
    <col min="9731" max="9731" width="22.6640625" customWidth="1"/>
    <col min="9732" max="9732" width="23.44140625" customWidth="1"/>
    <col min="9733" max="9733" width="25.109375" customWidth="1"/>
    <col min="9734" max="9734" width="12.109375" customWidth="1"/>
    <col min="9986" max="9986" width="30.44140625" customWidth="1"/>
    <col min="9987" max="9987" width="22.6640625" customWidth="1"/>
    <col min="9988" max="9988" width="23.44140625" customWidth="1"/>
    <col min="9989" max="9989" width="25.109375" customWidth="1"/>
    <col min="9990" max="9990" width="12.109375" customWidth="1"/>
    <col min="10242" max="10242" width="30.44140625" customWidth="1"/>
    <col min="10243" max="10243" width="22.6640625" customWidth="1"/>
    <col min="10244" max="10244" width="23.44140625" customWidth="1"/>
    <col min="10245" max="10245" width="25.109375" customWidth="1"/>
    <col min="10246" max="10246" width="12.109375" customWidth="1"/>
    <col min="10498" max="10498" width="30.44140625" customWidth="1"/>
    <col min="10499" max="10499" width="22.6640625" customWidth="1"/>
    <col min="10500" max="10500" width="23.44140625" customWidth="1"/>
    <col min="10501" max="10501" width="25.109375" customWidth="1"/>
    <col min="10502" max="10502" width="12.109375" customWidth="1"/>
    <col min="10754" max="10754" width="30.44140625" customWidth="1"/>
    <col min="10755" max="10755" width="22.6640625" customWidth="1"/>
    <col min="10756" max="10756" width="23.44140625" customWidth="1"/>
    <col min="10757" max="10757" width="25.109375" customWidth="1"/>
    <col min="10758" max="10758" width="12.109375" customWidth="1"/>
    <col min="11010" max="11010" width="30.44140625" customWidth="1"/>
    <col min="11011" max="11011" width="22.6640625" customWidth="1"/>
    <col min="11012" max="11012" width="23.44140625" customWidth="1"/>
    <col min="11013" max="11013" width="25.109375" customWidth="1"/>
    <col min="11014" max="11014" width="12.109375" customWidth="1"/>
    <col min="11266" max="11266" width="30.44140625" customWidth="1"/>
    <col min="11267" max="11267" width="22.6640625" customWidth="1"/>
    <col min="11268" max="11268" width="23.44140625" customWidth="1"/>
    <col min="11269" max="11269" width="25.109375" customWidth="1"/>
    <col min="11270" max="11270" width="12.109375" customWidth="1"/>
    <col min="11522" max="11522" width="30.44140625" customWidth="1"/>
    <col min="11523" max="11523" width="22.6640625" customWidth="1"/>
    <col min="11524" max="11524" width="23.44140625" customWidth="1"/>
    <col min="11525" max="11525" width="25.109375" customWidth="1"/>
    <col min="11526" max="11526" width="12.109375" customWidth="1"/>
    <col min="11778" max="11778" width="30.44140625" customWidth="1"/>
    <col min="11779" max="11779" width="22.6640625" customWidth="1"/>
    <col min="11780" max="11780" width="23.44140625" customWidth="1"/>
    <col min="11781" max="11781" width="25.109375" customWidth="1"/>
    <col min="11782" max="11782" width="12.109375" customWidth="1"/>
    <col min="12034" max="12034" width="30.44140625" customWidth="1"/>
    <col min="12035" max="12035" width="22.6640625" customWidth="1"/>
    <col min="12036" max="12036" width="23.44140625" customWidth="1"/>
    <col min="12037" max="12037" width="25.109375" customWidth="1"/>
    <col min="12038" max="12038" width="12.109375" customWidth="1"/>
    <col min="12290" max="12290" width="30.44140625" customWidth="1"/>
    <col min="12291" max="12291" width="22.6640625" customWidth="1"/>
    <col min="12292" max="12292" width="23.44140625" customWidth="1"/>
    <col min="12293" max="12293" width="25.109375" customWidth="1"/>
    <col min="12294" max="12294" width="12.109375" customWidth="1"/>
    <col min="12546" max="12546" width="30.44140625" customWidth="1"/>
    <col min="12547" max="12547" width="22.6640625" customWidth="1"/>
    <col min="12548" max="12548" width="23.44140625" customWidth="1"/>
    <col min="12549" max="12549" width="25.109375" customWidth="1"/>
    <col min="12550" max="12550" width="12.109375" customWidth="1"/>
    <col min="12802" max="12802" width="30.44140625" customWidth="1"/>
    <col min="12803" max="12803" width="22.6640625" customWidth="1"/>
    <col min="12804" max="12804" width="23.44140625" customWidth="1"/>
    <col min="12805" max="12805" width="25.109375" customWidth="1"/>
    <col min="12806" max="12806" width="12.109375" customWidth="1"/>
    <col min="13058" max="13058" width="30.44140625" customWidth="1"/>
    <col min="13059" max="13059" width="22.6640625" customWidth="1"/>
    <col min="13060" max="13060" width="23.44140625" customWidth="1"/>
    <col min="13061" max="13061" width="25.109375" customWidth="1"/>
    <col min="13062" max="13062" width="12.109375" customWidth="1"/>
    <col min="13314" max="13314" width="30.44140625" customWidth="1"/>
    <col min="13315" max="13315" width="22.6640625" customWidth="1"/>
    <col min="13316" max="13316" width="23.44140625" customWidth="1"/>
    <col min="13317" max="13317" width="25.109375" customWidth="1"/>
    <col min="13318" max="13318" width="12.109375" customWidth="1"/>
    <col min="13570" max="13570" width="30.44140625" customWidth="1"/>
    <col min="13571" max="13571" width="22.6640625" customWidth="1"/>
    <col min="13572" max="13572" width="23.44140625" customWidth="1"/>
    <col min="13573" max="13573" width="25.109375" customWidth="1"/>
    <col min="13574" max="13574" width="12.109375" customWidth="1"/>
    <col min="13826" max="13826" width="30.44140625" customWidth="1"/>
    <col min="13827" max="13827" width="22.6640625" customWidth="1"/>
    <col min="13828" max="13828" width="23.44140625" customWidth="1"/>
    <col min="13829" max="13829" width="25.109375" customWidth="1"/>
    <col min="13830" max="13830" width="12.109375" customWidth="1"/>
    <col min="14082" max="14082" width="30.44140625" customWidth="1"/>
    <col min="14083" max="14083" width="22.6640625" customWidth="1"/>
    <col min="14084" max="14084" width="23.44140625" customWidth="1"/>
    <col min="14085" max="14085" width="25.109375" customWidth="1"/>
    <col min="14086" max="14086" width="12.109375" customWidth="1"/>
    <col min="14338" max="14338" width="30.44140625" customWidth="1"/>
    <col min="14339" max="14339" width="22.6640625" customWidth="1"/>
    <col min="14340" max="14340" width="23.44140625" customWidth="1"/>
    <col min="14341" max="14341" width="25.109375" customWidth="1"/>
    <col min="14342" max="14342" width="12.109375" customWidth="1"/>
    <col min="14594" max="14594" width="30.44140625" customWidth="1"/>
    <col min="14595" max="14595" width="22.6640625" customWidth="1"/>
    <col min="14596" max="14596" width="23.44140625" customWidth="1"/>
    <col min="14597" max="14597" width="25.109375" customWidth="1"/>
    <col min="14598" max="14598" width="12.109375" customWidth="1"/>
    <col min="14850" max="14850" width="30.44140625" customWidth="1"/>
    <col min="14851" max="14851" width="22.6640625" customWidth="1"/>
    <col min="14852" max="14852" width="23.44140625" customWidth="1"/>
    <col min="14853" max="14853" width="25.109375" customWidth="1"/>
    <col min="14854" max="14854" width="12.109375" customWidth="1"/>
    <col min="15106" max="15106" width="30.44140625" customWidth="1"/>
    <col min="15107" max="15107" width="22.6640625" customWidth="1"/>
    <col min="15108" max="15108" width="23.44140625" customWidth="1"/>
    <col min="15109" max="15109" width="25.109375" customWidth="1"/>
    <col min="15110" max="15110" width="12.109375" customWidth="1"/>
    <col min="15362" max="15362" width="30.44140625" customWidth="1"/>
    <col min="15363" max="15363" width="22.6640625" customWidth="1"/>
    <col min="15364" max="15364" width="23.44140625" customWidth="1"/>
    <col min="15365" max="15365" width="25.109375" customWidth="1"/>
    <col min="15366" max="15366" width="12.109375" customWidth="1"/>
    <col min="15618" max="15618" width="30.44140625" customWidth="1"/>
    <col min="15619" max="15619" width="22.6640625" customWidth="1"/>
    <col min="15620" max="15620" width="23.44140625" customWidth="1"/>
    <col min="15621" max="15621" width="25.109375" customWidth="1"/>
    <col min="15622" max="15622" width="12.109375" customWidth="1"/>
    <col min="15874" max="15874" width="30.44140625" customWidth="1"/>
    <col min="15875" max="15875" width="22.6640625" customWidth="1"/>
    <col min="15876" max="15876" width="23.44140625" customWidth="1"/>
    <col min="15877" max="15877" width="25.109375" customWidth="1"/>
    <col min="15878" max="15878" width="12.109375" customWidth="1"/>
    <col min="16130" max="16130" width="30.44140625" customWidth="1"/>
    <col min="16131" max="16131" width="22.6640625" customWidth="1"/>
    <col min="16132" max="16132" width="23.44140625" customWidth="1"/>
    <col min="16133" max="16133" width="25.109375" customWidth="1"/>
    <col min="16134" max="16134" width="12.109375" customWidth="1"/>
  </cols>
  <sheetData>
    <row r="1" spans="3:6" ht="15" thickBot="1" x14ac:dyDescent="0.35"/>
    <row r="2" spans="3:6" ht="12.75" customHeight="1" x14ac:dyDescent="0.3">
      <c r="D2" s="370" t="s">
        <v>92</v>
      </c>
      <c r="E2" s="370" t="s">
        <v>93</v>
      </c>
    </row>
    <row r="3" spans="3:6" ht="51" customHeight="1" thickBot="1" x14ac:dyDescent="0.35">
      <c r="D3" s="371"/>
      <c r="E3" s="371"/>
    </row>
    <row r="4" spans="3:6" ht="34.5" customHeight="1" x14ac:dyDescent="0.3">
      <c r="C4" s="24" t="s">
        <v>94</v>
      </c>
      <c r="D4" s="25" t="s">
        <v>95</v>
      </c>
      <c r="E4" s="26" t="s">
        <v>95</v>
      </c>
      <c r="F4" s="27" t="s">
        <v>96</v>
      </c>
    </row>
    <row r="5" spans="3:6" x14ac:dyDescent="0.3">
      <c r="C5" s="14" t="s">
        <v>97</v>
      </c>
      <c r="D5" s="28">
        <f>D38-D37</f>
        <v>1371.669724770642</v>
      </c>
      <c r="E5" s="29">
        <f>D42-D41</f>
        <v>2094.5715709732895</v>
      </c>
      <c r="F5" s="29">
        <f>D5-E5</f>
        <v>-722.90184620264745</v>
      </c>
    </row>
    <row r="6" spans="3:6" x14ac:dyDescent="0.3">
      <c r="C6" s="14" t="s">
        <v>98</v>
      </c>
      <c r="D6" s="28">
        <f>D39-D37</f>
        <v>675.84282755051208</v>
      </c>
      <c r="E6" s="28">
        <f>D43-D41</f>
        <v>390.57186619452841</v>
      </c>
      <c r="F6" s="59">
        <f>D6-E6</f>
        <v>285.27096135598367</v>
      </c>
    </row>
    <row r="9" spans="3:6" ht="15" thickBot="1" x14ac:dyDescent="0.35">
      <c r="D9" s="30"/>
    </row>
    <row r="10" spans="3:6" ht="26.4" customHeight="1" x14ac:dyDescent="0.3">
      <c r="D10" s="370" t="s">
        <v>92</v>
      </c>
      <c r="E10" s="370" t="s">
        <v>99</v>
      </c>
    </row>
    <row r="11" spans="3:6" ht="38.25" customHeight="1" thickBot="1" x14ac:dyDescent="0.35">
      <c r="D11" s="371"/>
      <c r="E11" s="371"/>
    </row>
    <row r="12" spans="3:6" ht="39.6" x14ac:dyDescent="0.3">
      <c r="C12" s="24" t="s">
        <v>94</v>
      </c>
      <c r="D12" s="24" t="s">
        <v>100</v>
      </c>
      <c r="E12" s="24" t="s">
        <v>100</v>
      </c>
      <c r="F12" s="27" t="s">
        <v>101</v>
      </c>
    </row>
    <row r="13" spans="3:6" x14ac:dyDescent="0.3">
      <c r="C13" s="14" t="s">
        <v>97</v>
      </c>
      <c r="D13" s="28">
        <f>E38-E37</f>
        <v>0.54754800000000003</v>
      </c>
      <c r="E13" s="14">
        <f>E42-E41</f>
        <v>0.38569800000000004</v>
      </c>
      <c r="F13" s="59">
        <f>D13-E13</f>
        <v>0.16184999999999999</v>
      </c>
    </row>
    <row r="14" spans="3:6" x14ac:dyDescent="0.3">
      <c r="C14" s="14" t="s">
        <v>98</v>
      </c>
      <c r="D14" s="14">
        <f>E39-E37</f>
        <v>0.196272</v>
      </c>
      <c r="E14" s="14">
        <f>E43-E41</f>
        <v>3.4422000000000008E-2</v>
      </c>
      <c r="F14" s="59">
        <f>D14-E14</f>
        <v>0.16184999999999999</v>
      </c>
    </row>
    <row r="15" spans="3:6" x14ac:dyDescent="0.3">
      <c r="D15" s="30"/>
    </row>
    <row r="16" spans="3:6" x14ac:dyDescent="0.3">
      <c r="D16" s="30"/>
    </row>
    <row r="17" spans="1:5" ht="15" thickBot="1" x14ac:dyDescent="0.35">
      <c r="D17" s="30"/>
    </row>
    <row r="18" spans="1:5" ht="15" thickBot="1" x14ac:dyDescent="0.35">
      <c r="C18" s="31" t="s">
        <v>102</v>
      </c>
      <c r="D18" s="32">
        <v>6.5</v>
      </c>
      <c r="E18" s="14">
        <v>4.5</v>
      </c>
    </row>
    <row r="19" spans="1:5" ht="15" thickBot="1" x14ac:dyDescent="0.35"/>
    <row r="20" spans="1:5" ht="15" thickBot="1" x14ac:dyDescent="0.35">
      <c r="C20" s="31" t="s">
        <v>103</v>
      </c>
      <c r="D20" s="15">
        <f>E18/D18</f>
        <v>0.69230769230769229</v>
      </c>
      <c r="E20">
        <f>1/D20</f>
        <v>1.4444444444444444</v>
      </c>
    </row>
    <row r="21" spans="1:5" x14ac:dyDescent="0.3">
      <c r="D21" s="30"/>
    </row>
    <row r="22" spans="1:5" ht="15" thickBot="1" x14ac:dyDescent="0.35">
      <c r="D22" s="30"/>
    </row>
    <row r="23" spans="1:5" ht="39.75" customHeight="1" thickBot="1" x14ac:dyDescent="0.35">
      <c r="B23" t="s">
        <v>13</v>
      </c>
      <c r="D23" s="372" t="s">
        <v>167</v>
      </c>
      <c r="E23" s="373"/>
    </row>
    <row r="24" spans="1:5" ht="31.65" customHeight="1" x14ac:dyDescent="0.3">
      <c r="B24" s="24" t="s">
        <v>94</v>
      </c>
      <c r="C24" s="24" t="s">
        <v>104</v>
      </c>
      <c r="D24" s="33" t="s">
        <v>105</v>
      </c>
      <c r="E24" s="34" t="s">
        <v>106</v>
      </c>
    </row>
    <row r="25" spans="1:5" x14ac:dyDescent="0.3">
      <c r="B25" s="14" t="s">
        <v>97</v>
      </c>
      <c r="C25" s="35">
        <v>0</v>
      </c>
      <c r="D25" s="366">
        <v>677</v>
      </c>
      <c r="E25" s="367">
        <f>ROUND((E13+F13)*(C25)+(E14+F14)*(C26),5)</f>
        <v>0.19627</v>
      </c>
    </row>
    <row r="26" spans="1:5" x14ac:dyDescent="0.3">
      <c r="B26" s="14" t="s">
        <v>98</v>
      </c>
      <c r="C26" s="35">
        <v>1</v>
      </c>
      <c r="D26" s="366"/>
      <c r="E26" s="368"/>
    </row>
    <row r="27" spans="1:5" ht="15" thickBot="1" x14ac:dyDescent="0.35">
      <c r="B27" s="16"/>
    </row>
    <row r="28" spans="1:5" ht="39.299999999999997" customHeight="1" thickBot="1" x14ac:dyDescent="0.35">
      <c r="B28" t="s">
        <v>27</v>
      </c>
      <c r="D28" s="372" t="s">
        <v>168</v>
      </c>
      <c r="E28" s="373"/>
    </row>
    <row r="29" spans="1:5" ht="26.4" x14ac:dyDescent="0.3">
      <c r="B29" s="24" t="s">
        <v>94</v>
      </c>
      <c r="C29" s="24" t="s">
        <v>104</v>
      </c>
      <c r="D29" s="33" t="s">
        <v>105</v>
      </c>
      <c r="E29" s="34" t="s">
        <v>106</v>
      </c>
    </row>
    <row r="30" spans="1:5" x14ac:dyDescent="0.3">
      <c r="A30" s="369" t="s">
        <v>121</v>
      </c>
      <c r="B30" s="14" t="s">
        <v>97</v>
      </c>
      <c r="C30" s="35">
        <v>1</v>
      </c>
      <c r="D30" s="366">
        <f>ROUND((E5+$D$20*F5)*(C30)+(E6+$D$20*F6)*(C31),2)</f>
        <v>1594.1</v>
      </c>
      <c r="E30" s="374">
        <f>ROUND((E13+F13)*(C30)+(E14+F14)*(C31),5)</f>
        <v>0.54754999999999998</v>
      </c>
    </row>
    <row r="31" spans="1:5" x14ac:dyDescent="0.3">
      <c r="A31" s="369"/>
      <c r="B31" s="14" t="s">
        <v>98</v>
      </c>
      <c r="C31" s="35">
        <v>0</v>
      </c>
      <c r="D31" s="366"/>
      <c r="E31" s="375"/>
    </row>
    <row r="32" spans="1:5" x14ac:dyDescent="0.3">
      <c r="A32" s="369" t="s">
        <v>75</v>
      </c>
      <c r="B32" s="14" t="s">
        <v>97</v>
      </c>
      <c r="C32" s="35">
        <v>0</v>
      </c>
      <c r="D32" s="366">
        <v>677</v>
      </c>
      <c r="E32" s="374">
        <f>ROUND((E13+F13)*(C32)+(E14+F14)*(C33),5)</f>
        <v>0.19627</v>
      </c>
    </row>
    <row r="33" spans="1:5" x14ac:dyDescent="0.3">
      <c r="A33" s="369"/>
      <c r="B33" s="14" t="s">
        <v>98</v>
      </c>
      <c r="C33" s="35">
        <v>1</v>
      </c>
      <c r="D33" s="366"/>
      <c r="E33" s="375"/>
    </row>
    <row r="34" spans="1:5" x14ac:dyDescent="0.3">
      <c r="B34" s="17"/>
      <c r="C34" s="37"/>
    </row>
    <row r="35" spans="1:5" x14ac:dyDescent="0.3">
      <c r="B35" s="36" t="s">
        <v>169</v>
      </c>
    </row>
    <row r="36" spans="1:5" x14ac:dyDescent="0.3">
      <c r="D36" s="16" t="s">
        <v>107</v>
      </c>
      <c r="E36" s="16" t="s">
        <v>108</v>
      </c>
    </row>
    <row r="37" spans="1:5" x14ac:dyDescent="0.3">
      <c r="B37" t="s">
        <v>109</v>
      </c>
      <c r="D37">
        <f>'Msr A'!$H$11</f>
        <v>1257</v>
      </c>
      <c r="E37">
        <v>0</v>
      </c>
    </row>
    <row r="38" spans="1:5" x14ac:dyDescent="0.3">
      <c r="B38" t="s">
        <v>110</v>
      </c>
      <c r="D38" s="58">
        <f>'Msr C'!$B$11</f>
        <v>2628.669724770642</v>
      </c>
      <c r="E38" s="57">
        <f>'Peak Demand Calculations'!$F$2</f>
        <v>0.54754800000000003</v>
      </c>
    </row>
    <row r="39" spans="1:5" x14ac:dyDescent="0.3">
      <c r="B39" t="s">
        <v>111</v>
      </c>
      <c r="D39" s="58">
        <f>'Msr A'!F11</f>
        <v>1932.8428275505121</v>
      </c>
      <c r="E39" s="57">
        <f>'Peak Demand Calculations'!$F$3</f>
        <v>0.196272</v>
      </c>
    </row>
    <row r="41" spans="1:5" x14ac:dyDescent="0.3">
      <c r="B41" t="s">
        <v>170</v>
      </c>
      <c r="D41" s="58">
        <f>'Msr B'!$K$12</f>
        <v>1313.4784290267105</v>
      </c>
      <c r="E41" s="57">
        <f>'Peak Demand Calculations'!$F$4</f>
        <v>0.16184999999999999</v>
      </c>
    </row>
    <row r="42" spans="1:5" x14ac:dyDescent="0.3">
      <c r="B42" t="s">
        <v>112</v>
      </c>
      <c r="D42">
        <f>ROUND(20341*1*365.25/(2.18*1000),2)</f>
        <v>3408.05</v>
      </c>
      <c r="E42" s="57">
        <f>'Peak Demand Calculations'!$F$2</f>
        <v>0.54754800000000003</v>
      </c>
    </row>
    <row r="43" spans="1:5" x14ac:dyDescent="0.3">
      <c r="B43" t="s">
        <v>152</v>
      </c>
      <c r="D43" s="58">
        <f>'Msr B'!$F$12</f>
        <v>1704.0502952212389</v>
      </c>
      <c r="E43" s="57">
        <f>'Peak Demand Calculations'!$F$3</f>
        <v>0.196272</v>
      </c>
    </row>
  </sheetData>
  <mergeCells count="14">
    <mergeCell ref="D25:D26"/>
    <mergeCell ref="E25:E26"/>
    <mergeCell ref="A30:A31"/>
    <mergeCell ref="A32:A33"/>
    <mergeCell ref="D2:D3"/>
    <mergeCell ref="E2:E3"/>
    <mergeCell ref="D10:D11"/>
    <mergeCell ref="E10:E11"/>
    <mergeCell ref="D23:E23"/>
    <mergeCell ref="D32:D33"/>
    <mergeCell ref="E32:E33"/>
    <mergeCell ref="D28:E28"/>
    <mergeCell ref="D30:D31"/>
    <mergeCell ref="E30:E31"/>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9"/>
  <sheetViews>
    <sheetView workbookViewId="0">
      <selection activeCell="G6" sqref="G6"/>
    </sheetView>
  </sheetViews>
  <sheetFormatPr defaultColWidth="19.109375" defaultRowHeight="14.4" x14ac:dyDescent="0.3"/>
  <cols>
    <col min="1" max="1" width="19.33203125" customWidth="1"/>
    <col min="2" max="2" width="20.77734375" customWidth="1"/>
    <col min="3" max="3" width="28.6640625" customWidth="1"/>
    <col min="4" max="4" width="13.44140625" bestFit="1" customWidth="1"/>
    <col min="5" max="5" width="14" bestFit="1" customWidth="1"/>
  </cols>
  <sheetData>
    <row r="1" spans="1:5" ht="14.25" customHeight="1" x14ac:dyDescent="0.3">
      <c r="A1" s="258" t="s">
        <v>133</v>
      </c>
      <c r="B1" s="257" t="s">
        <v>35</v>
      </c>
      <c r="C1" s="257" t="s">
        <v>1</v>
      </c>
      <c r="D1" s="257" t="s">
        <v>74</v>
      </c>
      <c r="E1" s="257"/>
    </row>
    <row r="2" spans="1:5" ht="27.6" x14ac:dyDescent="0.3">
      <c r="A2" s="259"/>
      <c r="B2" s="260"/>
      <c r="C2" s="260"/>
      <c r="D2" s="42" t="s">
        <v>134</v>
      </c>
      <c r="E2" s="42" t="s">
        <v>135</v>
      </c>
    </row>
    <row r="3" spans="1:5" ht="41.4" x14ac:dyDescent="0.3">
      <c r="A3" s="44" t="s">
        <v>181</v>
      </c>
      <c r="B3" s="43" t="str">
        <f>'Summary Table'!D3</f>
        <v>100% Two Speed Pool Pumps (Required 2 speed in disposion)</v>
      </c>
      <c r="C3" s="43" t="str">
        <f>'Summary Table'!E3</f>
        <v>Commissioned variable-speed pumps</v>
      </c>
      <c r="D3" s="63">
        <f>'Summary Table'!K3</f>
        <v>0</v>
      </c>
      <c r="E3" s="67">
        <f>'Summary Table'!L3</f>
        <v>0</v>
      </c>
    </row>
    <row r="4" spans="1:5" ht="27.6" x14ac:dyDescent="0.3">
      <c r="A4" s="44" t="s">
        <v>182</v>
      </c>
      <c r="B4" s="43" t="str">
        <f>'Summary Table'!D4</f>
        <v>100% Two Speed Pool Pumps</v>
      </c>
      <c r="C4" s="43" t="str">
        <f>'Summary Table'!E4</f>
        <v>Variable-speed pumps (Self Installed)</v>
      </c>
      <c r="D4" s="63">
        <f>'Summary Table'!K4</f>
        <v>0</v>
      </c>
      <c r="E4" s="67">
        <f>'Summary Table'!L4</f>
        <v>0</v>
      </c>
    </row>
    <row r="5" spans="1:5" ht="96.6" x14ac:dyDescent="0.3">
      <c r="A5" s="44" t="s">
        <v>183</v>
      </c>
      <c r="B5" s="43" t="str">
        <f>'Summary Table'!D5</f>
        <v xml:space="preserve">1st Baseline: 100% Single Speed Pool Pumps 
(Approved by CS in disposition)
2nd Baseline: 100% Two Speed Pool Pump
</v>
      </c>
      <c r="C5" s="43" t="str">
        <f>'Summary Table'!E5</f>
        <v>Commissioned variable-speed pumps</v>
      </c>
      <c r="D5" s="63">
        <f>'Summary Table'!K5</f>
        <v>0.27200000000000002</v>
      </c>
      <c r="E5" s="63">
        <f>'Summary Table'!L5</f>
        <v>0</v>
      </c>
    </row>
    <row r="6" spans="1:5" ht="55.2" x14ac:dyDescent="0.3">
      <c r="A6" s="44" t="s">
        <v>184</v>
      </c>
      <c r="B6" s="43" t="str">
        <f>'Summary Table'!D6</f>
        <v>1st Baseline: Single Speed Pump  
2nd Baseline: 100% Two Speed Pool Pumps</v>
      </c>
      <c r="C6" s="43" t="str">
        <f>'Summary Table'!E6</f>
        <v>Programmed variable-speed pumps</v>
      </c>
      <c r="D6" s="63">
        <f>'Summary Table'!K6</f>
        <v>0.76887000000000005</v>
      </c>
      <c r="E6" s="63">
        <f>'Summary Table'!L6</f>
        <v>0.27166000000000001</v>
      </c>
    </row>
    <row r="7" spans="1:5" ht="55.2" x14ac:dyDescent="0.3">
      <c r="A7" s="44" t="s">
        <v>185</v>
      </c>
      <c r="B7" s="43" t="str">
        <f>'Summary Table'!D7</f>
        <v>1st Baseline: Single Speed Pump  
2nd Baseline: 100% Two Speed Pool Pumps</v>
      </c>
      <c r="C7" s="43" t="str">
        <f>'Summary Table'!E7</f>
        <v>Programmed variable-speed pumps</v>
      </c>
      <c r="D7" s="63">
        <f>'Summary Table'!K7</f>
        <v>0.25419000000000003</v>
      </c>
      <c r="E7" s="63">
        <f>'Summary Table'!L7</f>
        <v>0.28503000000000001</v>
      </c>
    </row>
    <row r="8" spans="1:5" ht="55.8" thickBot="1" x14ac:dyDescent="0.35">
      <c r="A8" s="45" t="s">
        <v>186</v>
      </c>
      <c r="B8" s="46" t="str">
        <f>'Summary Table'!D8</f>
        <v>1st Baseline: Single Speed Pump  
2nd Baseline: 100% Two Speed Pool Pumps</v>
      </c>
      <c r="C8" s="46" t="str">
        <f>'Summary Table'!E8</f>
        <v>Programmed variable-speed pumps</v>
      </c>
      <c r="D8" s="64">
        <f>'Summary Table'!K8</f>
        <v>0.63136000000000003</v>
      </c>
      <c r="E8" s="64">
        <f>'Summary Table'!L8</f>
        <v>0.14299000000000001</v>
      </c>
    </row>
    <row r="11" spans="1:5" ht="15" thickBot="1" x14ac:dyDescent="0.35"/>
    <row r="12" spans="1:5" ht="14.25" customHeight="1" x14ac:dyDescent="0.3">
      <c r="A12" s="261" t="s">
        <v>133</v>
      </c>
      <c r="B12" s="263" t="s">
        <v>35</v>
      </c>
      <c r="C12" s="263" t="s">
        <v>1</v>
      </c>
      <c r="D12" s="265" t="s">
        <v>302</v>
      </c>
      <c r="E12" s="266"/>
    </row>
    <row r="13" spans="1:5" ht="27.6" x14ac:dyDescent="0.3">
      <c r="A13" s="262"/>
      <c r="B13" s="264"/>
      <c r="C13" s="264"/>
      <c r="D13" s="47" t="s">
        <v>131</v>
      </c>
      <c r="E13" s="47" t="s">
        <v>132</v>
      </c>
    </row>
    <row r="14" spans="1:5" ht="25.5" customHeight="1" x14ac:dyDescent="0.3">
      <c r="A14" s="44" t="s">
        <v>181</v>
      </c>
      <c r="B14" s="43" t="str">
        <f>'Summary Table'!D3</f>
        <v>100% Two Speed Pool Pumps (Required 2 speed in disposion)</v>
      </c>
      <c r="C14" s="43" t="str">
        <f>'Summary Table'!E3</f>
        <v>Commissioned variable-speed pumps</v>
      </c>
      <c r="D14" s="48">
        <f>'Summary Table'!I3</f>
        <v>1092.93</v>
      </c>
      <c r="E14" s="48">
        <f>'Summary Table'!J3</f>
        <v>0</v>
      </c>
    </row>
    <row r="15" spans="1:5" ht="27.6" x14ac:dyDescent="0.3">
      <c r="A15" s="44" t="s">
        <v>182</v>
      </c>
      <c r="B15" s="43" t="str">
        <f>'Summary Table'!D4</f>
        <v>100% Two Speed Pool Pumps</v>
      </c>
      <c r="C15" s="43" t="str">
        <f>'Summary Table'!E4</f>
        <v>Variable-speed pumps (Self Installed)</v>
      </c>
      <c r="D15" s="48">
        <f>'Summary Table'!I4</f>
        <v>1048.3800000000001</v>
      </c>
      <c r="E15" s="48">
        <f>'Summary Table'!J4</f>
        <v>0</v>
      </c>
    </row>
    <row r="16" spans="1:5" ht="96.6" x14ac:dyDescent="0.3">
      <c r="A16" s="44" t="s">
        <v>183</v>
      </c>
      <c r="B16" s="43" t="str">
        <f>'Summary Table'!D5</f>
        <v xml:space="preserve">1st Baseline: 100% Single Speed Pool Pumps 
(Approved by CS in disposition)
2nd Baseline: 100% Two Speed Pool Pump
</v>
      </c>
      <c r="C16" s="43" t="str">
        <f>'Summary Table'!E5</f>
        <v>Commissioned variable-speed pumps</v>
      </c>
      <c r="D16" s="48">
        <f>'Summary Table'!I5</f>
        <v>1252.1980000000001</v>
      </c>
      <c r="E16" s="48">
        <f>'Summary Table'!J5</f>
        <v>1092.9349999999999</v>
      </c>
    </row>
    <row r="17" spans="1:5" ht="55.2" x14ac:dyDescent="0.3">
      <c r="A17" s="44" t="s">
        <v>184</v>
      </c>
      <c r="B17" s="43" t="str">
        <f>'Summary Table'!D6</f>
        <v>1st Baseline: Single Speed Pump  
2nd Baseline: 100% Two Speed Pool Pumps</v>
      </c>
      <c r="C17" s="43" t="str">
        <f>'Summary Table'!E6</f>
        <v>Programmed variable-speed pumps</v>
      </c>
      <c r="D17" s="48">
        <f>'Summary Table'!I6</f>
        <v>8099.1310000000003</v>
      </c>
      <c r="E17" s="48">
        <f>'Summary Table'!J6</f>
        <v>2417.9009999999998</v>
      </c>
    </row>
    <row r="18" spans="1:5" ht="55.2" x14ac:dyDescent="0.3">
      <c r="A18" s="44" t="s">
        <v>185</v>
      </c>
      <c r="B18" s="43" t="str">
        <f>'Summary Table'!D7</f>
        <v>1st Baseline: Single Speed Pump  
2nd Baseline: 100% Two Speed Pool Pumps</v>
      </c>
      <c r="C18" s="43" t="str">
        <f>'Summary Table'!E7</f>
        <v>Programmed variable-speed pumps</v>
      </c>
      <c r="D18" s="48">
        <f>'Summary Table'!I7</f>
        <v>4812.165</v>
      </c>
      <c r="E18" s="48">
        <f>'Summary Table'!J7</f>
        <v>2911.7950000000001</v>
      </c>
    </row>
    <row r="19" spans="1:5" ht="75.45" customHeight="1" thickBot="1" x14ac:dyDescent="0.35">
      <c r="A19" s="45" t="s">
        <v>186</v>
      </c>
      <c r="B19" s="43" t="str">
        <f>'Summary Table'!D8</f>
        <v>1st Baseline: Single Speed Pump  
2nd Baseline: 100% Two Speed Pool Pumps</v>
      </c>
      <c r="C19" s="43" t="str">
        <f>'Summary Table'!E8</f>
        <v>Programmed variable-speed pumps</v>
      </c>
      <c r="D19" s="48">
        <f>'Summary Table'!I8</f>
        <v>1846.182</v>
      </c>
      <c r="E19" s="48">
        <f>'Summary Table'!J8</f>
        <v>73.364000000000004</v>
      </c>
    </row>
  </sheetData>
  <mergeCells count="8">
    <mergeCell ref="D1:E1"/>
    <mergeCell ref="A1:A2"/>
    <mergeCell ref="B1:B2"/>
    <mergeCell ref="C1:C2"/>
    <mergeCell ref="A12:A13"/>
    <mergeCell ref="B12:B13"/>
    <mergeCell ref="C12:C13"/>
    <mergeCell ref="D12:E1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3:S26"/>
  <sheetViews>
    <sheetView zoomScale="55" zoomScaleNormal="55" workbookViewId="0">
      <selection activeCell="Q16" sqref="Q16"/>
    </sheetView>
  </sheetViews>
  <sheetFormatPr defaultRowHeight="14.4" x14ac:dyDescent="0.3"/>
  <cols>
    <col min="2" max="2" width="17.44140625" bestFit="1" customWidth="1"/>
    <col min="3" max="3" width="24.88671875" bestFit="1" customWidth="1"/>
    <col min="4" max="4" width="41.21875" customWidth="1"/>
    <col min="5" max="5" width="9.109375" customWidth="1"/>
    <col min="6" max="6" width="21.109375" customWidth="1"/>
    <col min="7" max="7" width="12.88671875" customWidth="1"/>
    <col min="8" max="8" width="28" customWidth="1"/>
    <col min="9" max="9" width="9.21875" customWidth="1"/>
    <col min="10" max="10" width="18" customWidth="1"/>
    <col min="11" max="11" width="10.33203125" customWidth="1"/>
    <col min="12" max="12" width="34.44140625" customWidth="1"/>
    <col min="13" max="13" width="18.109375" customWidth="1"/>
    <col min="14" max="14" width="76.33203125" customWidth="1"/>
  </cols>
  <sheetData>
    <row r="3" spans="2:19" ht="15" thickBot="1" x14ac:dyDescent="0.35">
      <c r="D3" t="s">
        <v>34</v>
      </c>
    </row>
    <row r="4" spans="2:19" x14ac:dyDescent="0.3">
      <c r="B4" s="133" t="s">
        <v>36</v>
      </c>
      <c r="C4" s="134" t="s">
        <v>223</v>
      </c>
      <c r="D4" s="135" t="s">
        <v>225</v>
      </c>
      <c r="E4" s="284" t="s">
        <v>236</v>
      </c>
      <c r="F4" s="285"/>
      <c r="G4" s="284" t="s">
        <v>241</v>
      </c>
      <c r="H4" s="285"/>
      <c r="I4" s="284" t="s">
        <v>235</v>
      </c>
      <c r="J4" s="285"/>
      <c r="K4" s="284" t="s">
        <v>226</v>
      </c>
      <c r="L4" s="285"/>
      <c r="M4" s="284" t="s">
        <v>234</v>
      </c>
      <c r="N4" s="285"/>
    </row>
    <row r="5" spans="2:19" ht="54" customHeight="1" x14ac:dyDescent="0.3">
      <c r="B5" s="267" t="s">
        <v>20</v>
      </c>
      <c r="C5" s="281" t="s">
        <v>224</v>
      </c>
      <c r="D5" s="129" t="s">
        <v>227</v>
      </c>
      <c r="E5" s="267">
        <v>15700</v>
      </c>
      <c r="F5" s="276" t="s">
        <v>311</v>
      </c>
      <c r="G5" s="279" t="s">
        <v>242</v>
      </c>
      <c r="H5" s="280"/>
      <c r="I5" s="168">
        <v>1.052</v>
      </c>
      <c r="J5" s="148" t="s">
        <v>312</v>
      </c>
      <c r="K5" s="130">
        <v>41</v>
      </c>
      <c r="L5" s="128" t="s">
        <v>313</v>
      </c>
      <c r="M5" s="138">
        <v>2.3817391304347821</v>
      </c>
      <c r="N5" s="131" t="s">
        <v>391</v>
      </c>
      <c r="R5" s="2" t="s">
        <v>228</v>
      </c>
      <c r="S5" s="2" t="s">
        <v>231</v>
      </c>
    </row>
    <row r="6" spans="2:19" ht="51.6" customHeight="1" x14ac:dyDescent="0.3">
      <c r="B6" s="268" t="s">
        <v>20</v>
      </c>
      <c r="C6" s="282"/>
      <c r="D6" s="129" t="s">
        <v>237</v>
      </c>
      <c r="E6" s="268"/>
      <c r="F6" s="277"/>
      <c r="G6" s="270">
        <v>0.71685004683141718</v>
      </c>
      <c r="H6" s="274" t="s">
        <v>239</v>
      </c>
      <c r="I6" s="178">
        <v>1.0449999999999999</v>
      </c>
      <c r="J6" s="148" t="s">
        <v>348</v>
      </c>
      <c r="K6" s="288">
        <v>22</v>
      </c>
      <c r="L6" s="290" t="s">
        <v>314</v>
      </c>
      <c r="M6" s="138">
        <v>2.6978</v>
      </c>
      <c r="N6" s="131" t="s">
        <v>393</v>
      </c>
      <c r="R6" s="2" t="s">
        <v>229</v>
      </c>
      <c r="S6" s="2" t="s">
        <v>232</v>
      </c>
    </row>
    <row r="7" spans="2:19" ht="39.15" customHeight="1" x14ac:dyDescent="0.3">
      <c r="B7" s="268" t="s">
        <v>20</v>
      </c>
      <c r="C7" s="282"/>
      <c r="D7" s="129" t="s">
        <v>238</v>
      </c>
      <c r="E7" s="268"/>
      <c r="F7" s="277"/>
      <c r="G7" s="271"/>
      <c r="H7" s="275"/>
      <c r="I7" s="178">
        <v>1.0869453173540584</v>
      </c>
      <c r="J7" s="148" t="s">
        <v>350</v>
      </c>
      <c r="K7" s="289"/>
      <c r="L7" s="291"/>
      <c r="M7" s="138">
        <v>5.0389419999999987</v>
      </c>
      <c r="N7" s="131" t="s">
        <v>268</v>
      </c>
      <c r="R7" s="2" t="s">
        <v>230</v>
      </c>
      <c r="S7" s="2" t="s">
        <v>233</v>
      </c>
    </row>
    <row r="8" spans="2:19" ht="52.2" customHeight="1" x14ac:dyDescent="0.3">
      <c r="B8" s="268" t="s">
        <v>20</v>
      </c>
      <c r="C8" s="282"/>
      <c r="D8" s="129" t="s">
        <v>243</v>
      </c>
      <c r="E8" s="268"/>
      <c r="F8" s="277"/>
      <c r="G8" s="270">
        <v>0.28314995316858282</v>
      </c>
      <c r="H8" s="276" t="s">
        <v>240</v>
      </c>
      <c r="I8" s="178">
        <v>1.0409999999999999</v>
      </c>
      <c r="J8" s="148" t="s">
        <v>349</v>
      </c>
      <c r="K8" s="288">
        <v>18</v>
      </c>
      <c r="L8" s="286" t="s">
        <v>315</v>
      </c>
      <c r="M8" s="138">
        <v>3.2086000000000001</v>
      </c>
      <c r="N8" s="131" t="s">
        <v>392</v>
      </c>
    </row>
    <row r="9" spans="2:19" ht="38.1" customHeight="1" x14ac:dyDescent="0.3">
      <c r="B9" s="268" t="s">
        <v>20</v>
      </c>
      <c r="C9" s="282"/>
      <c r="D9" s="129" t="s">
        <v>244</v>
      </c>
      <c r="E9" s="268"/>
      <c r="F9" s="277"/>
      <c r="G9" s="272"/>
      <c r="H9" s="277"/>
      <c r="I9" s="178">
        <v>1.0828617474492501</v>
      </c>
      <c r="J9" s="148" t="s">
        <v>350</v>
      </c>
      <c r="K9" s="289"/>
      <c r="L9" s="286"/>
      <c r="M9" s="138">
        <v>6.5545899999999993</v>
      </c>
      <c r="N9" s="131" t="s">
        <v>269</v>
      </c>
    </row>
    <row r="10" spans="2:19" ht="42.6" customHeight="1" x14ac:dyDescent="0.3">
      <c r="B10" s="268" t="s">
        <v>20</v>
      </c>
      <c r="C10" s="282"/>
      <c r="D10" s="129" t="s">
        <v>245</v>
      </c>
      <c r="E10" s="268"/>
      <c r="F10" s="277"/>
      <c r="G10" s="272"/>
      <c r="H10" s="277"/>
      <c r="I10" s="292">
        <v>0.44593118291120465</v>
      </c>
      <c r="J10" s="295" t="s">
        <v>316</v>
      </c>
      <c r="K10" s="288">
        <v>48</v>
      </c>
      <c r="L10" s="286" t="s">
        <v>317</v>
      </c>
      <c r="M10" s="138">
        <v>2.8462000000000014</v>
      </c>
      <c r="N10" s="131" t="s">
        <v>394</v>
      </c>
    </row>
    <row r="11" spans="2:19" ht="36.6" thickBot="1" x14ac:dyDescent="0.35">
      <c r="B11" s="269" t="s">
        <v>20</v>
      </c>
      <c r="C11" s="283"/>
      <c r="D11" s="136" t="s">
        <v>246</v>
      </c>
      <c r="E11" s="269"/>
      <c r="F11" s="278"/>
      <c r="G11" s="273"/>
      <c r="H11" s="278"/>
      <c r="I11" s="293"/>
      <c r="J11" s="296"/>
      <c r="K11" s="294"/>
      <c r="L11" s="287"/>
      <c r="M11" s="139">
        <v>4.2735489999999956</v>
      </c>
      <c r="N11" s="132" t="s">
        <v>270</v>
      </c>
    </row>
    <row r="12" spans="2:19" x14ac:dyDescent="0.3">
      <c r="B12" s="127"/>
      <c r="C12" s="127"/>
      <c r="D12" s="127"/>
      <c r="E12" s="127"/>
      <c r="F12" s="127"/>
      <c r="G12" s="127"/>
      <c r="H12" s="127"/>
      <c r="I12" s="127"/>
      <c r="J12" s="127"/>
      <c r="K12" s="127"/>
      <c r="L12" s="127"/>
      <c r="M12" s="127"/>
      <c r="N12" s="127"/>
    </row>
    <row r="14" spans="2:19" ht="15" thickBot="1" x14ac:dyDescent="0.35"/>
    <row r="15" spans="2:19" x14ac:dyDescent="0.3">
      <c r="B15" s="133" t="s">
        <v>36</v>
      </c>
      <c r="C15" s="134" t="s">
        <v>223</v>
      </c>
      <c r="D15" s="147" t="s">
        <v>225</v>
      </c>
      <c r="E15" s="297" t="s">
        <v>236</v>
      </c>
      <c r="F15" s="298"/>
      <c r="G15" s="297" t="s">
        <v>247</v>
      </c>
      <c r="H15" s="298"/>
      <c r="I15" s="297" t="s">
        <v>235</v>
      </c>
      <c r="J15" s="298"/>
      <c r="K15" s="297" t="s">
        <v>226</v>
      </c>
      <c r="L15" s="298"/>
      <c r="M15" s="284" t="s">
        <v>234</v>
      </c>
      <c r="N15" s="285"/>
    </row>
    <row r="16" spans="2:19" ht="53.4" customHeight="1" x14ac:dyDescent="0.3">
      <c r="B16" s="299" t="s">
        <v>248</v>
      </c>
      <c r="C16" s="288" t="s">
        <v>224</v>
      </c>
      <c r="D16" s="148" t="s">
        <v>249</v>
      </c>
      <c r="E16" s="288">
        <v>27527</v>
      </c>
      <c r="F16" s="276" t="s">
        <v>253</v>
      </c>
      <c r="G16" s="304" t="s">
        <v>247</v>
      </c>
      <c r="H16" s="305"/>
      <c r="I16" s="145">
        <v>3.4</v>
      </c>
      <c r="J16" s="276" t="s">
        <v>254</v>
      </c>
      <c r="K16" s="180">
        <v>63.3</v>
      </c>
      <c r="L16" s="276" t="s">
        <v>255</v>
      </c>
      <c r="M16" s="149">
        <v>2.3817391304347821</v>
      </c>
      <c r="N16" s="131" t="s">
        <v>385</v>
      </c>
    </row>
    <row r="17" spans="2:14" ht="48" x14ac:dyDescent="0.3">
      <c r="B17" s="300"/>
      <c r="C17" s="302"/>
      <c r="D17" s="148" t="s">
        <v>364</v>
      </c>
      <c r="E17" s="302"/>
      <c r="F17" s="277"/>
      <c r="G17" s="306"/>
      <c r="H17" s="307"/>
      <c r="I17" s="292">
        <v>1.855</v>
      </c>
      <c r="J17" s="277"/>
      <c r="K17" s="288">
        <v>53.5</v>
      </c>
      <c r="L17" s="277"/>
      <c r="M17" s="149">
        <v>2.5008000000000008</v>
      </c>
      <c r="N17" s="131" t="s">
        <v>395</v>
      </c>
    </row>
    <row r="18" spans="2:14" ht="48" x14ac:dyDescent="0.3">
      <c r="B18" s="300"/>
      <c r="C18" s="302"/>
      <c r="D18" s="181" t="s">
        <v>365</v>
      </c>
      <c r="E18" s="302"/>
      <c r="F18" s="277"/>
      <c r="G18" s="306"/>
      <c r="H18" s="307"/>
      <c r="I18" s="310"/>
      <c r="J18" s="277"/>
      <c r="K18" s="302"/>
      <c r="L18" s="277"/>
      <c r="M18" s="149">
        <v>3.3285444999999996</v>
      </c>
      <c r="N18" s="131" t="s">
        <v>396</v>
      </c>
    </row>
    <row r="19" spans="2:14" ht="48" x14ac:dyDescent="0.3">
      <c r="B19" s="300"/>
      <c r="C19" s="302"/>
      <c r="D19" s="181" t="s">
        <v>366</v>
      </c>
      <c r="E19" s="302"/>
      <c r="F19" s="277"/>
      <c r="G19" s="306"/>
      <c r="H19" s="307"/>
      <c r="I19" s="292">
        <v>0.54100000000000004</v>
      </c>
      <c r="J19" s="277"/>
      <c r="K19" s="288">
        <v>31.8</v>
      </c>
      <c r="L19" s="277"/>
      <c r="M19" s="149">
        <v>4.4963320000000007</v>
      </c>
      <c r="N19" s="131" t="s">
        <v>397</v>
      </c>
    </row>
    <row r="20" spans="2:14" ht="48" x14ac:dyDescent="0.3">
      <c r="B20" s="300"/>
      <c r="C20" s="289"/>
      <c r="D20" s="148" t="s">
        <v>367</v>
      </c>
      <c r="E20" s="289"/>
      <c r="F20" s="303"/>
      <c r="G20" s="306"/>
      <c r="H20" s="307"/>
      <c r="I20" s="310"/>
      <c r="J20" s="303"/>
      <c r="K20" s="302"/>
      <c r="L20" s="303"/>
      <c r="M20" s="149">
        <v>8.4357566799999972</v>
      </c>
      <c r="N20" s="131" t="s">
        <v>398</v>
      </c>
    </row>
    <row r="21" spans="2:14" ht="54" customHeight="1" x14ac:dyDescent="0.3">
      <c r="B21" s="300"/>
      <c r="C21" s="288" t="s">
        <v>251</v>
      </c>
      <c r="D21" s="148" t="s">
        <v>249</v>
      </c>
      <c r="E21" s="288">
        <v>1400</v>
      </c>
      <c r="F21" s="276" t="s">
        <v>256</v>
      </c>
      <c r="G21" s="306"/>
      <c r="H21" s="307"/>
      <c r="I21" s="311">
        <v>48</v>
      </c>
      <c r="J21" s="276" t="s">
        <v>257</v>
      </c>
      <c r="K21" s="288">
        <v>47</v>
      </c>
      <c r="L21" s="276" t="s">
        <v>258</v>
      </c>
      <c r="M21" s="149">
        <v>2.3817391304347821</v>
      </c>
      <c r="N21" s="194" t="s">
        <v>386</v>
      </c>
    </row>
    <row r="22" spans="2:14" ht="76.8" customHeight="1" x14ac:dyDescent="0.3">
      <c r="B22" s="300"/>
      <c r="C22" s="302"/>
      <c r="D22" s="148" t="s">
        <v>141</v>
      </c>
      <c r="E22" s="302"/>
      <c r="F22" s="277"/>
      <c r="G22" s="306"/>
      <c r="H22" s="307"/>
      <c r="I22" s="312"/>
      <c r="J22" s="277"/>
      <c r="K22" s="302"/>
      <c r="L22" s="277"/>
      <c r="M22" s="149">
        <v>2.9207000000000019</v>
      </c>
      <c r="N22" s="131" t="s">
        <v>387</v>
      </c>
    </row>
    <row r="23" spans="2:14" ht="84" x14ac:dyDescent="0.3">
      <c r="B23" s="300"/>
      <c r="C23" s="289"/>
      <c r="D23" s="148" t="s">
        <v>250</v>
      </c>
      <c r="E23" s="289"/>
      <c r="F23" s="303"/>
      <c r="G23" s="306"/>
      <c r="H23" s="307"/>
      <c r="I23" s="313"/>
      <c r="J23" s="303"/>
      <c r="K23" s="289"/>
      <c r="L23" s="303"/>
      <c r="M23" s="149">
        <v>4.4708609999999993</v>
      </c>
      <c r="N23" s="131" t="s">
        <v>388</v>
      </c>
    </row>
    <row r="24" spans="2:14" ht="53.4" customHeight="1" x14ac:dyDescent="0.3">
      <c r="B24" s="300"/>
      <c r="C24" s="288" t="s">
        <v>252</v>
      </c>
      <c r="D24" s="148" t="s">
        <v>249</v>
      </c>
      <c r="E24" s="288">
        <v>720</v>
      </c>
      <c r="F24" s="276" t="s">
        <v>256</v>
      </c>
      <c r="G24" s="306"/>
      <c r="H24" s="307"/>
      <c r="I24" s="311">
        <v>24</v>
      </c>
      <c r="J24" s="276" t="s">
        <v>257</v>
      </c>
      <c r="K24" s="288">
        <v>15</v>
      </c>
      <c r="L24" s="276" t="s">
        <v>363</v>
      </c>
      <c r="M24" s="149">
        <v>2.3817391304347821</v>
      </c>
      <c r="N24" s="131" t="s">
        <v>386</v>
      </c>
    </row>
    <row r="25" spans="2:14" ht="60" x14ac:dyDescent="0.3">
      <c r="B25" s="300"/>
      <c r="C25" s="302"/>
      <c r="D25" s="148" t="s">
        <v>141</v>
      </c>
      <c r="E25" s="302"/>
      <c r="F25" s="277"/>
      <c r="G25" s="306"/>
      <c r="H25" s="307"/>
      <c r="I25" s="312"/>
      <c r="J25" s="277"/>
      <c r="K25" s="302"/>
      <c r="L25" s="277"/>
      <c r="M25" s="149">
        <v>7.2055000000000007</v>
      </c>
      <c r="N25" s="131" t="s">
        <v>390</v>
      </c>
    </row>
    <row r="26" spans="2:14" ht="60.6" thickBot="1" x14ac:dyDescent="0.35">
      <c r="B26" s="301"/>
      <c r="C26" s="294"/>
      <c r="D26" s="150" t="s">
        <v>250</v>
      </c>
      <c r="E26" s="294"/>
      <c r="F26" s="303"/>
      <c r="G26" s="308"/>
      <c r="H26" s="309"/>
      <c r="I26" s="314"/>
      <c r="J26" s="303"/>
      <c r="K26" s="294"/>
      <c r="L26" s="303"/>
      <c r="M26" s="151">
        <v>7.8646600000000007</v>
      </c>
      <c r="N26" s="131" t="s">
        <v>389</v>
      </c>
    </row>
  </sheetData>
  <mergeCells count="52">
    <mergeCell ref="I19:I20"/>
    <mergeCell ref="L24:L26"/>
    <mergeCell ref="J16:J20"/>
    <mergeCell ref="L16:L20"/>
    <mergeCell ref="K21:K23"/>
    <mergeCell ref="L21:L23"/>
    <mergeCell ref="I21:I23"/>
    <mergeCell ref="J21:J23"/>
    <mergeCell ref="I24:I26"/>
    <mergeCell ref="J24:J26"/>
    <mergeCell ref="K24:K26"/>
    <mergeCell ref="K17:K18"/>
    <mergeCell ref="K19:K20"/>
    <mergeCell ref="I17:I18"/>
    <mergeCell ref="B16:B26"/>
    <mergeCell ref="C16:C20"/>
    <mergeCell ref="E16:E20"/>
    <mergeCell ref="F16:F20"/>
    <mergeCell ref="G16:H26"/>
    <mergeCell ref="C24:C26"/>
    <mergeCell ref="E24:E26"/>
    <mergeCell ref="F24:F26"/>
    <mergeCell ref="C21:C23"/>
    <mergeCell ref="E21:E23"/>
    <mergeCell ref="F21:F23"/>
    <mergeCell ref="E15:F15"/>
    <mergeCell ref="G15:H15"/>
    <mergeCell ref="I15:J15"/>
    <mergeCell ref="K15:L15"/>
    <mergeCell ref="M15:N15"/>
    <mergeCell ref="L8:L9"/>
    <mergeCell ref="L10:L11"/>
    <mergeCell ref="F5:F11"/>
    <mergeCell ref="E5:E11"/>
    <mergeCell ref="K6:K7"/>
    <mergeCell ref="L6:L7"/>
    <mergeCell ref="I10:I11"/>
    <mergeCell ref="K8:K9"/>
    <mergeCell ref="K10:K11"/>
    <mergeCell ref="J10:J11"/>
    <mergeCell ref="E4:F4"/>
    <mergeCell ref="G4:H4"/>
    <mergeCell ref="I4:J4"/>
    <mergeCell ref="K4:L4"/>
    <mergeCell ref="M4:N4"/>
    <mergeCell ref="B5:B11"/>
    <mergeCell ref="G6:G7"/>
    <mergeCell ref="G8:G11"/>
    <mergeCell ref="H6:H7"/>
    <mergeCell ref="H8:H11"/>
    <mergeCell ref="G5:H5"/>
    <mergeCell ref="C5:C11"/>
  </mergeCells>
  <pageMargins left="0.7" right="0.7" top="0.75" bottom="0.75" header="0.3" footer="0.3"/>
  <pageSetup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70"/>
  <sheetViews>
    <sheetView tabSelected="1" topLeftCell="A50" zoomScaleNormal="100" workbookViewId="0">
      <selection activeCell="M58" sqref="M58"/>
    </sheetView>
  </sheetViews>
  <sheetFormatPr defaultRowHeight="14.4" x14ac:dyDescent="0.3"/>
  <cols>
    <col min="2" max="2" width="11.33203125" bestFit="1" customWidth="1"/>
    <col min="3" max="4" width="12.33203125" bestFit="1" customWidth="1"/>
    <col min="5" max="5" width="49" bestFit="1" customWidth="1"/>
    <col min="6" max="6" width="11.109375" customWidth="1"/>
    <col min="7" max="7" width="18" customWidth="1"/>
    <col min="8" max="8" width="20.21875" customWidth="1"/>
    <col min="9" max="9" width="24.77734375" bestFit="1" customWidth="1"/>
    <col min="10" max="10" width="20.21875" bestFit="1" customWidth="1"/>
    <col min="11" max="11" width="25.21875" bestFit="1" customWidth="1"/>
    <col min="12" max="12" width="18.33203125" customWidth="1"/>
    <col min="13" max="13" width="25.109375" bestFit="1" customWidth="1"/>
    <col min="14" max="14" width="11" bestFit="1" customWidth="1"/>
    <col min="15" max="15" width="17.88671875" bestFit="1" customWidth="1"/>
    <col min="16" max="16" width="11" bestFit="1" customWidth="1"/>
    <col min="17" max="17" width="9.88671875" bestFit="1" customWidth="1"/>
  </cols>
  <sheetData>
    <row r="1" spans="2:20" x14ac:dyDescent="0.3">
      <c r="B1" t="s">
        <v>302</v>
      </c>
    </row>
    <row r="2" spans="2:20" s="49" customFormat="1" x14ac:dyDescent="0.3">
      <c r="B2"/>
      <c r="C2"/>
      <c r="D2"/>
      <c r="E2"/>
      <c r="F2"/>
      <c r="G2"/>
      <c r="H2"/>
      <c r="I2"/>
      <c r="J2"/>
      <c r="K2"/>
      <c r="L2"/>
      <c r="M2"/>
      <c r="N2"/>
      <c r="O2"/>
      <c r="P2"/>
      <c r="Q2"/>
      <c r="R2"/>
      <c r="S2" s="167" t="s">
        <v>328</v>
      </c>
      <c r="T2" s="170">
        <v>365</v>
      </c>
    </row>
    <row r="3" spans="2:20" ht="43.2" x14ac:dyDescent="0.3">
      <c r="C3" s="167" t="s">
        <v>320</v>
      </c>
      <c r="D3" s="167" t="s">
        <v>223</v>
      </c>
      <c r="E3" s="167" t="s">
        <v>303</v>
      </c>
      <c r="F3" s="167" t="s">
        <v>310</v>
      </c>
      <c r="G3" s="167" t="s">
        <v>308</v>
      </c>
      <c r="H3" s="167" t="s">
        <v>309</v>
      </c>
      <c r="I3" s="167" t="s">
        <v>329</v>
      </c>
      <c r="J3" s="167" t="s">
        <v>326</v>
      </c>
      <c r="L3" s="167" t="s">
        <v>303</v>
      </c>
      <c r="M3" s="167" t="s">
        <v>319</v>
      </c>
      <c r="N3" s="167" t="s">
        <v>322</v>
      </c>
      <c r="O3" s="167" t="s">
        <v>324</v>
      </c>
      <c r="S3" s="167" t="s">
        <v>318</v>
      </c>
      <c r="T3" s="2">
        <v>1000</v>
      </c>
    </row>
    <row r="4" spans="2:20" x14ac:dyDescent="0.3">
      <c r="C4" s="2" t="s">
        <v>85</v>
      </c>
      <c r="D4" s="2" t="s">
        <v>224</v>
      </c>
      <c r="E4" s="2" t="s">
        <v>83</v>
      </c>
      <c r="F4" s="169">
        <f>'Energy Factors Tables'!$E$5</f>
        <v>15700</v>
      </c>
      <c r="G4" s="120">
        <f>'Energy Factors Tables'!$I$5</f>
        <v>1.052</v>
      </c>
      <c r="H4" s="140">
        <f>'Energy Factors Tables'!$M$5</f>
        <v>2.3817391304347821</v>
      </c>
      <c r="I4" s="2" t="s">
        <v>330</v>
      </c>
      <c r="J4" s="171">
        <f t="shared" ref="J4:J8" si="0">F4*G4*$T$2/(H4*$T$3)</f>
        <v>2531.1277473530495</v>
      </c>
      <c r="L4" s="326" t="s">
        <v>343</v>
      </c>
      <c r="M4" s="2" t="str">
        <f t="shared" ref="M4:N6" si="1">I5</f>
        <v>EU_SFm, 2-spd: M1</v>
      </c>
      <c r="N4" s="171">
        <f t="shared" si="1"/>
        <v>2219.7244050707982</v>
      </c>
      <c r="O4" s="10">
        <f>'Energy Factors Tables'!$G$6</f>
        <v>0.71685004683141718</v>
      </c>
    </row>
    <row r="5" spans="2:20" x14ac:dyDescent="0.3">
      <c r="C5" s="2" t="s">
        <v>85</v>
      </c>
      <c r="D5" s="2" t="s">
        <v>224</v>
      </c>
      <c r="E5" s="2" t="s">
        <v>304</v>
      </c>
      <c r="F5" s="169">
        <f>'Energy Factors Tables'!$E$5</f>
        <v>15700</v>
      </c>
      <c r="G5" s="120">
        <f>'Energy Factors Tables'!$I$6</f>
        <v>1.0449999999999999</v>
      </c>
      <c r="H5" s="140">
        <f>'Energy Factors Tables'!$M$6</f>
        <v>2.6978</v>
      </c>
      <c r="I5" s="2" t="s">
        <v>331</v>
      </c>
      <c r="J5" s="171">
        <f t="shared" si="0"/>
        <v>2219.7244050707982</v>
      </c>
      <c r="L5" s="327"/>
      <c r="M5" s="2" t="str">
        <f t="shared" si="1"/>
        <v>EU_SFm, 2-spd: M2A</v>
      </c>
      <c r="N5" s="171">
        <f t="shared" si="1"/>
        <v>1859.2066633422678</v>
      </c>
      <c r="O5" s="329">
        <f>'Energy Factors Tables'!$G$8</f>
        <v>0.28314995316858282</v>
      </c>
    </row>
    <row r="6" spans="2:20" x14ac:dyDescent="0.3">
      <c r="C6" s="2" t="s">
        <v>85</v>
      </c>
      <c r="D6" s="2" t="s">
        <v>224</v>
      </c>
      <c r="E6" s="2" t="s">
        <v>305</v>
      </c>
      <c r="F6" s="169">
        <f>'Energy Factors Tables'!$E$5</f>
        <v>15700</v>
      </c>
      <c r="G6" s="120">
        <f>'Energy Factors Tables'!$I$8</f>
        <v>1.0409999999999999</v>
      </c>
      <c r="H6" s="140">
        <f>'Energy Factors Tables'!$M$8</f>
        <v>3.2086000000000001</v>
      </c>
      <c r="I6" s="2" t="s">
        <v>332</v>
      </c>
      <c r="J6" s="171">
        <f t="shared" si="0"/>
        <v>1859.2066633422678</v>
      </c>
      <c r="L6" s="327"/>
      <c r="M6" s="2" t="str">
        <f t="shared" si="1"/>
        <v>EU_SFm, 2-spd: M2B</v>
      </c>
      <c r="N6" s="171">
        <f t="shared" si="1"/>
        <v>897.83172077600204</v>
      </c>
      <c r="O6" s="330"/>
    </row>
    <row r="7" spans="2:20" x14ac:dyDescent="0.3">
      <c r="C7" s="2" t="s">
        <v>85</v>
      </c>
      <c r="D7" s="2" t="s">
        <v>224</v>
      </c>
      <c r="E7" s="2" t="s">
        <v>306</v>
      </c>
      <c r="F7" s="169">
        <f>'Energy Factors Tables'!$E$5</f>
        <v>15700</v>
      </c>
      <c r="G7" s="120">
        <f>'Energy Factors Tables'!$I$10</f>
        <v>0.44593118291120465</v>
      </c>
      <c r="H7" s="140">
        <f>'Energy Factors Tables'!$M$10</f>
        <v>2.8462000000000014</v>
      </c>
      <c r="I7" s="2" t="s">
        <v>333</v>
      </c>
      <c r="J7" s="171">
        <f t="shared" si="0"/>
        <v>897.83172077600204</v>
      </c>
      <c r="L7" s="328"/>
      <c r="M7" s="172" t="s">
        <v>325</v>
      </c>
      <c r="N7" s="324">
        <f>(N4*O4)+((N5+N6)*O5)</f>
        <v>2371.8648330749147</v>
      </c>
      <c r="O7" s="325"/>
    </row>
    <row r="8" spans="2:20" x14ac:dyDescent="0.3">
      <c r="C8" s="2" t="s">
        <v>85</v>
      </c>
      <c r="D8" s="2" t="s">
        <v>224</v>
      </c>
      <c r="E8" s="2" t="s">
        <v>357</v>
      </c>
      <c r="F8" s="169">
        <f>'Energy Factors Tables'!$E$5</f>
        <v>15700</v>
      </c>
      <c r="G8" s="120">
        <f>'Energy Factors Tables'!$I$6</f>
        <v>1.0449999999999999</v>
      </c>
      <c r="H8" s="140">
        <f>'Energy Factors Tables'!$M$7</f>
        <v>5.0389419999999987</v>
      </c>
      <c r="I8" s="2" t="s">
        <v>351</v>
      </c>
      <c r="J8" s="171">
        <f t="shared" si="0"/>
        <v>1188.4186204167465</v>
      </c>
      <c r="L8" s="326" t="s">
        <v>470</v>
      </c>
      <c r="M8" s="2" t="str">
        <f t="shared" ref="M8:N8" si="2">I8</f>
        <v>EU_SFm, VS: M1, Pr</v>
      </c>
      <c r="N8" s="171">
        <f t="shared" si="2"/>
        <v>1188.4186204167465</v>
      </c>
      <c r="O8" s="10">
        <f>'Energy Factors Tables'!$G$6</f>
        <v>0.71685004683141718</v>
      </c>
    </row>
    <row r="9" spans="2:20" x14ac:dyDescent="0.3">
      <c r="C9" s="2" t="s">
        <v>85</v>
      </c>
      <c r="D9" s="2" t="s">
        <v>224</v>
      </c>
      <c r="E9" s="2" t="s">
        <v>358</v>
      </c>
      <c r="F9" s="169">
        <f>'Energy Factors Tables'!$E$5</f>
        <v>15700</v>
      </c>
      <c r="G9" s="120">
        <f>'Energy Factors Tables'!$I$7</f>
        <v>1.0869453173540584</v>
      </c>
      <c r="H9" s="140">
        <f>'Energy Factors Tables'!$M$7</f>
        <v>5.0389419999999987</v>
      </c>
      <c r="I9" s="2" t="s">
        <v>352</v>
      </c>
      <c r="J9" s="171">
        <f t="shared" ref="J9" si="3">F9*G9*$T$2/(H9*$T$3)</f>
        <v>1236.120626333352</v>
      </c>
      <c r="L9" s="327"/>
      <c r="M9" s="2" t="str">
        <f>I10</f>
        <v>EU_SFm, VS: M2A, Pr</v>
      </c>
      <c r="N9" s="171">
        <f>J10</f>
        <v>910.11802416322007</v>
      </c>
      <c r="O9" s="329">
        <f>'Energy Factors Tables'!$G$8</f>
        <v>0.28314995316858282</v>
      </c>
    </row>
    <row r="10" spans="2:20" x14ac:dyDescent="0.3">
      <c r="C10" s="2" t="s">
        <v>85</v>
      </c>
      <c r="D10" s="2" t="s">
        <v>224</v>
      </c>
      <c r="E10" s="2" t="s">
        <v>359</v>
      </c>
      <c r="F10" s="169">
        <f>'Energy Factors Tables'!$E$5</f>
        <v>15700</v>
      </c>
      <c r="G10" s="120">
        <f>'Energy Factors Tables'!$I$8</f>
        <v>1.0409999999999999</v>
      </c>
      <c r="H10" s="140">
        <f>'Energy Factors Tables'!$M$9</f>
        <v>6.5545899999999993</v>
      </c>
      <c r="I10" s="2" t="s">
        <v>353</v>
      </c>
      <c r="J10" s="171">
        <f t="shared" ref="J10:J23" si="4">F10*G10*$T$2/(H10*$T$3)</f>
        <v>910.11802416322007</v>
      </c>
      <c r="L10" s="327"/>
      <c r="M10" s="2" t="str">
        <f>I12</f>
        <v>EU_SFm, VS: M2B</v>
      </c>
      <c r="N10" s="171">
        <f>J12</f>
        <v>597.95936437669502</v>
      </c>
      <c r="O10" s="330">
        <f>'Energy Factors Tables'!$G$8</f>
        <v>0.28314995316858282</v>
      </c>
    </row>
    <row r="11" spans="2:20" x14ac:dyDescent="0.3">
      <c r="C11" s="2" t="s">
        <v>85</v>
      </c>
      <c r="D11" s="2" t="s">
        <v>224</v>
      </c>
      <c r="E11" s="2" t="s">
        <v>360</v>
      </c>
      <c r="F11" s="169">
        <f>'Energy Factors Tables'!$E$5</f>
        <v>15700</v>
      </c>
      <c r="G11" s="120">
        <f>'Energy Factors Tables'!$I$9</f>
        <v>1.0828617474492501</v>
      </c>
      <c r="H11" s="140">
        <f>'Energy Factors Tables'!$M$9</f>
        <v>6.5545899999999993</v>
      </c>
      <c r="I11" s="2" t="s">
        <v>354</v>
      </c>
      <c r="J11" s="171">
        <f t="shared" si="4"/>
        <v>946.71661290148268</v>
      </c>
      <c r="L11" s="328"/>
      <c r="M11" s="172" t="s">
        <v>355</v>
      </c>
      <c r="N11" s="324">
        <f>(N8*O8)+((N9+N10)*O9)</f>
        <v>1278.9299856407488</v>
      </c>
      <c r="O11" s="325"/>
    </row>
    <row r="12" spans="2:20" x14ac:dyDescent="0.3">
      <c r="C12" s="2" t="s">
        <v>85</v>
      </c>
      <c r="D12" s="2" t="s">
        <v>224</v>
      </c>
      <c r="E12" s="2" t="s">
        <v>307</v>
      </c>
      <c r="F12" s="169">
        <f>'Energy Factors Tables'!$E$5</f>
        <v>15700</v>
      </c>
      <c r="G12" s="120">
        <f>'Energy Factors Tables'!$I$10</f>
        <v>0.44593118291120465</v>
      </c>
      <c r="H12" s="140">
        <f>'Energy Factors Tables'!$M$11</f>
        <v>4.2735489999999956</v>
      </c>
      <c r="I12" s="2" t="s">
        <v>334</v>
      </c>
      <c r="J12" s="171">
        <f t="shared" si="4"/>
        <v>597.95936437669502</v>
      </c>
      <c r="L12" s="326" t="s">
        <v>469</v>
      </c>
      <c r="M12" s="2" t="str">
        <f>I9</f>
        <v>EU_SFm, VS: M1, NPr</v>
      </c>
      <c r="N12" s="171">
        <f>J9</f>
        <v>1236.120626333352</v>
      </c>
      <c r="O12" s="10">
        <f>'Energy Factors Tables'!$G$6</f>
        <v>0.71685004683141718</v>
      </c>
    </row>
    <row r="13" spans="2:20" x14ac:dyDescent="0.3">
      <c r="C13" s="2" t="s">
        <v>321</v>
      </c>
      <c r="D13" s="2" t="s">
        <v>224</v>
      </c>
      <c r="E13" s="2" t="s">
        <v>83</v>
      </c>
      <c r="F13" s="169">
        <f>'Energy Factors Tables'!$E$16</f>
        <v>27527</v>
      </c>
      <c r="G13" s="166">
        <f>'Energy Factors Tables'!$I$16</f>
        <v>3.4</v>
      </c>
      <c r="H13" s="140">
        <f>'Energy Factors Tables'!$M$16</f>
        <v>2.3817391304347821</v>
      </c>
      <c r="I13" s="2" t="s">
        <v>335</v>
      </c>
      <c r="J13" s="171">
        <f t="shared" si="4"/>
        <v>14342.883552391388</v>
      </c>
      <c r="L13" s="327"/>
      <c r="M13" s="2" t="str">
        <f>I11</f>
        <v>EU_SFm, VS: M2A, NPr</v>
      </c>
      <c r="N13" s="171">
        <f>J11</f>
        <v>946.71661290148268</v>
      </c>
      <c r="O13" s="329">
        <f>'Energy Factors Tables'!$G$8</f>
        <v>0.28314995316858282</v>
      </c>
    </row>
    <row r="14" spans="2:20" x14ac:dyDescent="0.3">
      <c r="C14" s="3" t="s">
        <v>321</v>
      </c>
      <c r="D14" s="3" t="s">
        <v>224</v>
      </c>
      <c r="E14" s="3" t="s">
        <v>375</v>
      </c>
      <c r="F14" s="186">
        <f>'Energy Factors Tables'!$E$16</f>
        <v>27527</v>
      </c>
      <c r="G14" s="187">
        <f>'Energy Factors Tables'!$I$17</f>
        <v>1.855</v>
      </c>
      <c r="H14" s="188">
        <f>'Energy Factors Tables'!$M$17</f>
        <v>2.5008000000000008</v>
      </c>
      <c r="I14" s="3" t="s">
        <v>379</v>
      </c>
      <c r="J14" s="189">
        <f>F14*G14*$T$2/(H14*$T$3)</f>
        <v>7452.7525291906568</v>
      </c>
      <c r="L14" s="327"/>
      <c r="M14" s="2" t="str">
        <f>I12</f>
        <v>EU_SFm, VS: M2B</v>
      </c>
      <c r="N14" s="171">
        <f>J12</f>
        <v>597.95936437669502</v>
      </c>
      <c r="O14" s="330">
        <f>'Energy Factors Tables'!$G$8</f>
        <v>0.28314995316858282</v>
      </c>
    </row>
    <row r="15" spans="2:20" x14ac:dyDescent="0.3">
      <c r="C15" s="3" t="s">
        <v>321</v>
      </c>
      <c r="D15" s="3" t="s">
        <v>224</v>
      </c>
      <c r="E15" s="3" t="s">
        <v>376</v>
      </c>
      <c r="F15" s="186">
        <f>'Energy Factors Tables'!$E$16</f>
        <v>27527</v>
      </c>
      <c r="G15" s="187">
        <f>'Energy Factors Tables'!$I$17</f>
        <v>1.855</v>
      </c>
      <c r="H15" s="188">
        <f>'Energy Factors Tables'!$M$18</f>
        <v>3.3285444999999996</v>
      </c>
      <c r="I15" s="3" t="s">
        <v>380</v>
      </c>
      <c r="J15" s="189">
        <f>F15*G15*$T$2/(H15*$T$3)</f>
        <v>5599.3974318204255</v>
      </c>
      <c r="L15" s="328"/>
      <c r="M15" s="172" t="s">
        <v>356</v>
      </c>
      <c r="N15" s="324">
        <f>(N12*O12)+((N13+N14)*O13)</f>
        <v>1323.4880595032951</v>
      </c>
      <c r="O15" s="325"/>
    </row>
    <row r="16" spans="2:20" x14ac:dyDescent="0.3">
      <c r="C16" s="3" t="s">
        <v>321</v>
      </c>
      <c r="D16" s="3" t="s">
        <v>224</v>
      </c>
      <c r="E16" s="3" t="s">
        <v>377</v>
      </c>
      <c r="F16" s="186">
        <f>'Energy Factors Tables'!$E$16</f>
        <v>27527</v>
      </c>
      <c r="G16" s="187">
        <f>'Energy Factors Tables'!$I$19</f>
        <v>0.54100000000000004</v>
      </c>
      <c r="H16" s="188">
        <f>'Energy Factors Tables'!$M$19</f>
        <v>4.4963320000000007</v>
      </c>
      <c r="I16" s="3" t="s">
        <v>381</v>
      </c>
      <c r="J16" s="189">
        <f>F16*G16*$T$2/(H16*$T$3)</f>
        <v>1208.9007339760499</v>
      </c>
      <c r="L16" s="183"/>
      <c r="M16" s="184"/>
      <c r="N16" s="185"/>
      <c r="O16" s="185"/>
    </row>
    <row r="17" spans="2:15" x14ac:dyDescent="0.3">
      <c r="C17" s="3" t="s">
        <v>321</v>
      </c>
      <c r="D17" s="3" t="s">
        <v>224</v>
      </c>
      <c r="E17" s="3" t="s">
        <v>378</v>
      </c>
      <c r="F17" s="186">
        <f>'Energy Factors Tables'!$E$16</f>
        <v>27527</v>
      </c>
      <c r="G17" s="187">
        <f>'Energy Factors Tables'!$I$19</f>
        <v>0.54100000000000004</v>
      </c>
      <c r="H17" s="188">
        <f>'Energy Factors Tables'!$M$20</f>
        <v>8.4357566799999972</v>
      </c>
      <c r="I17" s="3" t="s">
        <v>382</v>
      </c>
      <c r="J17" s="189">
        <f>F17*G17*$T$2/(H17*$T$3)</f>
        <v>644.35465141936777</v>
      </c>
      <c r="L17" s="183"/>
      <c r="M17" s="184"/>
      <c r="N17" s="185"/>
      <c r="O17" s="185"/>
    </row>
    <row r="18" spans="2:15" x14ac:dyDescent="0.3">
      <c r="C18" s="2" t="s">
        <v>321</v>
      </c>
      <c r="D18" s="2" t="s">
        <v>251</v>
      </c>
      <c r="E18" s="2" t="s">
        <v>83</v>
      </c>
      <c r="F18" s="169">
        <f>'Energy Factors Tables'!$E$21</f>
        <v>1400</v>
      </c>
      <c r="G18" s="169">
        <f>'Energy Factors Tables'!$I$21</f>
        <v>48</v>
      </c>
      <c r="H18" s="140">
        <f>'Energy Factors Tables'!$M$21</f>
        <v>2.3817391304347821</v>
      </c>
      <c r="I18" s="2" t="s">
        <v>336</v>
      </c>
      <c r="J18" s="171">
        <f t="shared" si="4"/>
        <v>10298.357064622127</v>
      </c>
    </row>
    <row r="19" spans="2:15" x14ac:dyDescent="0.3">
      <c r="C19" s="2" t="s">
        <v>321</v>
      </c>
      <c r="D19" s="2" t="s">
        <v>251</v>
      </c>
      <c r="E19" s="2" t="s">
        <v>80</v>
      </c>
      <c r="F19" s="169">
        <f>'Energy Factors Tables'!$E$21</f>
        <v>1400</v>
      </c>
      <c r="G19" s="169">
        <f>'Energy Factors Tables'!$I$21</f>
        <v>48</v>
      </c>
      <c r="H19" s="140">
        <f>'Energy Factors Tables'!$M$22</f>
        <v>2.9207000000000019</v>
      </c>
      <c r="I19" s="2" t="s">
        <v>337</v>
      </c>
      <c r="J19" s="171">
        <f t="shared" si="4"/>
        <v>8397.9867839901344</v>
      </c>
      <c r="L19" s="376"/>
      <c r="M19" s="376"/>
      <c r="N19" s="377"/>
    </row>
    <row r="20" spans="2:15" x14ac:dyDescent="0.3">
      <c r="C20" s="2" t="s">
        <v>321</v>
      </c>
      <c r="D20" s="2" t="s">
        <v>251</v>
      </c>
      <c r="E20" s="2" t="s">
        <v>296</v>
      </c>
      <c r="F20" s="169">
        <f>'Energy Factors Tables'!$E$21</f>
        <v>1400</v>
      </c>
      <c r="G20" s="169">
        <f>'Energy Factors Tables'!$I$21</f>
        <v>48</v>
      </c>
      <c r="H20" s="140">
        <f>'Energy Factors Tables'!$M$23</f>
        <v>4.4708609999999993</v>
      </c>
      <c r="I20" s="2" t="s">
        <v>338</v>
      </c>
      <c r="J20" s="171">
        <f t="shared" si="4"/>
        <v>5486.1915859160026</v>
      </c>
    </row>
    <row r="21" spans="2:15" x14ac:dyDescent="0.3">
      <c r="C21" s="2" t="s">
        <v>321</v>
      </c>
      <c r="D21" s="2" t="s">
        <v>252</v>
      </c>
      <c r="E21" s="2" t="s">
        <v>83</v>
      </c>
      <c r="F21" s="169">
        <f>'Energy Factors Tables'!$E$24</f>
        <v>720</v>
      </c>
      <c r="G21" s="169">
        <f>'Energy Factors Tables'!$I$24</f>
        <v>24</v>
      </c>
      <c r="H21" s="140">
        <f>'Energy Factors Tables'!$M$24</f>
        <v>2.3817391304347821</v>
      </c>
      <c r="I21" s="2" t="s">
        <v>339</v>
      </c>
      <c r="J21" s="171">
        <f t="shared" si="4"/>
        <v>2648.1489594742611</v>
      </c>
    </row>
    <row r="22" spans="2:15" x14ac:dyDescent="0.3">
      <c r="C22" s="2" t="s">
        <v>321</v>
      </c>
      <c r="D22" s="2" t="s">
        <v>252</v>
      </c>
      <c r="E22" s="2" t="s">
        <v>80</v>
      </c>
      <c r="F22" s="169">
        <f>'Energy Factors Tables'!$E$24</f>
        <v>720</v>
      </c>
      <c r="G22" s="169">
        <f>'Energy Factors Tables'!$I$24</f>
        <v>24</v>
      </c>
      <c r="H22" s="140">
        <f>'Energy Factors Tables'!$M$25</f>
        <v>7.2055000000000007</v>
      </c>
      <c r="I22" s="2" t="s">
        <v>340</v>
      </c>
      <c r="J22" s="171">
        <f t="shared" si="4"/>
        <v>875.33134411213643</v>
      </c>
    </row>
    <row r="23" spans="2:15" x14ac:dyDescent="0.3">
      <c r="C23" s="2" t="s">
        <v>321</v>
      </c>
      <c r="D23" s="2" t="s">
        <v>252</v>
      </c>
      <c r="E23" s="2" t="s">
        <v>296</v>
      </c>
      <c r="F23" s="169">
        <f>'Energy Factors Tables'!$E$24</f>
        <v>720</v>
      </c>
      <c r="G23" s="169">
        <f>'Energy Factors Tables'!$I$24</f>
        <v>24</v>
      </c>
      <c r="H23" s="140">
        <f>'Energy Factors Tables'!$M$26</f>
        <v>7.8646600000000007</v>
      </c>
      <c r="I23" s="2" t="s">
        <v>341</v>
      </c>
      <c r="J23" s="171">
        <f t="shared" si="4"/>
        <v>801.96728148451416</v>
      </c>
    </row>
    <row r="24" spans="2:15" x14ac:dyDescent="0.3">
      <c r="I24" s="2" t="str">
        <f>M7</f>
        <v>EU_SFm, 2-spd: Wtd</v>
      </c>
      <c r="J24" s="171">
        <f>N7</f>
        <v>2371.8648330749147</v>
      </c>
    </row>
    <row r="25" spans="2:15" x14ac:dyDescent="0.3">
      <c r="I25" s="2" t="str">
        <f>M11</f>
        <v>EU_SFm, VS: Wtd, Pr</v>
      </c>
      <c r="J25" s="171">
        <f>N11</f>
        <v>1278.9299856407488</v>
      </c>
    </row>
    <row r="26" spans="2:15" x14ac:dyDescent="0.3">
      <c r="I26" s="2" t="str">
        <f>M15</f>
        <v>EU_SFm, VS: Wtd, NPr</v>
      </c>
      <c r="J26" s="171">
        <f>N15</f>
        <v>1323.4880595032951</v>
      </c>
    </row>
    <row r="27" spans="2:15" x14ac:dyDescent="0.3">
      <c r="I27" s="7"/>
      <c r="J27" s="179"/>
    </row>
    <row r="28" spans="2:15" x14ac:dyDescent="0.3">
      <c r="B28" t="s">
        <v>347</v>
      </c>
    </row>
    <row r="30" spans="2:15" ht="43.2" x14ac:dyDescent="0.3">
      <c r="B30" s="167" t="s">
        <v>49</v>
      </c>
      <c r="C30" s="167" t="s">
        <v>9</v>
      </c>
      <c r="D30" s="167" t="s">
        <v>320</v>
      </c>
      <c r="E30" s="167" t="s">
        <v>223</v>
      </c>
      <c r="F30" s="167" t="s">
        <v>327</v>
      </c>
      <c r="G30" s="167" t="s">
        <v>303</v>
      </c>
      <c r="H30" s="167" t="s">
        <v>319</v>
      </c>
      <c r="I30" s="167" t="s">
        <v>326</v>
      </c>
      <c r="J30" s="167" t="s">
        <v>271</v>
      </c>
      <c r="K30" s="167" t="s">
        <v>198</v>
      </c>
    </row>
    <row r="31" spans="2:15" ht="28.8" x14ac:dyDescent="0.3">
      <c r="B31" s="315" t="s">
        <v>13</v>
      </c>
      <c r="C31" s="315" t="s">
        <v>21</v>
      </c>
      <c r="D31" s="315" t="s">
        <v>85</v>
      </c>
      <c r="E31" s="315" t="s">
        <v>224</v>
      </c>
      <c r="F31" s="165" t="s">
        <v>121</v>
      </c>
      <c r="G31" s="170" t="s">
        <v>323</v>
      </c>
      <c r="H31" s="173" t="str">
        <f>$I$24</f>
        <v>EU_SFm, 2-spd: Wtd</v>
      </c>
      <c r="I31" s="174">
        <f t="shared" ref="I31:I40" si="5">INDEX($J$4:$J$26,MATCH(H31,$I$4:$I$26,0))</f>
        <v>2371.8648330749147</v>
      </c>
      <c r="J31" s="321">
        <f>I31-I32</f>
        <v>1092.9348474341659</v>
      </c>
      <c r="K31" s="321" t="s">
        <v>247</v>
      </c>
    </row>
    <row r="32" spans="2:15" ht="57.6" x14ac:dyDescent="0.3">
      <c r="B32" s="315"/>
      <c r="C32" s="315"/>
      <c r="D32" s="315" t="s">
        <v>85</v>
      </c>
      <c r="E32" s="315" t="s">
        <v>224</v>
      </c>
      <c r="F32" s="165" t="s">
        <v>1</v>
      </c>
      <c r="G32" s="170" t="s">
        <v>361</v>
      </c>
      <c r="H32" s="173" t="str">
        <f>$I$25</f>
        <v>EU_SFm, VS: Wtd, Pr</v>
      </c>
      <c r="I32" s="175">
        <f t="shared" si="5"/>
        <v>1278.9299856407488</v>
      </c>
      <c r="J32" s="323"/>
      <c r="K32" s="323"/>
    </row>
    <row r="33" spans="2:11" ht="28.8" x14ac:dyDescent="0.3">
      <c r="B33" s="315" t="s">
        <v>15</v>
      </c>
      <c r="C33" s="315" t="s">
        <v>21</v>
      </c>
      <c r="D33" s="317" t="s">
        <v>85</v>
      </c>
      <c r="E33" s="315" t="s">
        <v>224</v>
      </c>
      <c r="F33" s="165" t="s">
        <v>121</v>
      </c>
      <c r="G33" s="170" t="s">
        <v>323</v>
      </c>
      <c r="H33" s="173" t="str">
        <f>$I$24</f>
        <v>EU_SFm, 2-spd: Wtd</v>
      </c>
      <c r="I33" s="175">
        <f t="shared" si="5"/>
        <v>2371.8648330749147</v>
      </c>
      <c r="J33" s="321">
        <f>I33-I34</f>
        <v>1048.3767735716197</v>
      </c>
      <c r="K33" s="321" t="s">
        <v>247</v>
      </c>
    </row>
    <row r="34" spans="2:11" ht="57.6" x14ac:dyDescent="0.3">
      <c r="B34" s="315"/>
      <c r="C34" s="315"/>
      <c r="D34" s="317" t="s">
        <v>85</v>
      </c>
      <c r="E34" s="315" t="s">
        <v>224</v>
      </c>
      <c r="F34" s="165" t="s">
        <v>1</v>
      </c>
      <c r="G34" s="170" t="s">
        <v>362</v>
      </c>
      <c r="H34" s="173" t="str">
        <f>$I$26</f>
        <v>EU_SFm, VS: Wtd, NPr</v>
      </c>
      <c r="I34" s="175">
        <f t="shared" si="5"/>
        <v>1323.4880595032951</v>
      </c>
      <c r="J34" s="323"/>
      <c r="K34" s="323"/>
    </row>
    <row r="35" spans="2:11" x14ac:dyDescent="0.3">
      <c r="B35" s="315" t="s">
        <v>27</v>
      </c>
      <c r="C35" s="315" t="s">
        <v>342</v>
      </c>
      <c r="D35" s="315" t="s">
        <v>85</v>
      </c>
      <c r="E35" s="315" t="s">
        <v>224</v>
      </c>
      <c r="F35" s="165" t="s">
        <v>121</v>
      </c>
      <c r="G35" s="170" t="s">
        <v>83</v>
      </c>
      <c r="H35" s="173" t="str">
        <f>$I$4</f>
        <v>EU_SFm, 1-spd</v>
      </c>
      <c r="I35" s="175">
        <f t="shared" si="5"/>
        <v>2531.1277473530495</v>
      </c>
      <c r="J35" s="321">
        <f>I35-I37</f>
        <v>1252.1977617123007</v>
      </c>
      <c r="K35" s="321">
        <f>I36-I37</f>
        <v>1092.9348474341659</v>
      </c>
    </row>
    <row r="36" spans="2:11" ht="28.8" x14ac:dyDescent="0.3">
      <c r="B36" s="315"/>
      <c r="C36" s="315"/>
      <c r="D36" s="315" t="s">
        <v>85</v>
      </c>
      <c r="E36" s="315" t="s">
        <v>224</v>
      </c>
      <c r="F36" s="165" t="s">
        <v>75</v>
      </c>
      <c r="G36" s="170" t="s">
        <v>323</v>
      </c>
      <c r="H36" s="173" t="str">
        <f>$I$24</f>
        <v>EU_SFm, 2-spd: Wtd</v>
      </c>
      <c r="I36" s="175">
        <f t="shared" si="5"/>
        <v>2371.8648330749147</v>
      </c>
      <c r="J36" s="322"/>
      <c r="K36" s="322"/>
    </row>
    <row r="37" spans="2:11" ht="57.6" x14ac:dyDescent="0.3">
      <c r="B37" s="315"/>
      <c r="C37" s="315"/>
      <c r="D37" s="315" t="s">
        <v>85</v>
      </c>
      <c r="E37" s="315" t="s">
        <v>224</v>
      </c>
      <c r="F37" s="165" t="s">
        <v>1</v>
      </c>
      <c r="G37" s="170" t="s">
        <v>361</v>
      </c>
      <c r="H37" s="173" t="str">
        <f>$I$25</f>
        <v>EU_SFm, VS: Wtd, Pr</v>
      </c>
      <c r="I37" s="175">
        <f t="shared" si="5"/>
        <v>1278.9299856407488</v>
      </c>
      <c r="J37" s="323"/>
      <c r="K37" s="323"/>
    </row>
    <row r="38" spans="2:11" x14ac:dyDescent="0.3">
      <c r="B38" s="316" t="s">
        <v>39</v>
      </c>
      <c r="C38" s="316" t="s">
        <v>342</v>
      </c>
      <c r="D38" s="316" t="s">
        <v>321</v>
      </c>
      <c r="E38" s="316" t="s">
        <v>224</v>
      </c>
      <c r="F38" s="190" t="s">
        <v>121</v>
      </c>
      <c r="G38" s="191" t="s">
        <v>83</v>
      </c>
      <c r="H38" s="192" t="str">
        <f>I13</f>
        <v>EU_MFm, Swim, 1-spd</v>
      </c>
      <c r="I38" s="193">
        <f t="shared" si="5"/>
        <v>14342.883552391388</v>
      </c>
      <c r="J38" s="318">
        <f>I38-I44</f>
        <v>8099.1314691515945</v>
      </c>
      <c r="K38" s="318">
        <f>I41-I44</f>
        <v>2417.9011799269138</v>
      </c>
    </row>
    <row r="39" spans="2:11" ht="28.8" hidden="1" x14ac:dyDescent="0.3">
      <c r="B39" s="316"/>
      <c r="C39" s="316"/>
      <c r="D39" s="316" t="s">
        <v>321</v>
      </c>
      <c r="E39" s="316" t="s">
        <v>224</v>
      </c>
      <c r="F39" s="190" t="s">
        <v>75</v>
      </c>
      <c r="G39" s="191" t="s">
        <v>80</v>
      </c>
      <c r="H39" s="192" t="str">
        <f>I14</f>
        <v>EU_MFm, Swim, 2-spd High</v>
      </c>
      <c r="I39" s="193">
        <f t="shared" si="5"/>
        <v>7452.7525291906568</v>
      </c>
      <c r="J39" s="319"/>
      <c r="K39" s="319"/>
    </row>
    <row r="40" spans="2:11" ht="28.8" hidden="1" x14ac:dyDescent="0.3">
      <c r="B40" s="316"/>
      <c r="C40" s="316"/>
      <c r="D40" s="316"/>
      <c r="E40" s="316"/>
      <c r="F40" s="190" t="s">
        <v>75</v>
      </c>
      <c r="G40" s="191" t="s">
        <v>80</v>
      </c>
      <c r="H40" s="192" t="str">
        <f>I16</f>
        <v>EU_MFm, Swim, 2-spd Low</v>
      </c>
      <c r="I40" s="193">
        <f t="shared" si="5"/>
        <v>1208.9007339760499</v>
      </c>
      <c r="J40" s="319"/>
      <c r="K40" s="319"/>
    </row>
    <row r="41" spans="2:11" ht="57.6" x14ac:dyDescent="0.3">
      <c r="B41" s="316"/>
      <c r="C41" s="316"/>
      <c r="D41" s="316"/>
      <c r="E41" s="316"/>
      <c r="F41" s="190" t="s">
        <v>75</v>
      </c>
      <c r="G41" s="191" t="s">
        <v>399</v>
      </c>
      <c r="H41" s="192" t="s">
        <v>383</v>
      </c>
      <c r="I41" s="193">
        <f>I39+I40</f>
        <v>8661.6532631667069</v>
      </c>
      <c r="J41" s="319"/>
      <c r="K41" s="319"/>
    </row>
    <row r="42" spans="2:11" ht="28.8" hidden="1" x14ac:dyDescent="0.3">
      <c r="B42" s="316"/>
      <c r="C42" s="316"/>
      <c r="D42" s="316"/>
      <c r="E42" s="316"/>
      <c r="F42" s="190" t="s">
        <v>1</v>
      </c>
      <c r="G42" s="191" t="s">
        <v>296</v>
      </c>
      <c r="H42" s="192" t="str">
        <f>I15</f>
        <v>EU_MFm, Swim, VS High</v>
      </c>
      <c r="I42" s="193">
        <f t="shared" ref="I42:I43" si="6">INDEX($J$4:$J$26,MATCH(H42,$I$4:$I$26,0))</f>
        <v>5599.3974318204255</v>
      </c>
      <c r="J42" s="319"/>
      <c r="K42" s="319"/>
    </row>
    <row r="43" spans="2:11" ht="28.8" hidden="1" x14ac:dyDescent="0.3">
      <c r="B43" s="316"/>
      <c r="C43" s="316"/>
      <c r="D43" s="316"/>
      <c r="E43" s="316"/>
      <c r="F43" s="190" t="s">
        <v>1</v>
      </c>
      <c r="G43" s="191" t="s">
        <v>296</v>
      </c>
      <c r="H43" s="192" t="str">
        <f>I17</f>
        <v>EU_MFm, Swim, VS Low</v>
      </c>
      <c r="I43" s="193">
        <f t="shared" si="6"/>
        <v>644.35465141936777</v>
      </c>
      <c r="J43" s="319"/>
      <c r="K43" s="319"/>
    </row>
    <row r="44" spans="2:11" ht="57.6" x14ac:dyDescent="0.3">
      <c r="B44" s="316"/>
      <c r="C44" s="316"/>
      <c r="D44" s="316" t="s">
        <v>321</v>
      </c>
      <c r="E44" s="316" t="s">
        <v>224</v>
      </c>
      <c r="F44" s="190" t="s">
        <v>1</v>
      </c>
      <c r="G44" s="191" t="s">
        <v>400</v>
      </c>
      <c r="H44" s="192" t="s">
        <v>384</v>
      </c>
      <c r="I44" s="193">
        <f>I42+I43</f>
        <v>6243.7520832397931</v>
      </c>
      <c r="J44" s="320"/>
      <c r="K44" s="320"/>
    </row>
    <row r="45" spans="2:11" ht="28.8" x14ac:dyDescent="0.3">
      <c r="B45" s="315" t="s">
        <v>137</v>
      </c>
      <c r="C45" s="315" t="s">
        <v>342</v>
      </c>
      <c r="D45" s="315" t="s">
        <v>321</v>
      </c>
      <c r="E45" s="315" t="s">
        <v>251</v>
      </c>
      <c r="F45" s="165" t="s">
        <v>75</v>
      </c>
      <c r="G45" s="170" t="s">
        <v>83</v>
      </c>
      <c r="H45" s="173" t="str">
        <f t="shared" ref="H45:H50" si="7">I18</f>
        <v>EU_MFm, Spa, 1-spd</v>
      </c>
      <c r="I45" s="175">
        <f t="shared" ref="I45:I50" si="8">INDEX($J$4:$J$26,MATCH(H45,$I$4:$I$26,0))</f>
        <v>10298.357064622127</v>
      </c>
      <c r="J45" s="321">
        <f>I45-I47</f>
        <v>4812.1654787061243</v>
      </c>
      <c r="K45" s="321">
        <f>I46-I47</f>
        <v>2911.7951980741318</v>
      </c>
    </row>
    <row r="46" spans="2:11" ht="28.8" x14ac:dyDescent="0.3">
      <c r="B46" s="315" t="s">
        <v>137</v>
      </c>
      <c r="C46" s="315"/>
      <c r="D46" s="315" t="s">
        <v>321</v>
      </c>
      <c r="E46" s="315" t="s">
        <v>251</v>
      </c>
      <c r="F46" s="165" t="s">
        <v>75</v>
      </c>
      <c r="G46" s="170" t="s">
        <v>80</v>
      </c>
      <c r="H46" s="173" t="str">
        <f t="shared" si="7"/>
        <v>EU_MFm, Spa, 2-spd</v>
      </c>
      <c r="I46" s="175">
        <f t="shared" si="8"/>
        <v>8397.9867839901344</v>
      </c>
      <c r="J46" s="322"/>
      <c r="K46" s="322"/>
    </row>
    <row r="47" spans="2:11" ht="28.8" x14ac:dyDescent="0.3">
      <c r="B47" s="315" t="s">
        <v>137</v>
      </c>
      <c r="C47" s="315"/>
      <c r="D47" s="315" t="s">
        <v>321</v>
      </c>
      <c r="E47" s="315" t="s">
        <v>251</v>
      </c>
      <c r="F47" s="165" t="s">
        <v>75</v>
      </c>
      <c r="G47" s="170" t="s">
        <v>296</v>
      </c>
      <c r="H47" s="173" t="str">
        <f t="shared" si="7"/>
        <v>EU_MFm, Spa, VS</v>
      </c>
      <c r="I47" s="175">
        <f t="shared" si="8"/>
        <v>5486.1915859160026</v>
      </c>
      <c r="J47" s="323"/>
      <c r="K47" s="323"/>
    </row>
    <row r="48" spans="2:11" ht="28.8" x14ac:dyDescent="0.3">
      <c r="B48" s="315" t="s">
        <v>138</v>
      </c>
      <c r="C48" s="315" t="s">
        <v>342</v>
      </c>
      <c r="D48" s="315" t="s">
        <v>321</v>
      </c>
      <c r="E48" s="315" t="s">
        <v>252</v>
      </c>
      <c r="F48" s="165" t="s">
        <v>1</v>
      </c>
      <c r="G48" s="170" t="s">
        <v>83</v>
      </c>
      <c r="H48" s="173" t="str">
        <f t="shared" si="7"/>
        <v>EU_MFm, Wade, 1-spd</v>
      </c>
      <c r="I48" s="175">
        <f t="shared" si="8"/>
        <v>2648.1489594742611</v>
      </c>
      <c r="J48" s="321">
        <f>I48-I50</f>
        <v>1846.181677989747</v>
      </c>
      <c r="K48" s="321">
        <f>I49-I50</f>
        <v>73.364062627622275</v>
      </c>
    </row>
    <row r="49" spans="2:11" ht="28.8" x14ac:dyDescent="0.3">
      <c r="B49" s="315" t="s">
        <v>138</v>
      </c>
      <c r="C49" s="315"/>
      <c r="D49" s="315" t="s">
        <v>321</v>
      </c>
      <c r="E49" s="315" t="s">
        <v>252</v>
      </c>
      <c r="F49" s="165" t="s">
        <v>1</v>
      </c>
      <c r="G49" s="170" t="s">
        <v>80</v>
      </c>
      <c r="H49" s="173" t="str">
        <f t="shared" si="7"/>
        <v>EU_MFm, Wade, 2-spd</v>
      </c>
      <c r="I49" s="175">
        <f t="shared" si="8"/>
        <v>875.33134411213643</v>
      </c>
      <c r="J49" s="322"/>
      <c r="K49" s="322"/>
    </row>
    <row r="50" spans="2:11" ht="28.8" x14ac:dyDescent="0.3">
      <c r="B50" s="315" t="s">
        <v>138</v>
      </c>
      <c r="C50" s="315"/>
      <c r="D50" s="315" t="s">
        <v>321</v>
      </c>
      <c r="E50" s="315" t="s">
        <v>252</v>
      </c>
      <c r="F50" s="165" t="s">
        <v>1</v>
      </c>
      <c r="G50" s="170" t="s">
        <v>296</v>
      </c>
      <c r="H50" s="173" t="str">
        <f t="shared" si="7"/>
        <v>EU_MFm, Wade, VS</v>
      </c>
      <c r="I50" s="175">
        <f t="shared" si="8"/>
        <v>801.96728148451416</v>
      </c>
      <c r="J50" s="323"/>
      <c r="K50" s="323"/>
    </row>
    <row r="53" spans="2:11" x14ac:dyDescent="0.3">
      <c r="B53" t="s">
        <v>72</v>
      </c>
    </row>
    <row r="54" spans="2:11" ht="43.2" x14ac:dyDescent="0.3">
      <c r="B54" s="167" t="s">
        <v>49</v>
      </c>
      <c r="C54" s="167" t="s">
        <v>9</v>
      </c>
      <c r="D54" s="167" t="s">
        <v>320</v>
      </c>
      <c r="E54" s="167" t="s">
        <v>223</v>
      </c>
      <c r="F54" s="167" t="s">
        <v>327</v>
      </c>
      <c r="G54" s="167" t="s">
        <v>279</v>
      </c>
      <c r="H54" s="167" t="s">
        <v>346</v>
      </c>
      <c r="I54" s="167" t="s">
        <v>271</v>
      </c>
      <c r="J54" s="167" t="s">
        <v>198</v>
      </c>
    </row>
    <row r="55" spans="2:11" x14ac:dyDescent="0.3">
      <c r="B55" s="315" t="s">
        <v>13</v>
      </c>
      <c r="C55" s="315" t="s">
        <v>21</v>
      </c>
      <c r="D55" s="315" t="s">
        <v>85</v>
      </c>
      <c r="E55" s="315" t="s">
        <v>224</v>
      </c>
      <c r="F55" s="165" t="s">
        <v>121</v>
      </c>
      <c r="G55" s="170" t="s">
        <v>80</v>
      </c>
      <c r="H55" s="245">
        <f>-'Peak Demand-New'!$G$18</f>
        <v>0</v>
      </c>
      <c r="I55" s="331">
        <f>H55-H56</f>
        <v>0</v>
      </c>
      <c r="J55" s="331" t="s">
        <v>247</v>
      </c>
    </row>
    <row r="56" spans="2:11" ht="28.8" x14ac:dyDescent="0.3">
      <c r="B56" s="315"/>
      <c r="C56" s="315"/>
      <c r="D56" s="315" t="s">
        <v>85</v>
      </c>
      <c r="E56" s="315" t="s">
        <v>224</v>
      </c>
      <c r="F56" s="165" t="s">
        <v>1</v>
      </c>
      <c r="G56" s="170" t="s">
        <v>296</v>
      </c>
      <c r="H56" s="245">
        <f>'Peak Demand-New'!$J$17</f>
        <v>0</v>
      </c>
      <c r="I56" s="332"/>
      <c r="J56" s="332"/>
    </row>
    <row r="57" spans="2:11" x14ac:dyDescent="0.3">
      <c r="B57" s="315" t="s">
        <v>15</v>
      </c>
      <c r="C57" s="315" t="s">
        <v>21</v>
      </c>
      <c r="D57" s="317" t="s">
        <v>85</v>
      </c>
      <c r="E57" s="315" t="s">
        <v>224</v>
      </c>
      <c r="F57" s="165" t="s">
        <v>121</v>
      </c>
      <c r="G57" s="170" t="s">
        <v>80</v>
      </c>
      <c r="H57" s="245">
        <f>-'Peak Demand-New'!$G$18</f>
        <v>0</v>
      </c>
      <c r="I57" s="331">
        <f>H57-H58</f>
        <v>0</v>
      </c>
      <c r="J57" s="331" t="s">
        <v>247</v>
      </c>
    </row>
    <row r="58" spans="2:11" ht="28.8" x14ac:dyDescent="0.3">
      <c r="B58" s="315"/>
      <c r="C58" s="315"/>
      <c r="D58" s="317" t="s">
        <v>85</v>
      </c>
      <c r="E58" s="315" t="s">
        <v>224</v>
      </c>
      <c r="F58" s="165" t="s">
        <v>1</v>
      </c>
      <c r="G58" s="170" t="s">
        <v>296</v>
      </c>
      <c r="H58" s="245">
        <f>'Peak Demand-New'!$J$17</f>
        <v>0</v>
      </c>
      <c r="I58" s="332"/>
      <c r="J58" s="332"/>
    </row>
    <row r="59" spans="2:11" x14ac:dyDescent="0.3">
      <c r="B59" s="315" t="s">
        <v>27</v>
      </c>
      <c r="C59" s="315" t="s">
        <v>342</v>
      </c>
      <c r="D59" s="315" t="s">
        <v>85</v>
      </c>
      <c r="E59" s="315" t="s">
        <v>224</v>
      </c>
      <c r="F59" s="165" t="s">
        <v>121</v>
      </c>
      <c r="G59" s="170" t="s">
        <v>83</v>
      </c>
      <c r="H59" s="245">
        <f>'Peak Demand-New'!$G$17</f>
        <v>0.27229726160000001</v>
      </c>
      <c r="I59" s="331">
        <f>H59-H61</f>
        <v>0.27229726160000001</v>
      </c>
      <c r="J59" s="331">
        <f>H60-H61</f>
        <v>0</v>
      </c>
    </row>
    <row r="60" spans="2:11" ht="28.8" x14ac:dyDescent="0.3">
      <c r="B60" s="315"/>
      <c r="C60" s="315"/>
      <c r="D60" s="315" t="s">
        <v>85</v>
      </c>
      <c r="E60" s="315" t="s">
        <v>224</v>
      </c>
      <c r="F60" s="165" t="s">
        <v>75</v>
      </c>
      <c r="G60" s="170" t="s">
        <v>80</v>
      </c>
      <c r="H60" s="245">
        <f>-'Peak Demand-New'!$G$18</f>
        <v>0</v>
      </c>
      <c r="I60" s="333"/>
      <c r="J60" s="333"/>
    </row>
    <row r="61" spans="2:11" ht="28.8" x14ac:dyDescent="0.3">
      <c r="B61" s="315"/>
      <c r="C61" s="315"/>
      <c r="D61" s="315" t="s">
        <v>85</v>
      </c>
      <c r="E61" s="315" t="s">
        <v>224</v>
      </c>
      <c r="F61" s="165" t="s">
        <v>1</v>
      </c>
      <c r="G61" s="170" t="s">
        <v>296</v>
      </c>
      <c r="H61" s="245">
        <f>'Peak Demand-New'!$J$17</f>
        <v>0</v>
      </c>
      <c r="I61" s="332"/>
      <c r="J61" s="332"/>
    </row>
    <row r="62" spans="2:11" x14ac:dyDescent="0.3">
      <c r="B62" s="334" t="s">
        <v>39</v>
      </c>
      <c r="C62" s="334" t="s">
        <v>342</v>
      </c>
      <c r="D62" s="334" t="s">
        <v>321</v>
      </c>
      <c r="E62" s="334" t="s">
        <v>224</v>
      </c>
      <c r="F62" s="195" t="s">
        <v>121</v>
      </c>
      <c r="G62" s="196" t="s">
        <v>83</v>
      </c>
      <c r="H62" s="246">
        <f>'Peak Demand-New'!$G$19</f>
        <v>1.7586620382199996</v>
      </c>
      <c r="I62" s="335">
        <f>H62-H64</f>
        <v>0.76886994681999976</v>
      </c>
      <c r="J62" s="335">
        <f>H63-H64</f>
        <v>0.27165700205000021</v>
      </c>
    </row>
    <row r="63" spans="2:11" ht="28.8" x14ac:dyDescent="0.3">
      <c r="B63" s="334"/>
      <c r="C63" s="334"/>
      <c r="D63" s="334" t="s">
        <v>321</v>
      </c>
      <c r="E63" s="334" t="s">
        <v>224</v>
      </c>
      <c r="F63" s="195" t="s">
        <v>75</v>
      </c>
      <c r="G63" s="196" t="s">
        <v>80</v>
      </c>
      <c r="H63" s="246">
        <f>'Peak Demand-New'!$G$20</f>
        <v>1.26144909345</v>
      </c>
      <c r="I63" s="336"/>
      <c r="J63" s="336"/>
    </row>
    <row r="64" spans="2:11" ht="28.8" x14ac:dyDescent="0.3">
      <c r="B64" s="334"/>
      <c r="C64" s="334"/>
      <c r="D64" s="334" t="s">
        <v>321</v>
      </c>
      <c r="E64" s="334" t="s">
        <v>224</v>
      </c>
      <c r="F64" s="195" t="s">
        <v>1</v>
      </c>
      <c r="G64" s="196" t="s">
        <v>296</v>
      </c>
      <c r="H64" s="246">
        <f>'Peak Demand-New'!$J$19</f>
        <v>0.9897920913999998</v>
      </c>
      <c r="I64" s="337"/>
      <c r="J64" s="337"/>
    </row>
    <row r="65" spans="2:10" ht="28.8" x14ac:dyDescent="0.3">
      <c r="B65" s="315" t="s">
        <v>137</v>
      </c>
      <c r="C65" s="315" t="s">
        <v>342</v>
      </c>
      <c r="D65" s="315" t="s">
        <v>321</v>
      </c>
      <c r="E65" s="315" t="s">
        <v>251</v>
      </c>
      <c r="F65" s="165" t="s">
        <v>75</v>
      </c>
      <c r="G65" s="170" t="s">
        <v>83</v>
      </c>
      <c r="H65" s="245">
        <f>'Peak Demand-New'!$G$21</f>
        <v>0.95675388199999989</v>
      </c>
      <c r="I65" s="331">
        <f>H65-H67</f>
        <v>0.25418534539999993</v>
      </c>
      <c r="J65" s="331">
        <f>H66-H67</f>
        <v>0.28503142219999988</v>
      </c>
    </row>
    <row r="66" spans="2:10" ht="28.8" x14ac:dyDescent="0.3">
      <c r="B66" s="315" t="s">
        <v>137</v>
      </c>
      <c r="C66" s="315"/>
      <c r="D66" s="315" t="s">
        <v>321</v>
      </c>
      <c r="E66" s="315" t="s">
        <v>251</v>
      </c>
      <c r="F66" s="165" t="s">
        <v>75</v>
      </c>
      <c r="G66" s="170" t="s">
        <v>80</v>
      </c>
      <c r="H66" s="245">
        <f>'Peak Demand-New'!$G$22</f>
        <v>0.98759995879999984</v>
      </c>
      <c r="I66" s="333"/>
      <c r="J66" s="333"/>
    </row>
    <row r="67" spans="2:10" ht="28.8" x14ac:dyDescent="0.3">
      <c r="B67" s="315" t="s">
        <v>137</v>
      </c>
      <c r="C67" s="315"/>
      <c r="D67" s="315" t="s">
        <v>321</v>
      </c>
      <c r="E67" s="315" t="s">
        <v>251</v>
      </c>
      <c r="F67" s="165" t="s">
        <v>75</v>
      </c>
      <c r="G67" s="170" t="s">
        <v>296</v>
      </c>
      <c r="H67" s="245">
        <f>'Peak Demand-New'!$J$21</f>
        <v>0.70256853659999996</v>
      </c>
      <c r="I67" s="332"/>
      <c r="J67" s="332"/>
    </row>
    <row r="68" spans="2:10" ht="28.8" x14ac:dyDescent="0.3">
      <c r="B68" s="315" t="s">
        <v>138</v>
      </c>
      <c r="C68" s="315" t="s">
        <v>342</v>
      </c>
      <c r="D68" s="315" t="s">
        <v>321</v>
      </c>
      <c r="E68" s="315" t="s">
        <v>252</v>
      </c>
      <c r="F68" s="165" t="s">
        <v>1</v>
      </c>
      <c r="G68" s="170" t="s">
        <v>83</v>
      </c>
      <c r="H68" s="245">
        <f>'Peak Demand-New'!$G$23</f>
        <v>0.68979165000000009</v>
      </c>
      <c r="I68" s="331">
        <f>H68-H70</f>
        <v>0.63136441750000005</v>
      </c>
      <c r="J68" s="331">
        <f>H69-H70</f>
        <v>0.14299461749999992</v>
      </c>
    </row>
    <row r="69" spans="2:10" ht="28.8" x14ac:dyDescent="0.3">
      <c r="B69" s="315" t="s">
        <v>138</v>
      </c>
      <c r="C69" s="315"/>
      <c r="D69" s="315" t="s">
        <v>321</v>
      </c>
      <c r="E69" s="315" t="s">
        <v>252</v>
      </c>
      <c r="F69" s="165" t="s">
        <v>1</v>
      </c>
      <c r="G69" s="170" t="s">
        <v>80</v>
      </c>
      <c r="H69" s="245">
        <f>'Peak Demand-New'!$G$24</f>
        <v>0.20142184999999999</v>
      </c>
      <c r="I69" s="333"/>
      <c r="J69" s="333"/>
    </row>
    <row r="70" spans="2:10" ht="28.8" x14ac:dyDescent="0.3">
      <c r="B70" s="315" t="s">
        <v>138</v>
      </c>
      <c r="C70" s="315"/>
      <c r="D70" s="315" t="s">
        <v>321</v>
      </c>
      <c r="E70" s="315" t="s">
        <v>252</v>
      </c>
      <c r="F70" s="165" t="s">
        <v>1</v>
      </c>
      <c r="G70" s="170" t="s">
        <v>296</v>
      </c>
      <c r="H70" s="245">
        <f>'Peak Demand-New'!$J$23</f>
        <v>5.8427232500000051E-2</v>
      </c>
      <c r="I70" s="332"/>
      <c r="J70" s="332"/>
    </row>
  </sheetData>
  <mergeCells count="81">
    <mergeCell ref="J65:J67"/>
    <mergeCell ref="B68:B70"/>
    <mergeCell ref="C68:C70"/>
    <mergeCell ref="D68:D70"/>
    <mergeCell ref="E68:E70"/>
    <mergeCell ref="J68:J70"/>
    <mergeCell ref="I65:I67"/>
    <mergeCell ref="I68:I70"/>
    <mergeCell ref="B65:B67"/>
    <mergeCell ref="C65:C67"/>
    <mergeCell ref="D65:D67"/>
    <mergeCell ref="E65:E67"/>
    <mergeCell ref="J59:J61"/>
    <mergeCell ref="B62:B64"/>
    <mergeCell ref="C62:C64"/>
    <mergeCell ref="D62:D64"/>
    <mergeCell ref="E62:E64"/>
    <mergeCell ref="J62:J64"/>
    <mergeCell ref="I59:I61"/>
    <mergeCell ref="I62:I64"/>
    <mergeCell ref="B59:B61"/>
    <mergeCell ref="C59:C61"/>
    <mergeCell ref="D59:D61"/>
    <mergeCell ref="E59:E61"/>
    <mergeCell ref="J55:J56"/>
    <mergeCell ref="B57:B58"/>
    <mergeCell ref="C57:C58"/>
    <mergeCell ref="D57:D58"/>
    <mergeCell ref="E57:E58"/>
    <mergeCell ref="J57:J58"/>
    <mergeCell ref="I55:I56"/>
    <mergeCell ref="I57:I58"/>
    <mergeCell ref="B55:B56"/>
    <mergeCell ref="C55:C56"/>
    <mergeCell ref="D55:D56"/>
    <mergeCell ref="E55:E56"/>
    <mergeCell ref="E48:E50"/>
    <mergeCell ref="D38:D44"/>
    <mergeCell ref="D45:D47"/>
    <mergeCell ref="D48:D50"/>
    <mergeCell ref="O5:O6"/>
    <mergeCell ref="O9:O10"/>
    <mergeCell ref="L4:L7"/>
    <mergeCell ref="L8:L11"/>
    <mergeCell ref="J31:J32"/>
    <mergeCell ref="K31:K32"/>
    <mergeCell ref="E31:E32"/>
    <mergeCell ref="E33:E34"/>
    <mergeCell ref="E35:E37"/>
    <mergeCell ref="E38:E44"/>
    <mergeCell ref="E45:E47"/>
    <mergeCell ref="J35:J37"/>
    <mergeCell ref="J38:J44"/>
    <mergeCell ref="J45:J47"/>
    <mergeCell ref="J48:J50"/>
    <mergeCell ref="N7:O7"/>
    <mergeCell ref="N11:O11"/>
    <mergeCell ref="J33:J34"/>
    <mergeCell ref="K33:K34"/>
    <mergeCell ref="K35:K37"/>
    <mergeCell ref="K38:K44"/>
    <mergeCell ref="K45:K47"/>
    <mergeCell ref="K48:K50"/>
    <mergeCell ref="L12:L15"/>
    <mergeCell ref="O13:O14"/>
    <mergeCell ref="N15:O15"/>
    <mergeCell ref="B31:B32"/>
    <mergeCell ref="B33:B34"/>
    <mergeCell ref="D31:D32"/>
    <mergeCell ref="D33:D34"/>
    <mergeCell ref="C31:C32"/>
    <mergeCell ref="C33:C34"/>
    <mergeCell ref="B48:B50"/>
    <mergeCell ref="B38:B44"/>
    <mergeCell ref="B45:B47"/>
    <mergeCell ref="B35:B37"/>
    <mergeCell ref="D35:D37"/>
    <mergeCell ref="C35:C37"/>
    <mergeCell ref="C38:C44"/>
    <mergeCell ref="C45:C47"/>
    <mergeCell ref="C48:C50"/>
  </mergeCells>
  <pageMargins left="0.7" right="0.7" top="0.75" bottom="0.75" header="0.3" footer="0.3"/>
  <pageSetup orientation="portrait" r:id="rId1"/>
  <ignoredErrors>
    <ignoredError sqref="H40 I41 I44"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2:L82"/>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7" width="45.44140625" customWidth="1"/>
    <col min="8" max="8" width="20.44140625" customWidth="1"/>
    <col min="9" max="9" width="29.88671875" customWidth="1"/>
    <col min="10" max="10" width="26.6640625" bestFit="1" customWidth="1"/>
    <col min="11" max="11" width="60.77734375" customWidth="1"/>
    <col min="12" max="12" width="27.88671875" customWidth="1"/>
    <col min="13" max="13" width="11.6640625" customWidth="1"/>
    <col min="14" max="14" width="76.44140625" customWidth="1"/>
    <col min="19" max="19" width="10.109375" bestFit="1" customWidth="1"/>
  </cols>
  <sheetData>
    <row r="2" spans="1:12" ht="15" thickBot="1" x14ac:dyDescent="0.35">
      <c r="A2" t="s">
        <v>48</v>
      </c>
    </row>
    <row r="3" spans="1:12" x14ac:dyDescent="0.3">
      <c r="A3" s="52" t="s">
        <v>150</v>
      </c>
      <c r="B3" s="53" t="s">
        <v>79</v>
      </c>
      <c r="C3" s="53" t="s">
        <v>9</v>
      </c>
      <c r="D3" s="53" t="s">
        <v>36</v>
      </c>
      <c r="E3" s="53" t="s">
        <v>122</v>
      </c>
      <c r="F3" s="18"/>
      <c r="G3" s="18"/>
      <c r="H3" s="18"/>
      <c r="I3" s="18"/>
      <c r="J3" s="18"/>
      <c r="K3" s="4"/>
      <c r="L3" s="5"/>
    </row>
    <row r="4" spans="1:12" x14ac:dyDescent="0.3">
      <c r="A4" s="56" t="s">
        <v>91</v>
      </c>
      <c r="B4" s="55" t="s">
        <v>80</v>
      </c>
      <c r="C4" s="55" t="s">
        <v>21</v>
      </c>
      <c r="D4" s="55" t="s">
        <v>85</v>
      </c>
      <c r="E4" s="55" t="s">
        <v>14</v>
      </c>
      <c r="F4" s="17"/>
      <c r="G4" s="17"/>
      <c r="H4" s="17"/>
      <c r="I4" s="17"/>
      <c r="J4" s="17"/>
      <c r="K4" s="7"/>
      <c r="L4" s="8"/>
    </row>
    <row r="5" spans="1:12" ht="28.8" x14ac:dyDescent="0.3">
      <c r="A5" s="50" t="s">
        <v>34</v>
      </c>
      <c r="B5" s="51" t="s">
        <v>53</v>
      </c>
      <c r="C5" s="51" t="s">
        <v>54</v>
      </c>
      <c r="D5" s="51" t="s">
        <v>55</v>
      </c>
      <c r="E5" s="51" t="s">
        <v>56</v>
      </c>
      <c r="F5" s="51" t="s">
        <v>52</v>
      </c>
      <c r="G5" s="110"/>
      <c r="H5" s="84" t="s">
        <v>61</v>
      </c>
      <c r="I5" s="84" t="s">
        <v>113</v>
      </c>
      <c r="J5" s="84" t="s">
        <v>115</v>
      </c>
      <c r="K5" s="338" t="s">
        <v>77</v>
      </c>
      <c r="L5" s="338"/>
    </row>
    <row r="6" spans="1:12" ht="15" customHeight="1" x14ac:dyDescent="0.3">
      <c r="A6" s="40" t="s">
        <v>51</v>
      </c>
      <c r="B6" s="10">
        <v>0.73</v>
      </c>
      <c r="C6" s="10"/>
      <c r="D6" s="10"/>
      <c r="E6" s="10">
        <f>1-B6</f>
        <v>0.27</v>
      </c>
      <c r="F6" s="9"/>
      <c r="G6" s="9"/>
      <c r="H6" s="9"/>
      <c r="I6" s="9"/>
      <c r="J6" s="9"/>
      <c r="K6" s="339" t="s">
        <v>188</v>
      </c>
      <c r="L6" s="339"/>
    </row>
    <row r="7" spans="1:12" x14ac:dyDescent="0.3">
      <c r="A7" s="40" t="s">
        <v>44</v>
      </c>
      <c r="B7" s="9">
        <v>15700</v>
      </c>
      <c r="C7" s="9">
        <v>15700</v>
      </c>
      <c r="D7" s="9">
        <v>15700</v>
      </c>
      <c r="E7" s="9"/>
      <c r="F7" s="9"/>
      <c r="G7" s="9">
        <v>15700</v>
      </c>
      <c r="H7" s="9"/>
      <c r="I7" s="9"/>
      <c r="J7" s="9"/>
      <c r="K7" s="339"/>
      <c r="L7" s="339"/>
    </row>
    <row r="8" spans="1:12" x14ac:dyDescent="0.3">
      <c r="A8" s="40" t="s">
        <v>45</v>
      </c>
      <c r="B8" s="9">
        <v>0.98</v>
      </c>
      <c r="C8" s="9">
        <v>0.86</v>
      </c>
      <c r="D8" s="9">
        <v>0.37</v>
      </c>
      <c r="E8" s="9"/>
      <c r="F8" s="9"/>
      <c r="G8" s="9">
        <v>0.98</v>
      </c>
      <c r="H8" s="9"/>
      <c r="I8" s="9" t="s">
        <v>209</v>
      </c>
      <c r="J8" s="9" t="s">
        <v>209</v>
      </c>
      <c r="K8" s="339"/>
      <c r="L8" s="339"/>
    </row>
    <row r="9" spans="1:12" x14ac:dyDescent="0.3">
      <c r="A9" s="40" t="s">
        <v>46</v>
      </c>
      <c r="B9" s="9">
        <v>365</v>
      </c>
      <c r="C9" s="9">
        <v>365</v>
      </c>
      <c r="D9" s="9">
        <v>365</v>
      </c>
      <c r="E9" s="9"/>
      <c r="F9" s="9"/>
      <c r="G9" s="9">
        <v>365</v>
      </c>
      <c r="H9" s="9"/>
      <c r="I9" s="111">
        <v>695</v>
      </c>
      <c r="J9" s="9"/>
      <c r="K9" s="339"/>
      <c r="L9" s="339"/>
    </row>
    <row r="10" spans="1:12" x14ac:dyDescent="0.3">
      <c r="A10" s="40" t="s">
        <v>47</v>
      </c>
      <c r="B10" s="9">
        <v>3.2881259599999999</v>
      </c>
      <c r="C10" s="9">
        <f>B10</f>
        <v>3.2881259599999999</v>
      </c>
      <c r="D10" s="9">
        <v>2.0345419999999983</v>
      </c>
      <c r="E10" s="9"/>
      <c r="F10" s="9"/>
      <c r="G10" s="9">
        <v>5.9107131388212748</v>
      </c>
      <c r="H10" s="118">
        <f>F11-G11</f>
        <v>982.72228065489139</v>
      </c>
      <c r="I10" s="9" t="s">
        <v>208</v>
      </c>
      <c r="J10" s="9"/>
      <c r="K10" s="339"/>
      <c r="L10" s="339"/>
    </row>
    <row r="11" spans="1:12" x14ac:dyDescent="0.3">
      <c r="A11" s="40" t="s">
        <v>82</v>
      </c>
      <c r="B11" s="61">
        <f>(B7*B8*B9)/(B10*1000)</f>
        <v>1707.9303129859418</v>
      </c>
      <c r="C11" s="61">
        <f>(C7*C8*C9)/(C10*1000)</f>
        <v>1498.7959889468468</v>
      </c>
      <c r="D11" s="61">
        <f>(D7*D8*D9)/(D10*1000)</f>
        <v>1042.1436372412079</v>
      </c>
      <c r="E11" s="61">
        <f>C11+D11</f>
        <v>2540.9396261880547</v>
      </c>
      <c r="F11" s="61">
        <f>(B6*B11)+(E6*E11)</f>
        <v>1932.8428275505121</v>
      </c>
      <c r="G11" s="61">
        <f>(G7*G8*G9)/(G10*1000)</f>
        <v>950.12054689562069</v>
      </c>
      <c r="H11" s="100">
        <v>1257</v>
      </c>
      <c r="I11" s="99">
        <f>ROUND(F11-H11,2)</f>
        <v>675.84</v>
      </c>
      <c r="J11" s="99">
        <f>'Meas. A &amp; C, CZ Adjustments'!$D$25</f>
        <v>677</v>
      </c>
      <c r="K11" s="339"/>
      <c r="L11" s="339"/>
    </row>
    <row r="12" spans="1:12" x14ac:dyDescent="0.3">
      <c r="A12" s="6"/>
      <c r="B12" s="17"/>
      <c r="C12" s="17"/>
      <c r="D12" s="17"/>
      <c r="E12" s="17"/>
      <c r="F12" s="17"/>
      <c r="G12" s="17"/>
      <c r="H12" s="101"/>
      <c r="I12" s="17"/>
      <c r="J12" s="17"/>
      <c r="K12" s="7"/>
      <c r="L12" s="8"/>
    </row>
    <row r="13" spans="1:12" x14ac:dyDescent="0.3">
      <c r="A13" s="50" t="s">
        <v>69</v>
      </c>
      <c r="B13" s="17"/>
      <c r="C13" s="17"/>
      <c r="D13" s="17"/>
      <c r="E13" s="17"/>
      <c r="F13" s="17"/>
      <c r="G13" s="17"/>
      <c r="H13" s="101"/>
      <c r="I13" s="112"/>
      <c r="J13" s="17"/>
      <c r="K13" s="7"/>
      <c r="L13" s="8"/>
    </row>
    <row r="14" spans="1:12" ht="28.8" x14ac:dyDescent="0.3">
      <c r="A14" s="50" t="s">
        <v>34</v>
      </c>
      <c r="B14" s="51" t="s">
        <v>73</v>
      </c>
      <c r="C14" s="51" t="s">
        <v>67</v>
      </c>
      <c r="D14" s="51" t="s">
        <v>114</v>
      </c>
      <c r="E14" s="51" t="s">
        <v>116</v>
      </c>
      <c r="F14" s="51" t="s">
        <v>77</v>
      </c>
      <c r="G14" s="116"/>
      <c r="H14" s="17"/>
      <c r="I14" s="17"/>
      <c r="J14" s="17"/>
      <c r="K14" s="7"/>
      <c r="L14" s="8"/>
    </row>
    <row r="15" spans="1:12" x14ac:dyDescent="0.3">
      <c r="A15" s="12" t="s">
        <v>70</v>
      </c>
      <c r="B15" s="14">
        <v>0.376</v>
      </c>
      <c r="C15" s="14">
        <v>0</v>
      </c>
      <c r="D15" s="14"/>
      <c r="E15" s="14"/>
      <c r="F15" s="340" t="s">
        <v>160</v>
      </c>
      <c r="G15" s="117"/>
      <c r="H15" s="17"/>
      <c r="I15" s="17"/>
      <c r="J15" s="17"/>
      <c r="K15" s="7"/>
      <c r="L15" s="8"/>
    </row>
    <row r="16" spans="1:12" x14ac:dyDescent="0.3">
      <c r="A16" s="12" t="s">
        <v>71</v>
      </c>
      <c r="B16" s="14">
        <v>0.52200000000000002</v>
      </c>
      <c r="C16" s="14">
        <v>0</v>
      </c>
      <c r="D16" s="14"/>
      <c r="E16" s="14"/>
      <c r="F16" s="341"/>
      <c r="G16" s="117"/>
      <c r="H16" s="17"/>
      <c r="I16" s="17"/>
      <c r="J16" s="17"/>
      <c r="K16" s="7"/>
      <c r="L16" s="8"/>
    </row>
    <row r="17" spans="1:12" x14ac:dyDescent="0.3">
      <c r="A17" s="12" t="s">
        <v>72</v>
      </c>
      <c r="B17" s="15">
        <f>B16*B15</f>
        <v>0.196272</v>
      </c>
      <c r="C17" s="15">
        <f>C16*C15</f>
        <v>0</v>
      </c>
      <c r="D17" s="38">
        <f>B17-C17</f>
        <v>0.196272</v>
      </c>
      <c r="E17" s="38">
        <f>D17</f>
        <v>0.196272</v>
      </c>
      <c r="F17" s="342"/>
      <c r="G17" s="117"/>
      <c r="H17" s="17"/>
      <c r="I17" s="17"/>
      <c r="J17" s="17"/>
      <c r="K17" s="7"/>
      <c r="L17" s="8"/>
    </row>
    <row r="18" spans="1:12" ht="15" thickBot="1" x14ac:dyDescent="0.35"/>
    <row r="19" spans="1:12" x14ac:dyDescent="0.3">
      <c r="A19" s="343" t="s">
        <v>207</v>
      </c>
      <c r="B19" s="344"/>
      <c r="C19" s="345"/>
    </row>
    <row r="20" spans="1:12" x14ac:dyDescent="0.3">
      <c r="A20" s="346"/>
      <c r="B20" s="347"/>
      <c r="C20" s="348"/>
    </row>
    <row r="21" spans="1:12" x14ac:dyDescent="0.3">
      <c r="A21" s="346"/>
      <c r="B21" s="347"/>
      <c r="C21" s="348"/>
    </row>
    <row r="22" spans="1:12" x14ac:dyDescent="0.3">
      <c r="A22" s="346"/>
      <c r="B22" s="347"/>
      <c r="C22" s="348"/>
    </row>
    <row r="23" spans="1:12" ht="15" thickBot="1" x14ac:dyDescent="0.35">
      <c r="A23" s="349"/>
      <c r="B23" s="350"/>
      <c r="C23" s="351"/>
    </row>
    <row r="36" spans="2:3" x14ac:dyDescent="0.3">
      <c r="B36" t="s">
        <v>222</v>
      </c>
      <c r="C36" t="s">
        <v>221</v>
      </c>
    </row>
    <row r="37" spans="2:3" x14ac:dyDescent="0.3">
      <c r="C37" t="s">
        <v>51</v>
      </c>
    </row>
    <row r="38" spans="2:3" x14ac:dyDescent="0.3">
      <c r="C38" t="s">
        <v>44</v>
      </c>
    </row>
    <row r="39" spans="2:3" ht="15" customHeight="1" x14ac:dyDescent="0.3">
      <c r="C39" t="s">
        <v>219</v>
      </c>
    </row>
    <row r="40" spans="2:3" x14ac:dyDescent="0.3">
      <c r="C40" t="s">
        <v>220</v>
      </c>
    </row>
    <row r="48" spans="2:3" ht="15" customHeight="1" x14ac:dyDescent="0.3"/>
    <row r="56" ht="15" customHeight="1" x14ac:dyDescent="0.3"/>
    <row r="64" ht="15" customHeight="1" x14ac:dyDescent="0.3"/>
    <row r="82" ht="15" customHeight="1" x14ac:dyDescent="0.3"/>
  </sheetData>
  <mergeCells count="4">
    <mergeCell ref="K5:L5"/>
    <mergeCell ref="K6:L11"/>
    <mergeCell ref="F15:F17"/>
    <mergeCell ref="A19:C23"/>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2:L82"/>
  <sheetViews>
    <sheetView zoomScale="70" zoomScaleNormal="70" workbookViewId="0"/>
  </sheetViews>
  <sheetFormatPr defaultRowHeight="14.4" x14ac:dyDescent="0.3"/>
  <cols>
    <col min="1" max="1" width="27.88671875" bestFit="1" customWidth="1"/>
    <col min="2" max="2" width="27.44140625" bestFit="1" customWidth="1"/>
    <col min="3" max="3" width="26.77734375" bestFit="1" customWidth="1"/>
    <col min="4" max="4" width="25.33203125" bestFit="1" customWidth="1"/>
    <col min="5" max="5" width="30.6640625" bestFit="1" customWidth="1"/>
    <col min="6" max="6" width="18.44140625" bestFit="1" customWidth="1"/>
    <col min="7" max="7" width="22.88671875" bestFit="1" customWidth="1"/>
    <col min="8" max="8" width="27.109375" bestFit="1" customWidth="1"/>
    <col min="9" max="9" width="27.6640625" bestFit="1" customWidth="1"/>
    <col min="10" max="10" width="22" bestFit="1" customWidth="1"/>
    <col min="11" max="11" width="19" bestFit="1" customWidth="1"/>
    <col min="12" max="12" width="12.33203125" bestFit="1" customWidth="1"/>
    <col min="13" max="13" width="11.6640625" customWidth="1"/>
    <col min="14" max="14" width="76.44140625" customWidth="1"/>
    <col min="19" max="19" width="10.109375" bestFit="1" customWidth="1"/>
  </cols>
  <sheetData>
    <row r="2" spans="1:12" ht="15" thickBot="1" x14ac:dyDescent="0.35">
      <c r="A2" t="s">
        <v>48</v>
      </c>
    </row>
    <row r="3" spans="1:12" x14ac:dyDescent="0.3">
      <c r="A3" s="52" t="s">
        <v>150</v>
      </c>
      <c r="B3" s="53" t="s">
        <v>79</v>
      </c>
      <c r="C3" s="53" t="s">
        <v>9</v>
      </c>
      <c r="D3" s="53" t="s">
        <v>36</v>
      </c>
      <c r="E3" s="53" t="s">
        <v>122</v>
      </c>
      <c r="F3" s="18"/>
      <c r="G3" s="18"/>
      <c r="H3" s="18"/>
      <c r="I3" s="18"/>
      <c r="J3" s="18"/>
      <c r="K3" s="18"/>
      <c r="L3" s="18"/>
    </row>
    <row r="4" spans="1:12" x14ac:dyDescent="0.3">
      <c r="A4" s="56" t="s">
        <v>91</v>
      </c>
      <c r="B4" s="86" t="s">
        <v>80</v>
      </c>
      <c r="C4" s="86" t="s">
        <v>21</v>
      </c>
      <c r="D4" s="86" t="s">
        <v>85</v>
      </c>
      <c r="E4" s="86" t="s">
        <v>14</v>
      </c>
      <c r="F4" s="17"/>
      <c r="G4" s="17"/>
      <c r="H4" s="17"/>
      <c r="I4" s="17"/>
      <c r="J4" s="17"/>
      <c r="K4" s="17"/>
      <c r="L4" s="17"/>
    </row>
    <row r="5" spans="1:12" ht="28.8" x14ac:dyDescent="0.3">
      <c r="A5" s="50" t="s">
        <v>34</v>
      </c>
      <c r="B5" s="115" t="s">
        <v>53</v>
      </c>
      <c r="C5" s="115" t="s">
        <v>54</v>
      </c>
      <c r="D5" s="115" t="s">
        <v>55</v>
      </c>
      <c r="E5" s="115" t="s">
        <v>56</v>
      </c>
      <c r="F5" s="115" t="s">
        <v>52</v>
      </c>
      <c r="G5" s="115" t="s">
        <v>57</v>
      </c>
      <c r="H5" s="115" t="s">
        <v>58</v>
      </c>
      <c r="I5" s="115" t="s">
        <v>59</v>
      </c>
      <c r="J5" s="115" t="s">
        <v>60</v>
      </c>
      <c r="K5" s="115" t="s">
        <v>211</v>
      </c>
      <c r="L5" s="114" t="s">
        <v>273</v>
      </c>
    </row>
    <row r="6" spans="1:12" ht="15" customHeight="1" x14ac:dyDescent="0.3">
      <c r="A6" s="40" t="s">
        <v>51</v>
      </c>
      <c r="B6" s="10">
        <f>'Energy Factors Tables'!$G$6</f>
        <v>0.71685004683141718</v>
      </c>
      <c r="C6" s="10"/>
      <c r="D6" s="10"/>
      <c r="E6" s="10">
        <f>'Energy Factors Tables'!$G$8</f>
        <v>0.28314995316858282</v>
      </c>
      <c r="F6" s="9"/>
      <c r="G6" s="10">
        <f>B6</f>
        <v>0.71685004683141718</v>
      </c>
      <c r="H6" s="10"/>
      <c r="I6" s="10"/>
      <c r="J6" s="10">
        <f>E6</f>
        <v>0.28314995316858282</v>
      </c>
      <c r="K6" s="9"/>
      <c r="L6" s="9"/>
    </row>
    <row r="7" spans="1:12" x14ac:dyDescent="0.3">
      <c r="A7" s="40" t="s">
        <v>44</v>
      </c>
      <c r="B7" s="9">
        <f>'Energy Factors Tables'!$E$5</f>
        <v>15700</v>
      </c>
      <c r="C7" s="9">
        <f>'Energy Factors Tables'!$E$5</f>
        <v>15700</v>
      </c>
      <c r="D7" s="9">
        <f>'Energy Factors Tables'!$E$5</f>
        <v>15700</v>
      </c>
      <c r="E7" s="9"/>
      <c r="F7" s="9"/>
      <c r="G7" s="9">
        <f>'Energy Factors Tables'!$E$5</f>
        <v>15700</v>
      </c>
      <c r="H7" s="9">
        <v>15700</v>
      </c>
      <c r="I7" s="9">
        <v>15700</v>
      </c>
      <c r="J7" s="9"/>
      <c r="K7" s="9"/>
      <c r="L7" s="9"/>
    </row>
    <row r="8" spans="1:12" x14ac:dyDescent="0.3">
      <c r="A8" s="40" t="s">
        <v>45</v>
      </c>
      <c r="B8" s="120">
        <f>'Energy Factors Tables'!$I$6</f>
        <v>1.0449999999999999</v>
      </c>
      <c r="C8" s="120">
        <f>'Energy Factors Tables'!$I$8</f>
        <v>1.0409999999999999</v>
      </c>
      <c r="D8" s="120">
        <f>'Energy Factors Tables'!$I$10</f>
        <v>0.44593118291120465</v>
      </c>
      <c r="E8" s="9"/>
      <c r="F8" s="9"/>
      <c r="G8" s="120">
        <f>B8</f>
        <v>1.0449999999999999</v>
      </c>
      <c r="H8" s="120">
        <f t="shared" ref="H8:I8" si="0">C8</f>
        <v>1.0409999999999999</v>
      </c>
      <c r="I8" s="120">
        <f t="shared" si="0"/>
        <v>0.44593118291120465</v>
      </c>
      <c r="J8" s="9"/>
      <c r="K8" s="9"/>
      <c r="L8" s="9" t="s">
        <v>209</v>
      </c>
    </row>
    <row r="9" spans="1:12" x14ac:dyDescent="0.3">
      <c r="A9" s="40" t="s">
        <v>46</v>
      </c>
      <c r="B9" s="9">
        <v>365</v>
      </c>
      <c r="C9" s="9">
        <v>365</v>
      </c>
      <c r="D9" s="9">
        <v>365</v>
      </c>
      <c r="E9" s="9"/>
      <c r="F9" s="9"/>
      <c r="G9" s="9">
        <v>365</v>
      </c>
      <c r="H9" s="9">
        <v>365</v>
      </c>
      <c r="I9" s="9">
        <v>365</v>
      </c>
      <c r="J9" s="9"/>
      <c r="K9" s="9"/>
      <c r="L9" s="111">
        <v>695</v>
      </c>
    </row>
    <row r="10" spans="1:12" x14ac:dyDescent="0.3">
      <c r="A10" s="40" t="s">
        <v>47</v>
      </c>
      <c r="B10" s="140">
        <f>'Energy Factors Tables'!$M$6</f>
        <v>2.6978</v>
      </c>
      <c r="C10" s="140">
        <f>'Energy Factors Tables'!$M$8</f>
        <v>3.2086000000000001</v>
      </c>
      <c r="D10" s="140">
        <f>'Energy Factors Tables'!$M$10</f>
        <v>2.8462000000000014</v>
      </c>
      <c r="E10" s="9"/>
      <c r="F10" s="9"/>
      <c r="G10" s="140">
        <f>'Energy Factors Tables'!$M$7</f>
        <v>5.0389419999999987</v>
      </c>
      <c r="H10" s="140">
        <f>'Energy Factors Tables'!$M$9</f>
        <v>6.5545899999999993</v>
      </c>
      <c r="I10" s="140">
        <f>'Energy Factors Tables'!$M$11</f>
        <v>4.2735489999999956</v>
      </c>
      <c r="J10" s="9"/>
      <c r="K10" s="9"/>
      <c r="L10" s="9" t="s">
        <v>208</v>
      </c>
    </row>
    <row r="11" spans="1:12" ht="44.85" customHeight="1" x14ac:dyDescent="0.3">
      <c r="A11" s="40" t="s">
        <v>82</v>
      </c>
      <c r="B11" s="61">
        <f>(B7*B8*B9)/(B10*1000)</f>
        <v>2219.7244050707982</v>
      </c>
      <c r="C11" s="61">
        <f>(C7*C8*C9)/(C10*1000)</f>
        <v>1859.2066633422678</v>
      </c>
      <c r="D11" s="61">
        <f>(D7*D8*D9)/(D10*1000)</f>
        <v>897.83172077600204</v>
      </c>
      <c r="E11" s="61">
        <f>C11+D11</f>
        <v>2757.0383841182697</v>
      </c>
      <c r="F11" s="61">
        <f>(B6*B11)+(E6*E11)</f>
        <v>2371.8648330749147</v>
      </c>
      <c r="G11" s="61">
        <f>(G7*G8*G9)/(G10*1000)</f>
        <v>1188.4186204167465</v>
      </c>
      <c r="H11" s="61">
        <f>(H7*H8*H9)/(H10*1000)</f>
        <v>910.11802416322007</v>
      </c>
      <c r="I11" s="61">
        <f>(I7*I8*I9)/(I10*1000)</f>
        <v>597.95936437669502</v>
      </c>
      <c r="J11" s="61">
        <f>H11+I11</f>
        <v>1508.0773885399151</v>
      </c>
      <c r="K11" s="61">
        <f>(G6*G11)+(J6*J11)</f>
        <v>1278.9299856407488</v>
      </c>
      <c r="L11" s="99">
        <f>ROUND(F11-K11,2)</f>
        <v>1092.93</v>
      </c>
    </row>
    <row r="12" spans="1:12" x14ac:dyDescent="0.3">
      <c r="A12" s="6"/>
      <c r="B12" s="17"/>
      <c r="C12" s="17"/>
      <c r="D12" s="17"/>
      <c r="E12" s="17"/>
      <c r="F12" s="17"/>
      <c r="G12" s="17"/>
      <c r="H12" s="17"/>
      <c r="I12" s="17"/>
      <c r="J12" s="17"/>
      <c r="K12" s="101"/>
      <c r="L12" s="17"/>
    </row>
    <row r="13" spans="1:12" x14ac:dyDescent="0.3">
      <c r="A13" s="50" t="s">
        <v>69</v>
      </c>
      <c r="B13" s="17"/>
      <c r="C13" s="17"/>
      <c r="D13" s="17"/>
      <c r="E13" s="17"/>
      <c r="F13" s="17"/>
      <c r="G13" s="17"/>
      <c r="H13" s="17"/>
      <c r="I13" s="17"/>
      <c r="J13" s="17"/>
      <c r="K13" s="101"/>
      <c r="L13" s="112"/>
    </row>
    <row r="14" spans="1:12" x14ac:dyDescent="0.3">
      <c r="A14" s="50" t="s">
        <v>34</v>
      </c>
      <c r="B14" s="115" t="s">
        <v>73</v>
      </c>
      <c r="C14" s="115" t="s">
        <v>67</v>
      </c>
      <c r="D14" s="115" t="s">
        <v>274</v>
      </c>
      <c r="L14" s="17"/>
    </row>
    <row r="15" spans="1:12" x14ac:dyDescent="0.3">
      <c r="A15" s="12" t="s">
        <v>70</v>
      </c>
      <c r="B15" s="141">
        <v>0</v>
      </c>
      <c r="C15" s="14">
        <v>0</v>
      </c>
      <c r="D15" s="14"/>
      <c r="L15" s="17"/>
    </row>
    <row r="16" spans="1:12" x14ac:dyDescent="0.3">
      <c r="A16" s="12" t="s">
        <v>71</v>
      </c>
      <c r="B16" s="141">
        <f>'Peak Demand-New'!$F$5</f>
        <v>0</v>
      </c>
      <c r="C16" s="14">
        <v>0</v>
      </c>
      <c r="D16" s="14"/>
      <c r="L16" s="17"/>
    </row>
    <row r="17" spans="1:12" x14ac:dyDescent="0.3">
      <c r="A17" s="12" t="s">
        <v>72</v>
      </c>
      <c r="B17" s="15">
        <f>B16*B15</f>
        <v>0</v>
      </c>
      <c r="C17" s="15">
        <f>C16*C15</f>
        <v>0</v>
      </c>
      <c r="D17" s="38">
        <f>B17-C17</f>
        <v>0</v>
      </c>
      <c r="L17" s="17"/>
    </row>
    <row r="39" ht="15" customHeight="1" x14ac:dyDescent="0.3"/>
    <row r="48" ht="15" customHeight="1" x14ac:dyDescent="0.3"/>
    <row r="56" ht="15" customHeight="1" x14ac:dyDescent="0.3"/>
    <row r="64" ht="15" customHeight="1" x14ac:dyDescent="0.3"/>
    <row r="82" ht="15" customHeight="1" x14ac:dyDescent="0.3"/>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2:L82"/>
  <sheetViews>
    <sheetView topLeftCell="C1" zoomScale="70" zoomScaleNormal="70" workbookViewId="0">
      <selection activeCell="F11" sqref="F11"/>
    </sheetView>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25.33203125" bestFit="1" customWidth="1"/>
    <col min="7" max="7" width="22.88671875" bestFit="1" customWidth="1"/>
    <col min="8" max="8" width="37" bestFit="1" customWidth="1"/>
    <col min="9" max="9" width="37.6640625" bestFit="1" customWidth="1"/>
    <col min="10" max="10" width="30.6640625" bestFit="1" customWidth="1"/>
    <col min="11" max="11" width="20.44140625" customWidth="1"/>
    <col min="12" max="12" width="12.33203125" bestFit="1" customWidth="1"/>
    <col min="13" max="13" width="60.77734375" customWidth="1"/>
    <col min="14" max="14" width="27.88671875" customWidth="1"/>
    <col min="15" max="15" width="11.6640625" customWidth="1"/>
    <col min="16" max="16" width="76.44140625" customWidth="1"/>
    <col min="21" max="21" width="10.109375" bestFit="1" customWidth="1"/>
  </cols>
  <sheetData>
    <row r="2" spans="1:12" ht="15" thickBot="1" x14ac:dyDescent="0.35">
      <c r="A2" t="s">
        <v>48</v>
      </c>
    </row>
    <row r="3" spans="1:12" x14ac:dyDescent="0.3">
      <c r="A3" s="50" t="s">
        <v>149</v>
      </c>
      <c r="B3" s="53" t="s">
        <v>79</v>
      </c>
      <c r="C3" s="53" t="s">
        <v>9</v>
      </c>
      <c r="D3" s="53" t="s">
        <v>36</v>
      </c>
      <c r="E3" s="53" t="s">
        <v>122</v>
      </c>
      <c r="F3" s="18"/>
      <c r="G3" s="18"/>
      <c r="H3" s="18"/>
      <c r="I3" s="18"/>
      <c r="J3" s="18"/>
      <c r="K3" s="18"/>
      <c r="L3" s="18"/>
    </row>
    <row r="4" spans="1:12" ht="28.8" x14ac:dyDescent="0.3">
      <c r="A4" s="86" t="s">
        <v>151</v>
      </c>
      <c r="B4" s="86" t="s">
        <v>80</v>
      </c>
      <c r="C4" s="86" t="s">
        <v>21</v>
      </c>
      <c r="D4" s="86" t="s">
        <v>85</v>
      </c>
      <c r="E4" s="86" t="s">
        <v>26</v>
      </c>
      <c r="F4" s="17"/>
      <c r="G4" s="17"/>
      <c r="H4" s="17"/>
      <c r="I4" s="17"/>
      <c r="J4" s="17"/>
      <c r="K4" s="17"/>
      <c r="L4" s="17"/>
    </row>
    <row r="5" spans="1:12" ht="28.8" x14ac:dyDescent="0.3">
      <c r="A5" s="50" t="s">
        <v>34</v>
      </c>
      <c r="B5" s="126" t="s">
        <v>53</v>
      </c>
      <c r="C5" s="126" t="s">
        <v>54</v>
      </c>
      <c r="D5" s="126" t="s">
        <v>55</v>
      </c>
      <c r="E5" s="126" t="s">
        <v>56</v>
      </c>
      <c r="F5" s="126" t="s">
        <v>52</v>
      </c>
      <c r="G5" s="126" t="s">
        <v>57</v>
      </c>
      <c r="H5" s="126" t="s">
        <v>58</v>
      </c>
      <c r="I5" s="126" t="s">
        <v>59</v>
      </c>
      <c r="J5" s="126" t="s">
        <v>60</v>
      </c>
      <c r="K5" s="126" t="s">
        <v>211</v>
      </c>
      <c r="L5" s="125" t="s">
        <v>273</v>
      </c>
    </row>
    <row r="6" spans="1:12" ht="15" customHeight="1" x14ac:dyDescent="0.3">
      <c r="A6" s="40" t="s">
        <v>51</v>
      </c>
      <c r="B6" s="10">
        <f>'Energy Factors Tables'!$G$6</f>
        <v>0.71685004683141718</v>
      </c>
      <c r="C6" s="10"/>
      <c r="D6" s="10"/>
      <c r="E6" s="10">
        <f>'Energy Factors Tables'!$G$8</f>
        <v>0.28314995316858282</v>
      </c>
      <c r="F6" s="9"/>
      <c r="G6" s="10">
        <f>B6</f>
        <v>0.71685004683141718</v>
      </c>
      <c r="H6" s="10"/>
      <c r="I6" s="10"/>
      <c r="J6" s="10">
        <f>E6</f>
        <v>0.28314995316858282</v>
      </c>
      <c r="K6" s="9"/>
      <c r="L6" s="9"/>
    </row>
    <row r="7" spans="1:12" x14ac:dyDescent="0.3">
      <c r="A7" s="40" t="s">
        <v>44</v>
      </c>
      <c r="B7" s="9">
        <f>'Energy Factors Tables'!$E$5</f>
        <v>15700</v>
      </c>
      <c r="C7" s="9">
        <f>'Energy Factors Tables'!$E$5</f>
        <v>15700</v>
      </c>
      <c r="D7" s="9">
        <f>'Energy Factors Tables'!$E$5</f>
        <v>15700</v>
      </c>
      <c r="E7" s="9"/>
      <c r="F7" s="9"/>
      <c r="G7" s="9">
        <f>'Energy Factors Tables'!$E$5</f>
        <v>15700</v>
      </c>
      <c r="H7" s="9">
        <v>15700</v>
      </c>
      <c r="I7" s="9">
        <v>15700</v>
      </c>
      <c r="J7" s="9"/>
      <c r="K7" s="9"/>
      <c r="L7" s="9"/>
    </row>
    <row r="8" spans="1:12" x14ac:dyDescent="0.3">
      <c r="A8" s="40" t="s">
        <v>45</v>
      </c>
      <c r="B8" s="120">
        <f>'Energy Factors Tables'!$I$6</f>
        <v>1.0449999999999999</v>
      </c>
      <c r="C8" s="120">
        <f>'Energy Factors Tables'!$I$8</f>
        <v>1.0409999999999999</v>
      </c>
      <c r="D8" s="120">
        <f>'Energy Factors Tables'!$I$10</f>
        <v>0.44593118291120465</v>
      </c>
      <c r="E8" s="9"/>
      <c r="F8" s="9"/>
      <c r="G8" s="120">
        <f>'Energy Factors Tables'!$I$7</f>
        <v>1.0869453173540584</v>
      </c>
      <c r="H8" s="120">
        <f>'Energy Factors Tables'!$I$9</f>
        <v>1.0828617474492501</v>
      </c>
      <c r="I8" s="120">
        <f t="shared" ref="I8" si="0">D8</f>
        <v>0.44593118291120465</v>
      </c>
      <c r="J8" s="9"/>
      <c r="K8" s="9"/>
      <c r="L8" s="9" t="s">
        <v>209</v>
      </c>
    </row>
    <row r="9" spans="1:12" x14ac:dyDescent="0.3">
      <c r="A9" s="40" t="s">
        <v>46</v>
      </c>
      <c r="B9" s="9">
        <v>365</v>
      </c>
      <c r="C9" s="9">
        <v>365</v>
      </c>
      <c r="D9" s="9">
        <v>365</v>
      </c>
      <c r="E9" s="9"/>
      <c r="F9" s="9"/>
      <c r="G9" s="9">
        <v>365</v>
      </c>
      <c r="H9" s="9">
        <v>365</v>
      </c>
      <c r="I9" s="9">
        <v>365</v>
      </c>
      <c r="J9" s="9"/>
      <c r="K9" s="9"/>
      <c r="L9" s="111">
        <v>695</v>
      </c>
    </row>
    <row r="10" spans="1:12" x14ac:dyDescent="0.3">
      <c r="A10" s="40" t="s">
        <v>47</v>
      </c>
      <c r="B10" s="140">
        <f>'Energy Factors Tables'!$M$6</f>
        <v>2.6978</v>
      </c>
      <c r="C10" s="140">
        <f>'Energy Factors Tables'!$M$8</f>
        <v>3.2086000000000001</v>
      </c>
      <c r="D10" s="140">
        <f>'Energy Factors Tables'!$M$10</f>
        <v>2.8462000000000014</v>
      </c>
      <c r="E10" s="9"/>
      <c r="F10" s="9"/>
      <c r="G10" s="140">
        <f>'Energy Factors Tables'!$M$7</f>
        <v>5.0389419999999987</v>
      </c>
      <c r="H10" s="140">
        <f>'Energy Factors Tables'!$M$9</f>
        <v>6.5545899999999993</v>
      </c>
      <c r="I10" s="140">
        <f>'Energy Factors Tables'!$M$11</f>
        <v>4.2735489999999956</v>
      </c>
      <c r="J10" s="9"/>
      <c r="K10" s="9"/>
      <c r="L10" s="9" t="s">
        <v>208</v>
      </c>
    </row>
    <row r="11" spans="1:12" x14ac:dyDescent="0.3">
      <c r="A11" s="40" t="s">
        <v>82</v>
      </c>
      <c r="B11" s="61">
        <f>(B7*B8*B9)/(B10*1000)</f>
        <v>2219.7244050707982</v>
      </c>
      <c r="C11" s="61">
        <f>(C7*C8*C9)/(C10*1000)</f>
        <v>1859.2066633422678</v>
      </c>
      <c r="D11" s="61">
        <f>(D7*D8*D9)/(D10*1000)</f>
        <v>897.83172077600204</v>
      </c>
      <c r="E11" s="61">
        <f>C11+D11</f>
        <v>2757.0383841182697</v>
      </c>
      <c r="F11" s="61">
        <f>(B6*B11)+(E6*E11)</f>
        <v>2371.8648330749147</v>
      </c>
      <c r="G11" s="61">
        <f>(G7*G8*G9)/(G10*1000)</f>
        <v>1236.120626333352</v>
      </c>
      <c r="H11" s="61">
        <f>(H7*H8*H9)/(H10*1000)</f>
        <v>946.71661290148268</v>
      </c>
      <c r="I11" s="61">
        <f>(I7*I8*I9)/(I10*1000)</f>
        <v>597.95936437669502</v>
      </c>
      <c r="J11" s="61">
        <f>H11+I11</f>
        <v>1544.6759772781777</v>
      </c>
      <c r="K11" s="61">
        <f>(G6*G11)+(J6*J11)</f>
        <v>1323.4880595032951</v>
      </c>
      <c r="L11" s="62">
        <f>ROUND(F11-K11,2)</f>
        <v>1048.3800000000001</v>
      </c>
    </row>
    <row r="12" spans="1:12" x14ac:dyDescent="0.3">
      <c r="A12" s="6"/>
      <c r="B12" s="17"/>
      <c r="C12" s="17"/>
      <c r="D12" s="17"/>
      <c r="E12" s="17"/>
      <c r="F12" s="17"/>
      <c r="G12" s="17"/>
      <c r="H12" s="17"/>
      <c r="I12" s="17"/>
      <c r="J12" s="17"/>
      <c r="K12" s="101"/>
      <c r="L12" s="17"/>
    </row>
    <row r="13" spans="1:12" x14ac:dyDescent="0.3">
      <c r="A13" s="50" t="s">
        <v>69</v>
      </c>
      <c r="B13" s="17"/>
      <c r="C13" s="17"/>
      <c r="D13" s="17"/>
      <c r="G13" s="17"/>
      <c r="H13" s="17"/>
      <c r="I13" s="17"/>
      <c r="J13" s="17"/>
      <c r="K13" s="101"/>
      <c r="L13" s="112"/>
    </row>
    <row r="14" spans="1:12" x14ac:dyDescent="0.3">
      <c r="A14" s="50" t="s">
        <v>34</v>
      </c>
      <c r="B14" s="126" t="s">
        <v>73</v>
      </c>
      <c r="C14" s="126" t="s">
        <v>67</v>
      </c>
      <c r="D14" s="126" t="s">
        <v>274</v>
      </c>
      <c r="K14" s="17"/>
      <c r="L14" s="17"/>
    </row>
    <row r="15" spans="1:12" x14ac:dyDescent="0.3">
      <c r="A15" s="12" t="s">
        <v>70</v>
      </c>
      <c r="B15" s="14">
        <v>0</v>
      </c>
      <c r="C15" s="14">
        <v>0</v>
      </c>
      <c r="D15" s="14"/>
      <c r="K15" s="17"/>
      <c r="L15" s="17"/>
    </row>
    <row r="16" spans="1:12" x14ac:dyDescent="0.3">
      <c r="A16" s="12" t="s">
        <v>71</v>
      </c>
      <c r="B16" s="14">
        <v>0</v>
      </c>
      <c r="C16" s="14">
        <v>0</v>
      </c>
      <c r="D16" s="14"/>
      <c r="G16" s="117"/>
      <c r="H16" s="117"/>
      <c r="I16" s="117"/>
      <c r="J16" s="117"/>
      <c r="K16" s="17"/>
      <c r="L16" s="17"/>
    </row>
    <row r="17" spans="1:12" x14ac:dyDescent="0.3">
      <c r="A17" s="12" t="s">
        <v>72</v>
      </c>
      <c r="B17" s="15">
        <f>B16*B15</f>
        <v>0</v>
      </c>
      <c r="C17" s="15">
        <f>C16*C15</f>
        <v>0</v>
      </c>
      <c r="D17" s="38">
        <f>B17-C17</f>
        <v>0</v>
      </c>
      <c r="G17" s="117"/>
      <c r="H17" s="117"/>
      <c r="I17" s="117"/>
      <c r="J17" s="117"/>
      <c r="K17" s="17"/>
      <c r="L17" s="17"/>
    </row>
    <row r="39" ht="15" customHeight="1" x14ac:dyDescent="0.3"/>
    <row r="48" ht="15" customHeight="1" x14ac:dyDescent="0.3"/>
    <row r="56" ht="15" customHeight="1" x14ac:dyDescent="0.3"/>
    <row r="64" ht="15" customHeight="1" x14ac:dyDescent="0.3"/>
    <row r="82" ht="15" customHeight="1" x14ac:dyDescent="0.3"/>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3:M30"/>
  <sheetViews>
    <sheetView workbookViewId="0"/>
  </sheetViews>
  <sheetFormatPr defaultRowHeight="14.4" x14ac:dyDescent="0.3"/>
  <cols>
    <col min="1" max="1" width="27.88671875" bestFit="1" customWidth="1"/>
    <col min="2" max="2" width="27.44140625" bestFit="1" customWidth="1"/>
    <col min="3" max="3" width="39.44140625" bestFit="1" customWidth="1"/>
    <col min="4" max="4" width="25.33203125" bestFit="1" customWidth="1"/>
    <col min="5" max="5" width="40.6640625" customWidth="1"/>
    <col min="6" max="6" width="45.44140625" customWidth="1"/>
    <col min="7" max="7" width="20.44140625" customWidth="1"/>
    <col min="8" max="8" width="29.88671875" customWidth="1"/>
    <col min="9" max="9" width="26.6640625" bestFit="1" customWidth="1"/>
    <col min="10" max="10" width="51.88671875" customWidth="1"/>
    <col min="11" max="11" width="27.88671875" customWidth="1"/>
    <col min="12" max="12" width="11.6640625" customWidth="1"/>
    <col min="13" max="13" width="76.44140625" customWidth="1"/>
  </cols>
  <sheetData>
    <row r="3" spans="1:13" ht="15" thickBot="1" x14ac:dyDescent="0.35"/>
    <row r="4" spans="1:13" x14ac:dyDescent="0.3">
      <c r="A4" s="50" t="s">
        <v>149</v>
      </c>
      <c r="B4" s="119" t="s">
        <v>79</v>
      </c>
      <c r="C4" s="119" t="s">
        <v>9</v>
      </c>
      <c r="D4" s="119" t="s">
        <v>36</v>
      </c>
      <c r="E4" s="53" t="s">
        <v>122</v>
      </c>
      <c r="F4" s="17"/>
      <c r="G4" s="17"/>
      <c r="H4" s="17"/>
      <c r="I4" s="17"/>
      <c r="J4" s="7"/>
      <c r="K4" s="7"/>
      <c r="L4" s="7"/>
      <c r="M4" s="7"/>
    </row>
    <row r="5" spans="1:13" ht="28.8" x14ac:dyDescent="0.3">
      <c r="A5" s="86" t="s">
        <v>151</v>
      </c>
      <c r="B5" s="86" t="s">
        <v>80</v>
      </c>
      <c r="C5" s="86" t="s">
        <v>21</v>
      </c>
      <c r="D5" s="86" t="s">
        <v>85</v>
      </c>
      <c r="E5" s="86" t="s">
        <v>26</v>
      </c>
      <c r="F5" s="17"/>
      <c r="G5" s="17"/>
      <c r="H5" s="17"/>
      <c r="I5" s="17"/>
      <c r="J5" s="7"/>
      <c r="K5" s="7"/>
      <c r="L5" s="7"/>
      <c r="M5" s="7"/>
    </row>
    <row r="6" spans="1:13" ht="28.8" x14ac:dyDescent="0.3">
      <c r="A6" s="50" t="s">
        <v>34</v>
      </c>
      <c r="B6" s="119" t="s">
        <v>53</v>
      </c>
      <c r="C6" s="119" t="s">
        <v>54</v>
      </c>
      <c r="D6" s="119" t="s">
        <v>55</v>
      </c>
      <c r="E6" s="119" t="s">
        <v>56</v>
      </c>
      <c r="F6" s="119" t="s">
        <v>62</v>
      </c>
      <c r="G6" s="119" t="s">
        <v>57</v>
      </c>
      <c r="H6" s="119" t="s">
        <v>58</v>
      </c>
      <c r="I6" s="119" t="s">
        <v>59</v>
      </c>
      <c r="J6" s="119" t="s">
        <v>60</v>
      </c>
      <c r="K6" s="119" t="s">
        <v>61</v>
      </c>
      <c r="L6" s="119" t="s">
        <v>50</v>
      </c>
      <c r="M6" s="119" t="s">
        <v>78</v>
      </c>
    </row>
    <row r="7" spans="1:13" x14ac:dyDescent="0.3">
      <c r="A7" s="11" t="s">
        <v>51</v>
      </c>
      <c r="B7" s="10">
        <f>$H$27</f>
        <v>0.71685004683141718</v>
      </c>
      <c r="C7" s="10"/>
      <c r="D7" s="10"/>
      <c r="E7" s="10">
        <f>H26</f>
        <v>0.28314995316858282</v>
      </c>
      <c r="F7" s="9"/>
      <c r="G7" s="10">
        <f>B7</f>
        <v>0.71685004683141718</v>
      </c>
      <c r="H7" s="10"/>
      <c r="I7" s="10"/>
      <c r="J7" s="10">
        <f>E7</f>
        <v>0.28314995316858282</v>
      </c>
      <c r="K7" s="9"/>
      <c r="L7" s="9"/>
      <c r="M7" s="340" t="s">
        <v>206</v>
      </c>
    </row>
    <row r="8" spans="1:13" x14ac:dyDescent="0.3">
      <c r="A8" s="11" t="s">
        <v>44</v>
      </c>
      <c r="B8" s="9">
        <v>15700</v>
      </c>
      <c r="C8" s="9">
        <v>15700</v>
      </c>
      <c r="D8" s="9">
        <v>15700</v>
      </c>
      <c r="E8" s="9"/>
      <c r="F8" s="9"/>
      <c r="G8" s="9">
        <f>B8</f>
        <v>15700</v>
      </c>
      <c r="H8" s="9">
        <f>G8</f>
        <v>15700</v>
      </c>
      <c r="I8" s="9">
        <f>H8</f>
        <v>15700</v>
      </c>
      <c r="J8" s="9"/>
      <c r="K8" s="9"/>
      <c r="L8" s="9"/>
      <c r="M8" s="341"/>
    </row>
    <row r="9" spans="1:13" x14ac:dyDescent="0.3">
      <c r="A9" s="11" t="s">
        <v>45</v>
      </c>
      <c r="B9" s="120">
        <f>H28</f>
        <v>1.0452786506873917</v>
      </c>
      <c r="C9" s="120">
        <f>H29</f>
        <v>1.0411950807825834</v>
      </c>
      <c r="D9" s="120">
        <f>H30</f>
        <v>0.44593118291120465</v>
      </c>
      <c r="E9" s="9"/>
      <c r="F9" s="9"/>
      <c r="G9" s="120">
        <f>B9</f>
        <v>1.0452786506873917</v>
      </c>
      <c r="H9" s="120">
        <f t="shared" ref="H9:I9" si="0">C9</f>
        <v>1.0411950807825834</v>
      </c>
      <c r="I9" s="120">
        <f t="shared" si="0"/>
        <v>0.44593118291120465</v>
      </c>
      <c r="J9" s="9"/>
      <c r="K9" s="9"/>
      <c r="L9" s="9"/>
      <c r="M9" s="341"/>
    </row>
    <row r="10" spans="1:13" x14ac:dyDescent="0.3">
      <c r="A10" s="11" t="s">
        <v>46</v>
      </c>
      <c r="B10" s="9">
        <v>365</v>
      </c>
      <c r="C10" s="9">
        <v>365</v>
      </c>
      <c r="D10" s="9">
        <v>365</v>
      </c>
      <c r="E10" s="9"/>
      <c r="F10" s="9"/>
      <c r="G10" s="9">
        <v>365</v>
      </c>
      <c r="H10" s="9">
        <v>365</v>
      </c>
      <c r="I10" s="9">
        <v>365</v>
      </c>
      <c r="J10" s="9"/>
      <c r="K10" s="9"/>
      <c r="L10" s="9"/>
      <c r="M10" s="341"/>
    </row>
    <row r="11" spans="1:13" x14ac:dyDescent="0.3">
      <c r="A11" s="11" t="s">
        <v>47</v>
      </c>
      <c r="B11" s="9">
        <v>3.2881259600000003</v>
      </c>
      <c r="C11" s="9">
        <v>3.2881259600000003</v>
      </c>
      <c r="D11" s="9">
        <v>2.0345419999999983</v>
      </c>
      <c r="E11" s="9"/>
      <c r="F11" s="9"/>
      <c r="G11" s="9">
        <v>5.7127023500000025</v>
      </c>
      <c r="H11" s="9">
        <v>5.7127023500000025</v>
      </c>
      <c r="I11" s="9">
        <v>2.0576589999999975</v>
      </c>
      <c r="J11" s="9"/>
      <c r="K11" s="9"/>
      <c r="L11" s="9"/>
      <c r="M11" s="341"/>
    </row>
    <row r="12" spans="1:13" x14ac:dyDescent="0.3">
      <c r="A12" s="12" t="s">
        <v>63</v>
      </c>
      <c r="B12" s="61">
        <f>(B8*B9*B10)/(B11*1000)</f>
        <v>1821.6970337000403</v>
      </c>
      <c r="C12" s="61">
        <f>ROUND((C8*C9*C10)/(C11*1000),2)</f>
        <v>1814.58</v>
      </c>
      <c r="D12" s="61">
        <f>ROUND((D8*D9*D10)/(D11*1000),2)</f>
        <v>1256.01</v>
      </c>
      <c r="E12" s="61">
        <f>C12+D12</f>
        <v>3070.59</v>
      </c>
      <c r="F12" s="61">
        <f>(B7*B12)+(E7*E12)</f>
        <v>2175.3210186204465</v>
      </c>
      <c r="G12" s="61">
        <f>(G8*G9*G10)/(G11*1000)</f>
        <v>1048.5351661572383</v>
      </c>
      <c r="H12" s="61">
        <f>(H8*H9*H10)/(H11*1000)</f>
        <v>1044.4388740863756</v>
      </c>
      <c r="I12" s="61">
        <f>(I8*I9*I10)/(I11*1000)</f>
        <v>1241.9009387234044</v>
      </c>
      <c r="J12" s="61">
        <f>H12+I12</f>
        <v>2286.3398128097797</v>
      </c>
      <c r="K12" s="61">
        <f>(G7*G12)+(J7*J12)</f>
        <v>1399.0194938887596</v>
      </c>
      <c r="L12" s="62">
        <f>ROUND(F12-K12,2)</f>
        <v>776.3</v>
      </c>
      <c r="M12" s="342"/>
    </row>
    <row r="13" spans="1:13" x14ac:dyDescent="0.3">
      <c r="A13" s="6"/>
      <c r="B13" s="17"/>
      <c r="C13" s="17"/>
      <c r="D13" s="17"/>
      <c r="E13" s="17"/>
      <c r="F13" s="17"/>
      <c r="G13" s="17"/>
      <c r="H13" s="17"/>
      <c r="I13" s="17"/>
      <c r="J13" s="7"/>
      <c r="K13" s="7"/>
      <c r="L13" s="7"/>
      <c r="M13" s="7"/>
    </row>
    <row r="14" spans="1:13" x14ac:dyDescent="0.3">
      <c r="A14" s="119" t="s">
        <v>69</v>
      </c>
      <c r="B14" s="17"/>
      <c r="C14" s="17"/>
      <c r="D14" s="17"/>
      <c r="E14" s="17"/>
      <c r="F14" s="17"/>
      <c r="G14" s="17"/>
      <c r="H14" s="17"/>
      <c r="I14" s="17"/>
      <c r="J14" s="7"/>
      <c r="K14" s="7"/>
      <c r="L14" s="7"/>
      <c r="M14" s="7"/>
    </row>
    <row r="15" spans="1:13" x14ac:dyDescent="0.3">
      <c r="A15" s="119" t="s">
        <v>34</v>
      </c>
      <c r="B15" s="119" t="s">
        <v>73</v>
      </c>
      <c r="C15" s="119" t="s">
        <v>67</v>
      </c>
      <c r="D15" s="119" t="s">
        <v>74</v>
      </c>
      <c r="E15" s="119" t="s">
        <v>78</v>
      </c>
      <c r="F15" s="17"/>
      <c r="G15" s="17"/>
      <c r="H15" s="17"/>
      <c r="I15" s="17"/>
      <c r="J15" s="7"/>
      <c r="K15" s="7"/>
      <c r="L15" s="7"/>
      <c r="M15" s="7"/>
    </row>
    <row r="16" spans="1:13" x14ac:dyDescent="0.3">
      <c r="A16" s="12" t="s">
        <v>70</v>
      </c>
      <c r="B16" s="14">
        <f>'Peak Demand Calculations'!$B$3</f>
        <v>0.376</v>
      </c>
      <c r="C16" s="14">
        <f>'Peak Demand Calculations'!$B$4</f>
        <v>0.41499999999999998</v>
      </c>
      <c r="D16" s="14"/>
      <c r="E16" s="340" t="s">
        <v>159</v>
      </c>
      <c r="F16" s="17"/>
      <c r="G16" s="17"/>
      <c r="H16" s="17"/>
      <c r="I16" s="17"/>
      <c r="J16" s="7"/>
      <c r="K16" s="7"/>
      <c r="L16" s="7"/>
      <c r="M16" s="7"/>
    </row>
    <row r="17" spans="1:13" x14ac:dyDescent="0.3">
      <c r="A17" s="12" t="s">
        <v>71</v>
      </c>
      <c r="B17" s="14">
        <f>'Peak Demand Calculations'!$D$3</f>
        <v>0.52200000000000002</v>
      </c>
      <c r="C17" s="14">
        <f>'Peak Demand Calculations'!$D$4</f>
        <v>0.39</v>
      </c>
      <c r="D17" s="19"/>
      <c r="E17" s="341"/>
      <c r="F17" s="17"/>
      <c r="G17" s="17"/>
      <c r="H17" s="17"/>
      <c r="I17" s="17"/>
      <c r="J17" s="7"/>
      <c r="K17" s="7"/>
      <c r="L17" s="7"/>
      <c r="M17" s="7"/>
    </row>
    <row r="18" spans="1:13" x14ac:dyDescent="0.3">
      <c r="A18" s="12" t="s">
        <v>72</v>
      </c>
      <c r="B18" s="15">
        <f>B17*B16</f>
        <v>0.196272</v>
      </c>
      <c r="C18" s="15">
        <f>C17*C16</f>
        <v>0.16184999999999999</v>
      </c>
      <c r="D18" s="38">
        <f>ROUND(B18-C18,5)</f>
        <v>3.4419999999999999E-2</v>
      </c>
      <c r="E18" s="342"/>
      <c r="F18" s="17"/>
      <c r="G18" s="17"/>
      <c r="H18" s="17"/>
      <c r="I18" s="17"/>
      <c r="J18" s="7"/>
      <c r="K18" s="7"/>
      <c r="L18" s="7"/>
      <c r="M18" s="7"/>
    </row>
    <row r="24" spans="1:13" x14ac:dyDescent="0.3">
      <c r="G24" s="121" t="s">
        <v>212</v>
      </c>
      <c r="H24" s="122">
        <v>9715700</v>
      </c>
    </row>
    <row r="25" spans="1:13" x14ac:dyDescent="0.3">
      <c r="G25" s="121" t="s">
        <v>213</v>
      </c>
      <c r="H25" s="122">
        <v>2892000</v>
      </c>
    </row>
    <row r="26" spans="1:13" x14ac:dyDescent="0.3">
      <c r="G26" s="121" t="s">
        <v>214</v>
      </c>
      <c r="H26" s="123">
        <v>0.28314995316858282</v>
      </c>
    </row>
    <row r="27" spans="1:13" x14ac:dyDescent="0.3">
      <c r="G27" s="121" t="s">
        <v>215</v>
      </c>
      <c r="H27" s="123">
        <v>0.71685004683141718</v>
      </c>
    </row>
    <row r="28" spans="1:13" x14ac:dyDescent="0.3">
      <c r="G28" s="121" t="s">
        <v>216</v>
      </c>
      <c r="H28" s="124">
        <v>1.0452786506873917</v>
      </c>
    </row>
    <row r="29" spans="1:13" x14ac:dyDescent="0.3">
      <c r="G29" s="121" t="s">
        <v>217</v>
      </c>
      <c r="H29" s="124">
        <v>1.0411950807825834</v>
      </c>
    </row>
    <row r="30" spans="1:13" x14ac:dyDescent="0.3">
      <c r="G30" s="121" t="s">
        <v>218</v>
      </c>
      <c r="H30" s="124">
        <v>0.44593118291120465</v>
      </c>
    </row>
  </sheetData>
  <mergeCells count="2">
    <mergeCell ref="M7:M12"/>
    <mergeCell ref="E16:E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Measure Sav. Summary</vt:lpstr>
      <vt:lpstr>Summary Table</vt:lpstr>
      <vt:lpstr>WP Tables</vt:lpstr>
      <vt:lpstr>Energy Factors Tables</vt:lpstr>
      <vt:lpstr>Factors by Measure</vt:lpstr>
      <vt:lpstr>Msr A</vt:lpstr>
      <vt:lpstr>Msr A -New</vt:lpstr>
      <vt:lpstr>Msr B -New</vt:lpstr>
      <vt:lpstr>Msr B -Ex</vt:lpstr>
      <vt:lpstr>Msr B</vt:lpstr>
      <vt:lpstr>Msr C -New</vt:lpstr>
      <vt:lpstr>Msr C</vt:lpstr>
      <vt:lpstr>Msr D-New</vt:lpstr>
      <vt:lpstr>Msr F &amp; G-New</vt:lpstr>
      <vt:lpstr>Msr D</vt:lpstr>
      <vt:lpstr>Msr F &amp; G</vt:lpstr>
      <vt:lpstr>Peak Demand Calculations</vt:lpstr>
      <vt:lpstr>Peak Demand-New</vt:lpstr>
      <vt:lpstr>SFm CDF</vt:lpstr>
      <vt:lpstr>MFm CDF</vt:lpstr>
      <vt:lpstr>Meas. A &amp; C, CZ Adjustments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Casco, Lake</dc:creator>
  <cp:lastModifiedBy>Vega, Kara</cp:lastModifiedBy>
  <dcterms:created xsi:type="dcterms:W3CDTF">2017-04-07T22:40:03Z</dcterms:created>
  <dcterms:modified xsi:type="dcterms:W3CDTF">2019-03-08T23:53:01Z</dcterms:modified>
</cp:coreProperties>
</file>