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sempra-my.sharepoint.com/personal/adanryd_socalgas_com/Documents/User Folders/Desktop/Projects/Workpapers/Gas Absorpsion HPWH/Modeling/"/>
    </mc:Choice>
  </mc:AlternateContent>
  <xr:revisionPtr revIDLastSave="80" documentId="13_ncr:1_{6C00EEB8-8CB6-48A2-AC29-99F08C5FB612}" xr6:coauthVersionLast="47" xr6:coauthVersionMax="47" xr10:uidLastSave="{B33C4143-9566-4E9B-9155-4795AEF09B37}"/>
  <bookViews>
    <workbookView xWindow="38280" yWindow="2835" windowWidth="29040" windowHeight="15840" xr2:uid="{00000000-000D-0000-FFFF-FFFF00000000}"/>
  </bookViews>
  <sheets>
    <sheet name="SummaryResults" sheetId="5" r:id="rId1"/>
    <sheet name="Results" sheetId="2" r:id="rId2"/>
    <sheet name="Supporting" sheetId="1" r:id="rId3"/>
  </sheets>
  <externalReferences>
    <externalReference r:id="rId4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4" i="5" l="1"/>
  <c r="C17" i="2"/>
  <c r="C16" i="2"/>
  <c r="W11" i="2"/>
  <c r="L4" i="5"/>
  <c r="L19" i="5"/>
  <c r="L18" i="5"/>
  <c r="L17" i="5"/>
  <c r="L16" i="5"/>
  <c r="L15" i="5"/>
  <c r="L14" i="5"/>
  <c r="L13" i="5"/>
  <c r="L12" i="5"/>
  <c r="L11" i="5"/>
  <c r="L10" i="5"/>
  <c r="L9" i="5"/>
  <c r="L8" i="5"/>
  <c r="L7" i="5"/>
  <c r="L6" i="5"/>
  <c r="L5" i="5"/>
  <c r="G5" i="5"/>
  <c r="G6" i="5"/>
  <c r="G7" i="5"/>
  <c r="G8" i="5"/>
  <c r="G9" i="5"/>
  <c r="G10" i="5"/>
  <c r="G11" i="5"/>
  <c r="G12" i="5"/>
  <c r="G13" i="5"/>
  <c r="G14" i="5"/>
  <c r="G15" i="5"/>
  <c r="G16" i="5"/>
  <c r="G17" i="5"/>
  <c r="G18" i="5"/>
  <c r="G19" i="5"/>
  <c r="C19" i="5"/>
  <c r="C18" i="5"/>
  <c r="C17" i="5"/>
  <c r="C16" i="5"/>
  <c r="C15" i="5"/>
  <c r="C14" i="5"/>
  <c r="C13" i="5"/>
  <c r="C12" i="5"/>
  <c r="C11" i="5"/>
  <c r="C10" i="5"/>
  <c r="C9" i="5"/>
  <c r="C8" i="5"/>
  <c r="C7" i="5"/>
  <c r="C6" i="5"/>
  <c r="C5" i="5"/>
  <c r="C4" i="5"/>
  <c r="C21" i="5" l="1"/>
  <c r="D19" i="1" l="1"/>
  <c r="F19" i="1" s="1"/>
  <c r="C20" i="1"/>
  <c r="C21" i="1"/>
  <c r="H19" i="1" l="1"/>
  <c r="J19" i="1"/>
  <c r="D21" i="1"/>
  <c r="F21" i="1" s="1"/>
  <c r="J21" i="1" s="1"/>
  <c r="D20" i="1"/>
  <c r="F20" i="1" s="1"/>
  <c r="J20" i="1" s="1"/>
  <c r="F304" i="2"/>
  <c r="F302" i="2"/>
  <c r="F289" i="2"/>
  <c r="F288" i="2"/>
  <c r="F286" i="2"/>
  <c r="F161" i="2"/>
  <c r="F155" i="2"/>
  <c r="F154" i="2"/>
  <c r="F55" i="2"/>
  <c r="F14" i="2"/>
  <c r="F13" i="2"/>
  <c r="F11" i="2"/>
  <c r="F5" i="2"/>
  <c r="F4" i="2"/>
  <c r="F2" i="2"/>
  <c r="B5" i="5"/>
  <c r="B6" i="5" s="1"/>
  <c r="B7" i="5" s="1"/>
  <c r="B8" i="5" s="1"/>
  <c r="B9" i="5" s="1"/>
  <c r="B10" i="5" s="1"/>
  <c r="B11" i="5" s="1"/>
  <c r="B12" i="5" s="1"/>
  <c r="B13" i="5" s="1"/>
  <c r="B14" i="5" s="1"/>
  <c r="B15" i="5" s="1"/>
  <c r="B16" i="5" s="1"/>
  <c r="B17" i="5" s="1"/>
  <c r="B18" i="5" s="1"/>
  <c r="B19" i="5" s="1"/>
  <c r="A395" i="2"/>
  <c r="A386" i="2"/>
  <c r="A377" i="2"/>
  <c r="F374" i="2"/>
  <c r="C374" i="2"/>
  <c r="C373" i="2"/>
  <c r="F373" i="2" s="1"/>
  <c r="C372" i="2"/>
  <c r="F372" i="2" s="1"/>
  <c r="R371" i="2"/>
  <c r="R374" i="2" s="1"/>
  <c r="C371" i="2"/>
  <c r="F371" i="2" s="1"/>
  <c r="R370" i="2"/>
  <c r="S370" i="2" s="1"/>
  <c r="I370" i="2"/>
  <c r="I372" i="2" s="1"/>
  <c r="C370" i="2"/>
  <c r="F370" i="2" s="1"/>
  <c r="C367" i="2"/>
  <c r="C366" i="2"/>
  <c r="F363" i="2" s="1"/>
  <c r="Z363" i="2"/>
  <c r="R363" i="2"/>
  <c r="S363" i="2" s="1"/>
  <c r="S362" i="2"/>
  <c r="Y361" i="2"/>
  <c r="W361" i="2"/>
  <c r="S361" i="2"/>
  <c r="M361" i="2"/>
  <c r="C358" i="2"/>
  <c r="C357" i="2"/>
  <c r="F352" i="2" s="1"/>
  <c r="R354" i="2"/>
  <c r="S354" i="2" s="1"/>
  <c r="S353" i="2"/>
  <c r="W352" i="2"/>
  <c r="S352" i="2"/>
  <c r="M352" i="2"/>
  <c r="M370" i="2" s="1"/>
  <c r="A45" i="2"/>
  <c r="A70" i="2" s="1"/>
  <c r="A95" i="2" s="1"/>
  <c r="A120" i="2" s="1"/>
  <c r="A145" i="2" s="1"/>
  <c r="A170" i="2" s="1"/>
  <c r="A195" i="2" s="1"/>
  <c r="A220" i="2" s="1"/>
  <c r="A245" i="2" s="1"/>
  <c r="A270" i="2" s="1"/>
  <c r="A295" i="2" s="1"/>
  <c r="A320" i="2" s="1"/>
  <c r="A345" i="2" s="1"/>
  <c r="A36" i="2"/>
  <c r="A61" i="2" s="1"/>
  <c r="A86" i="2" s="1"/>
  <c r="A111" i="2" s="1"/>
  <c r="A136" i="2" s="1"/>
  <c r="A161" i="2" s="1"/>
  <c r="A186" i="2" s="1"/>
  <c r="A211" i="2" s="1"/>
  <c r="A236" i="2" s="1"/>
  <c r="A261" i="2" s="1"/>
  <c r="A286" i="2" s="1"/>
  <c r="A311" i="2" s="1"/>
  <c r="A336" i="2" s="1"/>
  <c r="A27" i="2"/>
  <c r="A52" i="2" s="1"/>
  <c r="A77" i="2" s="1"/>
  <c r="A102" i="2" s="1"/>
  <c r="A127" i="2" s="1"/>
  <c r="A152" i="2" s="1"/>
  <c r="A177" i="2" s="1"/>
  <c r="A202" i="2" s="1"/>
  <c r="A227" i="2" s="1"/>
  <c r="A252" i="2" s="1"/>
  <c r="A277" i="2" s="1"/>
  <c r="A302" i="2" s="1"/>
  <c r="A327" i="2" s="1"/>
  <c r="C349" i="2"/>
  <c r="F349" i="2" s="1"/>
  <c r="C348" i="2"/>
  <c r="F348" i="2" s="1"/>
  <c r="C347" i="2"/>
  <c r="F347" i="2" s="1"/>
  <c r="R346" i="2"/>
  <c r="R349" i="2" s="1"/>
  <c r="C346" i="2"/>
  <c r="F346" i="2" s="1"/>
  <c r="R345" i="2"/>
  <c r="S345" i="2" s="1"/>
  <c r="I345" i="2"/>
  <c r="I347" i="2" s="1"/>
  <c r="C345" i="2"/>
  <c r="F345" i="2" s="1"/>
  <c r="C342" i="2"/>
  <c r="C341" i="2"/>
  <c r="F336" i="2" s="1"/>
  <c r="Z338" i="2"/>
  <c r="R338" i="2"/>
  <c r="S338" i="2" s="1"/>
  <c r="S337" i="2"/>
  <c r="Y336" i="2"/>
  <c r="W336" i="2"/>
  <c r="S336" i="2"/>
  <c r="M336" i="2"/>
  <c r="C333" i="2"/>
  <c r="C332" i="2"/>
  <c r="F330" i="2" s="1"/>
  <c r="R329" i="2"/>
  <c r="S328" i="2"/>
  <c r="W327" i="2"/>
  <c r="S327" i="2"/>
  <c r="M327" i="2"/>
  <c r="C324" i="2"/>
  <c r="F324" i="2" s="1"/>
  <c r="C323" i="2"/>
  <c r="F323" i="2" s="1"/>
  <c r="C322" i="2"/>
  <c r="F322" i="2" s="1"/>
  <c r="R321" i="2"/>
  <c r="S321" i="2" s="1"/>
  <c r="C321" i="2"/>
  <c r="F321" i="2" s="1"/>
  <c r="S320" i="2"/>
  <c r="R320" i="2"/>
  <c r="I320" i="2"/>
  <c r="I322" i="2" s="1"/>
  <c r="C320" i="2"/>
  <c r="F320" i="2" s="1"/>
  <c r="C317" i="2"/>
  <c r="C316" i="2"/>
  <c r="F314" i="2" s="1"/>
  <c r="Z313" i="2"/>
  <c r="R313" i="2"/>
  <c r="S313" i="2" s="1"/>
  <c r="S312" i="2"/>
  <c r="Y311" i="2"/>
  <c r="W311" i="2"/>
  <c r="S311" i="2"/>
  <c r="M311" i="2"/>
  <c r="C308" i="2"/>
  <c r="C307" i="2"/>
  <c r="F305" i="2" s="1"/>
  <c r="S304" i="2"/>
  <c r="R304" i="2"/>
  <c r="S303" i="2"/>
  <c r="W302" i="2"/>
  <c r="S302" i="2"/>
  <c r="M302" i="2"/>
  <c r="C299" i="2"/>
  <c r="F299" i="2" s="1"/>
  <c r="C298" i="2"/>
  <c r="F298" i="2" s="1"/>
  <c r="C297" i="2"/>
  <c r="F297" i="2" s="1"/>
  <c r="R296" i="2"/>
  <c r="R299" i="2" s="1"/>
  <c r="C296" i="2"/>
  <c r="F296" i="2" s="1"/>
  <c r="S295" i="2"/>
  <c r="R295" i="2"/>
  <c r="I295" i="2"/>
  <c r="I297" i="2" s="1"/>
  <c r="C295" i="2"/>
  <c r="F295" i="2" s="1"/>
  <c r="C292" i="2"/>
  <c r="C291" i="2"/>
  <c r="Z288" i="2"/>
  <c r="R288" i="2"/>
  <c r="S288" i="2" s="1"/>
  <c r="S287" i="2"/>
  <c r="Y286" i="2"/>
  <c r="W286" i="2"/>
  <c r="S286" i="2"/>
  <c r="M286" i="2"/>
  <c r="C283" i="2"/>
  <c r="C282" i="2"/>
  <c r="F280" i="2" s="1"/>
  <c r="R279" i="2"/>
  <c r="S278" i="2"/>
  <c r="W277" i="2"/>
  <c r="S277" i="2"/>
  <c r="M277" i="2"/>
  <c r="C274" i="2"/>
  <c r="F274" i="2" s="1"/>
  <c r="C273" i="2"/>
  <c r="F273" i="2" s="1"/>
  <c r="C272" i="2"/>
  <c r="F272" i="2" s="1"/>
  <c r="R271" i="2"/>
  <c r="S271" i="2" s="1"/>
  <c r="C271" i="2"/>
  <c r="F271" i="2" s="1"/>
  <c r="R270" i="2"/>
  <c r="S270" i="2" s="1"/>
  <c r="I270" i="2"/>
  <c r="I272" i="2" s="1"/>
  <c r="C270" i="2"/>
  <c r="F270" i="2" s="1"/>
  <c r="C267" i="2"/>
  <c r="C268" i="2" s="1"/>
  <c r="F268" i="2" s="1"/>
  <c r="C266" i="2"/>
  <c r="F264" i="2" s="1"/>
  <c r="Z263" i="2"/>
  <c r="R263" i="2"/>
  <c r="S263" i="2" s="1"/>
  <c r="S262" i="2"/>
  <c r="Y261" i="2"/>
  <c r="W261" i="2"/>
  <c r="S261" i="2"/>
  <c r="M261" i="2"/>
  <c r="C258" i="2"/>
  <c r="C257" i="2"/>
  <c r="C259" i="2" s="1"/>
  <c r="F259" i="2" s="1"/>
  <c r="R254" i="2"/>
  <c r="S253" i="2"/>
  <c r="W252" i="2"/>
  <c r="S252" i="2"/>
  <c r="M252" i="2"/>
  <c r="C249" i="2"/>
  <c r="F249" i="2" s="1"/>
  <c r="C248" i="2"/>
  <c r="F248" i="2" s="1"/>
  <c r="C247" i="2"/>
  <c r="F247" i="2" s="1"/>
  <c r="R246" i="2"/>
  <c r="R249" i="2" s="1"/>
  <c r="C246" i="2"/>
  <c r="F246" i="2" s="1"/>
  <c r="R245" i="2"/>
  <c r="S245" i="2" s="1"/>
  <c r="I245" i="2"/>
  <c r="I247" i="2" s="1"/>
  <c r="C245" i="2"/>
  <c r="F245" i="2" s="1"/>
  <c r="C242" i="2"/>
  <c r="C241" i="2"/>
  <c r="Z238" i="2"/>
  <c r="R238" i="2"/>
  <c r="S238" i="2" s="1"/>
  <c r="S237" i="2"/>
  <c r="Y236" i="2"/>
  <c r="W236" i="2"/>
  <c r="S236" i="2"/>
  <c r="M236" i="2"/>
  <c r="C233" i="2"/>
  <c r="C232" i="2"/>
  <c r="F230" i="2" s="1"/>
  <c r="R229" i="2"/>
  <c r="R247" i="2" s="1"/>
  <c r="S247" i="2" s="1"/>
  <c r="S228" i="2"/>
  <c r="W227" i="2"/>
  <c r="S227" i="2"/>
  <c r="M227" i="2"/>
  <c r="M245" i="2" s="1"/>
  <c r="C199" i="2"/>
  <c r="F199" i="2" s="1"/>
  <c r="C198" i="2"/>
  <c r="F198" i="2" s="1"/>
  <c r="C197" i="2"/>
  <c r="F197" i="2" s="1"/>
  <c r="R196" i="2"/>
  <c r="R199" i="2" s="1"/>
  <c r="C196" i="2"/>
  <c r="F196" i="2" s="1"/>
  <c r="R195" i="2"/>
  <c r="S195" i="2" s="1"/>
  <c r="I195" i="2"/>
  <c r="I197" i="2" s="1"/>
  <c r="C195" i="2"/>
  <c r="F195" i="2" s="1"/>
  <c r="C192" i="2"/>
  <c r="C193" i="2" s="1"/>
  <c r="F193" i="2" s="1"/>
  <c r="C191" i="2"/>
  <c r="F189" i="2" s="1"/>
  <c r="Z188" i="2"/>
  <c r="R188" i="2"/>
  <c r="S188" i="2" s="1"/>
  <c r="S187" i="2"/>
  <c r="Y186" i="2"/>
  <c r="W186" i="2"/>
  <c r="S186" i="2"/>
  <c r="M186" i="2"/>
  <c r="C183" i="2"/>
  <c r="C182" i="2"/>
  <c r="F180" i="2" s="1"/>
  <c r="R179" i="2"/>
  <c r="S178" i="2"/>
  <c r="W177" i="2"/>
  <c r="S177" i="2"/>
  <c r="M177" i="2"/>
  <c r="C174" i="2"/>
  <c r="F174" i="2" s="1"/>
  <c r="C173" i="2"/>
  <c r="F173" i="2" s="1"/>
  <c r="C172" i="2"/>
  <c r="F172" i="2" s="1"/>
  <c r="R171" i="2"/>
  <c r="S171" i="2" s="1"/>
  <c r="C171" i="2"/>
  <c r="F171" i="2" s="1"/>
  <c r="R170" i="2"/>
  <c r="S170" i="2" s="1"/>
  <c r="I170" i="2"/>
  <c r="I172" i="2" s="1"/>
  <c r="C170" i="2"/>
  <c r="F170" i="2" s="1"/>
  <c r="C167" i="2"/>
  <c r="C166" i="2"/>
  <c r="F164" i="2" s="1"/>
  <c r="Z163" i="2"/>
  <c r="R163" i="2"/>
  <c r="S163" i="2" s="1"/>
  <c r="S162" i="2"/>
  <c r="Y161" i="2"/>
  <c r="W161" i="2"/>
  <c r="S161" i="2"/>
  <c r="M161" i="2"/>
  <c r="C158" i="2"/>
  <c r="C157" i="2"/>
  <c r="F152" i="2" s="1"/>
  <c r="R154" i="2"/>
  <c r="S154" i="2" s="1"/>
  <c r="S153" i="2"/>
  <c r="W152" i="2"/>
  <c r="S152" i="2"/>
  <c r="M152" i="2"/>
  <c r="C124" i="2"/>
  <c r="F124" i="2" s="1"/>
  <c r="C123" i="2"/>
  <c r="F123" i="2" s="1"/>
  <c r="C122" i="2"/>
  <c r="F122" i="2" s="1"/>
  <c r="R121" i="2"/>
  <c r="R124" i="2" s="1"/>
  <c r="C121" i="2"/>
  <c r="F121" i="2" s="1"/>
  <c r="R120" i="2"/>
  <c r="S120" i="2" s="1"/>
  <c r="I120" i="2"/>
  <c r="C120" i="2"/>
  <c r="F120" i="2" s="1"/>
  <c r="C117" i="2"/>
  <c r="C116" i="2"/>
  <c r="F114" i="2" s="1"/>
  <c r="Z113" i="2"/>
  <c r="R113" i="2"/>
  <c r="S113" i="2" s="1"/>
  <c r="S112" i="2"/>
  <c r="Y111" i="2"/>
  <c r="W111" i="2"/>
  <c r="S111" i="2"/>
  <c r="M111" i="2"/>
  <c r="C108" i="2"/>
  <c r="C107" i="2"/>
  <c r="F104" i="2" s="1"/>
  <c r="R104" i="2"/>
  <c r="S103" i="2"/>
  <c r="W102" i="2"/>
  <c r="S102" i="2"/>
  <c r="M102" i="2"/>
  <c r="C99" i="2"/>
  <c r="F99" i="2" s="1"/>
  <c r="C98" i="2"/>
  <c r="F98" i="2" s="1"/>
  <c r="C97" i="2"/>
  <c r="F97" i="2" s="1"/>
  <c r="R96" i="2"/>
  <c r="R99" i="2" s="1"/>
  <c r="C96" i="2"/>
  <c r="F96" i="2" s="1"/>
  <c r="R95" i="2"/>
  <c r="S95" i="2" s="1"/>
  <c r="I95" i="2"/>
  <c r="C95" i="2"/>
  <c r="F95" i="2" s="1"/>
  <c r="C92" i="2"/>
  <c r="C91" i="2"/>
  <c r="F89" i="2" s="1"/>
  <c r="Z88" i="2"/>
  <c r="R88" i="2"/>
  <c r="S88" i="2" s="1"/>
  <c r="S87" i="2"/>
  <c r="Y86" i="2"/>
  <c r="W86" i="2"/>
  <c r="S86" i="2"/>
  <c r="M86" i="2"/>
  <c r="C83" i="2"/>
  <c r="C82" i="2"/>
  <c r="F80" i="2" s="1"/>
  <c r="R79" i="2"/>
  <c r="R97" i="2" s="1"/>
  <c r="S97" i="2" s="1"/>
  <c r="S78" i="2"/>
  <c r="W77" i="2"/>
  <c r="S77" i="2"/>
  <c r="M77" i="2"/>
  <c r="C74" i="2"/>
  <c r="F74" i="2" s="1"/>
  <c r="C73" i="2"/>
  <c r="F73" i="2" s="1"/>
  <c r="C72" i="2"/>
  <c r="F72" i="2" s="1"/>
  <c r="R71" i="2"/>
  <c r="S71" i="2" s="1"/>
  <c r="C71" i="2"/>
  <c r="F71" i="2" s="1"/>
  <c r="R70" i="2"/>
  <c r="S70" i="2" s="1"/>
  <c r="I70" i="2"/>
  <c r="C70" i="2"/>
  <c r="F70" i="2" s="1"/>
  <c r="C67" i="2"/>
  <c r="C66" i="2"/>
  <c r="F64" i="2" s="1"/>
  <c r="Z63" i="2"/>
  <c r="R63" i="2"/>
  <c r="S63" i="2" s="1"/>
  <c r="S62" i="2"/>
  <c r="Y61" i="2"/>
  <c r="W61" i="2"/>
  <c r="S61" i="2"/>
  <c r="M61" i="2"/>
  <c r="C58" i="2"/>
  <c r="C57" i="2"/>
  <c r="F54" i="2" s="1"/>
  <c r="R54" i="2"/>
  <c r="S53" i="2"/>
  <c r="W52" i="2"/>
  <c r="S52" i="2"/>
  <c r="M52" i="2"/>
  <c r="C49" i="2"/>
  <c r="F49" i="2" s="1"/>
  <c r="C48" i="2"/>
  <c r="F48" i="2" s="1"/>
  <c r="C47" i="2"/>
  <c r="F47" i="2" s="1"/>
  <c r="R46" i="2"/>
  <c r="R49" i="2" s="1"/>
  <c r="C46" i="2"/>
  <c r="F46" i="2" s="1"/>
  <c r="R45" i="2"/>
  <c r="S45" i="2" s="1"/>
  <c r="I45" i="2"/>
  <c r="C45" i="2"/>
  <c r="F45" i="2" s="1"/>
  <c r="C42" i="2"/>
  <c r="C41" i="2"/>
  <c r="F39" i="2" s="1"/>
  <c r="Z38" i="2"/>
  <c r="R38" i="2"/>
  <c r="S38" i="2" s="1"/>
  <c r="S37" i="2"/>
  <c r="Y36" i="2"/>
  <c r="W36" i="2"/>
  <c r="S36" i="2"/>
  <c r="M36" i="2"/>
  <c r="C33" i="2"/>
  <c r="C32" i="2"/>
  <c r="F29" i="2" s="1"/>
  <c r="R29" i="2"/>
  <c r="S28" i="2"/>
  <c r="W27" i="2"/>
  <c r="S27" i="2"/>
  <c r="M27" i="2"/>
  <c r="C24" i="2"/>
  <c r="F24" i="2" s="1"/>
  <c r="C23" i="2"/>
  <c r="F23" i="2" s="1"/>
  <c r="C22" i="2"/>
  <c r="F22" i="2" s="1"/>
  <c r="R21" i="2"/>
  <c r="R24" i="2" s="1"/>
  <c r="C21" i="2"/>
  <c r="F21" i="2" s="1"/>
  <c r="R20" i="2"/>
  <c r="S20" i="2" s="1"/>
  <c r="I20" i="2"/>
  <c r="C20" i="2"/>
  <c r="F20" i="2" s="1"/>
  <c r="Z13" i="2"/>
  <c r="R13" i="2"/>
  <c r="S13" i="2" s="1"/>
  <c r="S12" i="2"/>
  <c r="Y11" i="2"/>
  <c r="S11" i="2"/>
  <c r="M11" i="2"/>
  <c r="C8" i="2"/>
  <c r="C7" i="2"/>
  <c r="R4" i="2"/>
  <c r="S3" i="2"/>
  <c r="W2" i="2"/>
  <c r="S2" i="2"/>
  <c r="M2" i="2"/>
  <c r="H20" i="1" l="1"/>
  <c r="H21" i="1"/>
  <c r="M20" i="2"/>
  <c r="F364" i="2"/>
  <c r="F361" i="2"/>
  <c r="C368" i="2"/>
  <c r="F368" i="2" s="1"/>
  <c r="S371" i="2"/>
  <c r="F354" i="2"/>
  <c r="F355" i="2"/>
  <c r="C359" i="2"/>
  <c r="F359" i="2" s="1"/>
  <c r="R372" i="2"/>
  <c r="S372" i="2" s="1"/>
  <c r="F338" i="2"/>
  <c r="F339" i="2"/>
  <c r="R347" i="2"/>
  <c r="S347" i="2" s="1"/>
  <c r="F327" i="2"/>
  <c r="F329" i="2"/>
  <c r="C334" i="2"/>
  <c r="F334" i="2" s="1"/>
  <c r="C318" i="2"/>
  <c r="F318" i="2" s="1"/>
  <c r="F311" i="2"/>
  <c r="F313" i="2"/>
  <c r="C293" i="2"/>
  <c r="F293" i="2" s="1"/>
  <c r="C284" i="2"/>
  <c r="F284" i="2" s="1"/>
  <c r="F277" i="2"/>
  <c r="F279" i="2"/>
  <c r="S296" i="2"/>
  <c r="F261" i="2"/>
  <c r="F263" i="2"/>
  <c r="F254" i="2"/>
  <c r="F255" i="2"/>
  <c r="F252" i="2"/>
  <c r="M270" i="2"/>
  <c r="C243" i="2"/>
  <c r="F243" i="2" s="1"/>
  <c r="F236" i="2"/>
  <c r="F238" i="2"/>
  <c r="F239" i="2"/>
  <c r="F227" i="2"/>
  <c r="F229" i="2"/>
  <c r="C234" i="2"/>
  <c r="F234" i="2" s="1"/>
  <c r="F186" i="2"/>
  <c r="F188" i="2"/>
  <c r="F179" i="2"/>
  <c r="F177" i="2"/>
  <c r="C184" i="2"/>
  <c r="F184" i="2" s="1"/>
  <c r="F163" i="2"/>
  <c r="C168" i="2"/>
  <c r="F168" i="2" s="1"/>
  <c r="C159" i="2"/>
  <c r="F159" i="2" s="1"/>
  <c r="F113" i="2"/>
  <c r="F111" i="2"/>
  <c r="R122" i="2"/>
  <c r="S122" i="2" s="1"/>
  <c r="F105" i="2"/>
  <c r="F102" i="2"/>
  <c r="S121" i="2"/>
  <c r="F86" i="2"/>
  <c r="F88" i="2"/>
  <c r="F77" i="2"/>
  <c r="F79" i="2"/>
  <c r="F63" i="2"/>
  <c r="F61" i="2"/>
  <c r="C68" i="2"/>
  <c r="F68" i="2" s="1"/>
  <c r="F52" i="2"/>
  <c r="F38" i="2"/>
  <c r="F36" i="2"/>
  <c r="F30" i="2"/>
  <c r="F27" i="2"/>
  <c r="A361" i="2"/>
  <c r="A370" i="2"/>
  <c r="M372" i="2"/>
  <c r="A352" i="2"/>
  <c r="M170" i="2"/>
  <c r="M320" i="2"/>
  <c r="S346" i="2"/>
  <c r="C109" i="2"/>
  <c r="F109" i="2" s="1"/>
  <c r="S246" i="2"/>
  <c r="R297" i="2"/>
  <c r="S297" i="2" s="1"/>
  <c r="R197" i="2"/>
  <c r="S197" i="2" s="1"/>
  <c r="R322" i="2"/>
  <c r="S322" i="2" s="1"/>
  <c r="R272" i="2"/>
  <c r="S272" i="2" s="1"/>
  <c r="M345" i="2"/>
  <c r="S254" i="2"/>
  <c r="M295" i="2"/>
  <c r="M297" i="2" s="1"/>
  <c r="C309" i="2"/>
  <c r="F309" i="2" s="1"/>
  <c r="C343" i="2"/>
  <c r="F343" i="2" s="1"/>
  <c r="M247" i="2"/>
  <c r="M322" i="2"/>
  <c r="M347" i="2"/>
  <c r="M120" i="2"/>
  <c r="M122" i="2" s="1"/>
  <c r="R172" i="2"/>
  <c r="S172" i="2" s="1"/>
  <c r="R274" i="2"/>
  <c r="R324" i="2"/>
  <c r="C84" i="2"/>
  <c r="F84" i="2" s="1"/>
  <c r="M195" i="2"/>
  <c r="R72" i="2"/>
  <c r="S72" i="2" s="1"/>
  <c r="C59" i="2"/>
  <c r="F59" i="2" s="1"/>
  <c r="S229" i="2"/>
  <c r="S279" i="2"/>
  <c r="S329" i="2"/>
  <c r="S196" i="2"/>
  <c r="S54" i="2"/>
  <c r="R174" i="2"/>
  <c r="M70" i="2"/>
  <c r="S96" i="2"/>
  <c r="C118" i="2"/>
  <c r="F118" i="2" s="1"/>
  <c r="C93" i="2"/>
  <c r="F93" i="2" s="1"/>
  <c r="S179" i="2"/>
  <c r="C18" i="2"/>
  <c r="F18" i="2" s="1"/>
  <c r="M95" i="2"/>
  <c r="C43" i="2"/>
  <c r="F43" i="2" s="1"/>
  <c r="I122" i="2"/>
  <c r="R47" i="2"/>
  <c r="S47" i="2" s="1"/>
  <c r="S104" i="2"/>
  <c r="I72" i="2"/>
  <c r="C9" i="2"/>
  <c r="F9" i="2" s="1"/>
  <c r="M45" i="2"/>
  <c r="M47" i="2" s="1"/>
  <c r="S46" i="2"/>
  <c r="R74" i="2"/>
  <c r="I97" i="2"/>
  <c r="C34" i="2"/>
  <c r="F34" i="2" s="1"/>
  <c r="S79" i="2"/>
  <c r="I47" i="2"/>
  <c r="S29" i="2"/>
  <c r="R22" i="2"/>
  <c r="S22" i="2" s="1"/>
  <c r="S4" i="2"/>
  <c r="S21" i="2"/>
  <c r="M22" i="2"/>
  <c r="I22" i="2"/>
  <c r="Z388" i="2"/>
  <c r="Z213" i="2"/>
  <c r="Z138" i="2"/>
  <c r="R138" i="2"/>
  <c r="M272" i="2" l="1"/>
  <c r="M172" i="2"/>
  <c r="M97" i="2"/>
  <c r="M197" i="2"/>
  <c r="M72" i="2"/>
  <c r="Y386" i="2"/>
  <c r="Y136" i="2"/>
  <c r="R388" i="2" l="1"/>
  <c r="C217" i="2"/>
  <c r="Y211" i="2" l="1"/>
  <c r="A29" i="1" l="1"/>
  <c r="A50" i="1" s="1"/>
  <c r="A34" i="1"/>
  <c r="A32" i="1"/>
  <c r="C392" i="2" l="1"/>
  <c r="C391" i="2"/>
  <c r="C383" i="2"/>
  <c r="C382" i="2"/>
  <c r="C216" i="2"/>
  <c r="C142" i="2"/>
  <c r="C141" i="2"/>
  <c r="C133" i="2"/>
  <c r="C132" i="2"/>
  <c r="C208" i="2"/>
  <c r="C207" i="2"/>
  <c r="F389" i="2" l="1"/>
  <c r="F386" i="2"/>
  <c r="F388" i="2"/>
  <c r="F379" i="2"/>
  <c r="F377" i="2"/>
  <c r="F380" i="2"/>
  <c r="F214" i="2"/>
  <c r="F213" i="2"/>
  <c r="F211" i="2"/>
  <c r="F205" i="2"/>
  <c r="F204" i="2"/>
  <c r="F202" i="2"/>
  <c r="F139" i="2"/>
  <c r="F138" i="2"/>
  <c r="F136" i="2"/>
  <c r="F127" i="2"/>
  <c r="F130" i="2"/>
  <c r="F129" i="2"/>
  <c r="F358" i="2"/>
  <c r="F292" i="2"/>
  <c r="F317" i="2"/>
  <c r="F333" i="2"/>
  <c r="F308" i="2"/>
  <c r="C143" i="2"/>
  <c r="F143" i="2" s="1"/>
  <c r="C134" i="2"/>
  <c r="F134" i="2" s="1"/>
  <c r="C393" i="2"/>
  <c r="F393" i="2" s="1"/>
  <c r="C218" i="2"/>
  <c r="C384" i="2"/>
  <c r="F384" i="2" s="1"/>
  <c r="F233" i="2" l="1"/>
  <c r="F367" i="2"/>
  <c r="F267" i="2"/>
  <c r="F342" i="2"/>
  <c r="F258" i="2"/>
  <c r="F283" i="2"/>
  <c r="F242" i="2"/>
  <c r="F117" i="2"/>
  <c r="F183" i="2"/>
  <c r="F167" i="2"/>
  <c r="F158" i="2"/>
  <c r="F192" i="2"/>
  <c r="F58" i="2"/>
  <c r="F42" i="2"/>
  <c r="F108" i="2"/>
  <c r="F33" i="2"/>
  <c r="F92" i="2"/>
  <c r="F83" i="2"/>
  <c r="F67" i="2"/>
  <c r="F17" i="2"/>
  <c r="F8" i="2"/>
  <c r="F142" i="2"/>
  <c r="F133" i="2"/>
  <c r="F383" i="2"/>
  <c r="F218" i="2"/>
  <c r="F392" i="2"/>
  <c r="F217" i="2"/>
  <c r="F208" i="2"/>
  <c r="L11" i="1"/>
  <c r="L13" i="1"/>
  <c r="L12" i="1"/>
  <c r="C399" i="2" l="1"/>
  <c r="F399" i="2" s="1"/>
  <c r="C398" i="2"/>
  <c r="F398" i="2" s="1"/>
  <c r="C397" i="2"/>
  <c r="F397" i="2" s="1"/>
  <c r="R396" i="2"/>
  <c r="R399" i="2" s="1"/>
  <c r="C396" i="2"/>
  <c r="F396" i="2" s="1"/>
  <c r="R395" i="2"/>
  <c r="S395" i="2" s="1"/>
  <c r="I395" i="2"/>
  <c r="I397" i="2" s="1"/>
  <c r="C395" i="2"/>
  <c r="F395" i="2" s="1"/>
  <c r="S388" i="2"/>
  <c r="S387" i="2"/>
  <c r="W386" i="2"/>
  <c r="S386" i="2"/>
  <c r="M386" i="2"/>
  <c r="R379" i="2"/>
  <c r="R397" i="2" s="1"/>
  <c r="S397" i="2" s="1"/>
  <c r="S378" i="2"/>
  <c r="W377" i="2"/>
  <c r="S377" i="2"/>
  <c r="M377" i="2"/>
  <c r="C149" i="2"/>
  <c r="F149" i="2" s="1"/>
  <c r="C148" i="2"/>
  <c r="F148" i="2" s="1"/>
  <c r="C147" i="2"/>
  <c r="F147" i="2" s="1"/>
  <c r="R146" i="2"/>
  <c r="S146" i="2" s="1"/>
  <c r="C146" i="2"/>
  <c r="F146" i="2" s="1"/>
  <c r="R145" i="2"/>
  <c r="S145" i="2" s="1"/>
  <c r="I145" i="2"/>
  <c r="I147" i="2" s="1"/>
  <c r="C145" i="2"/>
  <c r="F145" i="2" s="1"/>
  <c r="S138" i="2"/>
  <c r="S137" i="2"/>
  <c r="W136" i="2"/>
  <c r="S136" i="2"/>
  <c r="M136" i="2"/>
  <c r="R129" i="2"/>
  <c r="R147" i="2" s="1"/>
  <c r="S147" i="2" s="1"/>
  <c r="S128" i="2"/>
  <c r="W127" i="2"/>
  <c r="S127" i="2"/>
  <c r="M127" i="2"/>
  <c r="M211" i="2"/>
  <c r="A27" i="1"/>
  <c r="D3" i="1"/>
  <c r="D4" i="1" s="1"/>
  <c r="D131" i="2" l="1"/>
  <c r="D127" i="2"/>
  <c r="D129" i="2"/>
  <c r="D128" i="2"/>
  <c r="D130" i="2"/>
  <c r="D379" i="2"/>
  <c r="D378" i="2"/>
  <c r="D377" i="2"/>
  <c r="D380" i="2"/>
  <c r="D381" i="2"/>
  <c r="D137" i="2"/>
  <c r="D138" i="2"/>
  <c r="D136" i="2"/>
  <c r="D139" i="2"/>
  <c r="D140" i="2"/>
  <c r="D141" i="2" s="1"/>
  <c r="D389" i="2"/>
  <c r="D388" i="2"/>
  <c r="D390" i="2"/>
  <c r="D387" i="2"/>
  <c r="D386" i="2"/>
  <c r="M395" i="2"/>
  <c r="S379" i="2"/>
  <c r="S396" i="2"/>
  <c r="R149" i="2"/>
  <c r="M145" i="2"/>
  <c r="S129" i="2"/>
  <c r="F3" i="1"/>
  <c r="H3" i="1" s="1"/>
  <c r="D5" i="1"/>
  <c r="F4" i="1"/>
  <c r="W202" i="2"/>
  <c r="M202" i="2"/>
  <c r="W211" i="2"/>
  <c r="A52" i="1"/>
  <c r="P5" i="1"/>
  <c r="R213" i="2"/>
  <c r="S213" i="2" s="1"/>
  <c r="S212" i="2"/>
  <c r="S211" i="2"/>
  <c r="L8" i="1"/>
  <c r="L9" i="1" s="1"/>
  <c r="L4" i="1"/>
  <c r="L5" i="1" s="1"/>
  <c r="S203" i="2"/>
  <c r="S202" i="2"/>
  <c r="I220" i="2"/>
  <c r="I222" i="2" s="1"/>
  <c r="C221" i="2"/>
  <c r="F221" i="2" s="1"/>
  <c r="C222" i="2"/>
  <c r="F222" i="2" s="1"/>
  <c r="C223" i="2"/>
  <c r="F223" i="2" s="1"/>
  <c r="C224" i="2"/>
  <c r="F224" i="2" s="1"/>
  <c r="C220" i="2"/>
  <c r="F220" i="2" s="1"/>
  <c r="A4" i="1"/>
  <c r="R204" i="2"/>
  <c r="S204" i="2" s="1"/>
  <c r="A15" i="1"/>
  <c r="T146" i="2" l="1"/>
  <c r="U146" i="2" s="1"/>
  <c r="O361" i="2"/>
  <c r="D18" i="5" s="1"/>
  <c r="J327" i="2"/>
  <c r="H17" i="5" s="1"/>
  <c r="J17" i="5" s="1"/>
  <c r="K17" i="5" s="1"/>
  <c r="J302" i="2"/>
  <c r="H16" i="5" s="1"/>
  <c r="AA161" i="2"/>
  <c r="O152" i="2"/>
  <c r="J111" i="2"/>
  <c r="I8" i="5" s="1"/>
  <c r="J102" i="2"/>
  <c r="H8" i="5" s="1"/>
  <c r="J8" i="5" s="1"/>
  <c r="K8" i="5" s="1"/>
  <c r="J61" i="2"/>
  <c r="I6" i="5" s="1"/>
  <c r="J52" i="2"/>
  <c r="H6" i="5" s="1"/>
  <c r="J6" i="5" s="1"/>
  <c r="K6" i="5" s="1"/>
  <c r="J11" i="2"/>
  <c r="I4" i="5" s="1"/>
  <c r="J2" i="2"/>
  <c r="H4" i="5" s="1"/>
  <c r="J4" i="5" s="1"/>
  <c r="K4" i="5" s="1"/>
  <c r="J261" i="2"/>
  <c r="I14" i="5" s="1"/>
  <c r="J252" i="2"/>
  <c r="H14" i="5" s="1"/>
  <c r="J14" i="5" s="1"/>
  <c r="K14" i="5" s="1"/>
  <c r="J161" i="2"/>
  <c r="I10" i="5" s="1"/>
  <c r="J361" i="2"/>
  <c r="I18" i="5" s="1"/>
  <c r="J352" i="2"/>
  <c r="H18" i="5" s="1"/>
  <c r="J336" i="2"/>
  <c r="I17" i="5" s="1"/>
  <c r="J286" i="2"/>
  <c r="I15" i="5" s="1"/>
  <c r="J277" i="2"/>
  <c r="H15" i="5" s="1"/>
  <c r="J15" i="5" s="1"/>
  <c r="K15" i="5" s="1"/>
  <c r="J86" i="2"/>
  <c r="I7" i="5" s="1"/>
  <c r="J77" i="2"/>
  <c r="H7" i="5" s="1"/>
  <c r="J7" i="5" s="1"/>
  <c r="K7" i="5" s="1"/>
  <c r="J311" i="2"/>
  <c r="I16" i="5" s="1"/>
  <c r="J186" i="2"/>
  <c r="I11" i="5" s="1"/>
  <c r="J177" i="2"/>
  <c r="H11" i="5" s="1"/>
  <c r="J236" i="2"/>
  <c r="I13" i="5" s="1"/>
  <c r="J227" i="2"/>
  <c r="H13" i="5" s="1"/>
  <c r="J13" i="5" s="1"/>
  <c r="K13" i="5" s="1"/>
  <c r="T186" i="2"/>
  <c r="U186" i="2" s="1"/>
  <c r="J152" i="2"/>
  <c r="H10" i="5" s="1"/>
  <c r="J36" i="2"/>
  <c r="I5" i="5" s="1"/>
  <c r="J27" i="2"/>
  <c r="H5" i="5" s="1"/>
  <c r="T11" i="2"/>
  <c r="U11" i="2" s="1"/>
  <c r="T45" i="2"/>
  <c r="U45" i="2" s="1"/>
  <c r="T188" i="2"/>
  <c r="U188" i="2" s="1"/>
  <c r="T361" i="2"/>
  <c r="U361" i="2" s="1"/>
  <c r="T62" i="2"/>
  <c r="U62" i="2" s="1"/>
  <c r="T163" i="2"/>
  <c r="U163" i="2" s="1"/>
  <c r="AA311" i="2"/>
  <c r="T71" i="2"/>
  <c r="U71" i="2" s="1"/>
  <c r="T152" i="2"/>
  <c r="U152" i="2" s="1"/>
  <c r="T278" i="2"/>
  <c r="U278" i="2" s="1"/>
  <c r="J45" i="2"/>
  <c r="T252" i="2"/>
  <c r="U252" i="2" s="1"/>
  <c r="T247" i="2"/>
  <c r="U247" i="2" s="1"/>
  <c r="T287" i="2"/>
  <c r="U287" i="2" s="1"/>
  <c r="O311" i="2"/>
  <c r="D16" i="5" s="1"/>
  <c r="T337" i="2"/>
  <c r="U337" i="2" s="1"/>
  <c r="T37" i="2"/>
  <c r="U37" i="2" s="1"/>
  <c r="T87" i="2"/>
  <c r="U87" i="2" s="1"/>
  <c r="AA186" i="2"/>
  <c r="T238" i="2"/>
  <c r="U238" i="2" s="1"/>
  <c r="T277" i="2"/>
  <c r="U277" i="2" s="1"/>
  <c r="T313" i="2"/>
  <c r="U313" i="2" s="1"/>
  <c r="AA361" i="2"/>
  <c r="T20" i="2"/>
  <c r="U20" i="2" s="1"/>
  <c r="T53" i="2"/>
  <c r="U53" i="2" s="1"/>
  <c r="T86" i="2"/>
  <c r="U86" i="2" s="1"/>
  <c r="T120" i="2"/>
  <c r="U120" i="2" s="1"/>
  <c r="T177" i="2"/>
  <c r="U177" i="2" s="1"/>
  <c r="T303" i="2"/>
  <c r="U303" i="2" s="1"/>
  <c r="J345" i="2"/>
  <c r="O370" i="2"/>
  <c r="J270" i="2"/>
  <c r="J195" i="2"/>
  <c r="O227" i="2"/>
  <c r="J170" i="2"/>
  <c r="O186" i="2"/>
  <c r="D11" i="5" s="1"/>
  <c r="E11" i="5" s="1"/>
  <c r="O77" i="2"/>
  <c r="O27" i="2"/>
  <c r="O20" i="2"/>
  <c r="T13" i="2"/>
  <c r="U13" i="2" s="1"/>
  <c r="T111" i="2"/>
  <c r="U111" i="2" s="1"/>
  <c r="T228" i="2"/>
  <c r="U228" i="2" s="1"/>
  <c r="T363" i="2"/>
  <c r="U363" i="2" s="1"/>
  <c r="J95" i="2"/>
  <c r="T171" i="2"/>
  <c r="U171" i="2" s="1"/>
  <c r="T327" i="2"/>
  <c r="U327" i="2" s="1"/>
  <c r="T78" i="2"/>
  <c r="U78" i="2" s="1"/>
  <c r="T261" i="2"/>
  <c r="U261" i="2" s="1"/>
  <c r="AA286" i="2"/>
  <c r="T52" i="2"/>
  <c r="U52" i="2" s="1"/>
  <c r="T328" i="2"/>
  <c r="U328" i="2" s="1"/>
  <c r="O236" i="2"/>
  <c r="D13" i="5" s="1"/>
  <c r="T295" i="2"/>
  <c r="U295" i="2" s="1"/>
  <c r="T312" i="2"/>
  <c r="U312" i="2" s="1"/>
  <c r="T353" i="2"/>
  <c r="U353" i="2" s="1"/>
  <c r="J70" i="2"/>
  <c r="J120" i="2"/>
  <c r="T195" i="2"/>
  <c r="U195" i="2" s="1"/>
  <c r="T253" i="2"/>
  <c r="U253" i="2" s="1"/>
  <c r="T286" i="2"/>
  <c r="U286" i="2" s="1"/>
  <c r="T336" i="2"/>
  <c r="U336" i="2" s="1"/>
  <c r="T370" i="2"/>
  <c r="U370" i="2" s="1"/>
  <c r="T27" i="2"/>
  <c r="U27" i="2" s="1"/>
  <c r="AA61" i="2"/>
  <c r="T88" i="2"/>
  <c r="U88" i="2" s="1"/>
  <c r="T154" i="2"/>
  <c r="U154" i="2" s="1"/>
  <c r="T187" i="2"/>
  <c r="U187" i="2" s="1"/>
  <c r="T321" i="2"/>
  <c r="U321" i="2" s="1"/>
  <c r="J370" i="2"/>
  <c r="O261" i="2"/>
  <c r="D14" i="5" s="1"/>
  <c r="O352" i="2"/>
  <c r="E18" i="5" s="1"/>
  <c r="O277" i="2"/>
  <c r="O52" i="2"/>
  <c r="E6" i="5" s="1"/>
  <c r="T28" i="2"/>
  <c r="U28" i="2" s="1"/>
  <c r="T113" i="2"/>
  <c r="U113" i="2" s="1"/>
  <c r="AA236" i="2"/>
  <c r="T2" i="2"/>
  <c r="U2" i="2" s="1"/>
  <c r="T102" i="2"/>
  <c r="U102" i="2" s="1"/>
  <c r="T178" i="2"/>
  <c r="U178" i="2" s="1"/>
  <c r="T61" i="2"/>
  <c r="U61" i="2" s="1"/>
  <c r="AA86" i="2"/>
  <c r="T263" i="2"/>
  <c r="U263" i="2" s="1"/>
  <c r="O11" i="2"/>
  <c r="D4" i="5" s="1"/>
  <c r="O111" i="2"/>
  <c r="D8" i="5" s="1"/>
  <c r="AA336" i="2"/>
  <c r="T237" i="2"/>
  <c r="U237" i="2" s="1"/>
  <c r="T302" i="2"/>
  <c r="U302" i="2" s="1"/>
  <c r="T320" i="2"/>
  <c r="U320" i="2" s="1"/>
  <c r="J20" i="2"/>
  <c r="T97" i="2"/>
  <c r="U97" i="2" s="1"/>
  <c r="T153" i="2"/>
  <c r="U153" i="2" s="1"/>
  <c r="T227" i="2"/>
  <c r="U227" i="2" s="1"/>
  <c r="AA261" i="2"/>
  <c r="T288" i="2"/>
  <c r="U288" i="2" s="1"/>
  <c r="T338" i="2"/>
  <c r="U338" i="2" s="1"/>
  <c r="T3" i="2"/>
  <c r="U3" i="2" s="1"/>
  <c r="T36" i="2"/>
  <c r="U36" i="2" s="1"/>
  <c r="T70" i="2"/>
  <c r="U70" i="2" s="1"/>
  <c r="T103" i="2"/>
  <c r="U103" i="2" s="1"/>
  <c r="O161" i="2"/>
  <c r="D10" i="5" s="1"/>
  <c r="O252" i="2"/>
  <c r="T352" i="2"/>
  <c r="U352" i="2" s="1"/>
  <c r="J245" i="2"/>
  <c r="J320" i="2"/>
  <c r="O245" i="2"/>
  <c r="O345" i="2"/>
  <c r="O327" i="2"/>
  <c r="O2" i="2"/>
  <c r="E4" i="5" s="1"/>
  <c r="AA36" i="2"/>
  <c r="T162" i="2"/>
  <c r="U162" i="2" s="1"/>
  <c r="T245" i="2"/>
  <c r="U245" i="2" s="1"/>
  <c r="O61" i="2"/>
  <c r="D6" i="5" s="1"/>
  <c r="T161" i="2"/>
  <c r="U161" i="2" s="1"/>
  <c r="O302" i="2"/>
  <c r="T63" i="2"/>
  <c r="U63" i="2" s="1"/>
  <c r="T95" i="2"/>
  <c r="U95" i="2" s="1"/>
  <c r="T271" i="2"/>
  <c r="U271" i="2" s="1"/>
  <c r="T12" i="2"/>
  <c r="U12" i="2" s="1"/>
  <c r="T112" i="2"/>
  <c r="U112" i="2" s="1"/>
  <c r="T345" i="2"/>
  <c r="U345" i="2" s="1"/>
  <c r="O286" i="2"/>
  <c r="D15" i="5" s="1"/>
  <c r="T304" i="2"/>
  <c r="U304" i="2" s="1"/>
  <c r="O336" i="2"/>
  <c r="D17" i="5" s="1"/>
  <c r="O36" i="2"/>
  <c r="D5" i="5" s="1"/>
  <c r="O86" i="2"/>
  <c r="D7" i="5" s="1"/>
  <c r="O177" i="2"/>
  <c r="T236" i="2"/>
  <c r="U236" i="2" s="1"/>
  <c r="T270" i="2"/>
  <c r="U270" i="2" s="1"/>
  <c r="T311" i="2"/>
  <c r="U311" i="2" s="1"/>
  <c r="T354" i="2"/>
  <c r="U354" i="2" s="1"/>
  <c r="AA11" i="2"/>
  <c r="T38" i="2"/>
  <c r="U38" i="2" s="1"/>
  <c r="T77" i="2"/>
  <c r="U77" i="2" s="1"/>
  <c r="AA111" i="2"/>
  <c r="T170" i="2"/>
  <c r="U170" i="2" s="1"/>
  <c r="T262" i="2"/>
  <c r="U262" i="2" s="1"/>
  <c r="T362" i="2"/>
  <c r="U362" i="2" s="1"/>
  <c r="J295" i="2"/>
  <c r="O102" i="2"/>
  <c r="T79" i="2"/>
  <c r="U79" i="2" s="1"/>
  <c r="T172" i="2"/>
  <c r="U172" i="2" s="1"/>
  <c r="O170" i="2"/>
  <c r="O70" i="2"/>
  <c r="T297" i="2"/>
  <c r="U297" i="2" s="1"/>
  <c r="T47" i="2"/>
  <c r="U47" i="2" s="1"/>
  <c r="O320" i="2"/>
  <c r="T329" i="2"/>
  <c r="U329" i="2" s="1"/>
  <c r="T121" i="2"/>
  <c r="U121" i="2" s="1"/>
  <c r="T46" i="2"/>
  <c r="U46" i="2" s="1"/>
  <c r="T22" i="2"/>
  <c r="U22" i="2" s="1"/>
  <c r="T29" i="2"/>
  <c r="U29" i="2" s="1"/>
  <c r="T54" i="2"/>
  <c r="U54" i="2" s="1"/>
  <c r="T346" i="2"/>
  <c r="U346" i="2" s="1"/>
  <c r="T196" i="2"/>
  <c r="U196" i="2" s="1"/>
  <c r="T122" i="2"/>
  <c r="U122" i="2" s="1"/>
  <c r="T72" i="2"/>
  <c r="U72" i="2" s="1"/>
  <c r="T296" i="2"/>
  <c r="U296" i="2" s="1"/>
  <c r="T279" i="2"/>
  <c r="U279" i="2" s="1"/>
  <c r="T96" i="2"/>
  <c r="U96" i="2" s="1"/>
  <c r="T104" i="2"/>
  <c r="U104" i="2" s="1"/>
  <c r="T229" i="2"/>
  <c r="U229" i="2" s="1"/>
  <c r="O270" i="2"/>
  <c r="T254" i="2"/>
  <c r="U254" i="2" s="1"/>
  <c r="T372" i="2"/>
  <c r="U372" i="2" s="1"/>
  <c r="T197" i="2"/>
  <c r="U197" i="2" s="1"/>
  <c r="T347" i="2"/>
  <c r="U347" i="2" s="1"/>
  <c r="O120" i="2"/>
  <c r="O45" i="2"/>
  <c r="O195" i="2"/>
  <c r="T179" i="2"/>
  <c r="U179" i="2" s="1"/>
  <c r="O95" i="2"/>
  <c r="T272" i="2"/>
  <c r="U272" i="2" s="1"/>
  <c r="T21" i="2"/>
  <c r="U21" i="2" s="1"/>
  <c r="T322" i="2"/>
  <c r="U322" i="2" s="1"/>
  <c r="T4" i="2"/>
  <c r="U4" i="2" s="1"/>
  <c r="T246" i="2"/>
  <c r="U246" i="2" s="1"/>
  <c r="T371" i="2"/>
  <c r="U371" i="2" s="1"/>
  <c r="O295" i="2"/>
  <c r="AA386" i="2"/>
  <c r="AA136" i="2"/>
  <c r="AA211" i="2"/>
  <c r="D365" i="2"/>
  <c r="E365" i="2" s="1"/>
  <c r="D362" i="2"/>
  <c r="D364" i="2"/>
  <c r="E364" i="2" s="1"/>
  <c r="D363" i="2"/>
  <c r="E363" i="2" s="1"/>
  <c r="D361" i="2"/>
  <c r="D353" i="2"/>
  <c r="D356" i="2"/>
  <c r="E356" i="2" s="1"/>
  <c r="D352" i="2"/>
  <c r="D355" i="2"/>
  <c r="E355" i="2" s="1"/>
  <c r="D354" i="2"/>
  <c r="E354" i="2" s="1"/>
  <c r="D314" i="2"/>
  <c r="E314" i="2" s="1"/>
  <c r="D313" i="2"/>
  <c r="E313" i="2" s="1"/>
  <c r="D264" i="2"/>
  <c r="E264" i="2" s="1"/>
  <c r="D263" i="2"/>
  <c r="E263" i="2" s="1"/>
  <c r="D340" i="2"/>
  <c r="E340" i="2" s="1"/>
  <c r="D337" i="2"/>
  <c r="D311" i="2"/>
  <c r="D290" i="2"/>
  <c r="E290" i="2" s="1"/>
  <c r="D287" i="2"/>
  <c r="D261" i="2"/>
  <c r="D240" i="2"/>
  <c r="E240" i="2" s="1"/>
  <c r="D237" i="2"/>
  <c r="D339" i="2"/>
  <c r="E339" i="2" s="1"/>
  <c r="D338" i="2"/>
  <c r="E338" i="2" s="1"/>
  <c r="D289" i="2"/>
  <c r="E289" i="2" s="1"/>
  <c r="D288" i="2"/>
  <c r="E288" i="2" s="1"/>
  <c r="D239" i="2"/>
  <c r="E239" i="2" s="1"/>
  <c r="D238" i="2"/>
  <c r="E238" i="2" s="1"/>
  <c r="D336" i="2"/>
  <c r="D315" i="2"/>
  <c r="E315" i="2" s="1"/>
  <c r="D312" i="2"/>
  <c r="D286" i="2"/>
  <c r="D265" i="2"/>
  <c r="E265" i="2" s="1"/>
  <c r="D262" i="2"/>
  <c r="D236" i="2"/>
  <c r="D304" i="2"/>
  <c r="E304" i="2" s="1"/>
  <c r="D254" i="2"/>
  <c r="E254" i="2" s="1"/>
  <c r="D328" i="2"/>
  <c r="D305" i="2"/>
  <c r="E305" i="2" s="1"/>
  <c r="D278" i="2"/>
  <c r="D255" i="2"/>
  <c r="E255" i="2" s="1"/>
  <c r="D228" i="2"/>
  <c r="D331" i="2"/>
  <c r="E331" i="2" s="1"/>
  <c r="D281" i="2"/>
  <c r="E281" i="2" s="1"/>
  <c r="D231" i="2"/>
  <c r="E231" i="2" s="1"/>
  <c r="D252" i="2"/>
  <c r="D327" i="2"/>
  <c r="D277" i="2"/>
  <c r="D227" i="2"/>
  <c r="D329" i="2"/>
  <c r="E329" i="2" s="1"/>
  <c r="D279" i="2"/>
  <c r="E279" i="2" s="1"/>
  <c r="D229" i="2"/>
  <c r="E229" i="2" s="1"/>
  <c r="D330" i="2"/>
  <c r="E330" i="2" s="1"/>
  <c r="D303" i="2"/>
  <c r="D280" i="2"/>
  <c r="E280" i="2" s="1"/>
  <c r="D253" i="2"/>
  <c r="D230" i="2"/>
  <c r="E230" i="2" s="1"/>
  <c r="D306" i="2"/>
  <c r="E306" i="2" s="1"/>
  <c r="D256" i="2"/>
  <c r="E256" i="2" s="1"/>
  <c r="D302" i="2"/>
  <c r="D154" i="2"/>
  <c r="E154" i="2" s="1"/>
  <c r="D178" i="2"/>
  <c r="D155" i="2"/>
  <c r="E155" i="2" s="1"/>
  <c r="D181" i="2"/>
  <c r="E181" i="2" s="1"/>
  <c r="D177" i="2"/>
  <c r="D156" i="2"/>
  <c r="E156" i="2" s="1"/>
  <c r="D179" i="2"/>
  <c r="E179" i="2" s="1"/>
  <c r="D180" i="2"/>
  <c r="E180" i="2" s="1"/>
  <c r="D153" i="2"/>
  <c r="D152" i="2"/>
  <c r="D163" i="2"/>
  <c r="E163" i="2" s="1"/>
  <c r="D190" i="2"/>
  <c r="E190" i="2" s="1"/>
  <c r="D187" i="2"/>
  <c r="D161" i="2"/>
  <c r="D189" i="2"/>
  <c r="E189" i="2" s="1"/>
  <c r="D188" i="2"/>
  <c r="E188" i="2" s="1"/>
  <c r="D186" i="2"/>
  <c r="D165" i="2"/>
  <c r="E165" i="2" s="1"/>
  <c r="D162" i="2"/>
  <c r="D164" i="2"/>
  <c r="E164" i="2" s="1"/>
  <c r="D103" i="2"/>
  <c r="D106" i="2"/>
  <c r="E106" i="2" s="1"/>
  <c r="D102" i="2"/>
  <c r="D104" i="2"/>
  <c r="E104" i="2" s="1"/>
  <c r="D105" i="2"/>
  <c r="E105" i="2" s="1"/>
  <c r="D115" i="2"/>
  <c r="E115" i="2" s="1"/>
  <c r="D112" i="2"/>
  <c r="D114" i="2"/>
  <c r="E114" i="2" s="1"/>
  <c r="D113" i="2"/>
  <c r="E113" i="2" s="1"/>
  <c r="D111" i="2"/>
  <c r="D64" i="2"/>
  <c r="E64" i="2" s="1"/>
  <c r="D63" i="2"/>
  <c r="E63" i="2" s="1"/>
  <c r="D40" i="2"/>
  <c r="E40" i="2" s="1"/>
  <c r="D90" i="2"/>
  <c r="E90" i="2" s="1"/>
  <c r="D87" i="2"/>
  <c r="D61" i="2"/>
  <c r="D39" i="2"/>
  <c r="E39" i="2" s="1"/>
  <c r="D37" i="2"/>
  <c r="D89" i="2"/>
  <c r="E89" i="2" s="1"/>
  <c r="D88" i="2"/>
  <c r="E88" i="2" s="1"/>
  <c r="D36" i="2"/>
  <c r="D86" i="2"/>
  <c r="D65" i="2"/>
  <c r="E65" i="2" s="1"/>
  <c r="D62" i="2"/>
  <c r="D38" i="2"/>
  <c r="E38" i="2" s="1"/>
  <c r="D54" i="2"/>
  <c r="E54" i="2" s="1"/>
  <c r="D29" i="2"/>
  <c r="E29" i="2" s="1"/>
  <c r="D78" i="2"/>
  <c r="D55" i="2"/>
  <c r="E55" i="2" s="1"/>
  <c r="D27" i="2"/>
  <c r="D81" i="2"/>
  <c r="E81" i="2" s="1"/>
  <c r="D28" i="2"/>
  <c r="D77" i="2"/>
  <c r="D31" i="2"/>
  <c r="E31" i="2" s="1"/>
  <c r="D79" i="2"/>
  <c r="E79" i="2" s="1"/>
  <c r="D80" i="2"/>
  <c r="E80" i="2" s="1"/>
  <c r="D53" i="2"/>
  <c r="D30" i="2"/>
  <c r="E30" i="2" s="1"/>
  <c r="D52" i="2"/>
  <c r="D56" i="2"/>
  <c r="E56" i="2" s="1"/>
  <c r="D11" i="2"/>
  <c r="D15" i="2"/>
  <c r="E15" i="2" s="1"/>
  <c r="D12" i="2"/>
  <c r="D14" i="2"/>
  <c r="E14" i="2" s="1"/>
  <c r="D13" i="2"/>
  <c r="E13" i="2" s="1"/>
  <c r="D202" i="2"/>
  <c r="D2" i="2"/>
  <c r="D4" i="2"/>
  <c r="E4" i="2" s="1"/>
  <c r="D3" i="2"/>
  <c r="D6" i="2"/>
  <c r="E6" i="2" s="1"/>
  <c r="D5" i="2"/>
  <c r="E5" i="2" s="1"/>
  <c r="D382" i="2"/>
  <c r="D142" i="2"/>
  <c r="D143" i="2" s="1"/>
  <c r="D383" i="2"/>
  <c r="D392" i="2"/>
  <c r="D132" i="2"/>
  <c r="D391" i="2"/>
  <c r="D133" i="2"/>
  <c r="D213" i="2"/>
  <c r="E213" i="2" s="1"/>
  <c r="D212" i="2"/>
  <c r="E212" i="2" s="1"/>
  <c r="D214" i="2"/>
  <c r="E214" i="2" s="1"/>
  <c r="D215" i="2"/>
  <c r="E215" i="2" s="1"/>
  <c r="D211" i="2"/>
  <c r="J395" i="2"/>
  <c r="T377" i="2"/>
  <c r="U377" i="2" s="1"/>
  <c r="O386" i="2"/>
  <c r="D19" i="5" s="1"/>
  <c r="T145" i="2"/>
  <c r="U145" i="2" s="1"/>
  <c r="T147" i="2"/>
  <c r="U147" i="2" s="1"/>
  <c r="O136" i="2"/>
  <c r="D9" i="5" s="1"/>
  <c r="T128" i="2"/>
  <c r="U128" i="2" s="1"/>
  <c r="T129" i="2"/>
  <c r="U129" i="2" s="1"/>
  <c r="O395" i="2"/>
  <c r="T138" i="2"/>
  <c r="U138" i="2" s="1"/>
  <c r="T137" i="2"/>
  <c r="U137" i="2" s="1"/>
  <c r="T136" i="2"/>
  <c r="U136" i="2" s="1"/>
  <c r="T378" i="2"/>
  <c r="U378" i="2" s="1"/>
  <c r="O377" i="2"/>
  <c r="T397" i="2"/>
  <c r="U397" i="2" s="1"/>
  <c r="E130" i="2"/>
  <c r="E138" i="2"/>
  <c r="E381" i="2"/>
  <c r="E137" i="2"/>
  <c r="E129" i="2"/>
  <c r="E387" i="2"/>
  <c r="E390" i="2"/>
  <c r="E128" i="2"/>
  <c r="E380" i="2"/>
  <c r="E389" i="2"/>
  <c r="E140" i="2"/>
  <c r="E131" i="2"/>
  <c r="E127" i="2"/>
  <c r="E388" i="2"/>
  <c r="E378" i="2"/>
  <c r="E379" i="2"/>
  <c r="E386" i="2"/>
  <c r="E139" i="2"/>
  <c r="E377" i="2"/>
  <c r="E136" i="2"/>
  <c r="J136" i="2"/>
  <c r="I9" i="5" s="1"/>
  <c r="J377" i="2"/>
  <c r="H19" i="5" s="1"/>
  <c r="J386" i="2"/>
  <c r="I19" i="5" s="1"/>
  <c r="J127" i="2"/>
  <c r="H9" i="5" s="1"/>
  <c r="T395" i="2"/>
  <c r="U395" i="2" s="1"/>
  <c r="T396" i="2"/>
  <c r="U396" i="2" s="1"/>
  <c r="T379" i="2"/>
  <c r="U379" i="2" s="1"/>
  <c r="J145" i="2"/>
  <c r="T127" i="2"/>
  <c r="U127" i="2" s="1"/>
  <c r="O145" i="2"/>
  <c r="T386" i="2"/>
  <c r="U386" i="2" s="1"/>
  <c r="T388" i="2"/>
  <c r="U388" i="2" s="1"/>
  <c r="T387" i="2"/>
  <c r="U387" i="2" s="1"/>
  <c r="O127" i="2"/>
  <c r="M397" i="2"/>
  <c r="D203" i="2"/>
  <c r="M147" i="2"/>
  <c r="I3" i="1"/>
  <c r="I4" i="1"/>
  <c r="H4" i="1"/>
  <c r="D6" i="1"/>
  <c r="F5" i="1"/>
  <c r="P10" i="1"/>
  <c r="P11" i="1" s="1"/>
  <c r="P12" i="1" s="1"/>
  <c r="D204" i="2"/>
  <c r="D205" i="2"/>
  <c r="D206" i="2"/>
  <c r="M220" i="2"/>
  <c r="M222" i="2" s="1"/>
  <c r="C209" i="2"/>
  <c r="F209" i="2" s="1"/>
  <c r="J5" i="5" l="1"/>
  <c r="K5" i="5" s="1"/>
  <c r="J16" i="5"/>
  <c r="K16" i="5" s="1"/>
  <c r="F6" i="5"/>
  <c r="M6" i="5"/>
  <c r="E7" i="5"/>
  <c r="M4" i="5"/>
  <c r="F4" i="5"/>
  <c r="E15" i="5"/>
  <c r="F11" i="5"/>
  <c r="E8" i="5"/>
  <c r="E17" i="5"/>
  <c r="F18" i="5"/>
  <c r="E10" i="5"/>
  <c r="E19" i="5"/>
  <c r="F19" i="5" s="1"/>
  <c r="E16" i="5"/>
  <c r="E14" i="5"/>
  <c r="E5" i="5"/>
  <c r="E13" i="5"/>
  <c r="J10" i="5"/>
  <c r="K10" i="5" s="1"/>
  <c r="J11" i="5"/>
  <c r="K11" i="5" s="1"/>
  <c r="J18" i="5"/>
  <c r="K18" i="5" s="1"/>
  <c r="J19" i="5"/>
  <c r="K19" i="5" s="1"/>
  <c r="E352" i="2"/>
  <c r="E358" i="2" s="1"/>
  <c r="D358" i="2"/>
  <c r="D357" i="2"/>
  <c r="E353" i="2"/>
  <c r="E357" i="2" s="1"/>
  <c r="D367" i="2"/>
  <c r="E361" i="2"/>
  <c r="E367" i="2" s="1"/>
  <c r="E362" i="2"/>
  <c r="E366" i="2" s="1"/>
  <c r="D366" i="2"/>
  <c r="D368" i="2" s="1"/>
  <c r="E261" i="2"/>
  <c r="E267" i="2" s="1"/>
  <c r="D267" i="2"/>
  <c r="D242" i="2"/>
  <c r="E236" i="2"/>
  <c r="E242" i="2" s="1"/>
  <c r="E287" i="2"/>
  <c r="E291" i="2" s="1"/>
  <c r="D291" i="2"/>
  <c r="E228" i="2"/>
  <c r="E232" i="2" s="1"/>
  <c r="D232" i="2"/>
  <c r="D234" i="2" s="1"/>
  <c r="D266" i="2"/>
  <c r="E262" i="2"/>
  <c r="E266" i="2" s="1"/>
  <c r="E311" i="2"/>
  <c r="E317" i="2" s="1"/>
  <c r="D317" i="2"/>
  <c r="E277" i="2"/>
  <c r="E283" i="2" s="1"/>
  <c r="D283" i="2"/>
  <c r="E337" i="2"/>
  <c r="E341" i="2" s="1"/>
  <c r="D341" i="2"/>
  <c r="E327" i="2"/>
  <c r="E333" i="2" s="1"/>
  <c r="D333" i="2"/>
  <c r="D316" i="2"/>
  <c r="E312" i="2"/>
  <c r="E316" i="2" s="1"/>
  <c r="D257" i="2"/>
  <c r="E253" i="2"/>
  <c r="E257" i="2" s="1"/>
  <c r="D292" i="2"/>
  <c r="E286" i="2"/>
  <c r="E292" i="2" s="1"/>
  <c r="D307" i="2"/>
  <c r="E303" i="2"/>
  <c r="E307" i="2" s="1"/>
  <c r="D258" i="2"/>
  <c r="E252" i="2"/>
  <c r="E258" i="2" s="1"/>
  <c r="E328" i="2"/>
  <c r="E332" i="2" s="1"/>
  <c r="D332" i="2"/>
  <c r="D334" i="2" s="1"/>
  <c r="E237" i="2"/>
  <c r="E241" i="2" s="1"/>
  <c r="D241" i="2"/>
  <c r="D308" i="2"/>
  <c r="E302" i="2"/>
  <c r="E308" i="2" s="1"/>
  <c r="E227" i="2"/>
  <c r="E233" i="2" s="1"/>
  <c r="D233" i="2"/>
  <c r="E278" i="2"/>
  <c r="E282" i="2" s="1"/>
  <c r="D282" i="2"/>
  <c r="D342" i="2"/>
  <c r="E336" i="2"/>
  <c r="E342" i="2" s="1"/>
  <c r="E161" i="2"/>
  <c r="E167" i="2" s="1"/>
  <c r="D167" i="2"/>
  <c r="E187" i="2"/>
  <c r="E191" i="2" s="1"/>
  <c r="D191" i="2"/>
  <c r="E177" i="2"/>
  <c r="E183" i="2" s="1"/>
  <c r="D183" i="2"/>
  <c r="D166" i="2"/>
  <c r="D168" i="2" s="1"/>
  <c r="E162" i="2"/>
  <c r="E166" i="2" s="1"/>
  <c r="E152" i="2"/>
  <c r="E158" i="2" s="1"/>
  <c r="D158" i="2"/>
  <c r="E178" i="2"/>
  <c r="E182" i="2" s="1"/>
  <c r="D182" i="2"/>
  <c r="D192" i="2"/>
  <c r="E186" i="2"/>
  <c r="E192" i="2" s="1"/>
  <c r="D157" i="2"/>
  <c r="E153" i="2"/>
  <c r="E157" i="2" s="1"/>
  <c r="E112" i="2"/>
  <c r="E116" i="2" s="1"/>
  <c r="D116" i="2"/>
  <c r="E102" i="2"/>
  <c r="E108" i="2" s="1"/>
  <c r="D108" i="2"/>
  <c r="D117" i="2"/>
  <c r="E111" i="2"/>
  <c r="E117" i="2" s="1"/>
  <c r="E103" i="2"/>
  <c r="E107" i="2" s="1"/>
  <c r="D107" i="2"/>
  <c r="D109" i="2" s="1"/>
  <c r="E77" i="2"/>
  <c r="E83" i="2" s="1"/>
  <c r="D83" i="2"/>
  <c r="E28" i="2"/>
  <c r="E32" i="2" s="1"/>
  <c r="D32" i="2"/>
  <c r="D66" i="2"/>
  <c r="E62" i="2"/>
  <c r="E66" i="2" s="1"/>
  <c r="E61" i="2"/>
  <c r="E67" i="2" s="1"/>
  <c r="D67" i="2"/>
  <c r="E37" i="2"/>
  <c r="E41" i="2" s="1"/>
  <c r="D41" i="2"/>
  <c r="D33" i="2"/>
  <c r="E27" i="2"/>
  <c r="E33" i="2" s="1"/>
  <c r="D92" i="2"/>
  <c r="E86" i="2"/>
  <c r="E92" i="2" s="1"/>
  <c r="D58" i="2"/>
  <c r="E52" i="2"/>
  <c r="E58" i="2" s="1"/>
  <c r="D57" i="2"/>
  <c r="E53" i="2"/>
  <c r="E57" i="2" s="1"/>
  <c r="D42" i="2"/>
  <c r="E36" i="2"/>
  <c r="E42" i="2" s="1"/>
  <c r="E87" i="2"/>
  <c r="E91" i="2" s="1"/>
  <c r="D91" i="2"/>
  <c r="D93" i="2" s="1"/>
  <c r="E78" i="2"/>
  <c r="E82" i="2" s="1"/>
  <c r="D82" i="2"/>
  <c r="D84" i="2" s="1"/>
  <c r="E2" i="2"/>
  <c r="E8" i="2" s="1"/>
  <c r="D8" i="2"/>
  <c r="E12" i="2"/>
  <c r="E16" i="2" s="1"/>
  <c r="D16" i="2"/>
  <c r="D393" i="2"/>
  <c r="E3" i="2"/>
  <c r="E7" i="2" s="1"/>
  <c r="D7" i="2"/>
  <c r="D17" i="2"/>
  <c r="E11" i="2"/>
  <c r="E17" i="2" s="1"/>
  <c r="D384" i="2"/>
  <c r="D134" i="2"/>
  <c r="D216" i="2"/>
  <c r="D217" i="2"/>
  <c r="E211" i="2"/>
  <c r="E217" i="2" s="1"/>
  <c r="D208" i="2"/>
  <c r="D207" i="2"/>
  <c r="D209" i="2" s="1"/>
  <c r="J9" i="5"/>
  <c r="K9" i="5" s="1"/>
  <c r="E132" i="2"/>
  <c r="E142" i="2"/>
  <c r="E141" i="2"/>
  <c r="E383" i="2"/>
  <c r="E391" i="2"/>
  <c r="E9" i="5"/>
  <c r="E392" i="2"/>
  <c r="E382" i="2"/>
  <c r="E133" i="2"/>
  <c r="E216" i="2"/>
  <c r="I5" i="1"/>
  <c r="H5" i="1"/>
  <c r="D7" i="1"/>
  <c r="F6" i="1"/>
  <c r="M18" i="5" l="1"/>
  <c r="M14" i="5"/>
  <c r="F14" i="5"/>
  <c r="F16" i="5"/>
  <c r="M16" i="5"/>
  <c r="M11" i="5"/>
  <c r="M7" i="5"/>
  <c r="F7" i="5"/>
  <c r="F13" i="5"/>
  <c r="M13" i="5"/>
  <c r="F17" i="5"/>
  <c r="M17" i="5"/>
  <c r="F15" i="5"/>
  <c r="M15" i="5"/>
  <c r="F5" i="5"/>
  <c r="M5" i="5"/>
  <c r="F10" i="5"/>
  <c r="M10" i="5"/>
  <c r="M8" i="5"/>
  <c r="F8" i="5"/>
  <c r="E168" i="2"/>
  <c r="E84" i="2"/>
  <c r="E109" i="2"/>
  <c r="E234" i="2"/>
  <c r="M19" i="5"/>
  <c r="E368" i="2"/>
  <c r="E359" i="2"/>
  <c r="E334" i="2"/>
  <c r="E284" i="2"/>
  <c r="E268" i="2"/>
  <c r="D243" i="2"/>
  <c r="E243" i="2"/>
  <c r="D318" i="2"/>
  <c r="E259" i="2"/>
  <c r="D359" i="2"/>
  <c r="E159" i="2"/>
  <c r="D159" i="2"/>
  <c r="E43" i="2"/>
  <c r="D43" i="2"/>
  <c r="E18" i="2"/>
  <c r="D9" i="2"/>
  <c r="E9" i="2"/>
  <c r="D343" i="2"/>
  <c r="E343" i="2"/>
  <c r="D284" i="2"/>
  <c r="D293" i="2"/>
  <c r="D259" i="2"/>
  <c r="E293" i="2"/>
  <c r="E318" i="2"/>
  <c r="E309" i="2"/>
  <c r="D309" i="2"/>
  <c r="D268" i="2"/>
  <c r="D184" i="2"/>
  <c r="D193" i="2"/>
  <c r="E193" i="2"/>
  <c r="E184" i="2"/>
  <c r="D118" i="2"/>
  <c r="E118" i="2"/>
  <c r="E68" i="2"/>
  <c r="D68" i="2"/>
  <c r="D34" i="2"/>
  <c r="E34" i="2"/>
  <c r="E93" i="2"/>
  <c r="E59" i="2"/>
  <c r="D59" i="2"/>
  <c r="D18" i="2"/>
  <c r="E134" i="2"/>
  <c r="D218" i="2"/>
  <c r="E143" i="2"/>
  <c r="E393" i="2"/>
  <c r="E384" i="2"/>
  <c r="F9" i="5"/>
  <c r="M9" i="5"/>
  <c r="E218" i="2"/>
  <c r="I6" i="1"/>
  <c r="H6" i="1"/>
  <c r="D8" i="1"/>
  <c r="F8" i="1" s="1"/>
  <c r="F7" i="1"/>
  <c r="E206" i="2"/>
  <c r="H7" i="1" l="1"/>
  <c r="I7" i="1"/>
  <c r="H8" i="1"/>
  <c r="I8" i="1"/>
  <c r="E203" i="2"/>
  <c r="E207" i="2" s="1"/>
  <c r="E204" i="2" l="1"/>
  <c r="J211" i="2"/>
  <c r="I12" i="5" s="1"/>
  <c r="E205" i="2"/>
  <c r="E202" i="2"/>
  <c r="E208" i="2" l="1"/>
  <c r="E209" i="2" s="1"/>
  <c r="R221" i="2"/>
  <c r="R224" i="2" s="1"/>
  <c r="R220" i="2"/>
  <c r="S220" i="2" s="1"/>
  <c r="O220" i="2"/>
  <c r="T212" i="2"/>
  <c r="T203" i="2"/>
  <c r="S221" i="2" l="1"/>
  <c r="T221" i="2" s="1"/>
  <c r="U221" i="2" s="1"/>
  <c r="T211" i="2"/>
  <c r="U211" i="2" s="1"/>
  <c r="T213" i="2"/>
  <c r="U213" i="2" s="1"/>
  <c r="O211" i="2"/>
  <c r="D12" i="5" s="1"/>
  <c r="O202" i="2"/>
  <c r="T204" i="2"/>
  <c r="U204" i="2" s="1"/>
  <c r="T202" i="2"/>
  <c r="U202" i="2" s="1"/>
  <c r="T220" i="2"/>
  <c r="U220" i="2" s="1"/>
  <c r="R222" i="2"/>
  <c r="S222" i="2" s="1"/>
  <c r="U212" i="2"/>
  <c r="U203" i="2"/>
  <c r="E12" i="5" l="1"/>
  <c r="F12" i="5" s="1"/>
  <c r="T222" i="2"/>
  <c r="U222" i="2" s="1"/>
  <c r="J220" i="2" l="1"/>
  <c r="J202" i="2"/>
  <c r="H12" i="5" s="1"/>
  <c r="J12" i="5" s="1"/>
  <c r="K12" i="5" l="1"/>
  <c r="M12" i="5"/>
</calcChain>
</file>

<file path=xl/sharedStrings.xml><?xml version="1.0" encoding="utf-8"?>
<sst xmlns="http://schemas.openxmlformats.org/spreadsheetml/2006/main" count="844" uniqueCount="151">
  <si>
    <t>Notes</t>
  </si>
  <si>
    <t>DHW [therms/yr]</t>
  </si>
  <si>
    <t>135F Water [gal/yr]</t>
  </si>
  <si>
    <t>135F Water [gal/dy]</t>
  </si>
  <si>
    <t>Baseline</t>
  </si>
  <si>
    <t>Proposed</t>
  </si>
  <si>
    <t>$/therm</t>
  </si>
  <si>
    <t>$/kWh</t>
  </si>
  <si>
    <t>Climate Zone</t>
  </si>
  <si>
    <t>Savings</t>
  </si>
  <si>
    <t>Savings [%]</t>
  </si>
  <si>
    <t>MYWATERMETER</t>
  </si>
  <si>
    <t>MYHOTWATER</t>
  </si>
  <si>
    <t>MYCOLDWATER</t>
  </si>
  <si>
    <t>MYWATERUSEEQUIPLOAD</t>
  </si>
  <si>
    <t>MYBOILERLOAD</t>
  </si>
  <si>
    <t>MYTANKHEATLOSSENERGY</t>
  </si>
  <si>
    <t>MYPIPEFLUIDHEATTRANSFERENERGY</t>
  </si>
  <si>
    <t>Btu/therm</t>
  </si>
  <si>
    <t>gal/yr/bldg</t>
  </si>
  <si>
    <t>gal/yr/unit</t>
  </si>
  <si>
    <t>total heat out</t>
  </si>
  <si>
    <t>Value</t>
  </si>
  <si>
    <t>CZ9 DEER MF 2003 data for calibration</t>
  </si>
  <si>
    <t>DEER WH Calulator spreadsheet for CZ 9 MF; assuming 135F water</t>
  </si>
  <si>
    <t>Water Properties</t>
  </si>
  <si>
    <t>Assumed blended energy rates</t>
  </si>
  <si>
    <t>Boiler Gas Usage [therms/unit/yr]</t>
  </si>
  <si>
    <t>Pumping Electric Usage [kWh/unit/yr]</t>
  </si>
  <si>
    <t>total heat in</t>
  </si>
  <si>
    <t>uncategorized</t>
  </si>
  <si>
    <t>Total Cost Savings [$/unit/
yr]</t>
  </si>
  <si>
    <t>NaturalGas:Facility</t>
  </si>
  <si>
    <t>Pumps:Electricity</t>
  </si>
  <si>
    <t>Annual Value [kBtu]</t>
  </si>
  <si>
    <t>kBtu/therm</t>
  </si>
  <si>
    <t>residential units</t>
  </si>
  <si>
    <t>Electricity Annual Value [kWh]</t>
  </si>
  <si>
    <t>Gas Annual Value [therms]</t>
  </si>
  <si>
    <t xml:space="preserve">Annual Value [ft3] </t>
  </si>
  <si>
    <t>gal/ft3</t>
  </si>
  <si>
    <t>Conversion factors</t>
  </si>
  <si>
    <t>Other variables</t>
  </si>
  <si>
    <t>therms</t>
  </si>
  <si>
    <t>therms/unit</t>
  </si>
  <si>
    <t>kWh/unit</t>
  </si>
  <si>
    <t>gal/day/unit</t>
  </si>
  <si>
    <t>% total demand</t>
  </si>
  <si>
    <t>kBtu/h input rate per residential  unit</t>
  </si>
  <si>
    <t>kBtu/h Boiler Input Rate</t>
  </si>
  <si>
    <t>lbs/s</t>
  </si>
  <si>
    <t>lbs/min</t>
  </si>
  <si>
    <t>gal/min</t>
  </si>
  <si>
    <t>gpm</t>
  </si>
  <si>
    <t>MYPUMPFLDHTGAINENERGY</t>
  </si>
  <si>
    <t>Btu/h Boiler Input Rate</t>
  </si>
  <si>
    <t>Btu/h Boiler Output Rate</t>
  </si>
  <si>
    <t>Btu/h min. Output Rate</t>
  </si>
  <si>
    <t>Boiler quantity</t>
  </si>
  <si>
    <t>GAHP quantity</t>
  </si>
  <si>
    <t>Btu/h GAHP output Rate</t>
  </si>
  <si>
    <t>Btu/h Total Output Rate</t>
  </si>
  <si>
    <t>ft head primary pumps</t>
  </si>
  <si>
    <t>gpm GAHP pump flow rate; constant speed</t>
  </si>
  <si>
    <t>gal tank</t>
  </si>
  <si>
    <t>hour indirect water heating recovery time</t>
  </si>
  <si>
    <t>ft head secondary pump</t>
  </si>
  <si>
    <t>F delta T GAHP</t>
  </si>
  <si>
    <t>Converting lbs/s to gpm</t>
  </si>
  <si>
    <t>boiler efficiency</t>
  </si>
  <si>
    <t>F primary loop setpoint</t>
  </si>
  <si>
    <t>F max temperature of boilers</t>
  </si>
  <si>
    <t>F secondary loop setpoint</t>
  </si>
  <si>
    <t>SequentialLoad equipment sequencing</t>
  </si>
  <si>
    <t>Boiler Turndown</t>
  </si>
  <si>
    <t>Gas Annual Value [kBtu]</t>
  </si>
  <si>
    <t>Heating Equipment COP</t>
  </si>
  <si>
    <t>Water Heater Size, MFM WB Program (see below)</t>
  </si>
  <si>
    <t>Assumptions for Both Scenarios</t>
  </si>
  <si>
    <t>Baseline Scenario Assumptions</t>
  </si>
  <si>
    <t>Retrofit Scenario Assumptions</t>
  </si>
  <si>
    <t>Converting gpm to lbs/s</t>
  </si>
  <si>
    <t>F loop design temperature difference for equipment sizing (likely used for boiler pump autosizing but that's it)</t>
  </si>
  <si>
    <t>F design loop exit temperature for equipment sizing (likely used for boiler pump autosizing but that's it)</t>
  </si>
  <si>
    <t>% savings</t>
  </si>
  <si>
    <t xml:space="preserve">"Scratch paper" calculations </t>
  </si>
  <si>
    <t>Heat Output [Btu/hr]</t>
  </si>
  <si>
    <t>delta T [R]</t>
  </si>
  <si>
    <t>T_in [F]</t>
  </si>
  <si>
    <t>T_out [F]</t>
  </si>
  <si>
    <t>Robur unit; possible conditions</t>
  </si>
  <si>
    <t>T_in limited</t>
  </si>
  <si>
    <t>T_out limited</t>
  </si>
  <si>
    <t>lbs/gal, density of water</t>
  </si>
  <si>
    <t>Btu/(lb*F), cp at 100F H2O</t>
  </si>
  <si>
    <t>1. The temperatures in red are not allowed per the manufacturer</t>
  </si>
  <si>
    <t>gpm secondary pump; variable speed, continuous</t>
  </si>
  <si>
    <t>GAHP efficiency (1 in OpenStudio because that is the maximum)</t>
  </si>
  <si>
    <t>boiler flow mode: NotModulated</t>
  </si>
  <si>
    <t>gpm constant speed intermittent primary pumps for boilers</t>
  </si>
  <si>
    <t>run</t>
  </si>
  <si>
    <t>Steps to create other climate zones (same for baseline and retrofit)</t>
  </si>
  <si>
    <t>start with the baseline or retrofit model</t>
  </si>
  <si>
    <t>on main page, change weather file, delete DDY data, and upload correct DDY data</t>
  </si>
  <si>
    <t>for retrofit only, do post processing</t>
  </si>
  <si>
    <t>DEER WH Calculator spreadsheet for CZ 9 MF; Stor_EF_Gas_060gal_0.80EF</t>
  </si>
  <si>
    <t>use the Set Mains Temp measure</t>
  </si>
  <si>
    <t>gpm secondary pump; constant speed, continuous</t>
  </si>
  <si>
    <t>F tank Deadband Temperature Difference</t>
  </si>
  <si>
    <t>Boilers</t>
  </si>
  <si>
    <t>simulation steps per hour</t>
  </si>
  <si>
    <t>Steps to create Retrofit model</t>
  </si>
  <si>
    <t>start with the latest baseline model</t>
  </si>
  <si>
    <t>change secondary pump to variable flow</t>
  </si>
  <si>
    <t>2 to 25</t>
  </si>
  <si>
    <t>change secondary loop min flow rate to 2 gpm</t>
  </si>
  <si>
    <t>SequentialLoad equipment sequencing for boilers and GAHPs</t>
  </si>
  <si>
    <t>add loop with 1 GAHP, pump, 130F setpoint, and SequentialLoad</t>
  </si>
  <si>
    <t>No GAHP</t>
  </si>
  <si>
    <t>minimum and optimum part load ratio for boilers</t>
  </si>
  <si>
    <t>F delta R, Min Temp Diff to Activate HX</t>
  </si>
  <si>
    <t>Autosized</t>
  </si>
  <si>
    <t>Btu/h*R HX U-Factor times Area Value</t>
  </si>
  <si>
    <t>Curve</t>
  </si>
  <si>
    <t>OpenStudio output, baseline</t>
  </si>
  <si>
    <t>OpenStudio output, retrofit</t>
  </si>
  <si>
    <t>Important calculations</t>
  </si>
  <si>
    <t>Post-processed retrofit output</t>
  </si>
  <si>
    <t>F max inlet temperature of GAHP (not in the model; but confirmed in post-processing)</t>
  </si>
  <si>
    <t>F max outlet temperature of GAHP, related PlantLoop, and HX (placed in model, works better than 140F)</t>
  </si>
  <si>
    <t xml:space="preserve">add a heat exhanger </t>
  </si>
  <si>
    <t>on tank, change cold temperature schedule to the correct climate zone</t>
  </si>
  <si>
    <t>Steps to create baseline model</t>
  </si>
  <si>
    <t>start with the latest retrofit model</t>
  </si>
  <si>
    <t>delete the GAHP primary loop</t>
  </si>
  <si>
    <t>delete the HX and the variable speed pump in the secondary loop</t>
  </si>
  <si>
    <t>in the secondary PlantLoop object, change the max temp to 212 and the min flow rate to 0 gpm</t>
  </si>
  <si>
    <t>add a constant speed pump in the secondary loop and correct the details (name, flow rate, head, efficiency, continuous)</t>
  </si>
  <si>
    <t>CZ# &amp; Pre/Post</t>
  </si>
  <si>
    <t>Pre</t>
  </si>
  <si>
    <t>Post</t>
  </si>
  <si>
    <t>Diff</t>
  </si>
  <si>
    <t>Gas Annual Value [kBtu] Before Post-Processing</t>
  </si>
  <si>
    <t>Legend</t>
  </si>
  <si>
    <t>Gas Annual Value [therms] Before Post-Processing</t>
  </si>
  <si>
    <t>therms/unit Before Post-Processing</t>
  </si>
  <si>
    <t>CounterFlow Heat Exchange Model Type for the HX</t>
  </si>
  <si>
    <t>UncontrolledOn Control Type for the HX</t>
  </si>
  <si>
    <t>Btu/h GAHP input Rate</t>
  </si>
  <si>
    <t>Savings  therms/kBtuh input cap.</t>
  </si>
  <si>
    <t>Savings kWh/kBtuh input cap.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</si>
</sst>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0.0%"/>
    <numFmt numFmtId="165" formatCode="0.0"/>
    <numFmt numFmtId="166" formatCode="0.000"/>
    <numFmt numFmtId="167" formatCode="_(* #,##0_);_(* \(#,##0\);_(* &quot;-&quot;??_);_(@_)"/>
    <numFmt numFmtId="168" formatCode="_(* #,##0_);_(* \(#,##0\);_(* &quot;-&quot;?_);_(@_)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</fonts>
  <fills count="4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5">
    <xf numFmtId="0" fontId="0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6" fillId="0" borderId="0" applyNumberFormat="0" applyFill="0" applyBorder="0" applyAlignment="0" applyProtection="0"/>
    <xf numFmtId="0" fontId="7" fillId="0" borderId="1" applyNumberFormat="0" applyFill="0" applyAlignment="0" applyProtection="0"/>
    <xf numFmtId="0" fontId="8" fillId="0" borderId="2" applyNumberFormat="0" applyFill="0" applyAlignment="0" applyProtection="0"/>
    <xf numFmtId="0" fontId="9" fillId="0" borderId="3" applyNumberFormat="0" applyFill="0" applyAlignment="0" applyProtection="0"/>
    <xf numFmtId="0" fontId="9" fillId="0" borderId="0" applyNumberFormat="0" applyFill="0" applyBorder="0" applyAlignment="0" applyProtection="0"/>
    <xf numFmtId="0" fontId="10" fillId="12" borderId="0" applyNumberFormat="0" applyBorder="0" applyAlignment="0" applyProtection="0"/>
    <xf numFmtId="0" fontId="11" fillId="13" borderId="0" applyNumberFormat="0" applyBorder="0" applyAlignment="0" applyProtection="0"/>
    <xf numFmtId="0" fontId="12" fillId="14" borderId="0" applyNumberFormat="0" applyBorder="0" applyAlignment="0" applyProtection="0"/>
    <xf numFmtId="0" fontId="13" fillId="15" borderId="4" applyNumberFormat="0" applyAlignment="0" applyProtection="0"/>
    <xf numFmtId="0" fontId="14" fillId="16" borderId="5" applyNumberFormat="0" applyAlignment="0" applyProtection="0"/>
    <xf numFmtId="0" fontId="15" fillId="16" borderId="4" applyNumberFormat="0" applyAlignment="0" applyProtection="0"/>
    <xf numFmtId="0" fontId="16" fillId="0" borderId="6" applyNumberFormat="0" applyFill="0" applyAlignment="0" applyProtection="0"/>
    <xf numFmtId="0" fontId="17" fillId="17" borderId="7" applyNumberFormat="0" applyAlignment="0" applyProtection="0"/>
    <xf numFmtId="0" fontId="5" fillId="0" borderId="0" applyNumberFormat="0" applyFill="0" applyBorder="0" applyAlignment="0" applyProtection="0"/>
    <xf numFmtId="0" fontId="1" fillId="18" borderId="8" applyNumberFormat="0" applyFont="0" applyAlignment="0" applyProtection="0"/>
    <xf numFmtId="0" fontId="18" fillId="0" borderId="0" applyNumberFormat="0" applyFill="0" applyBorder="0" applyAlignment="0" applyProtection="0"/>
    <xf numFmtId="0" fontId="2" fillId="0" borderId="9" applyNumberFormat="0" applyFill="0" applyAlignment="0" applyProtection="0"/>
    <xf numFmtId="0" fontId="19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1" borderId="0" applyNumberFormat="0" applyBorder="0" applyAlignment="0" applyProtection="0"/>
    <xf numFmtId="0" fontId="1" fillId="22" borderId="0" applyNumberFormat="0" applyBorder="0" applyAlignment="0" applyProtection="0"/>
    <xf numFmtId="0" fontId="19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19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0" borderId="0" applyNumberFormat="0" applyBorder="0" applyAlignment="0" applyProtection="0"/>
    <xf numFmtId="0" fontId="19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4" borderId="0" applyNumberFormat="0" applyBorder="0" applyAlignment="0" applyProtection="0"/>
    <xf numFmtId="0" fontId="19" fillId="35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38" borderId="0" applyNumberFormat="0" applyBorder="0" applyAlignment="0" applyProtection="0"/>
    <xf numFmtId="0" fontId="19" fillId="39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2" borderId="0" applyNumberFormat="0" applyBorder="0" applyAlignment="0" applyProtection="0"/>
  </cellStyleXfs>
  <cellXfs count="87">
    <xf numFmtId="0" fontId="0" fillId="0" borderId="0" xfId="0"/>
    <xf numFmtId="165" fontId="0" fillId="0" borderId="0" xfId="0" applyNumberFormat="1"/>
    <xf numFmtId="0" fontId="2" fillId="0" borderId="0" xfId="0" applyFont="1"/>
    <xf numFmtId="165" fontId="0" fillId="0" borderId="0" xfId="0" applyNumberFormat="1" applyBorder="1"/>
    <xf numFmtId="0" fontId="0" fillId="0" borderId="0" xfId="0" applyBorder="1"/>
    <xf numFmtId="165" fontId="0" fillId="4" borderId="0" xfId="0" applyNumberFormat="1" applyFill="1" applyBorder="1"/>
    <xf numFmtId="0" fontId="0" fillId="0" borderId="0" xfId="0" applyFill="1" applyBorder="1"/>
    <xf numFmtId="44" fontId="0" fillId="0" borderId="0" xfId="2" applyFont="1"/>
    <xf numFmtId="165" fontId="2" fillId="0" borderId="0" xfId="0" applyNumberFormat="1" applyFont="1"/>
    <xf numFmtId="0" fontId="2" fillId="0" borderId="0" xfId="0" applyFont="1" applyBorder="1" applyAlignment="1">
      <alignment wrapText="1"/>
    </xf>
    <xf numFmtId="0" fontId="2" fillId="6" borderId="0" xfId="0" applyFont="1" applyFill="1" applyBorder="1"/>
    <xf numFmtId="164" fontId="1" fillId="0" borderId="0" xfId="1" applyNumberFormat="1" applyFont="1" applyFill="1" applyBorder="1"/>
    <xf numFmtId="0" fontId="3" fillId="0" borderId="0" xfId="0" applyFont="1"/>
    <xf numFmtId="0" fontId="0" fillId="3" borderId="0" xfId="0" applyFill="1" applyBorder="1"/>
    <xf numFmtId="0" fontId="2" fillId="3" borderId="0" xfId="0" applyFont="1" applyFill="1" applyBorder="1"/>
    <xf numFmtId="43" fontId="0" fillId="0" borderId="0" xfId="3" applyFont="1" applyBorder="1"/>
    <xf numFmtId="43" fontId="0" fillId="2" borderId="0" xfId="3" applyFont="1" applyFill="1" applyBorder="1"/>
    <xf numFmtId="43" fontId="0" fillId="0" borderId="0" xfId="3" applyFont="1" applyFill="1" applyBorder="1"/>
    <xf numFmtId="43" fontId="0" fillId="3" borderId="0" xfId="3" applyFont="1" applyFill="1" applyBorder="1"/>
    <xf numFmtId="43" fontId="0" fillId="8" borderId="0" xfId="3" quotePrefix="1" applyFont="1" applyFill="1" applyBorder="1"/>
    <xf numFmtId="43" fontId="0" fillId="0" borderId="0" xfId="3" applyFont="1"/>
    <xf numFmtId="43" fontId="0" fillId="8" borderId="0" xfId="3" applyFont="1" applyFill="1" applyBorder="1"/>
    <xf numFmtId="43" fontId="0" fillId="7" borderId="0" xfId="3" applyFont="1" applyFill="1" applyBorder="1"/>
    <xf numFmtId="43" fontId="2" fillId="0" borderId="0" xfId="3" applyFont="1" applyBorder="1" applyAlignment="1">
      <alignment horizontal="right" wrapText="1"/>
    </xf>
    <xf numFmtId="43" fontId="2" fillId="0" borderId="0" xfId="3" applyFont="1" applyFill="1" applyBorder="1" applyAlignment="1">
      <alignment horizontal="right" wrapText="1"/>
    </xf>
    <xf numFmtId="164" fontId="2" fillId="0" borderId="0" xfId="1" applyNumberFormat="1" applyFont="1" applyFill="1" applyBorder="1" applyAlignment="1">
      <alignment horizontal="right" wrapText="1"/>
    </xf>
    <xf numFmtId="0" fontId="2" fillId="0" borderId="0" xfId="0" applyFont="1" applyBorder="1" applyAlignment="1">
      <alignment horizontal="right" wrapText="1"/>
    </xf>
    <xf numFmtId="43" fontId="0" fillId="0" borderId="0" xfId="0" applyNumberFormat="1"/>
    <xf numFmtId="167" fontId="0" fillId="0" borderId="0" xfId="3" applyNumberFormat="1" applyFont="1"/>
    <xf numFmtId="167" fontId="0" fillId="0" borderId="0" xfId="0" applyNumberFormat="1"/>
    <xf numFmtId="168" fontId="0" fillId="0" borderId="0" xfId="0" applyNumberFormat="1"/>
    <xf numFmtId="43" fontId="2" fillId="0" borderId="0" xfId="3" applyFont="1"/>
    <xf numFmtId="2" fontId="0" fillId="0" borderId="0" xfId="0" applyNumberFormat="1" applyBorder="1"/>
    <xf numFmtId="164" fontId="0" fillId="0" borderId="0" xfId="1" applyNumberFormat="1" applyFont="1" applyBorder="1"/>
    <xf numFmtId="166" fontId="0" fillId="0" borderId="0" xfId="0" applyNumberFormat="1" applyBorder="1"/>
    <xf numFmtId="165" fontId="0" fillId="9" borderId="0" xfId="0" applyNumberFormat="1" applyFill="1"/>
    <xf numFmtId="43" fontId="0" fillId="9" borderId="0" xfId="0" applyNumberFormat="1" applyFill="1"/>
    <xf numFmtId="0" fontId="0" fillId="0" borderId="0" xfId="0" applyFill="1"/>
    <xf numFmtId="165" fontId="0" fillId="2" borderId="0" xfId="0" applyNumberFormat="1" applyFill="1"/>
    <xf numFmtId="43" fontId="0" fillId="0" borderId="0" xfId="0" applyNumberFormat="1" applyBorder="1"/>
    <xf numFmtId="0" fontId="0" fillId="0" borderId="0" xfId="1" applyNumberFormat="1" applyFont="1"/>
    <xf numFmtId="0" fontId="0" fillId="0" borderId="0" xfId="0" applyNumberFormat="1" applyFill="1"/>
    <xf numFmtId="167" fontId="0" fillId="0" borderId="0" xfId="0" applyNumberFormat="1" applyFill="1"/>
    <xf numFmtId="165" fontId="0" fillId="0" borderId="0" xfId="0" applyNumberFormat="1" applyFill="1"/>
    <xf numFmtId="16" fontId="0" fillId="0" borderId="0" xfId="0" applyNumberFormat="1" applyFill="1"/>
    <xf numFmtId="0" fontId="5" fillId="0" borderId="0" xfId="0" applyFont="1"/>
    <xf numFmtId="43" fontId="0" fillId="10" borderId="0" xfId="3" applyFont="1" applyFill="1" applyBorder="1"/>
    <xf numFmtId="0" fontId="0" fillId="2" borderId="0" xfId="0" applyFill="1" applyBorder="1"/>
    <xf numFmtId="0" fontId="0" fillId="10" borderId="0" xfId="0" applyFill="1" applyBorder="1"/>
    <xf numFmtId="43" fontId="0" fillId="0" borderId="0" xfId="0" applyNumberFormat="1" applyFill="1"/>
    <xf numFmtId="0" fontId="0" fillId="7" borderId="0" xfId="0" applyFill="1" applyBorder="1"/>
    <xf numFmtId="0" fontId="0" fillId="11" borderId="0" xfId="0" applyFill="1" applyBorder="1"/>
    <xf numFmtId="43" fontId="0" fillId="11" borderId="0" xfId="3" applyFont="1" applyFill="1" applyBorder="1"/>
    <xf numFmtId="164" fontId="0" fillId="7" borderId="0" xfId="1" applyNumberFormat="1" applyFont="1" applyFill="1" applyBorder="1"/>
    <xf numFmtId="166" fontId="0" fillId="7" borderId="0" xfId="0" applyNumberFormat="1" applyFill="1" applyBorder="1"/>
    <xf numFmtId="165" fontId="2" fillId="43" borderId="0" xfId="0" applyNumberFormat="1" applyFont="1" applyFill="1" applyBorder="1" applyAlignment="1">
      <alignment horizontal="right" wrapText="1"/>
    </xf>
    <xf numFmtId="165" fontId="0" fillId="43" borderId="0" xfId="0" applyNumberFormat="1" applyFill="1" applyBorder="1"/>
    <xf numFmtId="165" fontId="0" fillId="43" borderId="0" xfId="1" applyNumberFormat="1" applyFont="1" applyFill="1" applyBorder="1"/>
    <xf numFmtId="0" fontId="0" fillId="43" borderId="0" xfId="0" applyFill="1" applyBorder="1"/>
    <xf numFmtId="0" fontId="0" fillId="43" borderId="0" xfId="0" applyFill="1"/>
    <xf numFmtId="164" fontId="1" fillId="3" borderId="0" xfId="1" applyNumberFormat="1" applyFont="1" applyFill="1" applyBorder="1"/>
    <xf numFmtId="9" fontId="1" fillId="0" borderId="0" xfId="1" applyFont="1"/>
    <xf numFmtId="0" fontId="0" fillId="0" borderId="0" xfId="0" applyFont="1"/>
    <xf numFmtId="0" fontId="4" fillId="5" borderId="10" xfId="0" applyFont="1" applyFill="1" applyBorder="1" applyAlignment="1">
      <alignment horizontal="right" wrapText="1"/>
    </xf>
    <xf numFmtId="0" fontId="3" fillId="0" borderId="10" xfId="0" applyFont="1" applyBorder="1" applyAlignment="1">
      <alignment horizontal="center" vertical="center" wrapText="1"/>
    </xf>
    <xf numFmtId="44" fontId="3" fillId="0" borderId="10" xfId="0" applyNumberFormat="1" applyFont="1" applyBorder="1" applyAlignment="1">
      <alignment vertical="center" wrapText="1"/>
    </xf>
    <xf numFmtId="164" fontId="3" fillId="0" borderId="10" xfId="1" applyNumberFormat="1" applyFont="1" applyBorder="1" applyAlignment="1">
      <alignment vertical="center" wrapText="1"/>
    </xf>
    <xf numFmtId="10" fontId="3" fillId="0" borderId="10" xfId="1" applyNumberFormat="1" applyFont="1" applyBorder="1" applyAlignment="1">
      <alignment vertical="center" wrapText="1"/>
    </xf>
    <xf numFmtId="165" fontId="3" fillId="0" borderId="10" xfId="0" applyNumberFormat="1" applyFont="1" applyBorder="1" applyAlignment="1">
      <alignment vertical="center" wrapText="1"/>
    </xf>
    <xf numFmtId="2" fontId="3" fillId="0" borderId="10" xfId="0" applyNumberFormat="1" applyFont="1" applyBorder="1" applyAlignment="1">
      <alignment vertical="center" wrapText="1"/>
    </xf>
    <xf numFmtId="167" fontId="0" fillId="11" borderId="0" xfId="3" applyNumberFormat="1" applyFont="1" applyFill="1"/>
    <xf numFmtId="167" fontId="0" fillId="11" borderId="0" xfId="3" applyNumberFormat="1" applyFont="1" applyFill="1"/>
    <xf numFmtId="0" fontId="4" fillId="44" borderId="10" xfId="0" applyFont="1" applyFill="1" applyBorder="1" applyAlignment="1">
      <alignment horizontal="center" wrapText="1"/>
    </xf>
    <xf numFmtId="0" fontId="4" fillId="45" borderId="10" xfId="0" applyFont="1" applyFill="1" applyBorder="1" applyAlignment="1">
      <alignment horizontal="center" wrapText="1"/>
    </xf>
    <xf numFmtId="2" fontId="3" fillId="45" borderId="10" xfId="0" applyNumberFormat="1" applyFont="1" applyFill="1" applyBorder="1" applyAlignment="1">
      <alignment vertical="center" wrapText="1"/>
    </xf>
    <xf numFmtId="2" fontId="3" fillId="44" borderId="10" xfId="0" applyNumberFormat="1" applyFont="1" applyFill="1" applyBorder="1" applyAlignment="1">
      <alignment vertical="center" wrapText="1"/>
    </xf>
    <xf numFmtId="167" fontId="0" fillId="44" borderId="0" xfId="3" applyNumberFormat="1" applyFont="1" applyFill="1"/>
    <xf numFmtId="165" fontId="0" fillId="44" borderId="0" xfId="0" applyNumberFormat="1" applyFill="1"/>
    <xf numFmtId="0" fontId="0" fillId="46" borderId="0" xfId="0" applyFill="1"/>
    <xf numFmtId="165" fontId="0" fillId="46" borderId="0" xfId="0" applyNumberFormat="1" applyFill="1"/>
    <xf numFmtId="165" fontId="3" fillId="0" borderId="0" xfId="0" applyNumberFormat="1" applyFont="1"/>
    <xf numFmtId="0" fontId="4" fillId="5" borderId="10" xfId="0" applyFont="1" applyFill="1" applyBorder="1" applyAlignment="1">
      <alignment horizontal="right" wrapText="1"/>
    </xf>
    <xf numFmtId="0" fontId="4" fillId="5" borderId="10" xfId="0" applyFont="1" applyFill="1" applyBorder="1" applyAlignment="1">
      <alignment horizontal="center" wrapText="1"/>
    </xf>
    <xf numFmtId="0" fontId="4" fillId="5" borderId="10" xfId="0" applyFont="1" applyFill="1" applyBorder="1" applyAlignment="1">
      <alignment horizontal="right" wrapText="1"/>
    </xf>
    <xf numFmtId="0" fontId="4" fillId="5" borderId="11" xfId="0" applyFont="1" applyFill="1" applyBorder="1" applyAlignment="1">
      <alignment horizontal="center"/>
    </xf>
    <xf numFmtId="0" fontId="4" fillId="5" borderId="12" xfId="0" applyFont="1" applyFill="1" applyBorder="1" applyAlignment="1">
      <alignment horizontal="center"/>
    </xf>
    <xf numFmtId="0" fontId="4" fillId="5" borderId="13" xfId="0" applyFont="1" applyFill="1" applyBorder="1" applyAlignment="1">
      <alignment horizontal="center"/>
    </xf>
  </cellXfs>
  <cellStyles count="45">
    <cellStyle name="20% - Accent1" xfId="22" builtinId="30" customBuiltin="1"/>
    <cellStyle name="20% - Accent2" xfId="26" builtinId="34" customBuiltin="1"/>
    <cellStyle name="20% - Accent3" xfId="30" builtinId="38" customBuiltin="1"/>
    <cellStyle name="20% - Accent4" xfId="34" builtinId="42" customBuiltin="1"/>
    <cellStyle name="20% - Accent5" xfId="38" builtinId="46" customBuiltin="1"/>
    <cellStyle name="20% - Accent6" xfId="42" builtinId="50" customBuiltin="1"/>
    <cellStyle name="40% - Accent1" xfId="23" builtinId="31" customBuiltin="1"/>
    <cellStyle name="40% - Accent2" xfId="27" builtinId="35" customBuiltin="1"/>
    <cellStyle name="40% - Accent3" xfId="31" builtinId="39" customBuiltin="1"/>
    <cellStyle name="40% - Accent4" xfId="35" builtinId="43" customBuiltin="1"/>
    <cellStyle name="40% - Accent5" xfId="39" builtinId="47" customBuiltin="1"/>
    <cellStyle name="40% - Accent6" xfId="43" builtinId="51" customBuiltin="1"/>
    <cellStyle name="60% - Accent1" xfId="24" builtinId="32" customBuiltin="1"/>
    <cellStyle name="60% - Accent2" xfId="28" builtinId="36" customBuiltin="1"/>
    <cellStyle name="60% - Accent3" xfId="32" builtinId="40" customBuiltin="1"/>
    <cellStyle name="60% - Accent4" xfId="36" builtinId="44" customBuiltin="1"/>
    <cellStyle name="60% - Accent5" xfId="40" builtinId="48" customBuiltin="1"/>
    <cellStyle name="60% - Accent6" xfId="44" builtinId="52" customBuiltin="1"/>
    <cellStyle name="Accent1" xfId="21" builtinId="29" customBuiltin="1"/>
    <cellStyle name="Accent2" xfId="25" builtinId="33" customBuiltin="1"/>
    <cellStyle name="Accent3" xfId="29" builtinId="37" customBuiltin="1"/>
    <cellStyle name="Accent4" xfId="33" builtinId="41" customBuiltin="1"/>
    <cellStyle name="Accent5" xfId="37" builtinId="45" customBuiltin="1"/>
    <cellStyle name="Accent6" xfId="41" builtinId="49" customBuiltin="1"/>
    <cellStyle name="Bad" xfId="10" builtinId="27" customBuiltin="1"/>
    <cellStyle name="Calculation" xfId="14" builtinId="22" customBuiltin="1"/>
    <cellStyle name="Check Cell" xfId="16" builtinId="23" customBuiltin="1"/>
    <cellStyle name="Comma" xfId="3" builtinId="3"/>
    <cellStyle name="Currency" xfId="2" builtinId="4"/>
    <cellStyle name="Explanatory Text" xfId="19" builtinId="53" customBuiltin="1"/>
    <cellStyle name="Good" xfId="9" builtinId="26" customBuiltin="1"/>
    <cellStyle name="Heading 1" xfId="5" builtinId="16" customBuiltin="1"/>
    <cellStyle name="Heading 2" xfId="6" builtinId="17" customBuiltin="1"/>
    <cellStyle name="Heading 3" xfId="7" builtinId="18" customBuiltin="1"/>
    <cellStyle name="Heading 4" xfId="8" builtinId="19" customBuiltin="1"/>
    <cellStyle name="Input" xfId="12" builtinId="20" customBuiltin="1"/>
    <cellStyle name="Linked Cell" xfId="15" builtinId="24" customBuiltin="1"/>
    <cellStyle name="Neutral" xfId="11" builtinId="28" customBuiltin="1"/>
    <cellStyle name="Normal" xfId="0" builtinId="0"/>
    <cellStyle name="Note" xfId="18" builtinId="10" customBuiltin="1"/>
    <cellStyle name="Output" xfId="13" builtinId="21" customBuiltin="1"/>
    <cellStyle name="Percent" xfId="1" builtinId="5"/>
    <cellStyle name="Title" xfId="4" builtinId="15" customBuiltin="1"/>
    <cellStyle name="Total" xfId="20" builtinId="25" customBuiltin="1"/>
    <cellStyle name="Warning Text" xfId="17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externalLink" Target="externalLinks/externalLink1.xml"/><Relationship Id="rId9" Type="http://schemas.openxmlformats.org/officeDocument/2006/relationships/customXml" Target="../customXml/item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Annual Gas Savings per Residential Unit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SummaryResults!$E$3</c:f>
              <c:strCache>
                <c:ptCount val="1"/>
                <c:pt idx="0">
                  <c:v>Savings</c:v>
                </c:pt>
              </c:strCache>
            </c:strRef>
          </c:tx>
          <c:spPr>
            <a:solidFill>
              <a:schemeClr val="accent1"/>
            </a:solidFill>
            <a:ln w="19050">
              <a:noFill/>
            </a:ln>
            <a:effectLst/>
          </c:spPr>
          <c:invertIfNegative val="0"/>
          <c:cat>
            <c:numRef>
              <c:f>SummaryResults!$B$4:$B$19</c:f>
              <c:numCache>
                <c:formatCode>General</c:formatCode>
                <c:ptCount val="16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</c:numCache>
            </c:numRef>
          </c:cat>
          <c:val>
            <c:numRef>
              <c:f>SummaryResults!$E$4:$E$19</c:f>
              <c:numCache>
                <c:formatCode>0.00</c:formatCode>
                <c:ptCount val="16"/>
                <c:pt idx="0">
                  <c:v>54.021998729458488</c:v>
                </c:pt>
                <c:pt idx="1">
                  <c:v>52.303629345593919</c:v>
                </c:pt>
                <c:pt idx="2">
                  <c:v>53.202846291848658</c:v>
                </c:pt>
                <c:pt idx="3">
                  <c:v>52.031779520786515</c:v>
                </c:pt>
                <c:pt idx="4">
                  <c:v>53.119082136416338</c:v>
                </c:pt>
                <c:pt idx="5">
                  <c:v>52.11307952121463</c:v>
                </c:pt>
                <c:pt idx="6">
                  <c:v>51.485636728669732</c:v>
                </c:pt>
                <c:pt idx="7">
                  <c:v>51.019143957169305</c:v>
                </c:pt>
                <c:pt idx="8">
                  <c:v>50.930478128138091</c:v>
                </c:pt>
                <c:pt idx="9">
                  <c:v>50.416536837568557</c:v>
                </c:pt>
                <c:pt idx="10">
                  <c:v>50.289063007961417</c:v>
                </c:pt>
                <c:pt idx="11">
                  <c:v>51.218119640346529</c:v>
                </c:pt>
                <c:pt idx="12">
                  <c:v>49.763329159650596</c:v>
                </c:pt>
                <c:pt idx="13">
                  <c:v>50.461721169345722</c:v>
                </c:pt>
                <c:pt idx="14">
                  <c:v>44.217023153757793</c:v>
                </c:pt>
                <c:pt idx="15">
                  <c:v>52.53019717410703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5D2-4FF7-855B-2825DA3A130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70105840"/>
        <c:axId val="1970103760"/>
      </c:barChart>
      <c:catAx>
        <c:axId val="19701058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Climate Zone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70103760"/>
        <c:crosses val="autoZero"/>
        <c:auto val="1"/>
        <c:lblAlgn val="ctr"/>
        <c:lblOffset val="100"/>
        <c:noMultiLvlLbl val="0"/>
      </c:catAx>
      <c:valAx>
        <c:axId val="19701037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Gas Savings [therms/unit/yr]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7010584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Annual Gas Savings per Residential Unit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SummaryResults!$F$3</c:f>
              <c:strCache>
                <c:ptCount val="1"/>
                <c:pt idx="0">
                  <c:v>Savings [%]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SummaryResults!$B$4:$B$19</c:f>
              <c:numCache>
                <c:formatCode>General</c:formatCode>
                <c:ptCount val="16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</c:numCache>
            </c:numRef>
          </c:cat>
          <c:val>
            <c:numRef>
              <c:f>SummaryResults!$F$4:$F$19</c:f>
              <c:numCache>
                <c:formatCode>0.0%</c:formatCode>
                <c:ptCount val="16"/>
                <c:pt idx="0">
                  <c:v>0.31815362220256355</c:v>
                </c:pt>
                <c:pt idx="1">
                  <c:v>0.34512468889362163</c:v>
                </c:pt>
                <c:pt idx="2">
                  <c:v>0.34625501924106483</c:v>
                </c:pt>
                <c:pt idx="3">
                  <c:v>0.35986592870920026</c:v>
                </c:pt>
                <c:pt idx="4">
                  <c:v>0.3411814444683916</c:v>
                </c:pt>
                <c:pt idx="5">
                  <c:v>0.37562735083323084</c:v>
                </c:pt>
                <c:pt idx="6">
                  <c:v>0.37882662264233502</c:v>
                </c:pt>
                <c:pt idx="7">
                  <c:v>0.38871482278785563</c:v>
                </c:pt>
                <c:pt idx="8">
                  <c:v>0.38589955978460855</c:v>
                </c:pt>
                <c:pt idx="9">
                  <c:v>0.3851479172666456</c:v>
                </c:pt>
                <c:pt idx="10">
                  <c:v>0.37191074520507295</c:v>
                </c:pt>
                <c:pt idx="11">
                  <c:v>0.36257216388655716</c:v>
                </c:pt>
                <c:pt idx="12">
                  <c:v>0.37944234495579932</c:v>
                </c:pt>
                <c:pt idx="13">
                  <c:v>0.36768143209689463</c:v>
                </c:pt>
                <c:pt idx="14">
                  <c:v>0.44871796142383802</c:v>
                </c:pt>
                <c:pt idx="15">
                  <c:v>0.31160850913374633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310-4C0D-88B6-FFB2C009BE3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70105840"/>
        <c:axId val="1970103760"/>
      </c:barChart>
      <c:catAx>
        <c:axId val="19701058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Climate Zone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70103760"/>
        <c:crosses val="autoZero"/>
        <c:auto val="1"/>
        <c:lblAlgn val="ctr"/>
        <c:lblOffset val="100"/>
        <c:noMultiLvlLbl val="0"/>
      </c:catAx>
      <c:valAx>
        <c:axId val="19701037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Gas Savings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%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7010584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0</xdr:colOff>
      <xdr:row>1</xdr:row>
      <xdr:rowOff>0</xdr:rowOff>
    </xdr:from>
    <xdr:to>
      <xdr:col>21</xdr:col>
      <xdr:colOff>293688</xdr:colOff>
      <xdr:row>15</xdr:row>
      <xdr:rowOff>44450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3671187D-018F-43C7-9C7D-130CAA2EF1C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0</xdr:colOff>
      <xdr:row>16</xdr:row>
      <xdr:rowOff>0</xdr:rowOff>
    </xdr:from>
    <xdr:to>
      <xdr:col>21</xdr:col>
      <xdr:colOff>293688</xdr:colOff>
      <xdr:row>32</xdr:row>
      <xdr:rowOff>139700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46FB01DB-EE61-4608-A395-CBE6C93DDE9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0</xdr:colOff>
      <xdr:row>14</xdr:row>
      <xdr:rowOff>0</xdr:rowOff>
    </xdr:from>
    <xdr:to>
      <xdr:col>16</xdr:col>
      <xdr:colOff>3619258</xdr:colOff>
      <xdr:row>47</xdr:row>
      <xdr:rowOff>105667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F83DC1E0-335F-4595-93FF-B34E39E6F90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650516" y="2667000"/>
          <a:ext cx="6786320" cy="6392167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Book1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>
        <row r="4">
          <cell r="D4">
            <v>169.79847142857142</v>
          </cell>
        </row>
        <row r="5">
          <cell r="D5">
            <v>151.54995000000002</v>
          </cell>
        </row>
        <row r="6">
          <cell r="D6">
            <v>153.65220238095239</v>
          </cell>
        </row>
        <row r="7">
          <cell r="D7">
            <v>144.58656785714285</v>
          </cell>
        </row>
        <row r="8">
          <cell r="D8">
            <v>155.69159166666668</v>
          </cell>
        </row>
        <row r="9">
          <cell r="D9">
            <v>138.73611547619049</v>
          </cell>
        </row>
        <row r="10">
          <cell r="D10">
            <v>135.90817976190476</v>
          </cell>
        </row>
        <row r="11">
          <cell r="D11">
            <v>131.25083214285715</v>
          </cell>
        </row>
        <row r="12">
          <cell r="D12">
            <v>131.97858571428574</v>
          </cell>
        </row>
        <row r="13">
          <cell r="D13">
            <v>130.9017511904762</v>
          </cell>
        </row>
        <row r="14">
          <cell r="D14">
            <v>135.21809642857144</v>
          </cell>
        </row>
        <row r="15">
          <cell r="D15">
            <v>141.26324285714287</v>
          </cell>
        </row>
        <row r="16">
          <cell r="D16">
            <v>131.14859166666665</v>
          </cell>
        </row>
        <row r="17">
          <cell r="D17">
            <v>137.24305000000001</v>
          </cell>
        </row>
        <row r="18">
          <cell r="D18">
            <v>98.540791666666664</v>
          </cell>
        </row>
        <row r="19">
          <cell r="D19">
            <v>168.57754404761906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BEBF9B-645C-47D8-BF76-4EAC67CBE8C2}">
  <dimension ref="B2:N21"/>
  <sheetViews>
    <sheetView showGridLines="0" tabSelected="1" zoomScale="120" zoomScaleNormal="120" workbookViewId="0">
      <selection activeCell="G4" sqref="G4"/>
    </sheetView>
  </sheetViews>
  <sheetFormatPr defaultColWidth="9.08984375" defaultRowHeight="13" x14ac:dyDescent="0.3"/>
  <cols>
    <col min="1" max="1" width="3.453125" style="12" customWidth="1"/>
    <col min="2" max="6" width="9.08984375" style="12" customWidth="1"/>
    <col min="7" max="7" width="12.453125" style="12" customWidth="1"/>
    <col min="8" max="11" width="9.08984375" style="12" customWidth="1"/>
    <col min="12" max="12" width="11.6328125" style="12" customWidth="1"/>
    <col min="13" max="13" width="9.08984375" style="12"/>
    <col min="14" max="14" width="3.453125" style="12" customWidth="1"/>
    <col min="15" max="16384" width="9.08984375" style="12"/>
  </cols>
  <sheetData>
    <row r="2" spans="2:14" ht="15" customHeight="1" x14ac:dyDescent="0.3">
      <c r="B2" s="82" t="s">
        <v>8</v>
      </c>
      <c r="C2" s="84" t="s">
        <v>27</v>
      </c>
      <c r="D2" s="85"/>
      <c r="E2" s="85"/>
      <c r="F2" s="85"/>
      <c r="G2" s="86"/>
      <c r="H2" s="84" t="s">
        <v>28</v>
      </c>
      <c r="I2" s="85"/>
      <c r="J2" s="85"/>
      <c r="K2" s="85"/>
      <c r="L2" s="86"/>
      <c r="M2" s="83" t="s">
        <v>31</v>
      </c>
    </row>
    <row r="3" spans="2:14" ht="37.5" customHeight="1" x14ac:dyDescent="0.3">
      <c r="B3" s="82"/>
      <c r="C3" s="81" t="s">
        <v>4</v>
      </c>
      <c r="D3" s="63" t="s">
        <v>5</v>
      </c>
      <c r="E3" s="63" t="s">
        <v>9</v>
      </c>
      <c r="F3" s="63" t="s">
        <v>10</v>
      </c>
      <c r="G3" s="72" t="s">
        <v>149</v>
      </c>
      <c r="H3" s="63" t="s">
        <v>4</v>
      </c>
      <c r="I3" s="63" t="s">
        <v>5</v>
      </c>
      <c r="J3" s="63" t="s">
        <v>9</v>
      </c>
      <c r="K3" s="63" t="s">
        <v>10</v>
      </c>
      <c r="L3" s="73" t="s">
        <v>150</v>
      </c>
      <c r="M3" s="83"/>
    </row>
    <row r="4" spans="2:14" ht="12.75" customHeight="1" x14ac:dyDescent="0.3">
      <c r="B4" s="64">
        <v>1</v>
      </c>
      <c r="C4" s="68">
        <f>Results!O2</f>
        <v>169.79847142857142</v>
      </c>
      <c r="D4" s="68">
        <f>Results!O11</f>
        <v>115.77647269911293</v>
      </c>
      <c r="E4" s="69">
        <f>[1]Sheet1!D4-D4</f>
        <v>54.021998729458488</v>
      </c>
      <c r="F4" s="66">
        <f>E4/[1]Sheet1!D4</f>
        <v>0.31815362220256355</v>
      </c>
      <c r="G4" s="75">
        <f>E4*Supporting!$A$15/(Supporting!$A$48/1000)</f>
        <v>47.516731866748827</v>
      </c>
      <c r="H4" s="68">
        <f>Results!J2</f>
        <v>65.241547619047623</v>
      </c>
      <c r="I4" s="68">
        <f>Results!J11</f>
        <v>21.721666666666664</v>
      </c>
      <c r="J4" s="69">
        <f>H4-I4</f>
        <v>43.519880952380959</v>
      </c>
      <c r="K4" s="67">
        <f>J4/H4</f>
        <v>0.66705776519125815</v>
      </c>
      <c r="L4" s="74">
        <f>J4*Supporting!$A$15/(Supporting!$A$48/1000)</f>
        <v>38.279267015706814</v>
      </c>
      <c r="M4" s="65">
        <f>E4*Supporting!$A$11+J4*Supporting!$A$12</f>
        <v>67.07796301517277</v>
      </c>
    </row>
    <row r="5" spans="2:14" ht="12.75" customHeight="1" x14ac:dyDescent="0.3">
      <c r="B5" s="64">
        <f>B4+1</f>
        <v>2</v>
      </c>
      <c r="C5" s="68">
        <f>Results!O27</f>
        <v>151.54995000000002</v>
      </c>
      <c r="D5" s="68">
        <f>Results!O36</f>
        <v>99.246320654406105</v>
      </c>
      <c r="E5" s="69">
        <f>[1]Sheet1!D5-D5</f>
        <v>52.303629345593919</v>
      </c>
      <c r="F5" s="66">
        <f>E5/[1]Sheet1!D5</f>
        <v>0.34512468889362163</v>
      </c>
      <c r="G5" s="75">
        <f>E5*Supporting!$A$15/(Supporting!$A$48/1000)</f>
        <v>46.005286544815597</v>
      </c>
      <c r="H5" s="68">
        <f>Results!J27</f>
        <v>64.868214285714288</v>
      </c>
      <c r="I5" s="68">
        <f>Results!J36</f>
        <v>19.592500000000001</v>
      </c>
      <c r="J5" s="69">
        <f t="shared" ref="J5:J8" si="0">H5-I5</f>
        <v>45.275714285714287</v>
      </c>
      <c r="K5" s="67">
        <f t="shared" ref="K5:K8" si="1">J5/H5</f>
        <v>0.69796455450886685</v>
      </c>
      <c r="L5" s="74">
        <f>J5*Supporting!$A$15/(Supporting!$A$48/1000)</f>
        <v>39.823664921465969</v>
      </c>
      <c r="M5" s="65">
        <f>E5*Supporting!$A$11+J5*Supporting!$A$12</f>
        <v>65.886343631308208</v>
      </c>
    </row>
    <row r="6" spans="2:14" ht="12.75" customHeight="1" x14ac:dyDescent="0.3">
      <c r="B6" s="64">
        <f t="shared" ref="B6:B19" si="2">B5+1</f>
        <v>3</v>
      </c>
      <c r="C6" s="68">
        <f>Results!O52</f>
        <v>153.65220238095239</v>
      </c>
      <c r="D6" s="68">
        <f>Results!O61</f>
        <v>100.44935608910373</v>
      </c>
      <c r="E6" s="69">
        <f>[1]Sheet1!D6-D6</f>
        <v>53.202846291848658</v>
      </c>
      <c r="F6" s="66">
        <f>E6/[1]Sheet1!D6</f>
        <v>0.34625501924106483</v>
      </c>
      <c r="G6" s="75">
        <f>E6*Supporting!$A$15/(Supporting!$A$48/1000)</f>
        <v>46.796220822149607</v>
      </c>
      <c r="H6" s="68">
        <f>Results!J52</f>
        <v>64.930952380952377</v>
      </c>
      <c r="I6" s="68">
        <f>Results!J61</f>
        <v>19.852380952380951</v>
      </c>
      <c r="J6" s="69">
        <f t="shared" si="0"/>
        <v>45.078571428571422</v>
      </c>
      <c r="K6" s="67">
        <f t="shared" si="1"/>
        <v>0.69425396941806305</v>
      </c>
      <c r="L6" s="74">
        <f>J6*Supporting!$A$15/(Supporting!$A$48/1000)</f>
        <v>39.650261780104707</v>
      </c>
      <c r="M6" s="65">
        <f>E6*Supporting!$A$11+J6*Supporting!$A$12</f>
        <v>66.726417720420088</v>
      </c>
    </row>
    <row r="7" spans="2:14" ht="12.75" customHeight="1" x14ac:dyDescent="0.3">
      <c r="B7" s="64">
        <f t="shared" si="2"/>
        <v>4</v>
      </c>
      <c r="C7" s="68">
        <f>Results!O77</f>
        <v>144.58656785714285</v>
      </c>
      <c r="D7" s="68">
        <f>Results!O86</f>
        <v>92.554788336356339</v>
      </c>
      <c r="E7" s="69">
        <f>[1]Sheet1!D7-D7</f>
        <v>52.031779520786515</v>
      </c>
      <c r="F7" s="66">
        <f>E7/[1]Sheet1!D7</f>
        <v>0.35986592870920026</v>
      </c>
      <c r="G7" s="75">
        <f>E7*Supporting!$A$15/(Supporting!$A$48/1000)</f>
        <v>45.766172562786039</v>
      </c>
      <c r="H7" s="68">
        <f>Results!J77</f>
        <v>64.518928571428575</v>
      </c>
      <c r="I7" s="68">
        <f>Results!J86</f>
        <v>18.926071428571429</v>
      </c>
      <c r="J7" s="69">
        <f t="shared" si="0"/>
        <v>45.592857142857142</v>
      </c>
      <c r="K7" s="67">
        <f t="shared" si="1"/>
        <v>0.70665862177766214</v>
      </c>
      <c r="L7" s="74">
        <f>J7*Supporting!$A$15/(Supporting!$A$48/1000)</f>
        <v>40.102617801047117</v>
      </c>
      <c r="M7" s="65">
        <f>E7*Supporting!$A$11+J7*Supporting!$A$12</f>
        <v>65.709636663643664</v>
      </c>
    </row>
    <row r="8" spans="2:14" ht="12.75" customHeight="1" x14ac:dyDescent="0.3">
      <c r="B8" s="64">
        <f t="shared" si="2"/>
        <v>5</v>
      </c>
      <c r="C8" s="68">
        <f>Results!O102</f>
        <v>155.69159166666668</v>
      </c>
      <c r="D8" s="68">
        <f>Results!O111</f>
        <v>102.57250953025034</v>
      </c>
      <c r="E8" s="69">
        <f>[1]Sheet1!D8-D8</f>
        <v>53.119082136416338</v>
      </c>
      <c r="F8" s="66">
        <f>E8/[1]Sheet1!D8</f>
        <v>0.3411814444683916</v>
      </c>
      <c r="G8" s="75">
        <f>E8*Supporting!$A$15/(Supporting!$A$48/1000)</f>
        <v>46.722543449832166</v>
      </c>
      <c r="H8" s="68">
        <f>Results!J102</f>
        <v>64.925476190476189</v>
      </c>
      <c r="I8" s="68">
        <f>Results!J111</f>
        <v>20.087619047619047</v>
      </c>
      <c r="J8" s="69">
        <f t="shared" si="0"/>
        <v>44.837857142857146</v>
      </c>
      <c r="K8" s="67">
        <f t="shared" si="1"/>
        <v>0.69060497933528187</v>
      </c>
      <c r="L8" s="74">
        <f>J8*Supporting!$A$15/(Supporting!$A$48/1000)</f>
        <v>39.438534031413617</v>
      </c>
      <c r="M8" s="65">
        <f>E8*Supporting!$A$11+J8*Supporting!$A$12</f>
        <v>66.570439279273486</v>
      </c>
    </row>
    <row r="9" spans="2:14" x14ac:dyDescent="0.3">
      <c r="B9" s="64">
        <f t="shared" si="2"/>
        <v>6</v>
      </c>
      <c r="C9" s="68">
        <f>Results!O127</f>
        <v>138.73611547619049</v>
      </c>
      <c r="D9" s="68">
        <f>Results!O136</f>
        <v>86.623035954975862</v>
      </c>
      <c r="E9" s="69">
        <f>[1]Sheet1!D9-D9</f>
        <v>52.11307952121463</v>
      </c>
      <c r="F9" s="66">
        <f>E9/[1]Sheet1!D9</f>
        <v>0.37562735083323084</v>
      </c>
      <c r="G9" s="75">
        <f>E9*Supporting!$A$15/(Supporting!$A$48/1000)</f>
        <v>45.837682510806587</v>
      </c>
      <c r="H9" s="68">
        <f>Results!J127</f>
        <v>64.409285714285716</v>
      </c>
      <c r="I9" s="68">
        <f>Results!J136</f>
        <v>18.191547619047618</v>
      </c>
      <c r="J9" s="69">
        <f>H9-I9</f>
        <v>46.217738095238097</v>
      </c>
      <c r="K9" s="67">
        <f>J9/H9</f>
        <v>0.71756327651662177</v>
      </c>
      <c r="L9" s="74">
        <f>J9*Supporting!$A$15/(Supporting!$A$48/1000)</f>
        <v>40.652251308900524</v>
      </c>
      <c r="M9" s="65">
        <f>E9*Supporting!$A$11+J9*Supporting!$A$12</f>
        <v>65.978400949786064</v>
      </c>
    </row>
    <row r="10" spans="2:14" x14ac:dyDescent="0.3">
      <c r="B10" s="64">
        <f t="shared" si="2"/>
        <v>7</v>
      </c>
      <c r="C10" s="68">
        <f>Results!O152</f>
        <v>135.90817976190476</v>
      </c>
      <c r="D10" s="68">
        <f>Results!O161</f>
        <v>84.42254303323503</v>
      </c>
      <c r="E10" s="69">
        <f>[1]Sheet1!D10-D10</f>
        <v>51.485636728669732</v>
      </c>
      <c r="F10" s="66">
        <f>E10/[1]Sheet1!D10</f>
        <v>0.37882662264233502</v>
      </c>
      <c r="G10" s="75">
        <f>E10*Supporting!$A$15/(Supporting!$A$48/1000)</f>
        <v>45.285795656630967</v>
      </c>
      <c r="H10" s="68">
        <f>Results!J152</f>
        <v>64.168690476190477</v>
      </c>
      <c r="I10" s="68">
        <f>Results!J161</f>
        <v>17.872142857142858</v>
      </c>
      <c r="J10" s="69">
        <f t="shared" ref="J10:J11" si="3">H10-I10</f>
        <v>46.296547619047615</v>
      </c>
      <c r="K10" s="67">
        <f t="shared" ref="K10:K11" si="4">J10/H10</f>
        <v>0.72148188276065495</v>
      </c>
      <c r="L10" s="74">
        <f>J10*Supporting!$A$15/(Supporting!$A$48/1000)</f>
        <v>40.721570680628268</v>
      </c>
      <c r="M10" s="65">
        <f>E10*Supporting!$A$11+J10*Supporting!$A$12</f>
        <v>65.374601014384012</v>
      </c>
    </row>
    <row r="11" spans="2:14" x14ac:dyDescent="0.3">
      <c r="B11" s="64">
        <f t="shared" si="2"/>
        <v>8</v>
      </c>
      <c r="C11" s="68">
        <f>Results!O177</f>
        <v>131.25083214285715</v>
      </c>
      <c r="D11" s="68">
        <f>Results!O186</f>
        <v>80.231688185687844</v>
      </c>
      <c r="E11" s="69">
        <f>[1]Sheet1!D11-D11</f>
        <v>51.019143957169305</v>
      </c>
      <c r="F11" s="66">
        <f>E11/[1]Sheet1!D11</f>
        <v>0.38871482278785563</v>
      </c>
      <c r="G11" s="75">
        <f>E11*Supporting!$A$15/(Supporting!$A$48/1000)</f>
        <v>44.87547740735311</v>
      </c>
      <c r="H11" s="68">
        <f>Results!J177</f>
        <v>63.974047619047617</v>
      </c>
      <c r="I11" s="68">
        <f>Results!J186</f>
        <v>17.435714285714283</v>
      </c>
      <c r="J11" s="69">
        <f t="shared" si="3"/>
        <v>46.538333333333334</v>
      </c>
      <c r="K11" s="67">
        <f t="shared" si="4"/>
        <v>0.72745644625238659</v>
      </c>
      <c r="L11" s="74">
        <f>J11*Supporting!$A$15/(Supporting!$A$48/1000)</f>
        <v>40.934240837696336</v>
      </c>
      <c r="M11" s="65">
        <f>E11*Supporting!$A$11+J11*Supporting!$A$12</f>
        <v>64.980643957169306</v>
      </c>
    </row>
    <row r="12" spans="2:14" ht="14.5" x14ac:dyDescent="0.35">
      <c r="B12" s="64">
        <f t="shared" si="2"/>
        <v>9</v>
      </c>
      <c r="C12" s="68">
        <f>Results!O202</f>
        <v>131.97858571428574</v>
      </c>
      <c r="D12" s="68">
        <f>Results!O211</f>
        <v>81.048107586147651</v>
      </c>
      <c r="E12" s="69">
        <f>[1]Sheet1!D12-D12</f>
        <v>50.930478128138091</v>
      </c>
      <c r="F12" s="66">
        <f>E12/[1]Sheet1!D12</f>
        <v>0.38589955978460855</v>
      </c>
      <c r="G12" s="75">
        <f>E12*Supporting!$A$15/(Supporting!$A$48/1000)</f>
        <v>44.797488615325655</v>
      </c>
      <c r="H12" s="68">
        <f>Results!J202</f>
        <v>64.063333333333333</v>
      </c>
      <c r="I12" s="68">
        <f>Results!J211</f>
        <v>17.564880952380953</v>
      </c>
      <c r="J12" s="69">
        <f>H12-I12</f>
        <v>46.498452380952379</v>
      </c>
      <c r="K12" s="67">
        <f>J12/H12</f>
        <v>0.72582005901897673</v>
      </c>
      <c r="L12" s="74">
        <f>J12*Supporting!$A$15/(Supporting!$A$48/1000)</f>
        <v>40.899162303664923</v>
      </c>
      <c r="M12" s="65">
        <f>E12*Supporting!$A$11+J12*Supporting!$A$12</f>
        <v>64.880013842423807</v>
      </c>
      <c r="N12" s="45"/>
    </row>
    <row r="13" spans="2:14" ht="14.5" x14ac:dyDescent="0.35">
      <c r="B13" s="64">
        <f t="shared" si="2"/>
        <v>10</v>
      </c>
      <c r="C13" s="68">
        <f>Results!O227</f>
        <v>130.9017511904762</v>
      </c>
      <c r="D13" s="68">
        <f>Results!O236</f>
        <v>80.485214352907647</v>
      </c>
      <c r="E13" s="69">
        <f>[1]Sheet1!D13-D13</f>
        <v>50.416536837568557</v>
      </c>
      <c r="F13" s="66">
        <f>E13/[1]Sheet1!D13</f>
        <v>0.3851479172666456</v>
      </c>
      <c r="G13" s="75">
        <f>E13*Supporting!$A$15/(Supporting!$A$48/1000)</f>
        <v>44.345435542992234</v>
      </c>
      <c r="H13" s="68">
        <f>Results!J227</f>
        <v>63.968690476190474</v>
      </c>
      <c r="I13" s="68">
        <f>Results!J236</f>
        <v>17.460476190476193</v>
      </c>
      <c r="J13" s="69">
        <f t="shared" ref="J13:J16" si="5">H13-I13</f>
        <v>46.508214285714281</v>
      </c>
      <c r="K13" s="67">
        <f t="shared" ref="K13:K16" si="6">J13/H13</f>
        <v>0.7270465275981367</v>
      </c>
      <c r="L13" s="74">
        <f>J13*Supporting!$A$15/(Supporting!$A$48/1000)</f>
        <v>40.907748691099471</v>
      </c>
      <c r="M13" s="65">
        <f>E13*Supporting!$A$11+J13*Supporting!$A$12</f>
        <v>64.369001123282843</v>
      </c>
      <c r="N13" s="45"/>
    </row>
    <row r="14" spans="2:14" ht="14.5" x14ac:dyDescent="0.35">
      <c r="B14" s="64">
        <f t="shared" si="2"/>
        <v>11</v>
      </c>
      <c r="C14" s="68">
        <f>Results!O252</f>
        <v>135.21809642857144</v>
      </c>
      <c r="D14" s="68">
        <f>Results!O261</f>
        <v>84.929033420610025</v>
      </c>
      <c r="E14" s="69">
        <f>[1]Sheet1!D14-D14</f>
        <v>50.289063007961417</v>
      </c>
      <c r="F14" s="66">
        <f>E14/[1]Sheet1!D14</f>
        <v>0.37191074520507295</v>
      </c>
      <c r="G14" s="75">
        <f>E14*Supporting!$A$15/(Supporting!$A$48/1000)</f>
        <v>44.233311965117899</v>
      </c>
      <c r="H14" s="68">
        <f>Results!J252</f>
        <v>64.024166666666659</v>
      </c>
      <c r="I14" s="68">
        <f>Results!J261</f>
        <v>18.091547619047621</v>
      </c>
      <c r="J14" s="69">
        <f t="shared" si="5"/>
        <v>45.932619047619042</v>
      </c>
      <c r="K14" s="67">
        <f t="shared" si="6"/>
        <v>0.71742626947041943</v>
      </c>
      <c r="L14" s="74">
        <f>J14*Supporting!$A$15/(Supporting!$A$48/1000)</f>
        <v>40.401465968586386</v>
      </c>
      <c r="M14" s="65">
        <f>E14*Supporting!$A$11+J14*Supporting!$A$12</f>
        <v>64.068848722247125</v>
      </c>
      <c r="N14" s="45"/>
    </row>
    <row r="15" spans="2:14" ht="14.5" x14ac:dyDescent="0.35">
      <c r="B15" s="64">
        <f t="shared" si="2"/>
        <v>12</v>
      </c>
      <c r="C15" s="68">
        <f>Results!O277</f>
        <v>141.26324285714287</v>
      </c>
      <c r="D15" s="68">
        <f>Results!O286</f>
        <v>90.045123216796341</v>
      </c>
      <c r="E15" s="69">
        <f>[1]Sheet1!D15-D15</f>
        <v>51.218119640346529</v>
      </c>
      <c r="F15" s="66">
        <f>E15/[1]Sheet1!D15</f>
        <v>0.36257216388655716</v>
      </c>
      <c r="G15" s="75">
        <f>E15*Supporting!$A$15/(Supporting!$A$48/1000)</f>
        <v>45.050492667948781</v>
      </c>
      <c r="H15" s="68">
        <f>Results!J277</f>
        <v>64.443095238095239</v>
      </c>
      <c r="I15" s="68">
        <f>Results!J286</f>
        <v>18.627857142857142</v>
      </c>
      <c r="J15" s="69">
        <f t="shared" si="5"/>
        <v>45.815238095238101</v>
      </c>
      <c r="K15" s="67">
        <f t="shared" si="6"/>
        <v>0.71094099260698818</v>
      </c>
      <c r="L15" s="74">
        <f>J15*Supporting!$A$15/(Supporting!$A$48/1000)</f>
        <v>40.298219895287964</v>
      </c>
      <c r="M15" s="65">
        <f>E15*Supporting!$A$11+J15*Supporting!$A$12</f>
        <v>64.962691068917962</v>
      </c>
      <c r="N15" s="45"/>
    </row>
    <row r="16" spans="2:14" ht="14.5" x14ac:dyDescent="0.35">
      <c r="B16" s="64">
        <f t="shared" si="2"/>
        <v>13</v>
      </c>
      <c r="C16" s="68">
        <f>Results!O302</f>
        <v>131.14859166666665</v>
      </c>
      <c r="D16" s="68">
        <f>Results!O311</f>
        <v>81.385262507016051</v>
      </c>
      <c r="E16" s="69">
        <f>[1]Sheet1!D16-D16</f>
        <v>49.763329159650596</v>
      </c>
      <c r="F16" s="66">
        <f>E16/[1]Sheet1!D16</f>
        <v>0.37944234495579932</v>
      </c>
      <c r="G16" s="75">
        <f>E16*Supporting!$A$15/(Supporting!$A$48/1000)</f>
        <v>43.770886381263345</v>
      </c>
      <c r="H16" s="68">
        <f>Results!J302</f>
        <v>63.744404761904761</v>
      </c>
      <c r="I16" s="68">
        <f>Results!J311</f>
        <v>17.638571428571431</v>
      </c>
      <c r="J16" s="69">
        <f t="shared" si="5"/>
        <v>46.105833333333329</v>
      </c>
      <c r="K16" s="67">
        <f t="shared" si="6"/>
        <v>0.72329224040205209</v>
      </c>
      <c r="L16" s="74">
        <f>J16*Supporting!$A$15/(Supporting!$A$48/1000)</f>
        <v>40.553821989528792</v>
      </c>
      <c r="M16" s="65">
        <f>E16*Supporting!$A$11+J16*Supporting!$A$12</f>
        <v>63.595079159650595</v>
      </c>
      <c r="N16" s="45"/>
    </row>
    <row r="17" spans="2:14" ht="14.5" x14ac:dyDescent="0.35">
      <c r="B17" s="64">
        <f t="shared" si="2"/>
        <v>14</v>
      </c>
      <c r="C17" s="68">
        <f>Results!O327</f>
        <v>137.24305000000001</v>
      </c>
      <c r="D17" s="68">
        <f>Results!O336</f>
        <v>86.781328830654289</v>
      </c>
      <c r="E17" s="69">
        <f>[1]Sheet1!D17-D17</f>
        <v>50.461721169345722</v>
      </c>
      <c r="F17" s="66">
        <f>E17/[1]Sheet1!D17</f>
        <v>0.36768143209689463</v>
      </c>
      <c r="G17" s="75">
        <f>E17*Supporting!$A$15/(Supporting!$A$48/1000)</f>
        <v>44.385178829581577</v>
      </c>
      <c r="H17" s="68">
        <f>Results!J327</f>
        <v>64.184285714285707</v>
      </c>
      <c r="I17" s="68">
        <f>Results!J336</f>
        <v>18.267857142857142</v>
      </c>
      <c r="J17" s="69">
        <f t="shared" ref="J17:J19" si="7">H17-I17</f>
        <v>45.916428571428568</v>
      </c>
      <c r="K17" s="67">
        <f t="shared" ref="K17:K19" si="8">J17/H17</f>
        <v>0.71538427296400986</v>
      </c>
      <c r="L17" s="74">
        <f>J17*Supporting!$A$15/(Supporting!$A$48/1000)</f>
        <v>40.387225130890045</v>
      </c>
      <c r="M17" s="65">
        <f>E17*Supporting!$A$11+J17*Supporting!$A$12</f>
        <v>64.236649740774297</v>
      </c>
      <c r="N17" s="45"/>
    </row>
    <row r="18" spans="2:14" ht="14.5" x14ac:dyDescent="0.35">
      <c r="B18" s="64">
        <f t="shared" si="2"/>
        <v>15</v>
      </c>
      <c r="C18" s="68">
        <f>Results!O352</f>
        <v>98.540791666666664</v>
      </c>
      <c r="D18" s="68">
        <f>Results!O361</f>
        <v>54.32376851290887</v>
      </c>
      <c r="E18" s="69">
        <f>[1]Sheet1!D18-D18</f>
        <v>44.217023153757793</v>
      </c>
      <c r="F18" s="66">
        <f>E18/[1]Sheet1!D18</f>
        <v>0.44871796142383802</v>
      </c>
      <c r="G18" s="75">
        <f>E18*Supporting!$A$15/(Supporting!$A$48/1000)</f>
        <v>38.89246015618486</v>
      </c>
      <c r="H18" s="68">
        <f>Results!J352</f>
        <v>61.534999999999997</v>
      </c>
      <c r="I18" s="68">
        <f>Results!J361</f>
        <v>14.911785714285713</v>
      </c>
      <c r="J18" s="69">
        <f t="shared" si="7"/>
        <v>46.623214285714283</v>
      </c>
      <c r="K18" s="67">
        <f t="shared" si="8"/>
        <v>0.75766985107197993</v>
      </c>
      <c r="L18" s="74">
        <f>J18*Supporting!$A$15/(Supporting!$A$48/1000)</f>
        <v>41.008900523560207</v>
      </c>
      <c r="M18" s="65">
        <f>E18*Supporting!$A$11+J18*Supporting!$A$12</f>
        <v>58.20398743947208</v>
      </c>
      <c r="N18" s="45"/>
    </row>
    <row r="19" spans="2:14" x14ac:dyDescent="0.3">
      <c r="B19" s="64">
        <f t="shared" si="2"/>
        <v>16</v>
      </c>
      <c r="C19" s="68">
        <f>Results!O377</f>
        <v>168.57754404761906</v>
      </c>
      <c r="D19" s="68">
        <f>Results!O386</f>
        <v>116.04734687351203</v>
      </c>
      <c r="E19" s="69">
        <f>[1]Sheet1!D19-D19</f>
        <v>52.53019717410703</v>
      </c>
      <c r="F19" s="66">
        <f>E19/[1]Sheet1!D19</f>
        <v>0.31160850913374633</v>
      </c>
      <c r="G19" s="75">
        <f>E19*Supporting!$A$15/(Supporting!$A$48/1000)</f>
        <v>46.204571336387332</v>
      </c>
      <c r="H19" s="68">
        <f>Results!J377</f>
        <v>65.018095238095242</v>
      </c>
      <c r="I19" s="68">
        <f>Results!J386</f>
        <v>21.701666666666668</v>
      </c>
      <c r="J19" s="69">
        <f t="shared" si="7"/>
        <v>43.316428571428574</v>
      </c>
      <c r="K19" s="67">
        <f t="shared" si="8"/>
        <v>0.66622112525450794</v>
      </c>
      <c r="L19" s="74">
        <f>J19*Supporting!$A$15/(Supporting!$A$48/1000)</f>
        <v>38.100314136125661</v>
      </c>
      <c r="M19" s="65">
        <f>E19*Supporting!$A$11+J19*Supporting!$A$12</f>
        <v>65.525125745535604</v>
      </c>
    </row>
    <row r="21" spans="2:14" x14ac:dyDescent="0.3">
      <c r="C21" s="80">
        <f>AVERAGE([1]Sheet1!D4:D19)</f>
        <v>141.00284776785716</v>
      </c>
    </row>
  </sheetData>
  <mergeCells count="4">
    <mergeCell ref="B2:B3"/>
    <mergeCell ref="M2:M3"/>
    <mergeCell ref="C2:G2"/>
    <mergeCell ref="H2:L2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C1DCF4-DDF9-44B5-9ACD-0BE08C44AF0A}">
  <dimension ref="A1:AC399"/>
  <sheetViews>
    <sheetView zoomScale="85" zoomScaleNormal="85" workbookViewId="0">
      <pane ySplit="1" topLeftCell="A2" activePane="bottomLeft" state="frozen"/>
      <selection pane="bottomLeft" activeCell="C28" sqref="C28"/>
    </sheetView>
  </sheetViews>
  <sheetFormatPr defaultRowHeight="14.5" x14ac:dyDescent="0.35"/>
  <cols>
    <col min="1" max="1" width="8.6328125" bestFit="1" customWidth="1"/>
    <col min="2" max="2" width="17.08984375" customWidth="1"/>
    <col min="3" max="3" width="13.90625" style="20" customWidth="1"/>
    <col min="4" max="4" width="11.36328125" style="20" customWidth="1"/>
    <col min="5" max="5" width="8.54296875" style="20" customWidth="1"/>
    <col min="6" max="6" width="10.6328125" style="62" customWidth="1"/>
    <col min="7" max="7" width="2.54296875" customWidth="1"/>
    <col min="8" max="8" width="17.6328125" customWidth="1"/>
    <col min="9" max="9" width="11.36328125" style="20" customWidth="1"/>
    <col min="10" max="10" width="10.6328125" style="20" customWidth="1"/>
    <col min="11" max="11" width="2.54296875" customWidth="1"/>
    <col min="12" max="12" width="17.453125" customWidth="1"/>
    <col min="13" max="13" width="11.36328125" style="20" customWidth="1"/>
    <col min="14" max="14" width="13.90625" style="20" customWidth="1"/>
    <col min="15" max="15" width="8.54296875" style="20" customWidth="1"/>
    <col min="16" max="16" width="2.54296875" customWidth="1"/>
    <col min="17" max="17" width="17.08984375" bestFit="1" customWidth="1"/>
    <col min="18" max="18" width="13.54296875" style="20" customWidth="1"/>
    <col min="19" max="19" width="15.08984375" style="20" customWidth="1"/>
    <col min="20" max="20" width="11.6328125" style="20" customWidth="1"/>
    <col min="21" max="21" width="9.08984375" style="20" customWidth="1"/>
    <col min="22" max="22" width="2.54296875" customWidth="1"/>
    <col min="23" max="23" width="10.54296875" customWidth="1"/>
    <col min="25" max="25" width="13.453125" customWidth="1"/>
    <col min="26" max="26" width="13.90625" bestFit="1" customWidth="1"/>
    <col min="27" max="27" width="13.453125" customWidth="1"/>
  </cols>
  <sheetData>
    <row r="1" spans="1:29" s="9" customFormat="1" ht="58" x14ac:dyDescent="0.35">
      <c r="A1" s="9" t="s">
        <v>138</v>
      </c>
      <c r="C1" s="23" t="s">
        <v>34</v>
      </c>
      <c r="D1" s="24" t="s">
        <v>43</v>
      </c>
      <c r="E1" s="24" t="s">
        <v>44</v>
      </c>
      <c r="F1" s="25" t="s">
        <v>47</v>
      </c>
      <c r="G1" s="55"/>
      <c r="H1" s="26"/>
      <c r="I1" s="23" t="s">
        <v>37</v>
      </c>
      <c r="J1" s="23" t="s">
        <v>45</v>
      </c>
      <c r="K1" s="55"/>
      <c r="L1" s="26"/>
      <c r="M1" s="23" t="s">
        <v>38</v>
      </c>
      <c r="N1" s="23" t="s">
        <v>75</v>
      </c>
      <c r="O1" s="23" t="s">
        <v>44</v>
      </c>
      <c r="P1" s="55"/>
      <c r="Q1" s="26"/>
      <c r="R1" s="23" t="s">
        <v>39</v>
      </c>
      <c r="S1" s="23" t="s">
        <v>19</v>
      </c>
      <c r="T1" s="23" t="s">
        <v>20</v>
      </c>
      <c r="U1" s="23" t="s">
        <v>46</v>
      </c>
      <c r="V1" s="55"/>
      <c r="W1" s="9" t="s">
        <v>76</v>
      </c>
      <c r="Y1" s="23" t="s">
        <v>144</v>
      </c>
      <c r="Z1" s="23" t="s">
        <v>142</v>
      </c>
      <c r="AA1" s="23" t="s">
        <v>145</v>
      </c>
      <c r="AB1" s="9" t="s">
        <v>143</v>
      </c>
    </row>
    <row r="2" spans="1:29" s="4" customFormat="1" x14ac:dyDescent="0.35">
      <c r="A2" s="10">
        <v>1</v>
      </c>
      <c r="B2" s="4" t="s">
        <v>14</v>
      </c>
      <c r="C2" s="16">
        <v>891756.48</v>
      </c>
      <c r="D2" s="17">
        <f>ABS(C2/100/W$202)</f>
        <v>11146.956075411017</v>
      </c>
      <c r="E2" s="17">
        <f>D2/Supporting!$A$15</f>
        <v>132.70185804060733</v>
      </c>
      <c r="F2" s="11">
        <f>ABS(C2/C7)</f>
        <v>0.76953697803475674</v>
      </c>
      <c r="G2" s="56"/>
      <c r="H2" s="4" t="s">
        <v>33</v>
      </c>
      <c r="I2" s="16">
        <v>5480.29</v>
      </c>
      <c r="J2" s="17">
        <f>I2/Supporting!$A$15</f>
        <v>65.241547619047623</v>
      </c>
      <c r="K2" s="56"/>
      <c r="L2" s="4" t="s">
        <v>32</v>
      </c>
      <c r="M2" s="17">
        <f>N2/100</f>
        <v>14263.071599999999</v>
      </c>
      <c r="N2" s="16">
        <v>1426307.16</v>
      </c>
      <c r="O2" s="22">
        <f>M2/Supporting!$A$15</f>
        <v>169.79847142857142</v>
      </c>
      <c r="P2" s="56"/>
      <c r="Q2" s="4" t="s">
        <v>11</v>
      </c>
      <c r="R2" s="16">
        <v>266635.18</v>
      </c>
      <c r="S2" s="15">
        <f>R2*Supporting!$A$2</f>
        <v>1994569.7966936</v>
      </c>
      <c r="T2" s="15">
        <f>S2/Supporting!$A$15</f>
        <v>23744.878532066668</v>
      </c>
      <c r="U2" s="15">
        <f>T2/365</f>
        <v>65.0544617316895</v>
      </c>
      <c r="V2" s="56"/>
      <c r="W2" s="34">
        <f>C3/N2</f>
        <v>0.80000000140222249</v>
      </c>
      <c r="Y2"/>
      <c r="Z2"/>
      <c r="AA2"/>
      <c r="AB2" s="47"/>
      <c r="AC2" s="4" t="s">
        <v>124</v>
      </c>
    </row>
    <row r="3" spans="1:29" s="4" customFormat="1" x14ac:dyDescent="0.35">
      <c r="A3" s="10" t="s">
        <v>139</v>
      </c>
      <c r="B3" s="4" t="s">
        <v>15</v>
      </c>
      <c r="C3" s="16">
        <v>1141045.73</v>
      </c>
      <c r="D3" s="17">
        <f>ABS(C3/100/W$202)</f>
        <v>14263.071721492061</v>
      </c>
      <c r="E3" s="17">
        <f>D3/Supporting!$A$15</f>
        <v>169.79847287490549</v>
      </c>
      <c r="F3" s="60"/>
      <c r="G3" s="56"/>
      <c r="I3" s="15"/>
      <c r="J3" s="17"/>
      <c r="K3" s="56"/>
      <c r="M3" s="15"/>
      <c r="O3" s="15"/>
      <c r="P3" s="56"/>
      <c r="Q3" s="4" t="s">
        <v>12</v>
      </c>
      <c r="R3" s="16">
        <v>203939.13</v>
      </c>
      <c r="S3" s="15">
        <f>R3*Supporting!$A$2</f>
        <v>1525570.7407476001</v>
      </c>
      <c r="T3" s="15">
        <f>S3/Supporting!$A$15</f>
        <v>18161.55643747143</v>
      </c>
      <c r="U3" s="22">
        <f>T3/365</f>
        <v>49.757688869784744</v>
      </c>
      <c r="V3" s="56"/>
      <c r="W3" s="32"/>
      <c r="AB3" s="48"/>
      <c r="AC3" s="4" t="s">
        <v>125</v>
      </c>
    </row>
    <row r="4" spans="1:29" s="4" customFormat="1" x14ac:dyDescent="0.35">
      <c r="A4" s="10"/>
      <c r="B4" s="4" t="s">
        <v>16</v>
      </c>
      <c r="C4" s="16">
        <v>-5158.3</v>
      </c>
      <c r="D4" s="17">
        <f>ABS(C4/100/W$202)</f>
        <v>64.478750436209509</v>
      </c>
      <c r="E4" s="17">
        <f>D4/Supporting!$A$15</f>
        <v>0.76760417185963703</v>
      </c>
      <c r="F4" s="11">
        <f>ABS(C4/C7)</f>
        <v>4.4513302485861229E-3</v>
      </c>
      <c r="G4" s="56"/>
      <c r="I4" s="15"/>
      <c r="J4" s="17"/>
      <c r="K4" s="56"/>
      <c r="M4" s="15"/>
      <c r="N4" s="15"/>
      <c r="O4" s="15"/>
      <c r="P4" s="56"/>
      <c r="Q4" s="4" t="s">
        <v>13</v>
      </c>
      <c r="R4" s="16">
        <f>R2-R3</f>
        <v>62696.049999999988</v>
      </c>
      <c r="S4" s="15">
        <f>R4*Supporting!$A$2</f>
        <v>468999.05594599992</v>
      </c>
      <c r="T4" s="15">
        <f>S4/Supporting!$A$15</f>
        <v>5583.3220945952371</v>
      </c>
      <c r="U4" s="15">
        <f>T4/365</f>
        <v>15.29677286190476</v>
      </c>
      <c r="V4" s="56"/>
      <c r="W4" s="32"/>
      <c r="AB4" s="51"/>
      <c r="AC4" s="4" t="s">
        <v>127</v>
      </c>
    </row>
    <row r="5" spans="1:29" s="4" customFormat="1" x14ac:dyDescent="0.35">
      <c r="A5" s="10"/>
      <c r="B5" s="4" t="s">
        <v>17</v>
      </c>
      <c r="C5" s="16">
        <v>260753.27</v>
      </c>
      <c r="D5" s="17">
        <f>ABS(C5/100/W$202)</f>
        <v>3259.4158970504918</v>
      </c>
      <c r="E5" s="17">
        <f>D5/Supporting!$A$15</f>
        <v>38.802570202982047</v>
      </c>
      <c r="F5" s="11">
        <f>ABS(C5/C7)</f>
        <v>0.22501578391499999</v>
      </c>
      <c r="G5" s="56"/>
      <c r="I5" s="15"/>
      <c r="J5" s="17"/>
      <c r="K5" s="56"/>
      <c r="M5" s="15"/>
      <c r="N5" s="15"/>
      <c r="O5" s="15"/>
      <c r="P5" s="56"/>
      <c r="R5" s="15"/>
      <c r="S5" s="15"/>
      <c r="T5" s="15"/>
      <c r="U5" s="15"/>
      <c r="V5" s="56"/>
      <c r="W5" s="32"/>
      <c r="AB5" s="50"/>
      <c r="AC5" s="6" t="s">
        <v>126</v>
      </c>
    </row>
    <row r="6" spans="1:29" s="4" customFormat="1" x14ac:dyDescent="0.35">
      <c r="A6" s="10"/>
      <c r="B6" s="4" t="s">
        <v>54</v>
      </c>
      <c r="C6" s="16">
        <v>17776.400000000001</v>
      </c>
      <c r="D6" s="17">
        <f>ABS(C6/100/W$202)</f>
        <v>222.20500150325392</v>
      </c>
      <c r="E6" s="17">
        <f>D6/Supporting!$A$15</f>
        <v>2.6452976369434991</v>
      </c>
      <c r="F6" s="60"/>
      <c r="G6" s="56"/>
      <c r="H6" s="39"/>
      <c r="I6" s="15"/>
      <c r="J6" s="17"/>
      <c r="K6" s="56"/>
      <c r="M6" s="15"/>
      <c r="N6" s="15"/>
      <c r="O6" s="15"/>
      <c r="P6" s="56"/>
      <c r="R6" s="15"/>
      <c r="S6" s="15"/>
      <c r="T6" s="15"/>
      <c r="U6" s="15"/>
      <c r="V6" s="56"/>
      <c r="W6" s="32"/>
    </row>
    <row r="7" spans="1:29" s="4" customFormat="1" x14ac:dyDescent="0.35">
      <c r="A7" s="10"/>
      <c r="B7" s="4" t="s">
        <v>29</v>
      </c>
      <c r="C7" s="17">
        <f>C3+C6</f>
        <v>1158822.1299999999</v>
      </c>
      <c r="D7" s="17">
        <f t="shared" ref="D7:E7" si="0">D3+D6</f>
        <v>14485.276722995315</v>
      </c>
      <c r="E7" s="17">
        <f t="shared" si="0"/>
        <v>172.44377051184898</v>
      </c>
      <c r="F7" s="60"/>
      <c r="G7" s="56"/>
      <c r="I7" s="15"/>
      <c r="J7" s="17"/>
      <c r="K7" s="56"/>
      <c r="M7" s="15"/>
      <c r="N7" s="15"/>
      <c r="O7" s="15"/>
      <c r="P7" s="56"/>
      <c r="R7" s="15"/>
      <c r="S7" s="15"/>
      <c r="T7" s="15"/>
      <c r="U7" s="15"/>
      <c r="V7" s="56"/>
      <c r="W7" s="32"/>
    </row>
    <row r="8" spans="1:29" s="4" customFormat="1" x14ac:dyDescent="0.35">
      <c r="A8" s="10"/>
      <c r="B8" s="6" t="s">
        <v>21</v>
      </c>
      <c r="C8" s="17">
        <f>C2-C4+C5</f>
        <v>1157668.05</v>
      </c>
      <c r="D8" s="17">
        <f t="shared" ref="D8:E8" si="1">D2-D4+D5</f>
        <v>14341.893222025299</v>
      </c>
      <c r="E8" s="17">
        <f t="shared" si="1"/>
        <v>170.73682407172976</v>
      </c>
      <c r="F8" s="11">
        <f>SUM(F2:F5)</f>
        <v>0.99900409219834285</v>
      </c>
      <c r="G8" s="57"/>
      <c r="I8" s="15"/>
      <c r="J8" s="17"/>
      <c r="K8" s="57"/>
      <c r="M8" s="15"/>
      <c r="N8" s="15"/>
      <c r="O8" s="15"/>
      <c r="P8" s="57"/>
      <c r="R8" s="15"/>
      <c r="S8" s="15"/>
      <c r="T8" s="15"/>
      <c r="U8" s="15"/>
      <c r="V8" s="57"/>
      <c r="W8" s="32"/>
      <c r="X8"/>
      <c r="Y8"/>
      <c r="Z8"/>
      <c r="AA8"/>
    </row>
    <row r="9" spans="1:29" s="4" customFormat="1" x14ac:dyDescent="0.35">
      <c r="A9" s="10"/>
      <c r="B9" s="6" t="s">
        <v>30</v>
      </c>
      <c r="C9" s="15">
        <f>C7-C8</f>
        <v>1154.0799999998417</v>
      </c>
      <c r="D9" s="15">
        <f t="shared" ref="D9:E9" si="2">D7-D8</f>
        <v>143.38350097001603</v>
      </c>
      <c r="E9" s="15">
        <f t="shared" si="2"/>
        <v>1.7069464401192249</v>
      </c>
      <c r="F9" s="11">
        <f>ABS(C9/C7)</f>
        <v>9.9590780165705137E-4</v>
      </c>
      <c r="G9" s="57"/>
      <c r="I9" s="15"/>
      <c r="J9" s="17"/>
      <c r="K9" s="57"/>
      <c r="M9" s="15"/>
      <c r="N9" s="15"/>
      <c r="O9" s="15"/>
      <c r="P9" s="57"/>
      <c r="R9" s="15"/>
      <c r="S9" s="15"/>
      <c r="T9" s="15"/>
      <c r="U9" s="15"/>
      <c r="V9" s="57"/>
      <c r="W9" s="32"/>
      <c r="X9"/>
      <c r="Y9"/>
      <c r="Z9"/>
      <c r="AA9"/>
    </row>
    <row r="10" spans="1:29" s="4" customFormat="1" x14ac:dyDescent="0.35">
      <c r="A10" s="14"/>
      <c r="B10" s="13"/>
      <c r="C10" s="18"/>
      <c r="D10" s="18"/>
      <c r="E10" s="18"/>
      <c r="F10" s="60"/>
      <c r="G10" s="56"/>
      <c r="H10" s="13"/>
      <c r="I10" s="18"/>
      <c r="J10" s="18"/>
      <c r="K10" s="56"/>
      <c r="L10" s="13"/>
      <c r="M10" s="18"/>
      <c r="N10" s="18"/>
      <c r="O10" s="18"/>
      <c r="P10" s="56"/>
      <c r="Q10" s="13"/>
      <c r="R10" s="18"/>
      <c r="S10" s="18"/>
      <c r="T10" s="18"/>
      <c r="U10" s="18"/>
      <c r="V10" s="56"/>
      <c r="W10" s="32"/>
      <c r="X10"/>
      <c r="Y10"/>
      <c r="Z10"/>
      <c r="AA10"/>
    </row>
    <row r="11" spans="1:29" s="4" customFormat="1" x14ac:dyDescent="0.35">
      <c r="A11" s="10">
        <v>1</v>
      </c>
      <c r="B11" s="4" t="s">
        <v>14</v>
      </c>
      <c r="C11" s="19">
        <v>891695.43</v>
      </c>
      <c r="D11" s="17">
        <f>ABS(C11/100/W$211)</f>
        <v>7656.5047794435313</v>
      </c>
      <c r="E11" s="17">
        <f>D11/Supporting!$A$15</f>
        <v>91.148866421946806</v>
      </c>
      <c r="F11" s="11">
        <f>ABS(C11/C16)</f>
        <v>0.8355204335126124</v>
      </c>
      <c r="G11" s="56"/>
      <c r="H11" s="4" t="s">
        <v>33</v>
      </c>
      <c r="I11" s="21">
        <v>1824.62</v>
      </c>
      <c r="J11" s="17">
        <f>I11/Supporting!$A$15</f>
        <v>21.721666666666664</v>
      </c>
      <c r="K11" s="56"/>
      <c r="L11" s="4" t="s">
        <v>32</v>
      </c>
      <c r="M11" s="17">
        <f>N11/100</f>
        <v>9725.2237067254864</v>
      </c>
      <c r="N11" s="52">
        <v>972522.37067254866</v>
      </c>
      <c r="O11" s="22">
        <f>M11/Supporting!$A$15</f>
        <v>115.77647269911293</v>
      </c>
      <c r="P11" s="56"/>
      <c r="Q11" s="4" t="s">
        <v>11</v>
      </c>
      <c r="R11" s="21">
        <v>266635.18</v>
      </c>
      <c r="S11" s="15">
        <f>R11*Supporting!$A$2</f>
        <v>1994569.7966936</v>
      </c>
      <c r="T11" s="15">
        <f>S11/Supporting!$A$15</f>
        <v>23744.878532066668</v>
      </c>
      <c r="U11" s="15">
        <f>T11/365</f>
        <v>65.0544617316895</v>
      </c>
      <c r="V11" s="56"/>
      <c r="W11" s="54">
        <f>C12/N11</f>
        <v>1.0913014157875327</v>
      </c>
      <c r="X11" s="45"/>
      <c r="Y11" s="17">
        <f>Z11/100</f>
        <v>11282.8781</v>
      </c>
      <c r="Z11" s="46">
        <v>1128287.81</v>
      </c>
      <c r="AA11" s="17">
        <f>Y11/Supporting!$A$15</f>
        <v>134.31997738095237</v>
      </c>
    </row>
    <row r="12" spans="1:29" s="4" customFormat="1" x14ac:dyDescent="0.35">
      <c r="A12" s="10" t="s">
        <v>140</v>
      </c>
      <c r="B12" s="4" t="s">
        <v>15</v>
      </c>
      <c r="C12" s="19">
        <v>1061315.04</v>
      </c>
      <c r="D12" s="17">
        <f>ABS(C12/100/W$211)</f>
        <v>9112.9363265384254</v>
      </c>
      <c r="E12" s="17">
        <f>D12/Supporting!$A$15</f>
        <v>108.48733722069554</v>
      </c>
      <c r="F12" s="60"/>
      <c r="G12" s="56"/>
      <c r="I12" s="15"/>
      <c r="J12" s="17"/>
      <c r="K12" s="56"/>
      <c r="M12" s="15"/>
      <c r="N12" s="15"/>
      <c r="O12" s="17"/>
      <c r="P12" s="56"/>
      <c r="Q12" s="4" t="s">
        <v>12</v>
      </c>
      <c r="R12" s="21">
        <v>211802.33</v>
      </c>
      <c r="S12" s="15">
        <f>R12*Supporting!$A$2</f>
        <v>1584391.5656115999</v>
      </c>
      <c r="T12" s="15">
        <f>S12/Supporting!$A$15</f>
        <v>18861.804352519048</v>
      </c>
      <c r="U12" s="22">
        <f>T12/365</f>
        <v>51.676176308271366</v>
      </c>
      <c r="V12" s="56"/>
      <c r="W12" s="32"/>
      <c r="X12"/>
      <c r="Y12"/>
      <c r="Z12"/>
      <c r="AA12"/>
    </row>
    <row r="13" spans="1:29" s="4" customFormat="1" x14ac:dyDescent="0.35">
      <c r="A13" s="10"/>
      <c r="B13" s="4" t="s">
        <v>16</v>
      </c>
      <c r="C13" s="19">
        <v>-5338.1</v>
      </c>
      <c r="D13" s="17">
        <f>ABS(C13/100/W$211)</f>
        <v>45.83536798337915</v>
      </c>
      <c r="E13" s="17">
        <f>D13/Supporting!$A$15</f>
        <v>0.54565914265927562</v>
      </c>
      <c r="F13" s="11">
        <f>ABS(C13/C16)</f>
        <v>5.0018105690344027E-3</v>
      </c>
      <c r="G13" s="56"/>
      <c r="I13" s="15"/>
      <c r="J13" s="17"/>
      <c r="K13" s="56"/>
      <c r="M13" s="15"/>
      <c r="N13" s="15"/>
      <c r="O13" s="17"/>
      <c r="P13" s="56"/>
      <c r="Q13" s="4" t="s">
        <v>13</v>
      </c>
      <c r="R13" s="21">
        <f>R11-R12</f>
        <v>54832.850000000006</v>
      </c>
      <c r="S13" s="15">
        <f>R13*Supporting!$A$2</f>
        <v>410178.23108200007</v>
      </c>
      <c r="T13" s="15">
        <f>S13/Supporting!$A$15</f>
        <v>4883.0741795476197</v>
      </c>
      <c r="U13" s="15">
        <f>T13/365</f>
        <v>13.378285423418136</v>
      </c>
      <c r="V13" s="56"/>
      <c r="W13" s="32"/>
      <c r="X13"/>
      <c r="Y13" s="4" t="s">
        <v>84</v>
      </c>
      <c r="Z13" s="33">
        <f>(N2-Z11)/N2</f>
        <v>0.20894471987366303</v>
      </c>
      <c r="AA13"/>
    </row>
    <row r="14" spans="1:29" s="4" customFormat="1" x14ac:dyDescent="0.35">
      <c r="A14" s="10"/>
      <c r="B14" s="4" t="s">
        <v>17</v>
      </c>
      <c r="C14" s="19">
        <v>166336.76</v>
      </c>
      <c r="D14" s="17">
        <f>ABS(C14/100/W$211)</f>
        <v>1428.2434955813908</v>
      </c>
      <c r="E14" s="17">
        <f>D14/Supporting!$A$15</f>
        <v>17.002898756921319</v>
      </c>
      <c r="F14" s="11">
        <f>ABS(C14/C16)</f>
        <v>0.15585788280229648</v>
      </c>
      <c r="G14" s="56"/>
      <c r="I14" s="15"/>
      <c r="J14" s="17"/>
      <c r="K14" s="56"/>
      <c r="M14" s="15"/>
      <c r="N14" s="15"/>
      <c r="O14" s="17"/>
      <c r="P14" s="56"/>
      <c r="R14" s="15"/>
      <c r="S14" s="15"/>
      <c r="T14" s="15"/>
      <c r="U14" s="15"/>
      <c r="V14" s="56"/>
      <c r="W14" s="32"/>
      <c r="X14"/>
      <c r="Y14"/>
      <c r="Z14"/>
      <c r="AA14"/>
    </row>
    <row r="15" spans="1:29" s="4" customFormat="1" x14ac:dyDescent="0.35">
      <c r="A15" s="10"/>
      <c r="B15" s="4" t="s">
        <v>54</v>
      </c>
      <c r="C15" s="19">
        <v>5918.5</v>
      </c>
      <c r="D15" s="17">
        <f>ABS(C15/100/W$211)</f>
        <v>50.818947829682756</v>
      </c>
      <c r="E15" s="17">
        <f>D15/Supporting!$A$15</f>
        <v>0.60498747416289</v>
      </c>
      <c r="F15" s="60"/>
      <c r="G15" s="56"/>
      <c r="I15" s="15"/>
      <c r="J15" s="17"/>
      <c r="K15" s="56"/>
      <c r="M15" s="15"/>
      <c r="N15" s="15"/>
      <c r="O15" s="17"/>
      <c r="P15" s="56"/>
      <c r="R15" s="15"/>
      <c r="S15" s="15"/>
      <c r="T15" s="15"/>
      <c r="U15" s="15"/>
      <c r="V15" s="56"/>
      <c r="W15" s="32"/>
      <c r="X15"/>
      <c r="Y15"/>
      <c r="Z15"/>
      <c r="AA15"/>
    </row>
    <row r="16" spans="1:29" s="4" customFormat="1" x14ac:dyDescent="0.35">
      <c r="A16" s="10"/>
      <c r="B16" s="4" t="s">
        <v>29</v>
      </c>
      <c r="C16" s="17">
        <f>C12+C15</f>
        <v>1067233.54</v>
      </c>
      <c r="D16" s="17">
        <f t="shared" ref="D16:E16" si="3">D12+D15</f>
        <v>9163.7552743681081</v>
      </c>
      <c r="E16" s="17">
        <f t="shared" si="3"/>
        <v>109.09232469485843</v>
      </c>
      <c r="F16" s="60"/>
      <c r="G16" s="56"/>
      <c r="I16" s="15"/>
      <c r="J16" s="17"/>
      <c r="K16" s="56"/>
      <c r="M16" s="15"/>
      <c r="N16" s="15"/>
      <c r="O16" s="17"/>
      <c r="P16" s="56"/>
      <c r="R16" s="15"/>
      <c r="S16" s="15"/>
      <c r="T16" s="15"/>
      <c r="U16" s="15"/>
      <c r="V16" s="56"/>
      <c r="W16" s="32"/>
      <c r="X16"/>
      <c r="Y16"/>
      <c r="Z16"/>
      <c r="AA16"/>
    </row>
    <row r="17" spans="1:27" s="4" customFormat="1" x14ac:dyDescent="0.35">
      <c r="A17" s="10"/>
      <c r="B17" s="6" t="s">
        <v>21</v>
      </c>
      <c r="C17" s="17">
        <f>C11-C13+C14</f>
        <v>1063370.29</v>
      </c>
      <c r="D17" s="17">
        <f t="shared" ref="D17:E17" si="4">D11-D13+D14</f>
        <v>9038.9129070415438</v>
      </c>
      <c r="E17" s="17">
        <f t="shared" si="4"/>
        <v>107.60610603620884</v>
      </c>
      <c r="F17" s="11">
        <f>SUM(F11:F14)</f>
        <v>0.99638012688394328</v>
      </c>
      <c r="G17" s="57"/>
      <c r="I17" s="15"/>
      <c r="J17" s="17"/>
      <c r="K17" s="57"/>
      <c r="M17" s="15"/>
      <c r="N17" s="15"/>
      <c r="O17" s="17"/>
      <c r="P17" s="57"/>
      <c r="R17" s="15"/>
      <c r="S17" s="15"/>
      <c r="T17" s="15"/>
      <c r="U17" s="15"/>
      <c r="V17" s="57"/>
      <c r="W17" s="32"/>
      <c r="X17"/>
      <c r="Y17"/>
      <c r="Z17" s="27"/>
      <c r="AA17"/>
    </row>
    <row r="18" spans="1:27" s="4" customFormat="1" x14ac:dyDescent="0.35">
      <c r="A18" s="10"/>
      <c r="B18" s="6" t="s">
        <v>30</v>
      </c>
      <c r="C18" s="15">
        <f>C16-C17</f>
        <v>3863.25</v>
      </c>
      <c r="D18" s="15">
        <f t="shared" ref="D18:E18" si="5">D16-D17</f>
        <v>124.84236732656427</v>
      </c>
      <c r="E18" s="15">
        <f t="shared" si="5"/>
        <v>1.4862186586495909</v>
      </c>
      <c r="F18" s="11">
        <f>ABS(C18/C16)</f>
        <v>3.6198731160566786E-3</v>
      </c>
      <c r="G18" s="57"/>
      <c r="I18" s="15"/>
      <c r="J18" s="17"/>
      <c r="K18" s="57"/>
      <c r="M18" s="15"/>
      <c r="N18" s="15"/>
      <c r="O18" s="17"/>
      <c r="P18" s="57"/>
      <c r="R18" s="15"/>
      <c r="S18" s="15"/>
      <c r="T18" s="15"/>
      <c r="U18" s="15"/>
      <c r="V18" s="57"/>
      <c r="W18" s="32"/>
      <c r="X18"/>
      <c r="Y18"/>
      <c r="Z18"/>
      <c r="AA18"/>
    </row>
    <row r="19" spans="1:27" s="4" customFormat="1" x14ac:dyDescent="0.35">
      <c r="A19" s="14"/>
      <c r="B19" s="13"/>
      <c r="C19" s="18"/>
      <c r="D19" s="18"/>
      <c r="E19" s="18"/>
      <c r="F19" s="60"/>
      <c r="G19" s="58"/>
      <c r="H19" s="13"/>
      <c r="I19" s="18"/>
      <c r="J19" s="18"/>
      <c r="K19" s="58"/>
      <c r="L19" s="13"/>
      <c r="M19" s="18"/>
      <c r="N19" s="18"/>
      <c r="O19" s="18"/>
      <c r="P19" s="58"/>
      <c r="Q19" s="13"/>
      <c r="R19" s="18"/>
      <c r="S19" s="18"/>
      <c r="T19" s="18"/>
      <c r="U19" s="18"/>
      <c r="V19" s="58"/>
      <c r="W19" s="32"/>
      <c r="X19"/>
      <c r="Y19"/>
      <c r="Z19"/>
      <c r="AA19"/>
    </row>
    <row r="20" spans="1:27" s="4" customFormat="1" x14ac:dyDescent="0.35">
      <c r="A20" s="10">
        <v>1</v>
      </c>
      <c r="B20" s="4" t="s">
        <v>14</v>
      </c>
      <c r="C20" s="17">
        <f>C2-C11</f>
        <v>61.049999999930151</v>
      </c>
      <c r="D20"/>
      <c r="E20"/>
      <c r="F20" s="61">
        <f>-C20/C2</f>
        <v>-6.8460394030363708E-5</v>
      </c>
      <c r="G20" s="56"/>
      <c r="H20" s="4" t="s">
        <v>33</v>
      </c>
      <c r="I20" s="15">
        <f>I2-I11</f>
        <v>3655.67</v>
      </c>
      <c r="J20" s="17">
        <f>I20/Supporting!$A$15</f>
        <v>43.519880952380952</v>
      </c>
      <c r="K20" s="56"/>
      <c r="L20" s="4" t="s">
        <v>32</v>
      </c>
      <c r="M20" s="15">
        <f>M2-M11</f>
        <v>4537.8478932745129</v>
      </c>
      <c r="N20" s="15"/>
      <c r="O20" s="22">
        <f>M20/Supporting!$A$15</f>
        <v>54.021998729458488</v>
      </c>
      <c r="P20" s="56"/>
      <c r="Q20" s="4" t="s">
        <v>11</v>
      </c>
      <c r="R20" s="17">
        <f>R2-R11</f>
        <v>0</v>
      </c>
      <c r="S20" s="15">
        <f>R20*Supporting!$A$2</f>
        <v>0</v>
      </c>
      <c r="T20" s="15">
        <f>S20/Supporting!$A$15</f>
        <v>0</v>
      </c>
      <c r="U20" s="15">
        <f>T20/365</f>
        <v>0</v>
      </c>
      <c r="V20" s="56"/>
      <c r="W20" s="32"/>
      <c r="X20"/>
      <c r="Y20"/>
      <c r="Z20"/>
      <c r="AA20"/>
    </row>
    <row r="21" spans="1:27" s="4" customFormat="1" x14ac:dyDescent="0.35">
      <c r="A21" s="10" t="s">
        <v>141</v>
      </c>
      <c r="B21" s="4" t="s">
        <v>15</v>
      </c>
      <c r="C21" s="17">
        <f>C3-C12</f>
        <v>79730.689999999944</v>
      </c>
      <c r="D21"/>
      <c r="E21"/>
      <c r="F21" s="61">
        <f t="shared" ref="F21:F24" si="6">-C21/C3</f>
        <v>-6.9875104830373402E-2</v>
      </c>
      <c r="G21" s="56"/>
      <c r="I21" s="15"/>
      <c r="J21" s="17"/>
      <c r="K21" s="56"/>
      <c r="M21" s="15"/>
      <c r="N21" s="15"/>
      <c r="O21" s="15"/>
      <c r="P21" s="56"/>
      <c r="Q21" s="4" t="s">
        <v>12</v>
      </c>
      <c r="R21" s="17">
        <f>R3-R12</f>
        <v>-7863.1999999999825</v>
      </c>
      <c r="S21" s="15">
        <f>R21*Supporting!$A$2</f>
        <v>-58820.824863999871</v>
      </c>
      <c r="T21" s="15">
        <f>S21/Supporting!$A$15</f>
        <v>-700.24791504761754</v>
      </c>
      <c r="U21" s="15">
        <f>T21/365</f>
        <v>-1.9184874384866233</v>
      </c>
      <c r="V21" s="56"/>
      <c r="W21" s="32"/>
      <c r="X21"/>
      <c r="Y21"/>
      <c r="Z21"/>
      <c r="AA21"/>
    </row>
    <row r="22" spans="1:27" s="4" customFormat="1" x14ac:dyDescent="0.35">
      <c r="A22" s="10"/>
      <c r="B22" s="4" t="s">
        <v>16</v>
      </c>
      <c r="C22" s="17">
        <f>C4-C13</f>
        <v>179.80000000000018</v>
      </c>
      <c r="D22"/>
      <c r="E22"/>
      <c r="F22" s="61">
        <f t="shared" si="6"/>
        <v>3.4856444952794559E-2</v>
      </c>
      <c r="G22" s="56"/>
      <c r="H22" s="4" t="s">
        <v>84</v>
      </c>
      <c r="I22" s="33">
        <f>I20/I2</f>
        <v>0.66705776519125815</v>
      </c>
      <c r="J22" s="15"/>
      <c r="K22" s="56"/>
      <c r="L22" s="4" t="s">
        <v>84</v>
      </c>
      <c r="M22" s="53">
        <f>M20/M2</f>
        <v>0.31815362220256349</v>
      </c>
      <c r="N22" s="15"/>
      <c r="O22" s="15"/>
      <c r="P22" s="56"/>
      <c r="Q22" s="4" t="s">
        <v>13</v>
      </c>
      <c r="R22" s="17">
        <f>R4-R13</f>
        <v>7863.1999999999825</v>
      </c>
      <c r="S22" s="15">
        <f>R22*Supporting!$A$2</f>
        <v>58820.824863999871</v>
      </c>
      <c r="T22" s="15">
        <f>S22/Supporting!$A$15</f>
        <v>700.24791504761754</v>
      </c>
      <c r="U22" s="15">
        <f>T22/365</f>
        <v>1.9184874384866233</v>
      </c>
      <c r="V22" s="56"/>
      <c r="W22" s="32"/>
      <c r="X22"/>
      <c r="Y22"/>
      <c r="Z22"/>
      <c r="AA22"/>
    </row>
    <row r="23" spans="1:27" s="4" customFormat="1" x14ac:dyDescent="0.35">
      <c r="A23" s="10"/>
      <c r="B23" s="4" t="s">
        <v>17</v>
      </c>
      <c r="C23" s="17">
        <f>C5-C14</f>
        <v>94416.50999999998</v>
      </c>
      <c r="D23"/>
      <c r="E23"/>
      <c r="F23" s="61">
        <f t="shared" si="6"/>
        <v>-0.36209137473136954</v>
      </c>
      <c r="G23" s="56"/>
      <c r="I23" s="15"/>
      <c r="J23" s="15"/>
      <c r="K23" s="56"/>
      <c r="M23" s="15"/>
      <c r="N23" s="15"/>
      <c r="O23" s="15"/>
      <c r="P23" s="56"/>
      <c r="R23" s="15"/>
      <c r="S23" s="15"/>
      <c r="T23" s="15"/>
      <c r="U23" s="15"/>
      <c r="V23" s="56"/>
      <c r="W23" s="32"/>
      <c r="X23"/>
      <c r="Y23"/>
      <c r="Z23"/>
      <c r="AA23"/>
    </row>
    <row r="24" spans="1:27" s="4" customFormat="1" x14ac:dyDescent="0.35">
      <c r="A24" s="10"/>
      <c r="B24" s="4" t="s">
        <v>54</v>
      </c>
      <c r="C24" s="17">
        <f>C6-C15</f>
        <v>11857.900000000001</v>
      </c>
      <c r="D24"/>
      <c r="E24"/>
      <c r="F24" s="61">
        <f t="shared" si="6"/>
        <v>-0.66705857203933305</v>
      </c>
      <c r="G24" s="56"/>
      <c r="I24" s="15"/>
      <c r="J24" s="15"/>
      <c r="K24" s="56"/>
      <c r="M24" s="15"/>
      <c r="N24" s="15"/>
      <c r="O24" s="15"/>
      <c r="P24" s="56"/>
      <c r="Q24" s="4" t="s">
        <v>84</v>
      </c>
      <c r="R24" s="33">
        <f>R21/R3</f>
        <v>-3.8556602649035439E-2</v>
      </c>
      <c r="S24" s="15"/>
      <c r="T24" s="15"/>
      <c r="U24" s="15"/>
      <c r="V24" s="56"/>
      <c r="W24" s="32"/>
      <c r="X24"/>
      <c r="Y24"/>
      <c r="Z24"/>
      <c r="AA24"/>
    </row>
    <row r="25" spans="1:27" x14ac:dyDescent="0.35">
      <c r="G25" s="59"/>
      <c r="K25" s="59"/>
      <c r="P25" s="59"/>
      <c r="V25" s="59"/>
    </row>
    <row r="26" spans="1:27" x14ac:dyDescent="0.35">
      <c r="G26" s="59"/>
      <c r="K26" s="59"/>
      <c r="P26" s="59"/>
      <c r="V26" s="59"/>
    </row>
    <row r="27" spans="1:27" s="4" customFormat="1" x14ac:dyDescent="0.35">
      <c r="A27" s="10">
        <f>A2+1</f>
        <v>2</v>
      </c>
      <c r="B27" s="4" t="s">
        <v>14</v>
      </c>
      <c r="C27" s="16">
        <v>793569.86</v>
      </c>
      <c r="D27" s="17">
        <f>ABS(C27/100/W$202)</f>
        <v>9919.6233171079057</v>
      </c>
      <c r="E27" s="17">
        <f>D27/Supporting!$A$15</f>
        <v>118.09075377509411</v>
      </c>
      <c r="F27" s="11">
        <f>ABS(C27/C32)</f>
        <v>0.76592728390846687</v>
      </c>
      <c r="G27" s="56"/>
      <c r="H27" s="4" t="s">
        <v>33</v>
      </c>
      <c r="I27" s="16">
        <v>5448.93</v>
      </c>
      <c r="J27" s="17">
        <f>I27/Supporting!$A$15</f>
        <v>64.868214285714288</v>
      </c>
      <c r="K27" s="56"/>
      <c r="L27" s="4" t="s">
        <v>32</v>
      </c>
      <c r="M27" s="17">
        <f>N27/100</f>
        <v>12730.195800000001</v>
      </c>
      <c r="N27" s="16">
        <v>1273019.58</v>
      </c>
      <c r="O27" s="22">
        <f>M27/Supporting!$A$15</f>
        <v>151.54995000000002</v>
      </c>
      <c r="P27" s="56"/>
      <c r="Q27" s="4" t="s">
        <v>11</v>
      </c>
      <c r="R27" s="16">
        <v>266635.18</v>
      </c>
      <c r="S27" s="15">
        <f>R27*Supporting!$A$2</f>
        <v>1994569.7966936</v>
      </c>
      <c r="T27" s="15">
        <f>S27/Supporting!$A$15</f>
        <v>23744.878532066668</v>
      </c>
      <c r="U27" s="15">
        <f>T27/365</f>
        <v>65.0544617316895</v>
      </c>
      <c r="V27" s="56"/>
      <c r="W27" s="34">
        <f>C28/N27</f>
        <v>0.80000000471320321</v>
      </c>
      <c r="Y27"/>
      <c r="Z27"/>
      <c r="AA27"/>
    </row>
    <row r="28" spans="1:27" s="4" customFormat="1" x14ac:dyDescent="0.35">
      <c r="A28" s="10" t="s">
        <v>139</v>
      </c>
      <c r="B28" s="4" t="s">
        <v>15</v>
      </c>
      <c r="C28" s="16">
        <v>1018415.67</v>
      </c>
      <c r="D28" s="17">
        <f>ABS(C28/100/W$202)</f>
        <v>12730.195961121899</v>
      </c>
      <c r="E28" s="17">
        <f>D28/Supporting!$A$15</f>
        <v>151.54995191811784</v>
      </c>
      <c r="F28" s="60"/>
      <c r="G28" s="56"/>
      <c r="I28" s="15"/>
      <c r="J28" s="17"/>
      <c r="K28" s="56"/>
      <c r="M28" s="15"/>
      <c r="O28" s="15"/>
      <c r="P28" s="56"/>
      <c r="Q28" s="4" t="s">
        <v>12</v>
      </c>
      <c r="R28" s="16">
        <v>195226.26</v>
      </c>
      <c r="S28" s="15">
        <f>R28*Supporting!$A$2</f>
        <v>1460393.9424552</v>
      </c>
      <c r="T28" s="15">
        <f>S28/Supporting!$A$15</f>
        <v>17385.642172085714</v>
      </c>
      <c r="U28" s="22">
        <f>T28/365</f>
        <v>47.631896361878667</v>
      </c>
      <c r="V28" s="56"/>
      <c r="W28" s="32"/>
    </row>
    <row r="29" spans="1:27" s="4" customFormat="1" x14ac:dyDescent="0.35">
      <c r="A29" s="10"/>
      <c r="B29" s="4" t="s">
        <v>16</v>
      </c>
      <c r="C29" s="16">
        <v>-4752.2</v>
      </c>
      <c r="D29" s="17">
        <f>ABS(C29/100/W$202)</f>
        <v>59.402500401867826</v>
      </c>
      <c r="E29" s="17">
        <f>D29/Supporting!$A$15</f>
        <v>0.70717262383175983</v>
      </c>
      <c r="F29" s="11">
        <f>ABS(C29/C32)</f>
        <v>4.5866656762768385E-3</v>
      </c>
      <c r="G29" s="56"/>
      <c r="I29" s="15"/>
      <c r="J29" s="17"/>
      <c r="K29" s="56"/>
      <c r="M29" s="15"/>
      <c r="N29" s="15"/>
      <c r="O29" s="15"/>
      <c r="P29" s="56"/>
      <c r="Q29" s="4" t="s">
        <v>13</v>
      </c>
      <c r="R29" s="16">
        <f>R27-R28</f>
        <v>71408.919999999984</v>
      </c>
      <c r="S29" s="15">
        <f>R29*Supporting!$A$2</f>
        <v>534175.85423839989</v>
      </c>
      <c r="T29" s="15">
        <f>S29/Supporting!$A$15</f>
        <v>6359.2363599809514</v>
      </c>
      <c r="U29" s="15">
        <f>T29/365</f>
        <v>17.422565369810826</v>
      </c>
      <c r="V29" s="56"/>
      <c r="W29" s="32"/>
    </row>
    <row r="30" spans="1:27" s="4" customFormat="1" x14ac:dyDescent="0.35">
      <c r="A30" s="10"/>
      <c r="B30" s="4" t="s">
        <v>17</v>
      </c>
      <c r="C30" s="16">
        <v>236495.7</v>
      </c>
      <c r="D30" s="17">
        <f>ABS(C30/100/W$202)</f>
        <v>2956.1962699991614</v>
      </c>
      <c r="E30" s="17">
        <f>D30/Supporting!$A$15</f>
        <v>35.192812738085252</v>
      </c>
      <c r="F30" s="11">
        <f>ABS(C30/C32)</f>
        <v>0.22825779844641733</v>
      </c>
      <c r="G30" s="56"/>
      <c r="I30" s="15"/>
      <c r="J30" s="17"/>
      <c r="K30" s="56"/>
      <c r="M30" s="15"/>
      <c r="N30" s="15"/>
      <c r="O30" s="15"/>
      <c r="P30" s="56"/>
      <c r="R30" s="15"/>
      <c r="S30" s="15"/>
      <c r="T30" s="15"/>
      <c r="U30" s="15"/>
      <c r="V30" s="56"/>
      <c r="W30" s="32"/>
    </row>
    <row r="31" spans="1:27" s="4" customFormat="1" x14ac:dyDescent="0.35">
      <c r="A31" s="10"/>
      <c r="B31" s="4" t="s">
        <v>54</v>
      </c>
      <c r="C31" s="16">
        <v>17674.669999999998</v>
      </c>
      <c r="D31" s="17">
        <f>ABS(C31/100/W$202)</f>
        <v>220.93337649465113</v>
      </c>
      <c r="E31" s="17">
        <f>D31/Supporting!$A$15</f>
        <v>2.6301592439839419</v>
      </c>
      <c r="F31" s="60"/>
      <c r="G31" s="56"/>
      <c r="H31" s="39"/>
      <c r="I31" s="15"/>
      <c r="J31" s="17"/>
      <c r="K31" s="56"/>
      <c r="M31" s="15"/>
      <c r="N31" s="15"/>
      <c r="O31" s="15"/>
      <c r="P31" s="56"/>
      <c r="R31" s="15"/>
      <c r="S31" s="15"/>
      <c r="T31" s="15"/>
      <c r="U31" s="15"/>
      <c r="V31" s="56"/>
      <c r="W31" s="32"/>
    </row>
    <row r="32" spans="1:27" s="4" customFormat="1" x14ac:dyDescent="0.35">
      <c r="A32" s="10"/>
      <c r="B32" s="4" t="s">
        <v>29</v>
      </c>
      <c r="C32" s="17">
        <f>C28+C31</f>
        <v>1036090.3400000001</v>
      </c>
      <c r="D32" s="17">
        <f t="shared" ref="D32:E32" si="7">D28+D31</f>
        <v>12951.12933761655</v>
      </c>
      <c r="E32" s="17">
        <f t="shared" si="7"/>
        <v>154.18011116210178</v>
      </c>
      <c r="F32" s="60"/>
      <c r="G32" s="56"/>
      <c r="I32" s="15"/>
      <c r="J32" s="17"/>
      <c r="K32" s="56"/>
      <c r="M32" s="15"/>
      <c r="N32" s="15"/>
      <c r="O32" s="15"/>
      <c r="P32" s="56"/>
      <c r="R32" s="15"/>
      <c r="S32" s="15"/>
      <c r="T32" s="15"/>
      <c r="U32" s="15"/>
      <c r="V32" s="56"/>
      <c r="W32" s="32"/>
    </row>
    <row r="33" spans="1:27" s="4" customFormat="1" x14ac:dyDescent="0.35">
      <c r="A33" s="10"/>
      <c r="B33" s="6" t="s">
        <v>21</v>
      </c>
      <c r="C33" s="17">
        <f>C27-C29+C30</f>
        <v>1034817.76</v>
      </c>
      <c r="D33" s="17">
        <f t="shared" ref="D33:E33" si="8">D27-D29+D30</f>
        <v>12816.4170867052</v>
      </c>
      <c r="E33" s="17">
        <f t="shared" si="8"/>
        <v>152.5763938893476</v>
      </c>
      <c r="F33" s="11">
        <f>SUM(F27:F30)</f>
        <v>0.99877174803116109</v>
      </c>
      <c r="G33" s="57"/>
      <c r="I33" s="15"/>
      <c r="J33" s="17"/>
      <c r="K33" s="57"/>
      <c r="M33" s="15"/>
      <c r="N33" s="15"/>
      <c r="O33" s="15"/>
      <c r="P33" s="57"/>
      <c r="R33" s="15"/>
      <c r="S33" s="15"/>
      <c r="T33" s="15"/>
      <c r="U33" s="15"/>
      <c r="V33" s="57"/>
      <c r="W33" s="32"/>
      <c r="X33"/>
      <c r="Y33"/>
      <c r="Z33"/>
      <c r="AA33"/>
    </row>
    <row r="34" spans="1:27" s="4" customFormat="1" x14ac:dyDescent="0.35">
      <c r="A34" s="10"/>
      <c r="B34" s="6" t="s">
        <v>30</v>
      </c>
      <c r="C34" s="15">
        <f>C32-C33</f>
        <v>1272.5800000000745</v>
      </c>
      <c r="D34" s="15">
        <f t="shared" ref="D34:E34" si="9">D32-D33</f>
        <v>134.71225091135057</v>
      </c>
      <c r="E34" s="15">
        <f t="shared" si="9"/>
        <v>1.6037172727541815</v>
      </c>
      <c r="F34" s="11">
        <f>ABS(C34/C32)</f>
        <v>1.2282519688390052E-3</v>
      </c>
      <c r="G34" s="57"/>
      <c r="I34" s="15"/>
      <c r="J34" s="17"/>
      <c r="K34" s="57"/>
      <c r="M34" s="15"/>
      <c r="N34" s="15"/>
      <c r="O34" s="15"/>
      <c r="P34" s="57"/>
      <c r="R34" s="15"/>
      <c r="S34" s="15"/>
      <c r="T34" s="15"/>
      <c r="U34" s="15"/>
      <c r="V34" s="57"/>
      <c r="W34" s="32"/>
      <c r="X34"/>
      <c r="Y34"/>
      <c r="Z34"/>
      <c r="AA34"/>
    </row>
    <row r="35" spans="1:27" s="4" customFormat="1" x14ac:dyDescent="0.35">
      <c r="A35" s="14"/>
      <c r="B35" s="13"/>
      <c r="C35" s="18"/>
      <c r="D35" s="18"/>
      <c r="E35" s="18"/>
      <c r="F35" s="60"/>
      <c r="G35" s="56"/>
      <c r="H35" s="13"/>
      <c r="I35" s="18"/>
      <c r="J35" s="18"/>
      <c r="K35" s="56"/>
      <c r="L35" s="13"/>
      <c r="M35" s="18"/>
      <c r="N35" s="18"/>
      <c r="O35" s="18"/>
      <c r="P35" s="56"/>
      <c r="Q35" s="13"/>
      <c r="R35" s="18"/>
      <c r="S35" s="18"/>
      <c r="T35" s="18"/>
      <c r="U35" s="18"/>
      <c r="V35" s="56"/>
      <c r="W35" s="32"/>
      <c r="X35"/>
      <c r="Y35"/>
      <c r="Z35"/>
      <c r="AA35"/>
    </row>
    <row r="36" spans="1:27" s="4" customFormat="1" x14ac:dyDescent="0.35">
      <c r="A36" s="10">
        <f>A11+1</f>
        <v>2</v>
      </c>
      <c r="B36" s="4" t="s">
        <v>14</v>
      </c>
      <c r="C36" s="19">
        <v>793513.84</v>
      </c>
      <c r="D36" s="17">
        <f>ABS(C36/100/W$211)</f>
        <v>6813.4727442918356</v>
      </c>
      <c r="E36" s="17">
        <f>D36/Supporting!$A$15</f>
        <v>81.112770765378997</v>
      </c>
      <c r="F36" s="11">
        <f>ABS(C36/C41)</f>
        <v>0.84224911980398931</v>
      </c>
      <c r="G36" s="56"/>
      <c r="H36" s="4" t="s">
        <v>33</v>
      </c>
      <c r="I36" s="21">
        <v>1645.77</v>
      </c>
      <c r="J36" s="17">
        <f>I36/Supporting!$A$15</f>
        <v>19.592500000000001</v>
      </c>
      <c r="K36" s="56"/>
      <c r="L36" s="4" t="s">
        <v>32</v>
      </c>
      <c r="M36" s="17">
        <f>N36/100</f>
        <v>8336.6909349701127</v>
      </c>
      <c r="N36" s="52">
        <v>833669.09349701123</v>
      </c>
      <c r="O36" s="22">
        <f>M36/Supporting!$A$15</f>
        <v>99.246320654406105</v>
      </c>
      <c r="P36" s="56"/>
      <c r="Q36" s="4" t="s">
        <v>11</v>
      </c>
      <c r="R36" s="21">
        <v>266635.18</v>
      </c>
      <c r="S36" s="15">
        <f>R36*Supporting!$A$2</f>
        <v>1994569.7966936</v>
      </c>
      <c r="T36" s="15">
        <f>S36/Supporting!$A$15</f>
        <v>23744.878532066668</v>
      </c>
      <c r="U36" s="15">
        <f>T36/365</f>
        <v>65.0544617316895</v>
      </c>
      <c r="V36" s="56"/>
      <c r="W36" s="54">
        <f>C37/N36</f>
        <v>1.1237052894337127</v>
      </c>
      <c r="X36" s="45"/>
      <c r="Y36" s="17">
        <f>Z36/100</f>
        <v>9871.1407999999992</v>
      </c>
      <c r="Z36" s="46">
        <v>987114.08</v>
      </c>
      <c r="AA36" s="17">
        <f>Y36/Supporting!$A$15</f>
        <v>117.51358095238095</v>
      </c>
    </row>
    <row r="37" spans="1:27" s="4" customFormat="1" x14ac:dyDescent="0.35">
      <c r="A37" s="10" t="s">
        <v>140</v>
      </c>
      <c r="B37" s="4" t="s">
        <v>15</v>
      </c>
      <c r="C37" s="19">
        <v>936798.37</v>
      </c>
      <c r="D37" s="17">
        <f>ABS(C37/100/W$211)</f>
        <v>8043.7792501413951</v>
      </c>
      <c r="E37" s="17">
        <f>D37/Supporting!$A$15</f>
        <v>95.759276787397567</v>
      </c>
      <c r="F37" s="60"/>
      <c r="G37" s="56"/>
      <c r="I37" s="15"/>
      <c r="J37" s="17"/>
      <c r="K37" s="56"/>
      <c r="M37" s="15"/>
      <c r="N37" s="15"/>
      <c r="O37" s="17"/>
      <c r="P37" s="56"/>
      <c r="Q37" s="4" t="s">
        <v>12</v>
      </c>
      <c r="R37" s="21">
        <v>203325.25</v>
      </c>
      <c r="S37" s="15">
        <f>R37*Supporting!$A$2</f>
        <v>1520978.59913</v>
      </c>
      <c r="T37" s="15">
        <f>S37/Supporting!$A$15</f>
        <v>18106.888084880953</v>
      </c>
      <c r="U37" s="22">
        <f>T37/365</f>
        <v>49.607912561317683</v>
      </c>
      <c r="V37" s="56"/>
      <c r="W37" s="32"/>
      <c r="X37"/>
      <c r="Y37"/>
      <c r="Z37"/>
      <c r="AA37"/>
    </row>
    <row r="38" spans="1:27" s="4" customFormat="1" x14ac:dyDescent="0.35">
      <c r="A38" s="10"/>
      <c r="B38" s="4" t="s">
        <v>16</v>
      </c>
      <c r="C38" s="19">
        <v>-4900.3</v>
      </c>
      <c r="D38" s="17">
        <f>ABS(C38/100/W$211)</f>
        <v>42.076216955274887</v>
      </c>
      <c r="E38" s="17">
        <f>D38/Supporting!$A$15</f>
        <v>0.50090734470565346</v>
      </c>
      <c r="F38" s="11">
        <f>ABS(C38/C41)</f>
        <v>5.2012619739253566E-3</v>
      </c>
      <c r="G38" s="56"/>
      <c r="I38" s="15"/>
      <c r="J38" s="17"/>
      <c r="K38" s="56"/>
      <c r="M38" s="15"/>
      <c r="N38" s="15"/>
      <c r="O38" s="17"/>
      <c r="P38" s="56"/>
      <c r="Q38" s="4" t="s">
        <v>13</v>
      </c>
      <c r="R38" s="21">
        <f>R36-R37</f>
        <v>63309.929999999993</v>
      </c>
      <c r="S38" s="15">
        <f>R38*Supporting!$A$2</f>
        <v>473591.19756359997</v>
      </c>
      <c r="T38" s="15">
        <f>S38/Supporting!$A$15</f>
        <v>5637.9904471857135</v>
      </c>
      <c r="U38" s="15">
        <f>T38/365</f>
        <v>15.446549170371817</v>
      </c>
      <c r="V38" s="56"/>
      <c r="W38" s="32"/>
      <c r="X38"/>
      <c r="Y38" s="4" t="s">
        <v>84</v>
      </c>
      <c r="Z38" s="33">
        <f>(N27-Z36)/N27</f>
        <v>0.22458845448394446</v>
      </c>
      <c r="AA38"/>
    </row>
    <row r="39" spans="1:27" s="4" customFormat="1" x14ac:dyDescent="0.35">
      <c r="A39" s="10"/>
      <c r="B39" s="4" t="s">
        <v>17</v>
      </c>
      <c r="C39" s="19">
        <v>148422.95000000001</v>
      </c>
      <c r="D39" s="17">
        <f>ABS(C39/100/W$211)</f>
        <v>1274.427330029165</v>
      </c>
      <c r="E39" s="17">
        <f>D39/Supporting!$A$15</f>
        <v>15.17175392891863</v>
      </c>
      <c r="F39" s="11">
        <f>ABS(C39/C41)</f>
        <v>0.15753864985670765</v>
      </c>
      <c r="G39" s="56"/>
      <c r="I39" s="15"/>
      <c r="J39" s="17"/>
      <c r="K39" s="56"/>
      <c r="M39" s="15"/>
      <c r="N39" s="15"/>
      <c r="O39" s="17"/>
      <c r="P39" s="56"/>
      <c r="R39" s="15"/>
      <c r="S39" s="15"/>
      <c r="T39" s="15"/>
      <c r="U39" s="15"/>
      <c r="V39" s="56"/>
      <c r="W39" s="32"/>
      <c r="X39"/>
      <c r="Y39"/>
      <c r="Z39"/>
      <c r="AA39"/>
    </row>
    <row r="40" spans="1:27" s="4" customFormat="1" x14ac:dyDescent="0.35">
      <c r="A40" s="10"/>
      <c r="B40" s="4" t="s">
        <v>54</v>
      </c>
      <c r="C40" s="19">
        <v>5338.37</v>
      </c>
      <c r="D40" s="17">
        <f>ABS(C40/100/W$211)</f>
        <v>45.837686326863817</v>
      </c>
      <c r="E40" s="17">
        <f>D40/Supporting!$A$15</f>
        <v>0.54568674198647404</v>
      </c>
      <c r="F40" s="60"/>
      <c r="G40" s="56"/>
      <c r="I40" s="15"/>
      <c r="J40" s="17"/>
      <c r="K40" s="56"/>
      <c r="M40" s="15"/>
      <c r="N40" s="15"/>
      <c r="O40" s="17"/>
      <c r="P40" s="56"/>
      <c r="R40" s="15"/>
      <c r="S40" s="15"/>
      <c r="T40" s="15"/>
      <c r="U40" s="15"/>
      <c r="V40" s="56"/>
      <c r="W40" s="32"/>
      <c r="X40"/>
      <c r="Y40"/>
      <c r="Z40"/>
      <c r="AA40"/>
    </row>
    <row r="41" spans="1:27" s="4" customFormat="1" x14ac:dyDescent="0.35">
      <c r="A41" s="10"/>
      <c r="B41" s="4" t="s">
        <v>29</v>
      </c>
      <c r="C41" s="17">
        <f>C37+C40</f>
        <v>942136.74</v>
      </c>
      <c r="D41" s="17">
        <f t="shared" ref="D41:E41" si="10">D37+D40</f>
        <v>8089.6169364682592</v>
      </c>
      <c r="E41" s="17">
        <f t="shared" si="10"/>
        <v>96.30496352938404</v>
      </c>
      <c r="F41" s="60"/>
      <c r="G41" s="56"/>
      <c r="I41" s="15"/>
      <c r="J41" s="17"/>
      <c r="K41" s="56"/>
      <c r="M41" s="15"/>
      <c r="N41" s="15"/>
      <c r="O41" s="17"/>
      <c r="P41" s="56"/>
      <c r="R41" s="15"/>
      <c r="S41" s="15"/>
      <c r="T41" s="15"/>
      <c r="U41" s="15"/>
      <c r="V41" s="56"/>
      <c r="W41" s="32"/>
      <c r="X41"/>
      <c r="Y41"/>
      <c r="Z41"/>
      <c r="AA41"/>
    </row>
    <row r="42" spans="1:27" s="4" customFormat="1" x14ac:dyDescent="0.35">
      <c r="A42" s="10"/>
      <c r="B42" s="6" t="s">
        <v>21</v>
      </c>
      <c r="C42" s="17">
        <f>C36-C38+C39</f>
        <v>946837.09000000008</v>
      </c>
      <c r="D42" s="17">
        <f t="shared" ref="D42:E42" si="11">D36-D38+D39</f>
        <v>8045.8238573657263</v>
      </c>
      <c r="E42" s="17">
        <f t="shared" si="11"/>
        <v>95.783617349591978</v>
      </c>
      <c r="F42" s="11">
        <f>SUM(F36:F39)</f>
        <v>1.0049890316346224</v>
      </c>
      <c r="G42" s="57"/>
      <c r="I42" s="15"/>
      <c r="J42" s="17"/>
      <c r="K42" s="57"/>
      <c r="M42" s="15"/>
      <c r="N42" s="15"/>
      <c r="O42" s="17"/>
      <c r="P42" s="57"/>
      <c r="R42" s="15"/>
      <c r="S42" s="15"/>
      <c r="T42" s="15"/>
      <c r="U42" s="15"/>
      <c r="V42" s="57"/>
      <c r="W42" s="32"/>
      <c r="X42"/>
      <c r="Y42"/>
      <c r="Z42" s="27"/>
      <c r="AA42"/>
    </row>
    <row r="43" spans="1:27" s="4" customFormat="1" x14ac:dyDescent="0.35">
      <c r="A43" s="10"/>
      <c r="B43" s="6" t="s">
        <v>30</v>
      </c>
      <c r="C43" s="15">
        <f>C41-C42</f>
        <v>-4700.3500000000931</v>
      </c>
      <c r="D43" s="15">
        <f t="shared" ref="D43:E43" si="12">D41-D42</f>
        <v>43.793079102532829</v>
      </c>
      <c r="E43" s="15">
        <f t="shared" si="12"/>
        <v>0.52134617979206155</v>
      </c>
      <c r="F43" s="11">
        <f>ABS(C43/C41)</f>
        <v>4.9890316346224784E-3</v>
      </c>
      <c r="G43" s="57"/>
      <c r="I43" s="15"/>
      <c r="J43" s="17"/>
      <c r="K43" s="57"/>
      <c r="M43" s="15"/>
      <c r="N43" s="15"/>
      <c r="O43" s="17"/>
      <c r="P43" s="57"/>
      <c r="R43" s="15"/>
      <c r="S43" s="15"/>
      <c r="T43" s="15"/>
      <c r="U43" s="15"/>
      <c r="V43" s="57"/>
      <c r="W43" s="32"/>
      <c r="X43"/>
      <c r="Y43"/>
      <c r="Z43"/>
      <c r="AA43"/>
    </row>
    <row r="44" spans="1:27" s="4" customFormat="1" x14ac:dyDescent="0.35">
      <c r="A44" s="14"/>
      <c r="B44" s="13"/>
      <c r="C44" s="18"/>
      <c r="D44" s="18"/>
      <c r="E44" s="18"/>
      <c r="F44" s="60"/>
      <c r="G44" s="58"/>
      <c r="H44" s="13"/>
      <c r="I44" s="18"/>
      <c r="J44" s="18"/>
      <c r="K44" s="58"/>
      <c r="L44" s="13"/>
      <c r="M44" s="18"/>
      <c r="N44" s="18"/>
      <c r="O44" s="18"/>
      <c r="P44" s="58"/>
      <c r="Q44" s="13"/>
      <c r="R44" s="18"/>
      <c r="S44" s="18"/>
      <c r="T44" s="18"/>
      <c r="U44" s="18"/>
      <c r="V44" s="58"/>
      <c r="W44" s="32"/>
      <c r="X44"/>
      <c r="Y44"/>
      <c r="Z44"/>
      <c r="AA44"/>
    </row>
    <row r="45" spans="1:27" s="4" customFormat="1" x14ac:dyDescent="0.35">
      <c r="A45" s="10">
        <f>A20+1</f>
        <v>2</v>
      </c>
      <c r="B45" s="4" t="s">
        <v>14</v>
      </c>
      <c r="C45" s="17">
        <f>C27-C36</f>
        <v>56.020000000018626</v>
      </c>
      <c r="D45"/>
      <c r="E45"/>
      <c r="F45" s="61">
        <f>-C45/C27</f>
        <v>-7.059239875871625E-5</v>
      </c>
      <c r="G45" s="56"/>
      <c r="H45" s="4" t="s">
        <v>33</v>
      </c>
      <c r="I45" s="15">
        <f>I27-I36</f>
        <v>3803.1600000000003</v>
      </c>
      <c r="J45" s="17">
        <f>I45/Supporting!$A$15</f>
        <v>45.275714285714287</v>
      </c>
      <c r="K45" s="56"/>
      <c r="L45" s="4" t="s">
        <v>32</v>
      </c>
      <c r="M45" s="15">
        <f>M27-M36</f>
        <v>4393.5048650298886</v>
      </c>
      <c r="N45" s="15"/>
      <c r="O45" s="22">
        <f>M45/Supporting!$A$15</f>
        <v>52.303629345593912</v>
      </c>
      <c r="P45" s="56"/>
      <c r="Q45" s="4" t="s">
        <v>11</v>
      </c>
      <c r="R45" s="17">
        <f>R27-R36</f>
        <v>0</v>
      </c>
      <c r="S45" s="15">
        <f>R45*Supporting!$A$2</f>
        <v>0</v>
      </c>
      <c r="T45" s="15">
        <f>S45/Supporting!$A$15</f>
        <v>0</v>
      </c>
      <c r="U45" s="15">
        <f>T45/365</f>
        <v>0</v>
      </c>
      <c r="V45" s="56"/>
      <c r="W45" s="32"/>
      <c r="X45"/>
      <c r="Y45"/>
      <c r="Z45"/>
      <c r="AA45"/>
    </row>
    <row r="46" spans="1:27" s="4" customFormat="1" x14ac:dyDescent="0.35">
      <c r="A46" s="10" t="s">
        <v>141</v>
      </c>
      <c r="B46" s="4" t="s">
        <v>15</v>
      </c>
      <c r="C46" s="17">
        <f>C28-C37</f>
        <v>81617.300000000047</v>
      </c>
      <c r="D46"/>
      <c r="E46"/>
      <c r="F46" s="61">
        <f t="shared" ref="F46:F49" si="13">-C46/C28</f>
        <v>-8.0141441657118298E-2</v>
      </c>
      <c r="G46" s="56"/>
      <c r="I46" s="15"/>
      <c r="J46" s="17"/>
      <c r="K46" s="56"/>
      <c r="M46" s="15"/>
      <c r="N46" s="15"/>
      <c r="O46" s="15"/>
      <c r="P46" s="56"/>
      <c r="Q46" s="4" t="s">
        <v>12</v>
      </c>
      <c r="R46" s="17">
        <f>R28-R37</f>
        <v>-8098.9899999999907</v>
      </c>
      <c r="S46" s="15">
        <f>R46*Supporting!$A$2</f>
        <v>-60584.656674799931</v>
      </c>
      <c r="T46" s="15">
        <f>S46/Supporting!$A$15</f>
        <v>-721.24591279523725</v>
      </c>
      <c r="U46" s="15">
        <f>T46/365</f>
        <v>-1.9760161994390062</v>
      </c>
      <c r="V46" s="56"/>
      <c r="W46" s="32"/>
      <c r="X46"/>
      <c r="Y46"/>
      <c r="Z46"/>
      <c r="AA46"/>
    </row>
    <row r="47" spans="1:27" s="4" customFormat="1" x14ac:dyDescent="0.35">
      <c r="A47" s="10"/>
      <c r="B47" s="4" t="s">
        <v>16</v>
      </c>
      <c r="C47" s="17">
        <f>C29-C38</f>
        <v>148.10000000000036</v>
      </c>
      <c r="D47"/>
      <c r="E47"/>
      <c r="F47" s="61">
        <f t="shared" si="13"/>
        <v>3.1164513278060767E-2</v>
      </c>
      <c r="G47" s="56"/>
      <c r="H47" s="4" t="s">
        <v>84</v>
      </c>
      <c r="I47" s="33">
        <f>I45/I27</f>
        <v>0.69796455450886685</v>
      </c>
      <c r="J47" s="15"/>
      <c r="K47" s="56"/>
      <c r="L47" s="4" t="s">
        <v>84</v>
      </c>
      <c r="M47" s="53">
        <f>M45/M27</f>
        <v>0.34512468889362158</v>
      </c>
      <c r="N47" s="15"/>
      <c r="O47" s="15"/>
      <c r="P47" s="56"/>
      <c r="Q47" s="4" t="s">
        <v>13</v>
      </c>
      <c r="R47" s="17">
        <f>R29-R38</f>
        <v>8098.9899999999907</v>
      </c>
      <c r="S47" s="15">
        <f>R47*Supporting!$A$2</f>
        <v>60584.656674799931</v>
      </c>
      <c r="T47" s="15">
        <f>S47/Supporting!$A$15</f>
        <v>721.24591279523725</v>
      </c>
      <c r="U47" s="15">
        <f>T47/365</f>
        <v>1.9760161994390062</v>
      </c>
      <c r="V47" s="56"/>
      <c r="W47" s="32"/>
      <c r="X47"/>
      <c r="Y47"/>
      <c r="Z47"/>
      <c r="AA47"/>
    </row>
    <row r="48" spans="1:27" s="4" customFormat="1" x14ac:dyDescent="0.35">
      <c r="A48" s="10"/>
      <c r="B48" s="4" t="s">
        <v>17</v>
      </c>
      <c r="C48" s="17">
        <f>C30-C39</f>
        <v>88072.75</v>
      </c>
      <c r="D48"/>
      <c r="E48"/>
      <c r="F48" s="61">
        <f t="shared" si="13"/>
        <v>-0.37240740529320404</v>
      </c>
      <c r="G48" s="56"/>
      <c r="I48" s="15"/>
      <c r="J48" s="15"/>
      <c r="K48" s="56"/>
      <c r="M48" s="15"/>
      <c r="N48" s="15"/>
      <c r="O48" s="15"/>
      <c r="P48" s="56"/>
      <c r="R48" s="15"/>
      <c r="S48" s="15"/>
      <c r="T48" s="15"/>
      <c r="U48" s="15"/>
      <c r="V48" s="56"/>
      <c r="W48" s="32"/>
      <c r="X48"/>
      <c r="Y48"/>
      <c r="Z48"/>
      <c r="AA48"/>
    </row>
    <row r="49" spans="1:27" s="4" customFormat="1" x14ac:dyDescent="0.35">
      <c r="A49" s="10"/>
      <c r="B49" s="4" t="s">
        <v>54</v>
      </c>
      <c r="C49" s="17">
        <f>C31-C40</f>
        <v>12336.3</v>
      </c>
      <c r="D49"/>
      <c r="E49"/>
      <c r="F49" s="61">
        <f t="shared" si="13"/>
        <v>-0.69796494078814486</v>
      </c>
      <c r="G49" s="56"/>
      <c r="I49" s="15"/>
      <c r="J49" s="15"/>
      <c r="K49" s="56"/>
      <c r="M49" s="15"/>
      <c r="N49" s="15"/>
      <c r="O49" s="15"/>
      <c r="P49" s="56"/>
      <c r="Q49" s="4" t="s">
        <v>84</v>
      </c>
      <c r="R49" s="33">
        <f>R46/R28</f>
        <v>-4.1485146516662207E-2</v>
      </c>
      <c r="S49" s="15"/>
      <c r="T49" s="15"/>
      <c r="U49" s="15"/>
      <c r="V49" s="56"/>
      <c r="W49" s="32"/>
      <c r="X49"/>
      <c r="Y49"/>
      <c r="Z49"/>
      <c r="AA49"/>
    </row>
    <row r="50" spans="1:27" x14ac:dyDescent="0.35">
      <c r="G50" s="59"/>
      <c r="K50" s="59"/>
      <c r="P50" s="59"/>
      <c r="V50" s="59"/>
    </row>
    <row r="51" spans="1:27" x14ac:dyDescent="0.35">
      <c r="G51" s="59"/>
      <c r="K51" s="59"/>
      <c r="P51" s="59"/>
      <c r="V51" s="59"/>
    </row>
    <row r="52" spans="1:27" s="4" customFormat="1" x14ac:dyDescent="0.35">
      <c r="A52" s="10">
        <f>A27+1</f>
        <v>3</v>
      </c>
      <c r="B52" s="4" t="s">
        <v>14</v>
      </c>
      <c r="C52" s="16">
        <v>797464.91</v>
      </c>
      <c r="D52" s="17">
        <f>ABS(C52/100/W$202)</f>
        <v>9968.3114424372907</v>
      </c>
      <c r="E52" s="17">
        <f>D52/Supporting!$A$15</f>
        <v>118.67037431472966</v>
      </c>
      <c r="F52" s="11">
        <f>ABS(C52/C57)</f>
        <v>0.7593207582188044</v>
      </c>
      <c r="G52" s="56"/>
      <c r="H52" s="4" t="s">
        <v>33</v>
      </c>
      <c r="I52" s="16">
        <v>5454.2</v>
      </c>
      <c r="J52" s="17">
        <f>I52/Supporting!$A$15</f>
        <v>64.930952380952377</v>
      </c>
      <c r="K52" s="56"/>
      <c r="L52" s="4" t="s">
        <v>32</v>
      </c>
      <c r="M52" s="17">
        <f>N52/100</f>
        <v>12906.785</v>
      </c>
      <c r="N52" s="16">
        <v>1290678.5</v>
      </c>
      <c r="O52" s="22">
        <f>M52/Supporting!$A$15</f>
        <v>153.65220238095239</v>
      </c>
      <c r="P52" s="56"/>
      <c r="Q52" s="4" t="s">
        <v>11</v>
      </c>
      <c r="R52" s="16">
        <v>266635.18</v>
      </c>
      <c r="S52" s="15">
        <f>R52*Supporting!$A$2</f>
        <v>1994569.7966936</v>
      </c>
      <c r="T52" s="15">
        <f>S52/Supporting!$A$15</f>
        <v>23744.878532066668</v>
      </c>
      <c r="U52" s="15">
        <f>T52/365</f>
        <v>65.0544617316895</v>
      </c>
      <c r="V52" s="56"/>
      <c r="W52" s="34">
        <f>C53/N52</f>
        <v>0.8</v>
      </c>
      <c r="Y52"/>
      <c r="Z52"/>
      <c r="AA52"/>
    </row>
    <row r="53" spans="1:27" s="4" customFormat="1" x14ac:dyDescent="0.35">
      <c r="A53" s="10" t="s">
        <v>139</v>
      </c>
      <c r="B53" s="4" t="s">
        <v>15</v>
      </c>
      <c r="C53" s="16">
        <v>1032542.8</v>
      </c>
      <c r="D53" s="17">
        <f>ABS(C53/100/W$202)</f>
        <v>12906.785087316555</v>
      </c>
      <c r="E53" s="17">
        <f>D53/Supporting!$A$15</f>
        <v>153.65220342043517</v>
      </c>
      <c r="F53" s="60"/>
      <c r="G53" s="56"/>
      <c r="I53" s="15"/>
      <c r="J53" s="17"/>
      <c r="K53" s="56"/>
      <c r="M53" s="15"/>
      <c r="O53" s="15"/>
      <c r="P53" s="56"/>
      <c r="Q53" s="4" t="s">
        <v>12</v>
      </c>
      <c r="R53" s="16">
        <v>195882.18</v>
      </c>
      <c r="S53" s="15">
        <f>R53*Supporting!$A$2</f>
        <v>1465300.5651336</v>
      </c>
      <c r="T53" s="15">
        <f>S53/Supporting!$A$15</f>
        <v>17444.054346828572</v>
      </c>
      <c r="U53" s="22">
        <f>T53/365</f>
        <v>47.791929717338554</v>
      </c>
      <c r="V53" s="56"/>
      <c r="W53" s="32"/>
    </row>
    <row r="54" spans="1:27" s="4" customFormat="1" x14ac:dyDescent="0.35">
      <c r="A54" s="10"/>
      <c r="B54" s="4" t="s">
        <v>16</v>
      </c>
      <c r="C54" s="16">
        <v>-4738.5</v>
      </c>
      <c r="D54" s="17">
        <f>ABS(C54/100/W$202)</f>
        <v>59.231250400709285</v>
      </c>
      <c r="E54" s="17">
        <f>D54/Supporting!$A$15</f>
        <v>0.70513393334177721</v>
      </c>
      <c r="F54" s="11">
        <f>ABS(C54/C57)</f>
        <v>4.5118491957468129E-3</v>
      </c>
      <c r="G54" s="56"/>
      <c r="I54" s="15"/>
      <c r="J54" s="17"/>
      <c r="K54" s="56"/>
      <c r="M54" s="15"/>
      <c r="N54" s="15"/>
      <c r="O54" s="15"/>
      <c r="P54" s="56"/>
      <c r="Q54" s="4" t="s">
        <v>13</v>
      </c>
      <c r="R54" s="16">
        <f>R52-R53</f>
        <v>70753</v>
      </c>
      <c r="S54" s="15">
        <f>R54*Supporting!$A$2</f>
        <v>529269.23155999999</v>
      </c>
      <c r="T54" s="15">
        <f>S54/Supporting!$A$15</f>
        <v>6300.8241852380952</v>
      </c>
      <c r="U54" s="15">
        <f>T54/365</f>
        <v>17.262532014350946</v>
      </c>
      <c r="V54" s="56"/>
      <c r="W54" s="32"/>
    </row>
    <row r="55" spans="1:27" s="4" customFormat="1" x14ac:dyDescent="0.35">
      <c r="A55" s="10"/>
      <c r="B55" s="4" t="s">
        <v>17</v>
      </c>
      <c r="C55" s="16">
        <v>246909.59</v>
      </c>
      <c r="D55" s="17">
        <f>ABS(C55/100/W$202)</f>
        <v>3086.3698958798072</v>
      </c>
      <c r="E55" s="17">
        <f>D55/Supporting!$A$15</f>
        <v>36.742498760473893</v>
      </c>
      <c r="F55" s="11">
        <f>ABS(C55/C57)</f>
        <v>0.23509946925475894</v>
      </c>
      <c r="G55" s="56"/>
      <c r="I55" s="15"/>
      <c r="J55" s="17"/>
      <c r="K55" s="56"/>
      <c r="M55" s="15"/>
      <c r="N55" s="15"/>
      <c r="O55" s="15"/>
      <c r="P55" s="56"/>
      <c r="R55" s="15"/>
      <c r="S55" s="15"/>
      <c r="T55" s="15"/>
      <c r="U55" s="15"/>
      <c r="V55" s="56"/>
      <c r="W55" s="32"/>
    </row>
    <row r="56" spans="1:27" s="4" customFormat="1" x14ac:dyDescent="0.35">
      <c r="A56" s="10"/>
      <c r="B56" s="4" t="s">
        <v>54</v>
      </c>
      <c r="C56" s="16">
        <v>17691.77</v>
      </c>
      <c r="D56" s="17">
        <f>ABS(C56/100/W$202)</f>
        <v>221.1471264960972</v>
      </c>
      <c r="E56" s="17">
        <f>D56/Supporting!$A$15</f>
        <v>2.6327038868582999</v>
      </c>
      <c r="F56" s="60"/>
      <c r="G56" s="56"/>
      <c r="H56" s="39"/>
      <c r="I56" s="15"/>
      <c r="J56" s="17"/>
      <c r="K56" s="56"/>
      <c r="M56" s="15"/>
      <c r="N56" s="15"/>
      <c r="O56" s="15"/>
      <c r="P56" s="56"/>
      <c r="R56" s="15"/>
      <c r="S56" s="15"/>
      <c r="T56" s="15"/>
      <c r="U56" s="15"/>
      <c r="V56" s="56"/>
      <c r="W56" s="32"/>
    </row>
    <row r="57" spans="1:27" s="4" customFormat="1" x14ac:dyDescent="0.35">
      <c r="A57" s="10"/>
      <c r="B57" s="4" t="s">
        <v>29</v>
      </c>
      <c r="C57" s="17">
        <f>C53+C56</f>
        <v>1050234.57</v>
      </c>
      <c r="D57" s="17">
        <f t="shared" ref="D57:E57" si="14">D53+D56</f>
        <v>13127.932213812652</v>
      </c>
      <c r="E57" s="17">
        <f t="shared" si="14"/>
        <v>156.28490730729348</v>
      </c>
      <c r="F57" s="60"/>
      <c r="G57" s="56"/>
      <c r="I57" s="15"/>
      <c r="J57" s="17"/>
      <c r="K57" s="56"/>
      <c r="M57" s="15"/>
      <c r="N57" s="15"/>
      <c r="O57" s="15"/>
      <c r="P57" s="56"/>
      <c r="R57" s="15"/>
      <c r="S57" s="15"/>
      <c r="T57" s="15"/>
      <c r="U57" s="15"/>
      <c r="V57" s="56"/>
      <c r="W57" s="32"/>
    </row>
    <row r="58" spans="1:27" s="4" customFormat="1" x14ac:dyDescent="0.35">
      <c r="A58" s="10"/>
      <c r="B58" s="6" t="s">
        <v>21</v>
      </c>
      <c r="C58" s="17">
        <f>C52-C54+C55</f>
        <v>1049113</v>
      </c>
      <c r="D58" s="17">
        <f t="shared" ref="D58:E58" si="15">D52-D54+D55</f>
        <v>12995.450087916388</v>
      </c>
      <c r="E58" s="17">
        <f t="shared" si="15"/>
        <v>154.70773914186177</v>
      </c>
      <c r="F58" s="11">
        <f>SUM(F52:F55)</f>
        <v>0.99893207666931016</v>
      </c>
      <c r="G58" s="57"/>
      <c r="I58" s="15"/>
      <c r="J58" s="17"/>
      <c r="K58" s="57"/>
      <c r="M58" s="15"/>
      <c r="N58" s="15"/>
      <c r="O58" s="15"/>
      <c r="P58" s="57"/>
      <c r="R58" s="15"/>
      <c r="S58" s="15"/>
      <c r="T58" s="15"/>
      <c r="U58" s="15"/>
      <c r="V58" s="57"/>
      <c r="W58" s="32"/>
      <c r="X58"/>
      <c r="Y58"/>
      <c r="Z58"/>
      <c r="AA58"/>
    </row>
    <row r="59" spans="1:27" s="4" customFormat="1" x14ac:dyDescent="0.35">
      <c r="A59" s="10"/>
      <c r="B59" s="6" t="s">
        <v>30</v>
      </c>
      <c r="C59" s="15">
        <f>C57-C58</f>
        <v>1121.5700000000652</v>
      </c>
      <c r="D59" s="15">
        <f t="shared" ref="D59:E59" si="16">D57-D58</f>
        <v>132.48212589626382</v>
      </c>
      <c r="E59" s="15">
        <f t="shared" si="16"/>
        <v>1.5771681654317149</v>
      </c>
      <c r="F59" s="11">
        <f>ABS(C59/C57)</f>
        <v>1.0679233306898908E-3</v>
      </c>
      <c r="G59" s="57"/>
      <c r="I59" s="15"/>
      <c r="J59" s="17"/>
      <c r="K59" s="57"/>
      <c r="M59" s="15"/>
      <c r="N59" s="15"/>
      <c r="O59" s="15"/>
      <c r="P59" s="57"/>
      <c r="R59" s="15"/>
      <c r="S59" s="15"/>
      <c r="T59" s="15"/>
      <c r="U59" s="15"/>
      <c r="V59" s="57"/>
      <c r="W59" s="32"/>
      <c r="X59"/>
      <c r="Y59"/>
      <c r="Z59"/>
      <c r="AA59"/>
    </row>
    <row r="60" spans="1:27" s="4" customFormat="1" x14ac:dyDescent="0.35">
      <c r="A60" s="14"/>
      <c r="B60" s="13"/>
      <c r="C60" s="18"/>
      <c r="D60" s="18"/>
      <c r="E60" s="18"/>
      <c r="F60" s="60"/>
      <c r="G60" s="56"/>
      <c r="H60" s="13"/>
      <c r="I60" s="18"/>
      <c r="J60" s="18"/>
      <c r="K60" s="56"/>
      <c r="L60" s="13"/>
      <c r="M60" s="18"/>
      <c r="N60" s="18"/>
      <c r="O60" s="18"/>
      <c r="P60" s="56"/>
      <c r="Q60" s="13"/>
      <c r="R60" s="18"/>
      <c r="S60" s="18"/>
      <c r="T60" s="18"/>
      <c r="U60" s="18"/>
      <c r="V60" s="56"/>
      <c r="W60" s="32"/>
      <c r="X60"/>
      <c r="Y60"/>
      <c r="Z60"/>
      <c r="AA60"/>
    </row>
    <row r="61" spans="1:27" s="4" customFormat="1" x14ac:dyDescent="0.35">
      <c r="A61" s="10">
        <f>A36+1</f>
        <v>3</v>
      </c>
      <c r="B61" s="4" t="s">
        <v>14</v>
      </c>
      <c r="C61" s="19">
        <v>797408.23</v>
      </c>
      <c r="D61" s="17">
        <f>ABS(C61/100/W$211)</f>
        <v>6846.9117579335416</v>
      </c>
      <c r="E61" s="17">
        <f>D61/Supporting!$A$15</f>
        <v>81.510854261113593</v>
      </c>
      <c r="F61" s="11">
        <f>ABS(C61/C66)</f>
        <v>0.8326083986161259</v>
      </c>
      <c r="G61" s="56"/>
      <c r="H61" s="4" t="s">
        <v>33</v>
      </c>
      <c r="I61" s="21">
        <v>1667.6</v>
      </c>
      <c r="J61" s="17">
        <f>I61/Supporting!$A$15</f>
        <v>19.852380952380951</v>
      </c>
      <c r="K61" s="56"/>
      <c r="L61" s="4" t="s">
        <v>32</v>
      </c>
      <c r="M61" s="17">
        <f>N61/100</f>
        <v>8437.7459114847134</v>
      </c>
      <c r="N61" s="52">
        <v>843774.59114847134</v>
      </c>
      <c r="O61" s="22">
        <f>M61/Supporting!$A$15</f>
        <v>100.44935608910373</v>
      </c>
      <c r="P61" s="56"/>
      <c r="Q61" s="4" t="s">
        <v>11</v>
      </c>
      <c r="R61" s="21">
        <v>266635.18</v>
      </c>
      <c r="S61" s="15">
        <f>R61*Supporting!$A$2</f>
        <v>1994569.7966936</v>
      </c>
      <c r="T61" s="15">
        <f>S61/Supporting!$A$15</f>
        <v>23744.878532066668</v>
      </c>
      <c r="U61" s="15">
        <f>T61/365</f>
        <v>65.0544617316895</v>
      </c>
      <c r="V61" s="56"/>
      <c r="W61" s="54">
        <f>C62/N61</f>
        <v>1.1286353606640307</v>
      </c>
      <c r="X61" s="45"/>
      <c r="Y61" s="17">
        <f>Z61/100</f>
        <v>10041.597099999999</v>
      </c>
      <c r="Z61" s="46">
        <v>1004159.71</v>
      </c>
      <c r="AA61" s="17">
        <f>Y61/Supporting!$A$15</f>
        <v>119.54282261904761</v>
      </c>
    </row>
    <row r="62" spans="1:27" s="4" customFormat="1" x14ac:dyDescent="0.35">
      <c r="A62" s="10" t="s">
        <v>140</v>
      </c>
      <c r="B62" s="4" t="s">
        <v>15</v>
      </c>
      <c r="C62" s="19">
        <v>952313.84</v>
      </c>
      <c r="D62" s="17">
        <f>ABS(C62/100/W$211)</f>
        <v>8177.0021715713183</v>
      </c>
      <c r="E62" s="17">
        <f>D62/Supporting!$A$15</f>
        <v>97.345263947277601</v>
      </c>
      <c r="F62" s="60"/>
      <c r="G62" s="56"/>
      <c r="I62" s="15"/>
      <c r="J62" s="17"/>
      <c r="K62" s="56"/>
      <c r="M62" s="15"/>
      <c r="N62" s="15"/>
      <c r="O62" s="17"/>
      <c r="P62" s="56"/>
      <c r="Q62" s="4" t="s">
        <v>12</v>
      </c>
      <c r="R62" s="21">
        <v>204227.14</v>
      </c>
      <c r="S62" s="15">
        <f>R62*Supporting!$A$2</f>
        <v>1527725.2053128001</v>
      </c>
      <c r="T62" s="15">
        <f>S62/Supporting!$A$15</f>
        <v>18187.204825152381</v>
      </c>
      <c r="U62" s="22">
        <f>T62/365</f>
        <v>49.827958425075018</v>
      </c>
      <c r="V62" s="56"/>
      <c r="W62" s="32"/>
      <c r="X62"/>
      <c r="Y62"/>
      <c r="Z62"/>
      <c r="AA62"/>
    </row>
    <row r="63" spans="1:27" s="4" customFormat="1" x14ac:dyDescent="0.35">
      <c r="A63" s="10"/>
      <c r="B63" s="4" t="s">
        <v>16</v>
      </c>
      <c r="C63" s="19">
        <v>-4891.3</v>
      </c>
      <c r="D63" s="17">
        <f>ABS(C63/100/W$211)</f>
        <v>41.998938839119248</v>
      </c>
      <c r="E63" s="17">
        <f>D63/Supporting!$A$15</f>
        <v>0.49998736713237202</v>
      </c>
      <c r="F63" s="11">
        <f>ABS(C63/C66)</f>
        <v>5.1072177423489313E-3</v>
      </c>
      <c r="G63" s="56"/>
      <c r="I63" s="15"/>
      <c r="J63" s="17"/>
      <c r="K63" s="56"/>
      <c r="M63" s="15"/>
      <c r="N63" s="15"/>
      <c r="O63" s="17"/>
      <c r="P63" s="56"/>
      <c r="Q63" s="4" t="s">
        <v>13</v>
      </c>
      <c r="R63" s="21">
        <f>R61-R62</f>
        <v>62408.039999999979</v>
      </c>
      <c r="S63" s="15">
        <f>R63*Supporting!$A$2</f>
        <v>466844.59138079989</v>
      </c>
      <c r="T63" s="15">
        <f>S63/Supporting!$A$15</f>
        <v>5557.6737069142846</v>
      </c>
      <c r="U63" s="15">
        <f>T63/365</f>
        <v>15.226503306614479</v>
      </c>
      <c r="V63" s="56"/>
      <c r="W63" s="32"/>
      <c r="X63"/>
      <c r="Y63" s="4" t="s">
        <v>84</v>
      </c>
      <c r="Z63" s="33">
        <f>(N52-Z61)/N52</f>
        <v>0.2219908288547458</v>
      </c>
      <c r="AA63"/>
    </row>
    <row r="64" spans="1:27" s="4" customFormat="1" x14ac:dyDescent="0.35">
      <c r="A64" s="10"/>
      <c r="B64" s="4" t="s">
        <v>17</v>
      </c>
      <c r="C64" s="19">
        <v>158295.60999999999</v>
      </c>
      <c r="D64" s="17">
        <f>ABS(C64/100/W$211)</f>
        <v>1359.1985040564007</v>
      </c>
      <c r="E64" s="17">
        <f>D64/Supporting!$A$15</f>
        <v>16.180934572100007</v>
      </c>
      <c r="F64" s="11">
        <f>ABS(C64/C66)</f>
        <v>0.16528328827263647</v>
      </c>
      <c r="G64" s="56"/>
      <c r="I64" s="15"/>
      <c r="J64" s="17"/>
      <c r="K64" s="56"/>
      <c r="M64" s="15"/>
      <c r="N64" s="15"/>
      <c r="O64" s="17"/>
      <c r="P64" s="56"/>
      <c r="R64" s="15"/>
      <c r="S64" s="15"/>
      <c r="T64" s="15"/>
      <c r="U64" s="15"/>
      <c r="V64" s="56"/>
      <c r="W64" s="32"/>
      <c r="X64"/>
      <c r="Y64"/>
      <c r="Z64"/>
      <c r="AA64"/>
    </row>
    <row r="65" spans="1:27" s="4" customFormat="1" x14ac:dyDescent="0.35">
      <c r="A65" s="10"/>
      <c r="B65" s="4" t="s">
        <v>54</v>
      </c>
      <c r="C65" s="19">
        <v>5409.18</v>
      </c>
      <c r="D65" s="17">
        <f>ABS(C65/100/W$211)</f>
        <v>46.445693371861687</v>
      </c>
      <c r="E65" s="17">
        <f>D65/Supporting!$A$15</f>
        <v>0.55292492109359148</v>
      </c>
      <c r="F65" s="60"/>
      <c r="G65" s="56"/>
      <c r="I65" s="15"/>
      <c r="J65" s="17"/>
      <c r="K65" s="56"/>
      <c r="M65" s="15"/>
      <c r="N65" s="15"/>
      <c r="O65" s="17"/>
      <c r="P65" s="56"/>
      <c r="R65" s="15"/>
      <c r="S65" s="15"/>
      <c r="T65" s="15"/>
      <c r="U65" s="15"/>
      <c r="V65" s="56"/>
      <c r="W65" s="32"/>
      <c r="X65"/>
      <c r="Y65"/>
      <c r="Z65"/>
      <c r="AA65"/>
    </row>
    <row r="66" spans="1:27" s="4" customFormat="1" x14ac:dyDescent="0.35">
      <c r="A66" s="10"/>
      <c r="B66" s="4" t="s">
        <v>29</v>
      </c>
      <c r="C66" s="17">
        <f>C62+C65</f>
        <v>957723.02</v>
      </c>
      <c r="D66" s="17">
        <f t="shared" ref="D66:E66" si="17">D62+D65</f>
        <v>8223.4478649431803</v>
      </c>
      <c r="E66" s="17">
        <f t="shared" si="17"/>
        <v>97.898188868371193</v>
      </c>
      <c r="F66" s="60"/>
      <c r="G66" s="56"/>
      <c r="I66" s="15"/>
      <c r="J66" s="17"/>
      <c r="K66" s="56"/>
      <c r="M66" s="15"/>
      <c r="N66" s="15"/>
      <c r="O66" s="17"/>
      <c r="P66" s="56"/>
      <c r="R66" s="15"/>
      <c r="S66" s="15"/>
      <c r="T66" s="15"/>
      <c r="U66" s="15"/>
      <c r="V66" s="56"/>
      <c r="W66" s="32"/>
      <c r="X66"/>
      <c r="Y66"/>
      <c r="Z66"/>
      <c r="AA66"/>
    </row>
    <row r="67" spans="1:27" s="4" customFormat="1" x14ac:dyDescent="0.35">
      <c r="A67" s="10"/>
      <c r="B67" s="6" t="s">
        <v>21</v>
      </c>
      <c r="C67" s="17">
        <f>C61-C63+C64</f>
        <v>960595.14</v>
      </c>
      <c r="D67" s="17">
        <f t="shared" ref="D67:E67" si="18">D61-D63+D64</f>
        <v>8164.1113231508225</v>
      </c>
      <c r="E67" s="17">
        <f t="shared" si="18"/>
        <v>97.191801466081216</v>
      </c>
      <c r="F67" s="11">
        <f>SUM(F61:F64)</f>
        <v>1.0029989046311112</v>
      </c>
      <c r="G67" s="57"/>
      <c r="I67" s="15"/>
      <c r="J67" s="17"/>
      <c r="K67" s="57"/>
      <c r="M67" s="15"/>
      <c r="N67" s="15"/>
      <c r="O67" s="17"/>
      <c r="P67" s="57"/>
      <c r="R67" s="15"/>
      <c r="S67" s="15"/>
      <c r="T67" s="15"/>
      <c r="U67" s="15"/>
      <c r="V67" s="57"/>
      <c r="W67" s="32"/>
      <c r="X67"/>
      <c r="Y67"/>
      <c r="Z67" s="27"/>
      <c r="AA67"/>
    </row>
    <row r="68" spans="1:27" s="4" customFormat="1" x14ac:dyDescent="0.35">
      <c r="A68" s="10"/>
      <c r="B68" s="6" t="s">
        <v>30</v>
      </c>
      <c r="C68" s="15">
        <f>C66-C67</f>
        <v>-2872.1199999999953</v>
      </c>
      <c r="D68" s="15">
        <f t="shared" ref="D68:E68" si="19">D66-D67</f>
        <v>59.336541792357821</v>
      </c>
      <c r="E68" s="15">
        <f t="shared" si="19"/>
        <v>0.70638740228997676</v>
      </c>
      <c r="F68" s="11">
        <f>ABS(C68/C66)</f>
        <v>2.9989046311113994E-3</v>
      </c>
      <c r="G68" s="57"/>
      <c r="I68" s="15"/>
      <c r="J68" s="17"/>
      <c r="K68" s="57"/>
      <c r="M68" s="15"/>
      <c r="N68" s="15"/>
      <c r="O68" s="17"/>
      <c r="P68" s="57"/>
      <c r="R68" s="15"/>
      <c r="S68" s="15"/>
      <c r="T68" s="15"/>
      <c r="U68" s="15"/>
      <c r="V68" s="57"/>
      <c r="W68" s="32"/>
      <c r="X68"/>
      <c r="Y68"/>
      <c r="Z68"/>
      <c r="AA68"/>
    </row>
    <row r="69" spans="1:27" s="4" customFormat="1" x14ac:dyDescent="0.35">
      <c r="A69" s="14"/>
      <c r="B69" s="13"/>
      <c r="C69" s="18"/>
      <c r="D69" s="18"/>
      <c r="E69" s="18"/>
      <c r="F69" s="60"/>
      <c r="G69" s="58"/>
      <c r="H69" s="13"/>
      <c r="I69" s="18"/>
      <c r="J69" s="18"/>
      <c r="K69" s="58"/>
      <c r="L69" s="13"/>
      <c r="M69" s="18"/>
      <c r="N69" s="18"/>
      <c r="O69" s="18"/>
      <c r="P69" s="58"/>
      <c r="Q69" s="13"/>
      <c r="R69" s="18"/>
      <c r="S69" s="18"/>
      <c r="T69" s="18"/>
      <c r="U69" s="18"/>
      <c r="V69" s="58"/>
      <c r="W69" s="32"/>
      <c r="X69"/>
      <c r="Y69"/>
      <c r="Z69"/>
      <c r="AA69"/>
    </row>
    <row r="70" spans="1:27" s="4" customFormat="1" x14ac:dyDescent="0.35">
      <c r="A70" s="10">
        <f>A45+1</f>
        <v>3</v>
      </c>
      <c r="B70" s="4" t="s">
        <v>14</v>
      </c>
      <c r="C70" s="17">
        <f>C52-C61</f>
        <v>56.680000000051223</v>
      </c>
      <c r="D70"/>
      <c r="E70"/>
      <c r="F70" s="61">
        <f>-C70/C52</f>
        <v>-7.107522762355929E-5</v>
      </c>
      <c r="G70" s="56"/>
      <c r="H70" s="4" t="s">
        <v>33</v>
      </c>
      <c r="I70" s="15">
        <f>I52-I61</f>
        <v>3786.6</v>
      </c>
      <c r="J70" s="17">
        <f>I70/Supporting!$A$15</f>
        <v>45.078571428571429</v>
      </c>
      <c r="K70" s="56"/>
      <c r="L70" s="4" t="s">
        <v>32</v>
      </c>
      <c r="M70" s="15">
        <f>M52-M61</f>
        <v>4469.0390885152865</v>
      </c>
      <c r="N70" s="15"/>
      <c r="O70" s="22">
        <f>M70/Supporting!$A$15</f>
        <v>53.202846291848651</v>
      </c>
      <c r="P70" s="56"/>
      <c r="Q70" s="4" t="s">
        <v>11</v>
      </c>
      <c r="R70" s="17">
        <f>R52-R61</f>
        <v>0</v>
      </c>
      <c r="S70" s="15">
        <f>R70*Supporting!$A$2</f>
        <v>0</v>
      </c>
      <c r="T70" s="15">
        <f>S70/Supporting!$A$15</f>
        <v>0</v>
      </c>
      <c r="U70" s="15">
        <f>T70/365</f>
        <v>0</v>
      </c>
      <c r="V70" s="56"/>
      <c r="W70" s="32"/>
      <c r="X70"/>
      <c r="Y70"/>
      <c r="Z70"/>
      <c r="AA70"/>
    </row>
    <row r="71" spans="1:27" s="4" customFormat="1" x14ac:dyDescent="0.35">
      <c r="A71" s="10" t="s">
        <v>141</v>
      </c>
      <c r="B71" s="4" t="s">
        <v>15</v>
      </c>
      <c r="C71" s="17">
        <f>C53-C62</f>
        <v>80228.960000000079</v>
      </c>
      <c r="D71"/>
      <c r="E71"/>
      <c r="F71" s="61">
        <f t="shared" ref="F71:F74" si="20">-C71/C53</f>
        <v>-7.7700372323549274E-2</v>
      </c>
      <c r="G71" s="56"/>
      <c r="I71" s="15"/>
      <c r="J71" s="17"/>
      <c r="K71" s="56"/>
      <c r="M71" s="15"/>
      <c r="N71" s="15"/>
      <c r="O71" s="15"/>
      <c r="P71" s="56"/>
      <c r="Q71" s="4" t="s">
        <v>12</v>
      </c>
      <c r="R71" s="17">
        <f>R53-R62</f>
        <v>-8344.960000000021</v>
      </c>
      <c r="S71" s="15">
        <f>R71*Supporting!$A$2</f>
        <v>-62424.640179200156</v>
      </c>
      <c r="T71" s="15">
        <f>S71/Supporting!$A$15</f>
        <v>-743.1504783238114</v>
      </c>
      <c r="U71" s="15">
        <f>T71/365</f>
        <v>-2.0360287077364694</v>
      </c>
      <c r="V71" s="56"/>
      <c r="W71" s="32"/>
      <c r="X71"/>
      <c r="Y71"/>
      <c r="Z71"/>
      <c r="AA71"/>
    </row>
    <row r="72" spans="1:27" s="4" customFormat="1" x14ac:dyDescent="0.35">
      <c r="A72" s="10"/>
      <c r="B72" s="4" t="s">
        <v>16</v>
      </c>
      <c r="C72" s="17">
        <f>C54-C63</f>
        <v>152.80000000000018</v>
      </c>
      <c r="D72"/>
      <c r="E72"/>
      <c r="F72" s="61">
        <f t="shared" si="20"/>
        <v>3.2246491505750804E-2</v>
      </c>
      <c r="G72" s="56"/>
      <c r="H72" s="4" t="s">
        <v>84</v>
      </c>
      <c r="I72" s="33">
        <f>I70/I52</f>
        <v>0.69425396941806317</v>
      </c>
      <c r="J72" s="15"/>
      <c r="K72" s="56"/>
      <c r="L72" s="4" t="s">
        <v>84</v>
      </c>
      <c r="M72" s="53">
        <f>M70/M52</f>
        <v>0.34625501924106478</v>
      </c>
      <c r="N72" s="15"/>
      <c r="O72" s="15"/>
      <c r="P72" s="56"/>
      <c r="Q72" s="4" t="s">
        <v>13</v>
      </c>
      <c r="R72" s="17">
        <f>R54-R63</f>
        <v>8344.960000000021</v>
      </c>
      <c r="S72" s="15">
        <f>R72*Supporting!$A$2</f>
        <v>62424.640179200156</v>
      </c>
      <c r="T72" s="15">
        <f>S72/Supporting!$A$15</f>
        <v>743.1504783238114</v>
      </c>
      <c r="U72" s="15">
        <f>T72/365</f>
        <v>2.0360287077364694</v>
      </c>
      <c r="V72" s="56"/>
      <c r="W72" s="32"/>
      <c r="X72"/>
      <c r="Y72"/>
      <c r="Z72"/>
      <c r="AA72"/>
    </row>
    <row r="73" spans="1:27" s="4" customFormat="1" x14ac:dyDescent="0.35">
      <c r="A73" s="10"/>
      <c r="B73" s="4" t="s">
        <v>17</v>
      </c>
      <c r="C73" s="17">
        <f>C55-C64</f>
        <v>88613.98000000001</v>
      </c>
      <c r="D73"/>
      <c r="E73"/>
      <c r="F73" s="61">
        <f t="shared" si="20"/>
        <v>-0.35889241888093537</v>
      </c>
      <c r="G73" s="56"/>
      <c r="I73" s="15"/>
      <c r="J73" s="15"/>
      <c r="K73" s="56"/>
      <c r="M73" s="15"/>
      <c r="N73" s="15"/>
      <c r="O73" s="15"/>
      <c r="P73" s="56"/>
      <c r="R73" s="15"/>
      <c r="S73" s="15"/>
      <c r="T73" s="15"/>
      <c r="U73" s="15"/>
      <c r="V73" s="56"/>
      <c r="W73" s="32"/>
      <c r="X73"/>
      <c r="Y73"/>
      <c r="Z73"/>
      <c r="AA73"/>
    </row>
    <row r="74" spans="1:27" s="4" customFormat="1" x14ac:dyDescent="0.35">
      <c r="A74" s="10"/>
      <c r="B74" s="4" t="s">
        <v>54</v>
      </c>
      <c r="C74" s="17">
        <f>C56-C65</f>
        <v>12282.59</v>
      </c>
      <c r="D74"/>
      <c r="E74"/>
      <c r="F74" s="61">
        <f t="shared" si="20"/>
        <v>-0.6942544471242843</v>
      </c>
      <c r="G74" s="56"/>
      <c r="I74" s="15"/>
      <c r="J74" s="15"/>
      <c r="K74" s="56"/>
      <c r="M74" s="15"/>
      <c r="N74" s="15"/>
      <c r="O74" s="15"/>
      <c r="P74" s="56"/>
      <c r="Q74" s="4" t="s">
        <v>84</v>
      </c>
      <c r="R74" s="33">
        <f>R71/R53</f>
        <v>-4.2601935510417646E-2</v>
      </c>
      <c r="S74" s="15"/>
      <c r="T74" s="15"/>
      <c r="U74" s="15"/>
      <c r="V74" s="56"/>
      <c r="W74" s="32"/>
      <c r="X74"/>
      <c r="Y74"/>
      <c r="Z74"/>
      <c r="AA74"/>
    </row>
    <row r="75" spans="1:27" x14ac:dyDescent="0.35">
      <c r="G75" s="59"/>
      <c r="K75" s="59"/>
      <c r="P75" s="59"/>
      <c r="V75" s="59"/>
    </row>
    <row r="76" spans="1:27" x14ac:dyDescent="0.35">
      <c r="G76" s="59"/>
      <c r="K76" s="59"/>
      <c r="P76" s="59"/>
      <c r="V76" s="59"/>
    </row>
    <row r="77" spans="1:27" s="4" customFormat="1" x14ac:dyDescent="0.35">
      <c r="A77" s="10">
        <f>A52+1</f>
        <v>4</v>
      </c>
      <c r="B77" s="4" t="s">
        <v>14</v>
      </c>
      <c r="C77" s="16">
        <v>756688.6</v>
      </c>
      <c r="D77" s="17">
        <f>ABS(C77/100/W$202)</f>
        <v>9458.6075639890569</v>
      </c>
      <c r="E77" s="17">
        <f>D77/Supporting!$A$15</f>
        <v>112.60247099986972</v>
      </c>
      <c r="F77" s="11">
        <f>ABS(C77/C82)</f>
        <v>0.76494909402914724</v>
      </c>
      <c r="G77" s="56"/>
      <c r="H77" s="4" t="s">
        <v>33</v>
      </c>
      <c r="I77" s="16">
        <v>5419.59</v>
      </c>
      <c r="J77" s="17">
        <f>I77/Supporting!$A$15</f>
        <v>64.518928571428575</v>
      </c>
      <c r="K77" s="56"/>
      <c r="L77" s="4" t="s">
        <v>32</v>
      </c>
      <c r="M77" s="17">
        <f>N77/100</f>
        <v>12145.271699999999</v>
      </c>
      <c r="N77" s="16">
        <v>1214527.17</v>
      </c>
      <c r="O77" s="22">
        <f>M77/Supporting!$A$15</f>
        <v>144.58656785714285</v>
      </c>
      <c r="P77" s="56"/>
      <c r="Q77" s="4" t="s">
        <v>11</v>
      </c>
      <c r="R77" s="16">
        <v>266635.18</v>
      </c>
      <c r="S77" s="15">
        <f>R77*Supporting!$A$2</f>
        <v>1994569.7966936</v>
      </c>
      <c r="T77" s="15">
        <f>S77/Supporting!$A$15</f>
        <v>23744.878532066668</v>
      </c>
      <c r="U77" s="15">
        <f>T77/365</f>
        <v>65.0544617316895</v>
      </c>
      <c r="V77" s="56"/>
      <c r="W77" s="34">
        <f>C78/N77</f>
        <v>0.80000000329346277</v>
      </c>
      <c r="Y77"/>
      <c r="Z77"/>
      <c r="AA77"/>
    </row>
    <row r="78" spans="1:27" s="4" customFormat="1" x14ac:dyDescent="0.35">
      <c r="A78" s="10" t="s">
        <v>139</v>
      </c>
      <c r="B78" s="4" t="s">
        <v>15</v>
      </c>
      <c r="C78" s="16">
        <v>971621.74</v>
      </c>
      <c r="D78" s="17">
        <f>ABS(C78/100/W$202)</f>
        <v>12145.27183216479</v>
      </c>
      <c r="E78" s="17">
        <f>D78/Supporting!$A$15</f>
        <v>144.58656943053322</v>
      </c>
      <c r="F78" s="60"/>
      <c r="G78" s="56"/>
      <c r="I78" s="15"/>
      <c r="J78" s="17"/>
      <c r="K78" s="56"/>
      <c r="M78" s="15"/>
      <c r="O78" s="15"/>
      <c r="P78" s="56"/>
      <c r="Q78" s="4" t="s">
        <v>12</v>
      </c>
      <c r="R78" s="16">
        <v>191600.72</v>
      </c>
      <c r="S78" s="15">
        <f>R78*Supporting!$A$2</f>
        <v>1433273.0179744</v>
      </c>
      <c r="T78" s="15">
        <f>S78/Supporting!$A$15</f>
        <v>17062.77402350476</v>
      </c>
      <c r="U78" s="22">
        <f>T78/365</f>
        <v>46.747326091793866</v>
      </c>
      <c r="V78" s="56"/>
      <c r="W78" s="32"/>
    </row>
    <row r="79" spans="1:27" s="4" customFormat="1" x14ac:dyDescent="0.35">
      <c r="A79" s="10"/>
      <c r="B79" s="4" t="s">
        <v>16</v>
      </c>
      <c r="C79" s="16">
        <v>-4488.8</v>
      </c>
      <c r="D79" s="17">
        <f>ABS(C79/100/W$202)</f>
        <v>56.110000379593522</v>
      </c>
      <c r="E79" s="17">
        <f>D79/Supporting!$A$15</f>
        <v>0.66797619499516103</v>
      </c>
      <c r="F79" s="11">
        <f>ABS(C79/C82)</f>
        <v>4.5378025957811922E-3</v>
      </c>
      <c r="G79" s="56"/>
      <c r="I79" s="15"/>
      <c r="J79" s="17"/>
      <c r="K79" s="56"/>
      <c r="M79" s="15"/>
      <c r="N79" s="15"/>
      <c r="O79" s="15"/>
      <c r="P79" s="56"/>
      <c r="Q79" s="4" t="s">
        <v>13</v>
      </c>
      <c r="R79" s="16">
        <f>R77-R78</f>
        <v>75034.459999999992</v>
      </c>
      <c r="S79" s="15">
        <f>R79*Supporting!$A$2</f>
        <v>561296.77871919994</v>
      </c>
      <c r="T79" s="15">
        <f>S79/Supporting!$A$15</f>
        <v>6682.1045085619044</v>
      </c>
      <c r="U79" s="15">
        <f>T79/365</f>
        <v>18.307135639895627</v>
      </c>
      <c r="V79" s="56"/>
      <c r="W79" s="32"/>
    </row>
    <row r="80" spans="1:27" s="4" customFormat="1" x14ac:dyDescent="0.35">
      <c r="A80" s="10"/>
      <c r="B80" s="4" t="s">
        <v>17</v>
      </c>
      <c r="C80" s="16">
        <v>227622.16</v>
      </c>
      <c r="D80" s="17">
        <f>ABS(C80/100/W$202)</f>
        <v>2845.2770192487737</v>
      </c>
      <c r="E80" s="17">
        <f>D80/Supporting!$A$15</f>
        <v>33.872345467247307</v>
      </c>
      <c r="F80" s="11">
        <f>ABS(C80/C82)</f>
        <v>0.23010702827154739</v>
      </c>
      <c r="G80" s="56"/>
      <c r="I80" s="15"/>
      <c r="J80" s="17"/>
      <c r="K80" s="56"/>
      <c r="M80" s="15"/>
      <c r="N80" s="15"/>
      <c r="O80" s="15"/>
      <c r="P80" s="56"/>
      <c r="R80" s="15"/>
      <c r="S80" s="15"/>
      <c r="T80" s="15"/>
      <c r="U80" s="15"/>
      <c r="V80" s="56"/>
      <c r="W80" s="32"/>
    </row>
    <row r="81" spans="1:27" s="4" customFormat="1" x14ac:dyDescent="0.35">
      <c r="A81" s="10"/>
      <c r="B81" s="4" t="s">
        <v>54</v>
      </c>
      <c r="C81" s="16">
        <v>17579.509999999998</v>
      </c>
      <c r="D81" s="17">
        <f>ABS(C81/100/W$202)</f>
        <v>219.74387648660397</v>
      </c>
      <c r="E81" s="17">
        <f>D81/Supporting!$A$15</f>
        <v>2.615998529602428</v>
      </c>
      <c r="F81" s="60"/>
      <c r="G81" s="56"/>
      <c r="H81" s="39"/>
      <c r="I81" s="15"/>
      <c r="J81" s="17"/>
      <c r="K81" s="56"/>
      <c r="M81" s="15"/>
      <c r="N81" s="15"/>
      <c r="O81" s="15"/>
      <c r="P81" s="56"/>
      <c r="R81" s="15"/>
      <c r="S81" s="15"/>
      <c r="T81" s="15"/>
      <c r="U81" s="15"/>
      <c r="V81" s="56"/>
      <c r="W81" s="32"/>
    </row>
    <row r="82" spans="1:27" s="4" customFormat="1" x14ac:dyDescent="0.35">
      <c r="A82" s="10"/>
      <c r="B82" s="4" t="s">
        <v>29</v>
      </c>
      <c r="C82" s="17">
        <f>C78+C81</f>
        <v>989201.25</v>
      </c>
      <c r="D82" s="17">
        <f t="shared" ref="D82:E82" si="21">D78+D81</f>
        <v>12365.015708651394</v>
      </c>
      <c r="E82" s="17">
        <f t="shared" si="21"/>
        <v>147.20256796013564</v>
      </c>
      <c r="F82" s="60"/>
      <c r="G82" s="56"/>
      <c r="I82" s="15"/>
      <c r="J82" s="17"/>
      <c r="K82" s="56"/>
      <c r="M82" s="15"/>
      <c r="N82" s="15"/>
      <c r="O82" s="15"/>
      <c r="P82" s="56"/>
      <c r="R82" s="15"/>
      <c r="S82" s="15"/>
      <c r="T82" s="15"/>
      <c r="U82" s="15"/>
      <c r="V82" s="56"/>
      <c r="W82" s="32"/>
    </row>
    <row r="83" spans="1:27" s="4" customFormat="1" x14ac:dyDescent="0.35">
      <c r="A83" s="10"/>
      <c r="B83" s="6" t="s">
        <v>21</v>
      </c>
      <c r="C83" s="17">
        <f>C77-C79+C80</f>
        <v>988799.56</v>
      </c>
      <c r="D83" s="17">
        <f t="shared" ref="D83:E83" si="22">D77-D79+D80</f>
        <v>12247.774582858237</v>
      </c>
      <c r="E83" s="17">
        <f t="shared" si="22"/>
        <v>145.80684027212186</v>
      </c>
      <c r="F83" s="11">
        <f>SUM(F77:F80)</f>
        <v>0.99959392489647581</v>
      </c>
      <c r="G83" s="57"/>
      <c r="I83" s="15"/>
      <c r="J83" s="17"/>
      <c r="K83" s="57"/>
      <c r="M83" s="15"/>
      <c r="N83" s="15"/>
      <c r="O83" s="15"/>
      <c r="P83" s="57"/>
      <c r="R83" s="15"/>
      <c r="S83" s="15"/>
      <c r="T83" s="15"/>
      <c r="U83" s="15"/>
      <c r="V83" s="57"/>
      <c r="W83" s="32"/>
      <c r="X83"/>
      <c r="Y83"/>
      <c r="Z83"/>
      <c r="AA83"/>
    </row>
    <row r="84" spans="1:27" s="4" customFormat="1" x14ac:dyDescent="0.35">
      <c r="A84" s="10"/>
      <c r="B84" s="6" t="s">
        <v>30</v>
      </c>
      <c r="C84" s="15">
        <f>C82-C83</f>
        <v>401.68999999994412</v>
      </c>
      <c r="D84" s="15">
        <f t="shared" ref="D84:E84" si="23">D82-D83</f>
        <v>117.24112579315624</v>
      </c>
      <c r="E84" s="15">
        <f t="shared" si="23"/>
        <v>1.3957276880137783</v>
      </c>
      <c r="F84" s="11">
        <f>ABS(C84/C82)</f>
        <v>4.0607510352412524E-4</v>
      </c>
      <c r="G84" s="57"/>
      <c r="I84" s="15"/>
      <c r="J84" s="17"/>
      <c r="K84" s="57"/>
      <c r="M84" s="15"/>
      <c r="N84" s="15"/>
      <c r="O84" s="15"/>
      <c r="P84" s="57"/>
      <c r="R84" s="15"/>
      <c r="S84" s="15"/>
      <c r="T84" s="15"/>
      <c r="U84" s="15"/>
      <c r="V84" s="57"/>
      <c r="W84" s="32"/>
      <c r="X84"/>
      <c r="Y84"/>
      <c r="Z84"/>
      <c r="AA84"/>
    </row>
    <row r="85" spans="1:27" s="4" customFormat="1" x14ac:dyDescent="0.35">
      <c r="A85" s="14"/>
      <c r="B85" s="13"/>
      <c r="C85" s="18"/>
      <c r="D85" s="18"/>
      <c r="E85" s="18"/>
      <c r="F85" s="60"/>
      <c r="G85" s="56"/>
      <c r="H85" s="13"/>
      <c r="I85" s="18"/>
      <c r="J85" s="18"/>
      <c r="K85" s="56"/>
      <c r="L85" s="13"/>
      <c r="M85" s="18"/>
      <c r="N85" s="18"/>
      <c r="O85" s="18"/>
      <c r="P85" s="56"/>
      <c r="Q85" s="13"/>
      <c r="R85" s="18"/>
      <c r="S85" s="18"/>
      <c r="T85" s="18"/>
      <c r="U85" s="18"/>
      <c r="V85" s="56"/>
      <c r="W85" s="32"/>
      <c r="X85"/>
      <c r="Y85"/>
      <c r="Z85"/>
      <c r="AA85"/>
    </row>
    <row r="86" spans="1:27" s="4" customFormat="1" x14ac:dyDescent="0.35">
      <c r="A86" s="10">
        <f>A61+1</f>
        <v>4</v>
      </c>
      <c r="B86" s="4" t="s">
        <v>14</v>
      </c>
      <c r="C86" s="19">
        <v>756635.47</v>
      </c>
      <c r="D86" s="17">
        <f>ABS(C86/100/W$211)</f>
        <v>6496.8181931262125</v>
      </c>
      <c r="E86" s="17">
        <f>D86/Supporting!$A$15</f>
        <v>77.34307372769301</v>
      </c>
      <c r="F86" s="11">
        <f>ABS(C86/C91)</f>
        <v>0.84739946014023604</v>
      </c>
      <c r="G86" s="56"/>
      <c r="H86" s="4" t="s">
        <v>33</v>
      </c>
      <c r="I86" s="21">
        <v>1589.79</v>
      </c>
      <c r="J86" s="17">
        <f>I86/Supporting!$A$15</f>
        <v>18.926071428571429</v>
      </c>
      <c r="K86" s="56"/>
      <c r="L86" s="4" t="s">
        <v>32</v>
      </c>
      <c r="M86" s="17">
        <f>N86/100</f>
        <v>7774.6022202539325</v>
      </c>
      <c r="N86" s="52">
        <v>777460.22202539328</v>
      </c>
      <c r="O86" s="22">
        <f>M86/Supporting!$A$15</f>
        <v>92.554788336356339</v>
      </c>
      <c r="P86" s="56"/>
      <c r="Q86" s="4" t="s">
        <v>11</v>
      </c>
      <c r="R86" s="21">
        <v>266635.18</v>
      </c>
      <c r="S86" s="15">
        <f>R86*Supporting!$A$2</f>
        <v>1994569.7966936</v>
      </c>
      <c r="T86" s="15">
        <f>S86/Supporting!$A$15</f>
        <v>23744.878532066668</v>
      </c>
      <c r="U86" s="15">
        <f>T86/365</f>
        <v>65.0544617316895</v>
      </c>
      <c r="V86" s="56"/>
      <c r="W86" s="54">
        <f>C87/N86</f>
        <v>1.1418389196650178</v>
      </c>
      <c r="X86" s="45"/>
      <c r="Y86" s="17">
        <f>Z86/100</f>
        <v>9328.1990999999998</v>
      </c>
      <c r="Z86" s="46">
        <v>932819.91</v>
      </c>
      <c r="AA86" s="17">
        <f>Y86/Supporting!$A$15</f>
        <v>111.04998928571429</v>
      </c>
    </row>
    <row r="87" spans="1:27" s="4" customFormat="1" x14ac:dyDescent="0.35">
      <c r="A87" s="10" t="s">
        <v>140</v>
      </c>
      <c r="B87" s="4" t="s">
        <v>15</v>
      </c>
      <c r="C87" s="19">
        <v>887734.34</v>
      </c>
      <c r="D87" s="17">
        <f>ABS(C87/100/W$211)</f>
        <v>7622.4930490965362</v>
      </c>
      <c r="E87" s="17">
        <f>D87/Supporting!$A$15</f>
        <v>90.743964870196862</v>
      </c>
      <c r="F87" s="60"/>
      <c r="G87" s="56"/>
      <c r="I87" s="15"/>
      <c r="J87" s="17"/>
      <c r="K87" s="56"/>
      <c r="M87" s="15"/>
      <c r="N87" s="15"/>
      <c r="O87" s="17"/>
      <c r="P87" s="56"/>
      <c r="Q87" s="4" t="s">
        <v>12</v>
      </c>
      <c r="R87" s="21">
        <v>199667.73</v>
      </c>
      <c r="S87" s="15">
        <f>R87*Supporting!$A$2</f>
        <v>1493618.4476196002</v>
      </c>
      <c r="T87" s="15">
        <f>S87/Supporting!$A$15</f>
        <v>17781.171995471432</v>
      </c>
      <c r="U87" s="22">
        <f>T87/365</f>
        <v>48.715539713620359</v>
      </c>
      <c r="V87" s="56"/>
      <c r="W87" s="32"/>
      <c r="X87"/>
      <c r="Y87"/>
      <c r="Z87"/>
      <c r="AA87"/>
    </row>
    <row r="88" spans="1:27" s="4" customFormat="1" x14ac:dyDescent="0.35">
      <c r="A88" s="10"/>
      <c r="B88" s="4" t="s">
        <v>16</v>
      </c>
      <c r="C88" s="19">
        <v>-4627.2</v>
      </c>
      <c r="D88" s="17">
        <f>ABS(C88/100/W$211)</f>
        <v>39.731255452818793</v>
      </c>
      <c r="E88" s="17">
        <f>D88/Supporting!$A$15</f>
        <v>0.47299113634308088</v>
      </c>
      <c r="F88" s="11">
        <f>ABS(C88/C91)</f>
        <v>5.182266675868236E-3</v>
      </c>
      <c r="G88" s="56"/>
      <c r="I88" s="15"/>
      <c r="J88" s="17"/>
      <c r="K88" s="56"/>
      <c r="M88" s="15"/>
      <c r="N88" s="15"/>
      <c r="O88" s="17"/>
      <c r="P88" s="56"/>
      <c r="Q88" s="4" t="s">
        <v>13</v>
      </c>
      <c r="R88" s="21">
        <f>R86-R87</f>
        <v>66967.449999999983</v>
      </c>
      <c r="S88" s="15">
        <f>R88*Supporting!$A$2</f>
        <v>500951.34907399991</v>
      </c>
      <c r="T88" s="15">
        <f>S88/Supporting!$A$15</f>
        <v>5963.7065365952367</v>
      </c>
      <c r="U88" s="15">
        <f>T88/365</f>
        <v>16.338922018069141</v>
      </c>
      <c r="V88" s="56"/>
      <c r="W88" s="32"/>
      <c r="X88"/>
      <c r="Y88" s="4" t="s">
        <v>84</v>
      </c>
      <c r="Z88" s="33">
        <f>(N77-Z86)/N77</f>
        <v>0.23194809219459447</v>
      </c>
      <c r="AA88"/>
    </row>
    <row r="89" spans="1:27" s="4" customFormat="1" x14ac:dyDescent="0.35">
      <c r="A89" s="10"/>
      <c r="B89" s="4" t="s">
        <v>17</v>
      </c>
      <c r="C89" s="19">
        <v>142078.70000000001</v>
      </c>
      <c r="D89" s="17">
        <f>ABS(C89/100/W$211)</f>
        <v>1219.9526979824529</v>
      </c>
      <c r="E89" s="17">
        <f>D89/Supporting!$A$15</f>
        <v>14.523246404553012</v>
      </c>
      <c r="F89" s="11">
        <f>ABS(C89/C91)</f>
        <v>0.15912208514018855</v>
      </c>
      <c r="G89" s="56"/>
      <c r="I89" s="15"/>
      <c r="J89" s="17"/>
      <c r="K89" s="56"/>
      <c r="M89" s="15"/>
      <c r="N89" s="15"/>
      <c r="O89" s="17"/>
      <c r="P89" s="56"/>
      <c r="R89" s="15"/>
      <c r="S89" s="15"/>
      <c r="T89" s="15"/>
      <c r="U89" s="15"/>
      <c r="V89" s="56"/>
      <c r="W89" s="32"/>
      <c r="X89"/>
      <c r="Y89"/>
      <c r="Z89"/>
      <c r="AA89"/>
    </row>
    <row r="90" spans="1:27" s="4" customFormat="1" x14ac:dyDescent="0.35">
      <c r="A90" s="10"/>
      <c r="B90" s="4" t="s">
        <v>54</v>
      </c>
      <c r="C90" s="19">
        <v>5156.8</v>
      </c>
      <c r="D90" s="17">
        <f>ABS(C90/100/W$211)</f>
        <v>44.278643265710578</v>
      </c>
      <c r="E90" s="17">
        <f>D90/Supporting!$A$15</f>
        <v>0.52712670554417351</v>
      </c>
      <c r="F90" s="60"/>
      <c r="G90" s="56"/>
      <c r="I90" s="15"/>
      <c r="J90" s="17"/>
      <c r="K90" s="56"/>
      <c r="M90" s="15"/>
      <c r="N90" s="15"/>
      <c r="O90" s="17"/>
      <c r="P90" s="56"/>
      <c r="R90" s="15"/>
      <c r="S90" s="15"/>
      <c r="T90" s="15"/>
      <c r="U90" s="15"/>
      <c r="V90" s="56"/>
      <c r="W90" s="32"/>
      <c r="X90"/>
      <c r="Y90"/>
      <c r="Z90"/>
      <c r="AA90"/>
    </row>
    <row r="91" spans="1:27" s="4" customFormat="1" x14ac:dyDescent="0.35">
      <c r="A91" s="10"/>
      <c r="B91" s="4" t="s">
        <v>29</v>
      </c>
      <c r="C91" s="17">
        <f>C87+C90</f>
        <v>892891.14</v>
      </c>
      <c r="D91" s="17">
        <f t="shared" ref="D91:E91" si="24">D87+D90</f>
        <v>7666.7716923622465</v>
      </c>
      <c r="E91" s="17">
        <f t="shared" si="24"/>
        <v>91.271091575741039</v>
      </c>
      <c r="F91" s="60"/>
      <c r="G91" s="56"/>
      <c r="I91" s="15"/>
      <c r="J91" s="17"/>
      <c r="K91" s="56"/>
      <c r="M91" s="15"/>
      <c r="N91" s="15"/>
      <c r="O91" s="17"/>
      <c r="P91" s="56"/>
      <c r="R91" s="15"/>
      <c r="S91" s="15"/>
      <c r="T91" s="15"/>
      <c r="U91" s="15"/>
      <c r="V91" s="56"/>
      <c r="W91" s="32"/>
      <c r="X91"/>
      <c r="Y91"/>
      <c r="Z91"/>
      <c r="AA91"/>
    </row>
    <row r="92" spans="1:27" s="4" customFormat="1" x14ac:dyDescent="0.35">
      <c r="A92" s="10"/>
      <c r="B92" s="6" t="s">
        <v>21</v>
      </c>
      <c r="C92" s="17">
        <f>C86-C88+C89</f>
        <v>903341.36999999988</v>
      </c>
      <c r="D92" s="17">
        <f t="shared" ref="D92:E92" si="25">D86-D88+D89</f>
        <v>7677.0396356558467</v>
      </c>
      <c r="E92" s="17">
        <f t="shared" si="25"/>
        <v>91.393328995902934</v>
      </c>
      <c r="F92" s="11">
        <f>SUM(F86:F89)</f>
        <v>1.0117038119562927</v>
      </c>
      <c r="G92" s="57"/>
      <c r="I92" s="15"/>
      <c r="J92" s="17"/>
      <c r="K92" s="57"/>
      <c r="M92" s="15"/>
      <c r="N92" s="15"/>
      <c r="O92" s="17"/>
      <c r="P92" s="57"/>
      <c r="R92" s="15"/>
      <c r="S92" s="15"/>
      <c r="T92" s="15"/>
      <c r="U92" s="15"/>
      <c r="V92" s="57"/>
      <c r="W92" s="32"/>
      <c r="X92"/>
      <c r="Y92"/>
      <c r="Z92" s="27"/>
      <c r="AA92"/>
    </row>
    <row r="93" spans="1:27" s="4" customFormat="1" x14ac:dyDescent="0.35">
      <c r="A93" s="10"/>
      <c r="B93" s="6" t="s">
        <v>30</v>
      </c>
      <c r="C93" s="15">
        <f>C91-C92</f>
        <v>-10450.229999999865</v>
      </c>
      <c r="D93" s="15">
        <f t="shared" ref="D93:E93" si="26">D91-D92</f>
        <v>-10.267943293600183</v>
      </c>
      <c r="E93" s="15">
        <f t="shared" si="26"/>
        <v>-0.12223742016189476</v>
      </c>
      <c r="F93" s="11">
        <f>ABS(C93/C91)</f>
        <v>1.1703811956292751E-2</v>
      </c>
      <c r="G93" s="57"/>
      <c r="I93" s="15"/>
      <c r="J93" s="17"/>
      <c r="K93" s="57"/>
      <c r="M93" s="15"/>
      <c r="N93" s="15"/>
      <c r="O93" s="17"/>
      <c r="P93" s="57"/>
      <c r="R93" s="15"/>
      <c r="S93" s="15"/>
      <c r="T93" s="15"/>
      <c r="U93" s="15"/>
      <c r="V93" s="57"/>
      <c r="W93" s="32"/>
      <c r="X93"/>
      <c r="Y93"/>
      <c r="Z93"/>
      <c r="AA93"/>
    </row>
    <row r="94" spans="1:27" s="4" customFormat="1" x14ac:dyDescent="0.35">
      <c r="A94" s="14"/>
      <c r="B94" s="13"/>
      <c r="C94" s="18"/>
      <c r="D94" s="18"/>
      <c r="E94" s="18"/>
      <c r="F94" s="60"/>
      <c r="G94" s="58"/>
      <c r="H94" s="13"/>
      <c r="I94" s="18"/>
      <c r="J94" s="18"/>
      <c r="K94" s="58"/>
      <c r="L94" s="13"/>
      <c r="M94" s="18"/>
      <c r="N94" s="18"/>
      <c r="O94" s="18"/>
      <c r="P94" s="58"/>
      <c r="Q94" s="13"/>
      <c r="R94" s="18"/>
      <c r="S94" s="18"/>
      <c r="T94" s="18"/>
      <c r="U94" s="18"/>
      <c r="V94" s="58"/>
      <c r="W94" s="32"/>
      <c r="X94"/>
      <c r="Y94"/>
      <c r="Z94"/>
      <c r="AA94"/>
    </row>
    <row r="95" spans="1:27" s="4" customFormat="1" x14ac:dyDescent="0.35">
      <c r="A95" s="10">
        <f>A70+1</f>
        <v>4</v>
      </c>
      <c r="B95" s="4" t="s">
        <v>14</v>
      </c>
      <c r="C95" s="17">
        <f>C77-C86</f>
        <v>53.130000000004657</v>
      </c>
      <c r="D95"/>
      <c r="E95"/>
      <c r="F95" s="61">
        <f>-C95/C77</f>
        <v>-7.0213823757890175E-5</v>
      </c>
      <c r="G95" s="56"/>
      <c r="H95" s="4" t="s">
        <v>33</v>
      </c>
      <c r="I95" s="15">
        <f>I77-I86</f>
        <v>3829.8</v>
      </c>
      <c r="J95" s="17">
        <f>I95/Supporting!$A$15</f>
        <v>45.592857142857142</v>
      </c>
      <c r="K95" s="56"/>
      <c r="L95" s="4" t="s">
        <v>32</v>
      </c>
      <c r="M95" s="15">
        <f>M77-M86</f>
        <v>4370.6694797460668</v>
      </c>
      <c r="N95" s="15"/>
      <c r="O95" s="22">
        <f>M95/Supporting!$A$15</f>
        <v>52.031779520786507</v>
      </c>
      <c r="P95" s="56"/>
      <c r="Q95" s="4" t="s">
        <v>11</v>
      </c>
      <c r="R95" s="17">
        <f>R77-R86</f>
        <v>0</v>
      </c>
      <c r="S95" s="15">
        <f>R95*Supporting!$A$2</f>
        <v>0</v>
      </c>
      <c r="T95" s="15">
        <f>S95/Supporting!$A$15</f>
        <v>0</v>
      </c>
      <c r="U95" s="15">
        <f>T95/365</f>
        <v>0</v>
      </c>
      <c r="V95" s="56"/>
      <c r="W95" s="32"/>
      <c r="X95"/>
      <c r="Y95"/>
      <c r="Z95"/>
      <c r="AA95"/>
    </row>
    <row r="96" spans="1:27" s="4" customFormat="1" x14ac:dyDescent="0.35">
      <c r="A96" s="10" t="s">
        <v>141</v>
      </c>
      <c r="B96" s="4" t="s">
        <v>15</v>
      </c>
      <c r="C96" s="17">
        <f>C78-C87</f>
        <v>83887.400000000023</v>
      </c>
      <c r="D96"/>
      <c r="E96"/>
      <c r="F96" s="61">
        <f t="shared" ref="F96:F99" si="27">-C96/C78</f>
        <v>-8.6337508257071344E-2</v>
      </c>
      <c r="G96" s="56"/>
      <c r="I96" s="15"/>
      <c r="J96" s="17"/>
      <c r="K96" s="56"/>
      <c r="M96" s="15"/>
      <c r="N96" s="15"/>
      <c r="O96" s="15"/>
      <c r="P96" s="56"/>
      <c r="Q96" s="4" t="s">
        <v>12</v>
      </c>
      <c r="R96" s="17">
        <f>R78-R87</f>
        <v>-8067.0100000000093</v>
      </c>
      <c r="S96" s="15">
        <f>R96*Supporting!$A$2</f>
        <v>-60345.429645200071</v>
      </c>
      <c r="T96" s="15">
        <f>S96/Supporting!$A$15</f>
        <v>-718.39797196666746</v>
      </c>
      <c r="U96" s="15">
        <f>T96/365</f>
        <v>-1.9682136218264861</v>
      </c>
      <c r="V96" s="56"/>
      <c r="W96" s="32"/>
      <c r="X96"/>
      <c r="Y96"/>
      <c r="Z96"/>
      <c r="AA96"/>
    </row>
    <row r="97" spans="1:27" s="4" customFormat="1" x14ac:dyDescent="0.35">
      <c r="A97" s="10"/>
      <c r="B97" s="4" t="s">
        <v>16</v>
      </c>
      <c r="C97" s="17">
        <f>C79-C88</f>
        <v>138.39999999999964</v>
      </c>
      <c r="D97"/>
      <c r="E97"/>
      <c r="F97" s="61">
        <f t="shared" si="27"/>
        <v>3.0832293708786231E-2</v>
      </c>
      <c r="G97" s="56"/>
      <c r="H97" s="4" t="s">
        <v>84</v>
      </c>
      <c r="I97" s="33">
        <f>I95/I77</f>
        <v>0.70665862177766214</v>
      </c>
      <c r="J97" s="15"/>
      <c r="K97" s="56"/>
      <c r="L97" s="4" t="s">
        <v>84</v>
      </c>
      <c r="M97" s="53">
        <f>M95/M77</f>
        <v>0.35986592870920026</v>
      </c>
      <c r="N97" s="15"/>
      <c r="O97" s="15"/>
      <c r="P97" s="56"/>
      <c r="Q97" s="4" t="s">
        <v>13</v>
      </c>
      <c r="R97" s="17">
        <f>R79-R88</f>
        <v>8067.0100000000093</v>
      </c>
      <c r="S97" s="15">
        <f>R97*Supporting!$A$2</f>
        <v>60345.429645200071</v>
      </c>
      <c r="T97" s="15">
        <f>S97/Supporting!$A$15</f>
        <v>718.39797196666746</v>
      </c>
      <c r="U97" s="15">
        <f>T97/365</f>
        <v>1.9682136218264861</v>
      </c>
      <c r="V97" s="56"/>
      <c r="W97" s="32"/>
      <c r="X97"/>
      <c r="Y97"/>
      <c r="Z97"/>
      <c r="AA97"/>
    </row>
    <row r="98" spans="1:27" s="4" customFormat="1" x14ac:dyDescent="0.35">
      <c r="A98" s="10"/>
      <c r="B98" s="4" t="s">
        <v>17</v>
      </c>
      <c r="C98" s="17">
        <f>C80-C89</f>
        <v>85543.459999999992</v>
      </c>
      <c r="D98"/>
      <c r="E98"/>
      <c r="F98" s="61">
        <f t="shared" si="27"/>
        <v>-0.37581340937982483</v>
      </c>
      <c r="G98" s="56"/>
      <c r="I98" s="15"/>
      <c r="J98" s="15"/>
      <c r="K98" s="56"/>
      <c r="M98" s="15"/>
      <c r="N98" s="15"/>
      <c r="O98" s="15"/>
      <c r="P98" s="56"/>
      <c r="R98" s="15"/>
      <c r="S98" s="15"/>
      <c r="T98" s="15"/>
      <c r="U98" s="15"/>
      <c r="V98" s="56"/>
      <c r="W98" s="32"/>
      <c r="X98"/>
      <c r="Y98"/>
      <c r="Z98"/>
      <c r="AA98"/>
    </row>
    <row r="99" spans="1:27" s="4" customFormat="1" x14ac:dyDescent="0.35">
      <c r="A99" s="10"/>
      <c r="B99" s="4" t="s">
        <v>54</v>
      </c>
      <c r="C99" s="17">
        <f>C81-C90</f>
        <v>12422.71</v>
      </c>
      <c r="D99"/>
      <c r="E99"/>
      <c r="F99" s="61">
        <f t="shared" si="27"/>
        <v>-0.70665849048124774</v>
      </c>
      <c r="G99" s="56"/>
      <c r="I99" s="15"/>
      <c r="J99" s="15"/>
      <c r="K99" s="56"/>
      <c r="M99" s="15"/>
      <c r="N99" s="15"/>
      <c r="O99" s="15"/>
      <c r="P99" s="56"/>
      <c r="Q99" s="4" t="s">
        <v>84</v>
      </c>
      <c r="R99" s="33">
        <f>R96/R78</f>
        <v>-4.2103234267595706E-2</v>
      </c>
      <c r="S99" s="15"/>
      <c r="T99" s="15"/>
      <c r="U99" s="15"/>
      <c r="V99" s="56"/>
      <c r="W99" s="32"/>
      <c r="X99"/>
      <c r="Y99"/>
      <c r="Z99"/>
      <c r="AA99"/>
    </row>
    <row r="100" spans="1:27" x14ac:dyDescent="0.35">
      <c r="G100" s="59"/>
      <c r="K100" s="59"/>
      <c r="P100" s="59"/>
      <c r="V100" s="59"/>
    </row>
    <row r="101" spans="1:27" x14ac:dyDescent="0.35">
      <c r="G101" s="59"/>
      <c r="K101" s="59"/>
      <c r="P101" s="59"/>
      <c r="V101" s="59"/>
    </row>
    <row r="102" spans="1:27" s="4" customFormat="1" x14ac:dyDescent="0.35">
      <c r="A102" s="10">
        <f>A77+1</f>
        <v>5</v>
      </c>
      <c r="B102" s="4" t="s">
        <v>14</v>
      </c>
      <c r="C102" s="16">
        <v>817711.71</v>
      </c>
      <c r="D102" s="17">
        <f>ABS(C102/100/W$202)</f>
        <v>10221.396444149452</v>
      </c>
      <c r="E102" s="17">
        <f>D102/Supporting!$A$15</f>
        <v>121.68329100177918</v>
      </c>
      <c r="F102" s="11">
        <f>ABS(C102/C107)</f>
        <v>0.76857099452348598</v>
      </c>
      <c r="G102" s="56"/>
      <c r="H102" s="4" t="s">
        <v>33</v>
      </c>
      <c r="I102" s="16">
        <v>5453.74</v>
      </c>
      <c r="J102" s="17">
        <f>I102/Supporting!$A$15</f>
        <v>64.925476190476189</v>
      </c>
      <c r="K102" s="56"/>
      <c r="L102" s="4" t="s">
        <v>32</v>
      </c>
      <c r="M102" s="17">
        <f>N102/100</f>
        <v>13078.093700000001</v>
      </c>
      <c r="N102" s="16">
        <v>1307809.3700000001</v>
      </c>
      <c r="O102" s="22">
        <f>M102/Supporting!$A$15</f>
        <v>155.69159166666668</v>
      </c>
      <c r="P102" s="56"/>
      <c r="Q102" s="4" t="s">
        <v>11</v>
      </c>
      <c r="R102" s="16">
        <v>266635.18</v>
      </c>
      <c r="S102" s="15">
        <f>R102*Supporting!$A$2</f>
        <v>1994569.7966936</v>
      </c>
      <c r="T102" s="15">
        <f>S102/Supporting!$A$15</f>
        <v>23744.878532066668</v>
      </c>
      <c r="U102" s="15">
        <f>T102/365</f>
        <v>65.0544617316895</v>
      </c>
      <c r="V102" s="56"/>
      <c r="W102" s="34">
        <f>C103/N102</f>
        <v>0.80000000305854968</v>
      </c>
      <c r="Y102"/>
      <c r="Z102"/>
      <c r="AA102"/>
    </row>
    <row r="103" spans="1:27" s="4" customFormat="1" x14ac:dyDescent="0.35">
      <c r="A103" s="10" t="s">
        <v>139</v>
      </c>
      <c r="B103" s="4" t="s">
        <v>15</v>
      </c>
      <c r="C103" s="16">
        <v>1046247.5</v>
      </c>
      <c r="D103" s="17">
        <f>ABS(C103/100/W$202)</f>
        <v>13078.093838475488</v>
      </c>
      <c r="E103" s="17">
        <f>D103/Supporting!$A$15</f>
        <v>155.69159331518438</v>
      </c>
      <c r="F103" s="60"/>
      <c r="G103" s="56"/>
      <c r="I103" s="15"/>
      <c r="J103" s="17"/>
      <c r="K103" s="56"/>
      <c r="M103" s="15"/>
      <c r="O103" s="15"/>
      <c r="P103" s="56"/>
      <c r="Q103" s="4" t="s">
        <v>12</v>
      </c>
      <c r="R103" s="16">
        <v>197505.79</v>
      </c>
      <c r="S103" s="15">
        <f>R103*Supporting!$A$2</f>
        <v>1477446.0122108001</v>
      </c>
      <c r="T103" s="15">
        <f>S103/Supporting!$A$15</f>
        <v>17588.643002509525</v>
      </c>
      <c r="U103" s="22">
        <f>T103/365</f>
        <v>48.188063020574042</v>
      </c>
      <c r="V103" s="56"/>
      <c r="W103" s="32"/>
    </row>
    <row r="104" spans="1:27" s="4" customFormat="1" x14ac:dyDescent="0.35">
      <c r="A104" s="10"/>
      <c r="B104" s="4" t="s">
        <v>16</v>
      </c>
      <c r="C104" s="16">
        <v>-4734.6000000000004</v>
      </c>
      <c r="D104" s="17">
        <f>ABS(C104/100/W$202)</f>
        <v>59.182500400379496</v>
      </c>
      <c r="E104" s="17">
        <f>D104/Supporting!$A$15</f>
        <v>0.70455357619499404</v>
      </c>
      <c r="F104" s="11">
        <f>ABS(C104/C107)</f>
        <v>4.4500723007511993E-3</v>
      </c>
      <c r="G104" s="56"/>
      <c r="I104" s="15"/>
      <c r="J104" s="17"/>
      <c r="K104" s="56"/>
      <c r="M104" s="15"/>
      <c r="N104" s="15"/>
      <c r="O104" s="15"/>
      <c r="P104" s="56"/>
      <c r="Q104" s="4" t="s">
        <v>13</v>
      </c>
      <c r="R104" s="16">
        <f>R102-R103</f>
        <v>69129.389999999985</v>
      </c>
      <c r="S104" s="15">
        <f>R104*Supporting!$A$2</f>
        <v>517123.78448279988</v>
      </c>
      <c r="T104" s="15">
        <f>S104/Supporting!$A$15</f>
        <v>6156.2355295571415</v>
      </c>
      <c r="U104" s="15">
        <f>T104/365</f>
        <v>16.866398711115455</v>
      </c>
      <c r="V104" s="56"/>
      <c r="W104" s="32"/>
    </row>
    <row r="105" spans="1:27" s="4" customFormat="1" x14ac:dyDescent="0.35">
      <c r="A105" s="10"/>
      <c r="B105" s="4" t="s">
        <v>17</v>
      </c>
      <c r="C105" s="16">
        <v>240503.84</v>
      </c>
      <c r="D105" s="17">
        <f>ABS(C105/100/W$202)</f>
        <v>3006.2980203381076</v>
      </c>
      <c r="E105" s="17">
        <f>D105/Supporting!$A$15</f>
        <v>35.78926214688223</v>
      </c>
      <c r="F105" s="11">
        <f>ABS(C105/C107)</f>
        <v>0.22605066459855072</v>
      </c>
      <c r="G105" s="56"/>
      <c r="I105" s="15"/>
      <c r="J105" s="17"/>
      <c r="K105" s="56"/>
      <c r="M105" s="15"/>
      <c r="N105" s="15"/>
      <c r="O105" s="15"/>
      <c r="P105" s="56"/>
      <c r="R105" s="15"/>
      <c r="S105" s="15"/>
      <c r="T105" s="15"/>
      <c r="U105" s="15"/>
      <c r="V105" s="56"/>
      <c r="W105" s="32"/>
    </row>
    <row r="106" spans="1:27" s="4" customFormat="1" x14ac:dyDescent="0.35">
      <c r="A106" s="10"/>
      <c r="B106" s="4" t="s">
        <v>54</v>
      </c>
      <c r="C106" s="16">
        <v>17690.27</v>
      </c>
      <c r="D106" s="17">
        <f>ABS(C106/100/W$202)</f>
        <v>221.12837649597037</v>
      </c>
      <c r="E106" s="17">
        <f>D106/Supporting!$A$15</f>
        <v>2.6324806725710759</v>
      </c>
      <c r="F106" s="60"/>
      <c r="G106" s="56"/>
      <c r="H106" s="39"/>
      <c r="I106" s="15"/>
      <c r="J106" s="17"/>
      <c r="K106" s="56"/>
      <c r="M106" s="15"/>
      <c r="N106" s="15"/>
      <c r="O106" s="15"/>
      <c r="P106" s="56"/>
      <c r="R106" s="15"/>
      <c r="S106" s="15"/>
      <c r="T106" s="15"/>
      <c r="U106" s="15"/>
      <c r="V106" s="56"/>
      <c r="W106" s="32"/>
    </row>
    <row r="107" spans="1:27" s="4" customFormat="1" x14ac:dyDescent="0.35">
      <c r="A107" s="10"/>
      <c r="B107" s="4" t="s">
        <v>29</v>
      </c>
      <c r="C107" s="17">
        <f>C103+C106</f>
        <v>1063937.77</v>
      </c>
      <c r="D107" s="17">
        <f t="shared" ref="D107:E107" si="28">D103+D106</f>
        <v>13299.222214971458</v>
      </c>
      <c r="E107" s="17">
        <f t="shared" si="28"/>
        <v>158.32407398775544</v>
      </c>
      <c r="F107" s="60"/>
      <c r="G107" s="56"/>
      <c r="I107" s="15"/>
      <c r="J107" s="17"/>
      <c r="K107" s="56"/>
      <c r="M107" s="15"/>
      <c r="N107" s="15"/>
      <c r="O107" s="15"/>
      <c r="P107" s="56"/>
      <c r="R107" s="15"/>
      <c r="S107" s="15"/>
      <c r="T107" s="15"/>
      <c r="U107" s="15"/>
      <c r="V107" s="56"/>
      <c r="W107" s="32"/>
    </row>
    <row r="108" spans="1:27" s="4" customFormat="1" x14ac:dyDescent="0.35">
      <c r="A108" s="10"/>
      <c r="B108" s="6" t="s">
        <v>21</v>
      </c>
      <c r="C108" s="17">
        <f>C102-C104+C105</f>
        <v>1062950.1499999999</v>
      </c>
      <c r="D108" s="17">
        <f t="shared" ref="D108:E108" si="29">D102-D104+D105</f>
        <v>13168.511964087178</v>
      </c>
      <c r="E108" s="17">
        <f t="shared" si="29"/>
        <v>156.76799957246641</v>
      </c>
      <c r="F108" s="11">
        <f>SUM(F102:F105)</f>
        <v>0.99907173142278793</v>
      </c>
      <c r="G108" s="57"/>
      <c r="I108" s="15"/>
      <c r="J108" s="17"/>
      <c r="K108" s="57"/>
      <c r="M108" s="15"/>
      <c r="N108" s="15"/>
      <c r="O108" s="15"/>
      <c r="P108" s="57"/>
      <c r="R108" s="15"/>
      <c r="S108" s="15"/>
      <c r="T108" s="15"/>
      <c r="U108" s="15"/>
      <c r="V108" s="57"/>
      <c r="W108" s="32"/>
      <c r="X108"/>
      <c r="Y108"/>
      <c r="Z108"/>
      <c r="AA108"/>
    </row>
    <row r="109" spans="1:27" s="4" customFormat="1" x14ac:dyDescent="0.35">
      <c r="A109" s="10"/>
      <c r="B109" s="6" t="s">
        <v>30</v>
      </c>
      <c r="C109" s="15">
        <f>C107-C108</f>
        <v>987.62000000011176</v>
      </c>
      <c r="D109" s="15">
        <f t="shared" ref="D109:E109" si="30">D107-D108</f>
        <v>130.71025088427996</v>
      </c>
      <c r="E109" s="15">
        <f t="shared" si="30"/>
        <v>1.5560744152890322</v>
      </c>
      <c r="F109" s="11">
        <f>ABS(C109/C107)</f>
        <v>9.2826857721209745E-4</v>
      </c>
      <c r="G109" s="57"/>
      <c r="I109" s="15"/>
      <c r="J109" s="17"/>
      <c r="K109" s="57"/>
      <c r="M109" s="15"/>
      <c r="N109" s="15"/>
      <c r="O109" s="15"/>
      <c r="P109" s="57"/>
      <c r="R109" s="15"/>
      <c r="S109" s="15"/>
      <c r="T109" s="15"/>
      <c r="U109" s="15"/>
      <c r="V109" s="57"/>
      <c r="W109" s="32"/>
      <c r="X109"/>
      <c r="Y109"/>
      <c r="Z109"/>
      <c r="AA109"/>
    </row>
    <row r="110" spans="1:27" s="4" customFormat="1" x14ac:dyDescent="0.35">
      <c r="A110" s="14"/>
      <c r="B110" s="13"/>
      <c r="C110" s="18"/>
      <c r="D110" s="18"/>
      <c r="E110" s="18"/>
      <c r="F110" s="60"/>
      <c r="G110" s="56"/>
      <c r="H110" s="13"/>
      <c r="I110" s="18"/>
      <c r="J110" s="18"/>
      <c r="K110" s="56"/>
      <c r="L110" s="13"/>
      <c r="M110" s="18"/>
      <c r="N110" s="18"/>
      <c r="O110" s="18"/>
      <c r="P110" s="56"/>
      <c r="Q110" s="13"/>
      <c r="R110" s="18"/>
      <c r="S110" s="18"/>
      <c r="T110" s="18"/>
      <c r="U110" s="18"/>
      <c r="V110" s="56"/>
      <c r="W110" s="32"/>
      <c r="X110"/>
      <c r="Y110"/>
      <c r="Z110"/>
      <c r="AA110"/>
    </row>
    <row r="111" spans="1:27" s="4" customFormat="1" x14ac:dyDescent="0.35">
      <c r="A111" s="10">
        <f>A86+1</f>
        <v>5</v>
      </c>
      <c r="B111" s="4" t="s">
        <v>14</v>
      </c>
      <c r="C111" s="19">
        <v>817654</v>
      </c>
      <c r="D111" s="17">
        <f>ABS(C111/100/W$211)</f>
        <v>7020.7511985691344</v>
      </c>
      <c r="E111" s="17">
        <f>D111/Supporting!$A$15</f>
        <v>83.580371411537314</v>
      </c>
      <c r="F111" s="11">
        <f>ABS(C111/C116)</f>
        <v>0.838757396100686</v>
      </c>
      <c r="G111" s="56"/>
      <c r="H111" s="4" t="s">
        <v>33</v>
      </c>
      <c r="I111" s="21">
        <v>1687.36</v>
      </c>
      <c r="J111" s="17">
        <f>I111/Supporting!$A$15</f>
        <v>20.087619047619047</v>
      </c>
      <c r="K111" s="56"/>
      <c r="L111" s="4" t="s">
        <v>32</v>
      </c>
      <c r="M111" s="17">
        <f>N111/100</f>
        <v>8616.0908005410292</v>
      </c>
      <c r="N111" s="52">
        <v>861609.08005410293</v>
      </c>
      <c r="O111" s="22">
        <f>M111/Supporting!$A$15</f>
        <v>102.57250953025034</v>
      </c>
      <c r="P111" s="56"/>
      <c r="Q111" s="4" t="s">
        <v>11</v>
      </c>
      <c r="R111" s="21">
        <v>266635.18</v>
      </c>
      <c r="S111" s="15">
        <f>R111*Supporting!$A$2</f>
        <v>1994569.7966936</v>
      </c>
      <c r="T111" s="15">
        <f>S111/Supporting!$A$15</f>
        <v>23744.878532066668</v>
      </c>
      <c r="U111" s="15">
        <f>T111/365</f>
        <v>65.0544617316895</v>
      </c>
      <c r="V111" s="56"/>
      <c r="W111" s="54">
        <f>C112/N111</f>
        <v>1.1250652325288062</v>
      </c>
      <c r="X111" s="45"/>
      <c r="Y111" s="17">
        <f>Z111/100</f>
        <v>10232.733</v>
      </c>
      <c r="Z111" s="46">
        <v>1023273.3</v>
      </c>
      <c r="AA111" s="17">
        <f>Y111/Supporting!$A$15</f>
        <v>121.81825000000001</v>
      </c>
    </row>
    <row r="112" spans="1:27" s="4" customFormat="1" x14ac:dyDescent="0.35">
      <c r="A112" s="10" t="s">
        <v>140</v>
      </c>
      <c r="B112" s="4" t="s">
        <v>15</v>
      </c>
      <c r="C112" s="19">
        <v>969366.42</v>
      </c>
      <c r="D112" s="17">
        <f>ABS(C112/100/W$211)</f>
        <v>8323.4234224594657</v>
      </c>
      <c r="E112" s="17">
        <f>D112/Supporting!$A$15</f>
        <v>99.088374076898404</v>
      </c>
      <c r="F112" s="60"/>
      <c r="G112" s="56"/>
      <c r="I112" s="15"/>
      <c r="J112" s="17"/>
      <c r="K112" s="56"/>
      <c r="M112" s="15"/>
      <c r="N112" s="15"/>
      <c r="O112" s="17"/>
      <c r="P112" s="56"/>
      <c r="Q112" s="4" t="s">
        <v>12</v>
      </c>
      <c r="R112" s="21">
        <v>205152.66</v>
      </c>
      <c r="S112" s="15">
        <f>R112*Supporting!$A$2</f>
        <v>1534648.5761832001</v>
      </c>
      <c r="T112" s="15">
        <f>S112/Supporting!$A$15</f>
        <v>18269.62590694286</v>
      </c>
      <c r="U112" s="22">
        <f>T112/365</f>
        <v>50.05376960806263</v>
      </c>
      <c r="V112" s="56"/>
      <c r="W112" s="32"/>
      <c r="X112"/>
      <c r="Y112"/>
      <c r="Z112"/>
      <c r="AA112"/>
    </row>
    <row r="113" spans="1:27" s="4" customFormat="1" x14ac:dyDescent="0.35">
      <c r="A113" s="10"/>
      <c r="B113" s="4" t="s">
        <v>16</v>
      </c>
      <c r="C113" s="19">
        <v>-4893.2</v>
      </c>
      <c r="D113" s="17">
        <f>ABS(C113/100/W$211)</f>
        <v>42.015253108085432</v>
      </c>
      <c r="E113" s="17">
        <f>D113/Supporting!$A$15</f>
        <v>0.50018158462006468</v>
      </c>
      <c r="F113" s="11">
        <f>ABS(C113/C116)</f>
        <v>5.0194919741111477E-3</v>
      </c>
      <c r="G113" s="56"/>
      <c r="I113" s="15"/>
      <c r="J113" s="17"/>
      <c r="K113" s="56"/>
      <c r="M113" s="15"/>
      <c r="N113" s="15"/>
      <c r="O113" s="17"/>
      <c r="P113" s="56"/>
      <c r="Q113" s="4" t="s">
        <v>13</v>
      </c>
      <c r="R113" s="21">
        <f>R111-R112</f>
        <v>61482.51999999999</v>
      </c>
      <c r="S113" s="15">
        <f>R113*Supporting!$A$2</f>
        <v>459921.22051039996</v>
      </c>
      <c r="T113" s="15">
        <f>S113/Supporting!$A$15</f>
        <v>5475.2526251238087</v>
      </c>
      <c r="U113" s="15">
        <f>T113/365</f>
        <v>15.000692123626873</v>
      </c>
      <c r="V113" s="56"/>
      <c r="W113" s="32"/>
      <c r="X113"/>
      <c r="Y113" s="4" t="s">
        <v>84</v>
      </c>
      <c r="Z113" s="33">
        <f>(N102-Z111)/N102</f>
        <v>0.21756693026293278</v>
      </c>
      <c r="AA113"/>
    </row>
    <row r="114" spans="1:27" s="4" customFormat="1" x14ac:dyDescent="0.35">
      <c r="A114" s="10"/>
      <c r="B114" s="4" t="s">
        <v>17</v>
      </c>
      <c r="C114" s="19">
        <v>150903.82</v>
      </c>
      <c r="D114" s="17">
        <f>ABS(C114/100/W$211)</f>
        <v>1295.7292144766136</v>
      </c>
      <c r="E114" s="17">
        <f>D114/Supporting!$A$15</f>
        <v>15.425347791388257</v>
      </c>
      <c r="F114" s="11">
        <f>ABS(C114/C116)</f>
        <v>0.1547986007832734</v>
      </c>
      <c r="G114" s="56"/>
      <c r="I114" s="15"/>
      <c r="J114" s="17"/>
      <c r="K114" s="56"/>
      <c r="M114" s="15"/>
      <c r="N114" s="15"/>
      <c r="O114" s="17"/>
      <c r="P114" s="56"/>
      <c r="R114" s="15"/>
      <c r="S114" s="15"/>
      <c r="T114" s="15"/>
      <c r="U114" s="15"/>
      <c r="V114" s="56"/>
      <c r="W114" s="32"/>
      <c r="X114"/>
      <c r="Y114"/>
      <c r="Z114"/>
      <c r="AA114"/>
    </row>
    <row r="115" spans="1:27" s="4" customFormat="1" x14ac:dyDescent="0.35">
      <c r="A115" s="10"/>
      <c r="B115" s="4" t="s">
        <v>54</v>
      </c>
      <c r="C115" s="19">
        <v>5473.27</v>
      </c>
      <c r="D115" s="17">
        <f>ABS(C115/100/W$211)</f>
        <v>46.995999423463331</v>
      </c>
      <c r="E115" s="17">
        <f>D115/Supporting!$A$15</f>
        <v>0.55947618361265872</v>
      </c>
      <c r="F115" s="60"/>
      <c r="G115" s="56"/>
      <c r="I115" s="15"/>
      <c r="J115" s="17"/>
      <c r="K115" s="56"/>
      <c r="M115" s="15"/>
      <c r="N115" s="15"/>
      <c r="O115" s="17"/>
      <c r="P115" s="56"/>
      <c r="R115" s="15"/>
      <c r="S115" s="15"/>
      <c r="T115" s="15"/>
      <c r="U115" s="15"/>
      <c r="V115" s="56"/>
      <c r="W115" s="32"/>
      <c r="X115"/>
      <c r="Y115"/>
      <c r="Z115"/>
      <c r="AA115"/>
    </row>
    <row r="116" spans="1:27" s="4" customFormat="1" x14ac:dyDescent="0.35">
      <c r="A116" s="10"/>
      <c r="B116" s="4" t="s">
        <v>29</v>
      </c>
      <c r="C116" s="17">
        <f>C112+C115</f>
        <v>974839.69000000006</v>
      </c>
      <c r="D116" s="17">
        <f t="shared" ref="D116:E116" si="31">D112+D115</f>
        <v>8370.4194218829289</v>
      </c>
      <c r="E116" s="17">
        <f t="shared" si="31"/>
        <v>99.647850260511063</v>
      </c>
      <c r="F116" s="60"/>
      <c r="G116" s="56"/>
      <c r="I116" s="15"/>
      <c r="J116" s="17"/>
      <c r="K116" s="56"/>
      <c r="M116" s="15"/>
      <c r="N116" s="15"/>
      <c r="O116" s="17"/>
      <c r="P116" s="56"/>
      <c r="R116" s="15"/>
      <c r="S116" s="15"/>
      <c r="T116" s="15"/>
      <c r="U116" s="15"/>
      <c r="V116" s="56"/>
      <c r="W116" s="32"/>
      <c r="X116"/>
      <c r="Y116"/>
      <c r="Z116"/>
      <c r="AA116"/>
    </row>
    <row r="117" spans="1:27" s="4" customFormat="1" x14ac:dyDescent="0.35">
      <c r="A117" s="10"/>
      <c r="B117" s="6" t="s">
        <v>21</v>
      </c>
      <c r="C117" s="17">
        <f>C111-C113+C114</f>
        <v>973451.02</v>
      </c>
      <c r="D117" s="17">
        <f t="shared" ref="D117:E117" si="32">D111-D113+D114</f>
        <v>8274.465159937663</v>
      </c>
      <c r="E117" s="17">
        <f t="shared" si="32"/>
        <v>98.50553761830551</v>
      </c>
      <c r="F117" s="11">
        <f>SUM(F111:F114)</f>
        <v>0.99857548885807046</v>
      </c>
      <c r="G117" s="57"/>
      <c r="I117" s="15"/>
      <c r="J117" s="17"/>
      <c r="K117" s="57"/>
      <c r="M117" s="15"/>
      <c r="N117" s="15"/>
      <c r="O117" s="17"/>
      <c r="P117" s="57"/>
      <c r="R117" s="15"/>
      <c r="S117" s="15"/>
      <c r="T117" s="15"/>
      <c r="U117" s="15"/>
      <c r="V117" s="57"/>
      <c r="W117" s="32"/>
      <c r="X117"/>
      <c r="Y117"/>
      <c r="Z117" s="27"/>
      <c r="AA117"/>
    </row>
    <row r="118" spans="1:27" s="4" customFormat="1" x14ac:dyDescent="0.35">
      <c r="A118" s="10"/>
      <c r="B118" s="6" t="s">
        <v>30</v>
      </c>
      <c r="C118" s="15">
        <f>C116-C117</f>
        <v>1388.6700000000419</v>
      </c>
      <c r="D118" s="15">
        <f t="shared" ref="D118:E118" si="33">D116-D117</f>
        <v>95.954261945265898</v>
      </c>
      <c r="E118" s="15">
        <f t="shared" si="33"/>
        <v>1.1423126422055532</v>
      </c>
      <c r="F118" s="11">
        <f>ABS(C118/C116)</f>
        <v>1.4245111419294405E-3</v>
      </c>
      <c r="G118" s="57"/>
      <c r="I118" s="15"/>
      <c r="J118" s="17"/>
      <c r="K118" s="57"/>
      <c r="M118" s="15"/>
      <c r="N118" s="15"/>
      <c r="O118" s="17"/>
      <c r="P118" s="57"/>
      <c r="R118" s="15"/>
      <c r="S118" s="15"/>
      <c r="T118" s="15"/>
      <c r="U118" s="15"/>
      <c r="V118" s="57"/>
      <c r="W118" s="32"/>
      <c r="X118"/>
      <c r="Y118"/>
      <c r="Z118"/>
      <c r="AA118"/>
    </row>
    <row r="119" spans="1:27" s="4" customFormat="1" x14ac:dyDescent="0.35">
      <c r="A119" s="14"/>
      <c r="B119" s="13"/>
      <c r="C119" s="18"/>
      <c r="D119" s="18"/>
      <c r="E119" s="18"/>
      <c r="F119" s="60"/>
      <c r="G119" s="58"/>
      <c r="H119" s="13"/>
      <c r="I119" s="18"/>
      <c r="J119" s="18"/>
      <c r="K119" s="58"/>
      <c r="L119" s="13"/>
      <c r="M119" s="18"/>
      <c r="N119" s="18"/>
      <c r="O119" s="18"/>
      <c r="P119" s="58"/>
      <c r="Q119" s="13"/>
      <c r="R119" s="18"/>
      <c r="S119" s="18"/>
      <c r="T119" s="18"/>
      <c r="U119" s="18"/>
      <c r="V119" s="58"/>
      <c r="W119" s="32"/>
      <c r="X119"/>
      <c r="Y119"/>
      <c r="Z119"/>
      <c r="AA119"/>
    </row>
    <row r="120" spans="1:27" s="4" customFormat="1" x14ac:dyDescent="0.35">
      <c r="A120" s="10">
        <f>A95+1</f>
        <v>5</v>
      </c>
      <c r="B120" s="4" t="s">
        <v>14</v>
      </c>
      <c r="C120" s="17">
        <f>C102-C111</f>
        <v>57.709999999962747</v>
      </c>
      <c r="D120"/>
      <c r="E120"/>
      <c r="F120" s="61">
        <f>-C120/C102</f>
        <v>-7.0574995189885136E-5</v>
      </c>
      <c r="G120" s="56"/>
      <c r="H120" s="4" t="s">
        <v>33</v>
      </c>
      <c r="I120" s="15">
        <f>I102-I111</f>
        <v>3766.38</v>
      </c>
      <c r="J120" s="17">
        <f>I120/Supporting!$A$15</f>
        <v>44.837857142857146</v>
      </c>
      <c r="K120" s="56"/>
      <c r="L120" s="4" t="s">
        <v>32</v>
      </c>
      <c r="M120" s="15">
        <f>M102-M111</f>
        <v>4462.002899458972</v>
      </c>
      <c r="N120" s="15"/>
      <c r="O120" s="22">
        <f>M120/Supporting!$A$15</f>
        <v>53.119082136416331</v>
      </c>
      <c r="P120" s="56"/>
      <c r="Q120" s="4" t="s">
        <v>11</v>
      </c>
      <c r="R120" s="17">
        <f>R102-R111</f>
        <v>0</v>
      </c>
      <c r="S120" s="15">
        <f>R120*Supporting!$A$2</f>
        <v>0</v>
      </c>
      <c r="T120" s="15">
        <f>S120/Supporting!$A$15</f>
        <v>0</v>
      </c>
      <c r="U120" s="15">
        <f>T120/365</f>
        <v>0</v>
      </c>
      <c r="V120" s="56"/>
      <c r="W120" s="32"/>
      <c r="X120"/>
      <c r="Y120"/>
      <c r="Z120"/>
      <c r="AA120"/>
    </row>
    <row r="121" spans="1:27" s="4" customFormat="1" x14ac:dyDescent="0.35">
      <c r="A121" s="10" t="s">
        <v>141</v>
      </c>
      <c r="B121" s="4" t="s">
        <v>15</v>
      </c>
      <c r="C121" s="17">
        <f>C103-C112</f>
        <v>76881.079999999958</v>
      </c>
      <c r="D121"/>
      <c r="E121"/>
      <c r="F121" s="61">
        <f t="shared" ref="F121:F124" si="34">-C121/C103</f>
        <v>-7.3482689325422484E-2</v>
      </c>
      <c r="G121" s="56"/>
      <c r="I121" s="15"/>
      <c r="J121" s="17"/>
      <c r="K121" s="56"/>
      <c r="M121" s="15"/>
      <c r="N121" s="15"/>
      <c r="O121" s="15"/>
      <c r="P121" s="56"/>
      <c r="Q121" s="4" t="s">
        <v>12</v>
      </c>
      <c r="R121" s="17">
        <f>R103-R112</f>
        <v>-7646.8699999999953</v>
      </c>
      <c r="S121" s="15">
        <f>R121*Supporting!$A$2</f>
        <v>-57202.56397239997</v>
      </c>
      <c r="T121" s="15">
        <f>S121/Supporting!$A$15</f>
        <v>-680.98290443333303</v>
      </c>
      <c r="U121" s="15">
        <f>T121/365</f>
        <v>-1.8657065874885836</v>
      </c>
      <c r="V121" s="56"/>
      <c r="W121" s="32"/>
      <c r="X121"/>
      <c r="Y121"/>
      <c r="Z121"/>
      <c r="AA121"/>
    </row>
    <row r="122" spans="1:27" s="4" customFormat="1" x14ac:dyDescent="0.35">
      <c r="A122" s="10"/>
      <c r="B122" s="4" t="s">
        <v>16</v>
      </c>
      <c r="C122" s="17">
        <f>C104-C113</f>
        <v>158.59999999999945</v>
      </c>
      <c r="D122"/>
      <c r="E122"/>
      <c r="F122" s="61">
        <f t="shared" si="34"/>
        <v>3.3498077979132228E-2</v>
      </c>
      <c r="G122" s="56"/>
      <c r="H122" s="4" t="s">
        <v>84</v>
      </c>
      <c r="I122" s="33">
        <f>I120/I102</f>
        <v>0.69060497933528187</v>
      </c>
      <c r="J122" s="15"/>
      <c r="K122" s="56"/>
      <c r="L122" s="4" t="s">
        <v>84</v>
      </c>
      <c r="M122" s="53">
        <f>M120/M102</f>
        <v>0.34118144446839155</v>
      </c>
      <c r="N122" s="15"/>
      <c r="O122" s="15"/>
      <c r="P122" s="56"/>
      <c r="Q122" s="4" t="s">
        <v>13</v>
      </c>
      <c r="R122" s="17">
        <f>R104-R113</f>
        <v>7646.8699999999953</v>
      </c>
      <c r="S122" s="15">
        <f>R122*Supporting!$A$2</f>
        <v>57202.56397239997</v>
      </c>
      <c r="T122" s="15">
        <f>S122/Supporting!$A$15</f>
        <v>680.98290443333303</v>
      </c>
      <c r="U122" s="15">
        <f>T122/365</f>
        <v>1.8657065874885836</v>
      </c>
      <c r="V122" s="56"/>
      <c r="W122" s="32"/>
      <c r="X122"/>
      <c r="Y122"/>
      <c r="Z122"/>
      <c r="AA122"/>
    </row>
    <row r="123" spans="1:27" s="4" customFormat="1" x14ac:dyDescent="0.35">
      <c r="A123" s="10"/>
      <c r="B123" s="4" t="s">
        <v>17</v>
      </c>
      <c r="C123" s="17">
        <f>C105-C114</f>
        <v>89600.01999999999</v>
      </c>
      <c r="D123"/>
      <c r="E123"/>
      <c r="F123" s="61">
        <f t="shared" si="34"/>
        <v>-0.37255130728889813</v>
      </c>
      <c r="G123" s="56"/>
      <c r="I123" s="15"/>
      <c r="J123" s="15"/>
      <c r="K123" s="56"/>
      <c r="M123" s="15"/>
      <c r="N123" s="15"/>
      <c r="O123" s="15"/>
      <c r="P123" s="56"/>
      <c r="R123" s="15"/>
      <c r="S123" s="15"/>
      <c r="T123" s="15"/>
      <c r="U123" s="15"/>
      <c r="V123" s="56"/>
      <c r="W123" s="32"/>
      <c r="X123"/>
      <c r="Y123"/>
      <c r="Z123"/>
      <c r="AA123"/>
    </row>
    <row r="124" spans="1:27" s="4" customFormat="1" x14ac:dyDescent="0.35">
      <c r="A124" s="10"/>
      <c r="B124" s="4" t="s">
        <v>54</v>
      </c>
      <c r="C124" s="17">
        <f>C106-C115</f>
        <v>12217</v>
      </c>
      <c r="D124"/>
      <c r="E124"/>
      <c r="F124" s="61">
        <f t="shared" si="34"/>
        <v>-0.69060562670891967</v>
      </c>
      <c r="G124" s="56"/>
      <c r="I124" s="15"/>
      <c r="J124" s="15"/>
      <c r="K124" s="56"/>
      <c r="M124" s="15"/>
      <c r="N124" s="15"/>
      <c r="O124" s="15"/>
      <c r="P124" s="56"/>
      <c r="Q124" s="4" t="s">
        <v>84</v>
      </c>
      <c r="R124" s="33">
        <f>R121/R103</f>
        <v>-3.8717194063019593E-2</v>
      </c>
      <c r="S124" s="15"/>
      <c r="T124" s="15"/>
      <c r="U124" s="15"/>
      <c r="V124" s="56"/>
      <c r="W124" s="32"/>
      <c r="X124"/>
      <c r="Y124"/>
      <c r="Z124"/>
      <c r="AA124"/>
    </row>
    <row r="125" spans="1:27" x14ac:dyDescent="0.35">
      <c r="G125" s="59"/>
      <c r="K125" s="59"/>
      <c r="P125" s="59"/>
      <c r="V125" s="59"/>
    </row>
    <row r="126" spans="1:27" x14ac:dyDescent="0.35">
      <c r="G126" s="59"/>
      <c r="K126" s="59"/>
      <c r="P126" s="59"/>
      <c r="V126" s="59"/>
    </row>
    <row r="127" spans="1:27" s="4" customFormat="1" x14ac:dyDescent="0.35">
      <c r="A127" s="10">
        <f>A102+1</f>
        <v>6</v>
      </c>
      <c r="B127" s="4" t="s">
        <v>14</v>
      </c>
      <c r="C127" s="16">
        <v>719312.95</v>
      </c>
      <c r="D127" s="17">
        <f>ABS(C127/100/W$127)</f>
        <v>8991.4118364229453</v>
      </c>
      <c r="E127" s="17">
        <f>D127/Supporting!$A$15</f>
        <v>107.04061710027315</v>
      </c>
      <c r="F127" s="11">
        <f>ABS(C127/C132)</f>
        <v>0.7572860518811303</v>
      </c>
      <c r="G127" s="56"/>
      <c r="H127" s="4" t="s">
        <v>33</v>
      </c>
      <c r="I127" s="16">
        <v>5410.38</v>
      </c>
      <c r="J127" s="17">
        <f>I127/Supporting!$A$15</f>
        <v>64.409285714285716</v>
      </c>
      <c r="K127" s="56"/>
      <c r="L127" s="4" t="s">
        <v>32</v>
      </c>
      <c r="M127" s="17">
        <f>N127/100</f>
        <v>11653.833700000001</v>
      </c>
      <c r="N127" s="16">
        <v>1165383.3700000001</v>
      </c>
      <c r="O127" s="22">
        <f>M127/Supporting!$A$15</f>
        <v>138.73611547619049</v>
      </c>
      <c r="P127" s="56"/>
      <c r="Q127" s="4" t="s">
        <v>11</v>
      </c>
      <c r="R127" s="16">
        <v>266635.18</v>
      </c>
      <c r="S127" s="15">
        <f>R127*Supporting!$A$2</f>
        <v>1994569.7966936</v>
      </c>
      <c r="T127" s="15">
        <f>S127/Supporting!$A$15</f>
        <v>23744.878532066668</v>
      </c>
      <c r="U127" s="15">
        <f>T127/365</f>
        <v>65.0544617316895</v>
      </c>
      <c r="V127" s="56"/>
      <c r="W127" s="34">
        <f>C128/N127</f>
        <v>0.80000000343234678</v>
      </c>
    </row>
    <row r="128" spans="1:27" s="4" customFormat="1" x14ac:dyDescent="0.35">
      <c r="A128" s="10" t="s">
        <v>139</v>
      </c>
      <c r="B128" s="4" t="s">
        <v>15</v>
      </c>
      <c r="C128" s="16">
        <v>932306.7</v>
      </c>
      <c r="D128" s="17">
        <f t="shared" ref="D128:D131" si="35">ABS(C128/100/W$127)</f>
        <v>11653.833700000001</v>
      </c>
      <c r="E128" s="17">
        <f>D128/Supporting!$A$15</f>
        <v>138.73611547619049</v>
      </c>
      <c r="F128" s="60"/>
      <c r="G128" s="56"/>
      <c r="I128" s="15"/>
      <c r="J128" s="17"/>
      <c r="K128" s="56"/>
      <c r="M128" s="15"/>
      <c r="O128" s="15"/>
      <c r="P128" s="56"/>
      <c r="Q128" s="4" t="s">
        <v>12</v>
      </c>
      <c r="R128" s="16">
        <v>188060.47</v>
      </c>
      <c r="S128" s="15">
        <f>R128*Supporting!$A$2</f>
        <v>1406790.1070443999</v>
      </c>
      <c r="T128" s="15">
        <f>S128/Supporting!$A$15</f>
        <v>16747.501274338094</v>
      </c>
      <c r="U128" s="22">
        <f>T128/365</f>
        <v>45.883565135172859</v>
      </c>
      <c r="V128" s="56"/>
      <c r="W128" s="32"/>
    </row>
    <row r="129" spans="1:27" s="4" customFormat="1" x14ac:dyDescent="0.35">
      <c r="A129" s="10"/>
      <c r="B129" s="4" t="s">
        <v>16</v>
      </c>
      <c r="C129" s="16">
        <v>-4341.2</v>
      </c>
      <c r="D129" s="17">
        <f t="shared" si="35"/>
        <v>54.264999767179624</v>
      </c>
      <c r="E129" s="17">
        <f>D129/Supporting!$A$15</f>
        <v>0.64601190199023362</v>
      </c>
      <c r="F129" s="11">
        <f>ABS(C129/C132)</f>
        <v>4.5703753956137768E-3</v>
      </c>
      <c r="G129" s="56"/>
      <c r="I129" s="15"/>
      <c r="J129" s="17"/>
      <c r="K129" s="56"/>
      <c r="M129" s="15"/>
      <c r="N129" s="15"/>
      <c r="O129" s="15"/>
      <c r="P129" s="56"/>
      <c r="Q129" s="4" t="s">
        <v>13</v>
      </c>
      <c r="R129" s="16">
        <f>R127-R128</f>
        <v>78574.709999999992</v>
      </c>
      <c r="S129" s="15">
        <f>R129*Supporting!$A$2</f>
        <v>587779.68964919995</v>
      </c>
      <c r="T129" s="15">
        <f>S129/Supporting!$A$15</f>
        <v>6997.3772577285708</v>
      </c>
      <c r="U129" s="15">
        <f>T129/365</f>
        <v>19.170896596516631</v>
      </c>
      <c r="V129" s="56"/>
      <c r="W129" s="32"/>
    </row>
    <row r="130" spans="1:27" s="4" customFormat="1" x14ac:dyDescent="0.35">
      <c r="A130" s="10"/>
      <c r="B130" s="4" t="s">
        <v>17</v>
      </c>
      <c r="C130" s="16">
        <v>225205.08</v>
      </c>
      <c r="D130" s="17">
        <f t="shared" si="35"/>
        <v>2815.0634879221575</v>
      </c>
      <c r="E130" s="17">
        <f>D130/Supporting!$A$15</f>
        <v>33.512660570501872</v>
      </c>
      <c r="F130" s="11">
        <f>ABS(C130/C132)</f>
        <v>0.23709383502239753</v>
      </c>
      <c r="G130" s="56"/>
      <c r="I130" s="15"/>
      <c r="J130" s="17"/>
      <c r="K130" s="56"/>
      <c r="M130" s="15"/>
      <c r="N130" s="15"/>
      <c r="O130" s="15"/>
      <c r="P130" s="56"/>
      <c r="R130" s="15"/>
      <c r="S130" s="15"/>
      <c r="T130" s="15"/>
      <c r="U130" s="15"/>
      <c r="V130" s="56"/>
      <c r="W130" s="32"/>
    </row>
    <row r="131" spans="1:27" s="4" customFormat="1" x14ac:dyDescent="0.35">
      <c r="A131" s="10"/>
      <c r="B131" s="4" t="s">
        <v>54</v>
      </c>
      <c r="C131" s="16">
        <v>17549.63</v>
      </c>
      <c r="D131" s="17">
        <f t="shared" si="35"/>
        <v>219.37037405880602</v>
      </c>
      <c r="E131" s="17">
        <f>D131/Supporting!$A$15</f>
        <v>2.6115520721286432</v>
      </c>
      <c r="F131" s="60"/>
      <c r="G131" s="56"/>
      <c r="I131" s="15"/>
      <c r="J131" s="17"/>
      <c r="K131" s="56"/>
      <c r="M131" s="15"/>
      <c r="N131" s="15"/>
      <c r="O131" s="15"/>
      <c r="P131" s="56"/>
      <c r="R131" s="15"/>
      <c r="S131" s="15"/>
      <c r="T131" s="15"/>
      <c r="U131" s="15"/>
      <c r="V131" s="56"/>
      <c r="W131" s="32"/>
    </row>
    <row r="132" spans="1:27" s="4" customFormat="1" x14ac:dyDescent="0.35">
      <c r="A132" s="10"/>
      <c r="B132" s="4" t="s">
        <v>29</v>
      </c>
      <c r="C132" s="17">
        <f>C128+C131</f>
        <v>949856.33</v>
      </c>
      <c r="D132" s="17">
        <f t="shared" ref="D132" si="36">D128+D131</f>
        <v>11873.204074058807</v>
      </c>
      <c r="E132" s="17">
        <f t="shared" ref="E132" si="37">E128+E131</f>
        <v>141.34766754831912</v>
      </c>
      <c r="F132" s="60"/>
      <c r="G132" s="56"/>
      <c r="I132" s="15"/>
      <c r="J132" s="17"/>
      <c r="K132" s="56"/>
      <c r="M132" s="15"/>
      <c r="N132" s="15"/>
      <c r="O132" s="15"/>
      <c r="P132" s="56"/>
      <c r="R132" s="15"/>
      <c r="S132" s="15"/>
      <c r="T132" s="15"/>
      <c r="U132" s="15"/>
      <c r="V132" s="56"/>
      <c r="W132" s="32"/>
    </row>
    <row r="133" spans="1:27" s="4" customFormat="1" x14ac:dyDescent="0.35">
      <c r="A133" s="10"/>
      <c r="B133" s="6" t="s">
        <v>21</v>
      </c>
      <c r="C133" s="17">
        <f>C127-C129+C130</f>
        <v>948859.22999999986</v>
      </c>
      <c r="D133" s="17">
        <f t="shared" ref="D133:E133" si="38">D127-D129+D130</f>
        <v>11752.210324577924</v>
      </c>
      <c r="E133" s="17">
        <f t="shared" si="38"/>
        <v>139.90726576878478</v>
      </c>
      <c r="F133" s="11">
        <f>SUM(F127:F130)</f>
        <v>0.99895026229914163</v>
      </c>
      <c r="G133" s="57"/>
      <c r="I133" s="15"/>
      <c r="J133" s="17"/>
      <c r="K133" s="57"/>
      <c r="M133" s="15"/>
      <c r="N133" s="15"/>
      <c r="O133" s="15"/>
      <c r="P133" s="57"/>
      <c r="R133" s="15"/>
      <c r="S133" s="15"/>
      <c r="T133" s="15"/>
      <c r="U133" s="15"/>
      <c r="V133" s="57"/>
      <c r="W133" s="32"/>
    </row>
    <row r="134" spans="1:27" s="4" customFormat="1" x14ac:dyDescent="0.35">
      <c r="A134" s="10"/>
      <c r="B134" s="6" t="s">
        <v>30</v>
      </c>
      <c r="C134" s="15">
        <f>C132-C133</f>
        <v>997.10000000009313</v>
      </c>
      <c r="D134" s="15">
        <f t="shared" ref="D134" si="39">D132-D133</f>
        <v>120.99374948088371</v>
      </c>
      <c r="E134" s="15">
        <f t="shared" ref="E134" si="40">E132-E133</f>
        <v>1.4404017795343407</v>
      </c>
      <c r="F134" s="11">
        <f>ABS(C134/C132)</f>
        <v>1.0497377008585006E-3</v>
      </c>
      <c r="G134" s="57"/>
      <c r="I134" s="15"/>
      <c r="J134" s="17"/>
      <c r="K134" s="57"/>
      <c r="M134" s="15"/>
      <c r="N134" s="15"/>
      <c r="O134" s="15"/>
      <c r="P134" s="57"/>
      <c r="R134" s="15"/>
      <c r="S134" s="15"/>
      <c r="T134" s="15"/>
      <c r="U134" s="15"/>
      <c r="V134" s="57"/>
      <c r="W134" s="32"/>
    </row>
    <row r="135" spans="1:27" s="4" customFormat="1" x14ac:dyDescent="0.35">
      <c r="A135" s="14"/>
      <c r="B135" s="13"/>
      <c r="C135" s="18"/>
      <c r="D135" s="18"/>
      <c r="E135" s="18"/>
      <c r="F135" s="60"/>
      <c r="G135" s="56"/>
      <c r="H135" s="13"/>
      <c r="I135" s="18"/>
      <c r="J135" s="18"/>
      <c r="K135" s="56"/>
      <c r="L135" s="13"/>
      <c r="M135" s="18"/>
      <c r="N135" s="18"/>
      <c r="O135" s="18"/>
      <c r="P135" s="56"/>
      <c r="Q135" s="13"/>
      <c r="R135" s="18"/>
      <c r="S135" s="18"/>
      <c r="T135" s="18"/>
      <c r="U135" s="18"/>
      <c r="V135" s="56"/>
      <c r="W135" s="32"/>
    </row>
    <row r="136" spans="1:27" s="4" customFormat="1" x14ac:dyDescent="0.35">
      <c r="A136" s="10">
        <f>A111+1</f>
        <v>6</v>
      </c>
      <c r="B136" s="4" t="s">
        <v>14</v>
      </c>
      <c r="C136" s="19">
        <v>719263.58</v>
      </c>
      <c r="D136" s="17">
        <f>ABS(C136/100/W$136)</f>
        <v>6201.0765003393926</v>
      </c>
      <c r="E136" s="17">
        <f>D136/Supporting!$A$15</f>
        <v>73.82233928975468</v>
      </c>
      <c r="F136" s="11">
        <f>ABS(C136/C141)</f>
        <v>0.84724941562391476</v>
      </c>
      <c r="G136" s="56"/>
      <c r="H136" s="4" t="s">
        <v>33</v>
      </c>
      <c r="I136" s="21">
        <v>1528.09</v>
      </c>
      <c r="J136" s="17">
        <f>I136/Supporting!$A$15</f>
        <v>18.191547619047618</v>
      </c>
      <c r="K136" s="56"/>
      <c r="L136" s="4" t="s">
        <v>32</v>
      </c>
      <c r="M136" s="17">
        <f>N136/100</f>
        <v>7276.3350202179727</v>
      </c>
      <c r="N136" s="70">
        <v>727633.50202179723</v>
      </c>
      <c r="O136" s="22">
        <f>M136/Supporting!$A$15</f>
        <v>86.623035954975862</v>
      </c>
      <c r="P136" s="56"/>
      <c r="Q136" s="4" t="s">
        <v>11</v>
      </c>
      <c r="R136" s="21">
        <v>266635.18</v>
      </c>
      <c r="S136" s="15">
        <f>R136*Supporting!$A$2</f>
        <v>1994569.7966936</v>
      </c>
      <c r="T136" s="15">
        <f>S136/Supporting!$A$15</f>
        <v>23744.878532066668</v>
      </c>
      <c r="U136" s="15">
        <f>T136/365</f>
        <v>65.0544617316895</v>
      </c>
      <c r="V136" s="56"/>
      <c r="W136" s="54">
        <f>C137/N136</f>
        <v>1.1599011558084049</v>
      </c>
      <c r="Y136" s="17">
        <f>Z136/100</f>
        <v>8839.2551999999996</v>
      </c>
      <c r="Z136" s="46">
        <v>883925.52</v>
      </c>
      <c r="AA136" s="17">
        <f>Y136/Supporting!$A$15</f>
        <v>105.22922857142856</v>
      </c>
    </row>
    <row r="137" spans="1:27" s="4" customFormat="1" x14ac:dyDescent="0.35">
      <c r="A137" s="10" t="s">
        <v>140</v>
      </c>
      <c r="B137" s="4" t="s">
        <v>15</v>
      </c>
      <c r="C137" s="19">
        <v>843982.94</v>
      </c>
      <c r="D137" s="17">
        <f t="shared" ref="D137:D140" si="41">ABS(C137/100/W$136)</f>
        <v>7276.3350202179718</v>
      </c>
      <c r="E137" s="17">
        <f>D137/Supporting!$A$15</f>
        <v>86.623035954975848</v>
      </c>
      <c r="F137" s="60"/>
      <c r="G137" s="56"/>
      <c r="I137" s="15"/>
      <c r="J137" s="17"/>
      <c r="K137" s="56"/>
      <c r="M137" s="15"/>
      <c r="N137" s="15"/>
      <c r="O137" s="17"/>
      <c r="P137" s="56"/>
      <c r="Q137" s="4" t="s">
        <v>12</v>
      </c>
      <c r="R137" s="21">
        <v>196623.33</v>
      </c>
      <c r="S137" s="15">
        <f>R137*Supporting!$A$2</f>
        <v>1470844.7525316</v>
      </c>
      <c r="T137" s="15">
        <f>S137/Supporting!$A$15</f>
        <v>17510.056577757143</v>
      </c>
      <c r="U137" s="22">
        <f>T137/365</f>
        <v>47.972757747279843</v>
      </c>
      <c r="V137" s="56"/>
      <c r="W137" s="32"/>
    </row>
    <row r="138" spans="1:27" s="4" customFormat="1" x14ac:dyDescent="0.35">
      <c r="A138" s="10"/>
      <c r="B138" s="4" t="s">
        <v>16</v>
      </c>
      <c r="C138" s="19">
        <v>-4465.8999999999996</v>
      </c>
      <c r="D138" s="17">
        <f t="shared" si="41"/>
        <v>38.502418741771535</v>
      </c>
      <c r="E138" s="17">
        <f>D138/Supporting!$A$15</f>
        <v>0.45836212787823255</v>
      </c>
      <c r="F138" s="11">
        <f>ABS(C138/C141)</f>
        <v>5.2605627066990394E-3</v>
      </c>
      <c r="G138" s="56"/>
      <c r="I138" s="15"/>
      <c r="J138" s="17"/>
      <c r="K138" s="56"/>
      <c r="M138" s="15"/>
      <c r="N138" s="15"/>
      <c r="O138" s="17"/>
      <c r="P138" s="56"/>
      <c r="Q138" s="4" t="s">
        <v>13</v>
      </c>
      <c r="R138" s="21">
        <f>R136-R137</f>
        <v>70011.850000000006</v>
      </c>
      <c r="S138" s="15">
        <f>R138*Supporting!$A$2</f>
        <v>523725.04416200006</v>
      </c>
      <c r="T138" s="15">
        <f>S138/Supporting!$A$15</f>
        <v>6234.8219543095247</v>
      </c>
      <c r="U138" s="15">
        <f>T138/365</f>
        <v>17.081703984409657</v>
      </c>
      <c r="V138" s="56"/>
      <c r="W138" s="32"/>
      <c r="Y138" s="4" t="s">
        <v>84</v>
      </c>
      <c r="Z138" s="33">
        <f>(N127-Z136)/N127</f>
        <v>0.24151524489318915</v>
      </c>
    </row>
    <row r="139" spans="1:27" s="4" customFormat="1" x14ac:dyDescent="0.35">
      <c r="A139" s="10"/>
      <c r="B139" s="4" t="s">
        <v>17</v>
      </c>
      <c r="C139" s="19">
        <v>141986.54</v>
      </c>
      <c r="D139" s="17">
        <f t="shared" si="41"/>
        <v>1224.126204969949</v>
      </c>
      <c r="E139" s="17">
        <f>D139/Supporting!$A$15</f>
        <v>14.572931011547011</v>
      </c>
      <c r="F139" s="11">
        <f>ABS(C139/C141)</f>
        <v>0.16725163957482961</v>
      </c>
      <c r="G139" s="56"/>
      <c r="I139" s="15"/>
      <c r="J139" s="17"/>
      <c r="K139" s="56"/>
      <c r="M139" s="15"/>
      <c r="N139" s="15"/>
      <c r="O139" s="17"/>
      <c r="P139" s="56"/>
      <c r="R139" s="15"/>
      <c r="S139" s="15"/>
      <c r="T139" s="15"/>
      <c r="U139" s="15"/>
      <c r="V139" s="56"/>
      <c r="W139" s="32"/>
    </row>
    <row r="140" spans="1:27" s="4" customFormat="1" x14ac:dyDescent="0.35">
      <c r="A140" s="10"/>
      <c r="B140" s="4" t="s">
        <v>54</v>
      </c>
      <c r="C140" s="19">
        <v>4956.66</v>
      </c>
      <c r="D140" s="17">
        <f t="shared" si="41"/>
        <v>42.733468926888044</v>
      </c>
      <c r="E140" s="17">
        <f>D140/Supporting!$A$15</f>
        <v>0.5087317729391434</v>
      </c>
      <c r="F140" s="60"/>
      <c r="G140" s="56"/>
      <c r="I140" s="15"/>
      <c r="J140" s="17"/>
      <c r="K140" s="56"/>
      <c r="M140" s="15"/>
      <c r="N140" s="15"/>
      <c r="O140" s="17"/>
      <c r="P140" s="56"/>
      <c r="R140" s="15"/>
      <c r="S140" s="15"/>
      <c r="T140" s="15"/>
      <c r="U140" s="15"/>
      <c r="V140" s="56"/>
      <c r="W140" s="32"/>
    </row>
    <row r="141" spans="1:27" s="4" customFormat="1" x14ac:dyDescent="0.35">
      <c r="A141" s="10"/>
      <c r="B141" s="4" t="s">
        <v>29</v>
      </c>
      <c r="C141" s="17">
        <f>C137+C140</f>
        <v>848939.6</v>
      </c>
      <c r="D141" s="17">
        <f t="shared" ref="D141" si="42">D137+D140</f>
        <v>7319.06848914486</v>
      </c>
      <c r="E141" s="17">
        <f t="shared" ref="E141" si="43">E137+E140</f>
        <v>87.13176772791499</v>
      </c>
      <c r="F141" s="60"/>
      <c r="G141" s="56"/>
      <c r="I141" s="15"/>
      <c r="J141" s="17"/>
      <c r="K141" s="56"/>
      <c r="M141" s="15"/>
      <c r="N141" s="15"/>
      <c r="O141" s="17"/>
      <c r="P141" s="56"/>
      <c r="R141" s="15"/>
      <c r="S141" s="15"/>
      <c r="T141" s="15"/>
      <c r="U141" s="15"/>
      <c r="V141" s="56"/>
      <c r="W141" s="32"/>
    </row>
    <row r="142" spans="1:27" s="4" customFormat="1" x14ac:dyDescent="0.35">
      <c r="A142" s="10"/>
      <c r="B142" s="6" t="s">
        <v>21</v>
      </c>
      <c r="C142" s="17">
        <f>C136-C138+C139</f>
        <v>865716.02</v>
      </c>
      <c r="D142" s="17">
        <f t="shared" ref="D142:E142" si="44">D136-D138+D139</f>
        <v>7386.7002865675704</v>
      </c>
      <c r="E142" s="17">
        <f t="shared" si="44"/>
        <v>87.936908173423461</v>
      </c>
      <c r="F142" s="11">
        <f>SUM(F136:F139)</f>
        <v>1.0197616179054434</v>
      </c>
      <c r="G142" s="57"/>
      <c r="I142" s="15"/>
      <c r="J142" s="17"/>
      <c r="K142" s="57"/>
      <c r="M142" s="15"/>
      <c r="N142" s="15"/>
      <c r="O142" s="17"/>
      <c r="P142" s="57"/>
      <c r="R142" s="15"/>
      <c r="S142" s="15"/>
      <c r="T142" s="15"/>
      <c r="U142" s="15"/>
      <c r="V142" s="57"/>
      <c r="W142" s="32"/>
    </row>
    <row r="143" spans="1:27" s="4" customFormat="1" x14ac:dyDescent="0.35">
      <c r="A143" s="10"/>
      <c r="B143" s="6" t="s">
        <v>30</v>
      </c>
      <c r="C143" s="15">
        <f>C141-C142</f>
        <v>-16776.420000000042</v>
      </c>
      <c r="D143" s="15">
        <f t="shared" ref="D143" si="45">D141-D142</f>
        <v>-67.631797422710406</v>
      </c>
      <c r="E143" s="15">
        <f t="shared" ref="E143" si="46">E141-E142</f>
        <v>-0.80514044550847075</v>
      </c>
      <c r="F143" s="11">
        <f>ABS(C143/C141)</f>
        <v>1.97616179054435E-2</v>
      </c>
      <c r="G143" s="57"/>
      <c r="I143" s="15"/>
      <c r="J143" s="17"/>
      <c r="K143" s="57"/>
      <c r="M143" s="15"/>
      <c r="N143" s="15"/>
      <c r="O143" s="17"/>
      <c r="P143" s="57"/>
      <c r="R143" s="15"/>
      <c r="S143" s="15"/>
      <c r="T143" s="15"/>
      <c r="U143" s="15"/>
      <c r="V143" s="57"/>
      <c r="W143" s="32"/>
    </row>
    <row r="144" spans="1:27" s="4" customFormat="1" x14ac:dyDescent="0.35">
      <c r="A144" s="14"/>
      <c r="B144" s="13"/>
      <c r="C144" s="18"/>
      <c r="D144" s="18"/>
      <c r="E144" s="18"/>
      <c r="F144" s="60"/>
      <c r="G144" s="58"/>
      <c r="H144" s="13"/>
      <c r="I144" s="18"/>
      <c r="J144" s="18"/>
      <c r="K144" s="58"/>
      <c r="L144" s="13"/>
      <c r="M144" s="18"/>
      <c r="N144" s="18"/>
      <c r="O144" s="18"/>
      <c r="P144" s="58"/>
      <c r="Q144" s="13"/>
      <c r="R144" s="18"/>
      <c r="S144" s="18"/>
      <c r="T144" s="18"/>
      <c r="U144" s="18"/>
      <c r="V144" s="58"/>
      <c r="W144" s="32"/>
    </row>
    <row r="145" spans="1:27" s="4" customFormat="1" x14ac:dyDescent="0.35">
      <c r="A145" s="10">
        <f>A120+1</f>
        <v>6</v>
      </c>
      <c r="B145" s="4" t="s">
        <v>14</v>
      </c>
      <c r="C145" s="17">
        <f>C127-C136</f>
        <v>49.369999999995343</v>
      </c>
      <c r="D145"/>
      <c r="E145"/>
      <c r="F145" s="61">
        <f>-C145/C127</f>
        <v>-6.8634938381125131E-5</v>
      </c>
      <c r="G145" s="56"/>
      <c r="H145" s="4" t="s">
        <v>33</v>
      </c>
      <c r="I145" s="15">
        <f>I127-I136</f>
        <v>3882.29</v>
      </c>
      <c r="J145" s="17">
        <f>I145/Supporting!$A$15</f>
        <v>46.217738095238097</v>
      </c>
      <c r="K145" s="56"/>
      <c r="L145" s="4" t="s">
        <v>32</v>
      </c>
      <c r="M145" s="15">
        <f>M127-M136</f>
        <v>4377.4986797820284</v>
      </c>
      <c r="N145" s="15"/>
      <c r="O145" s="22">
        <f>M145/Supporting!$A$15</f>
        <v>52.113079521214623</v>
      </c>
      <c r="P145" s="56"/>
      <c r="Q145" s="4" t="s">
        <v>11</v>
      </c>
      <c r="R145" s="17">
        <f>R127-R136</f>
        <v>0</v>
      </c>
      <c r="S145" s="15">
        <f>R145*Supporting!$A$2</f>
        <v>0</v>
      </c>
      <c r="T145" s="15">
        <f>S145/Supporting!$A$15</f>
        <v>0</v>
      </c>
      <c r="U145" s="15">
        <f>T145/365</f>
        <v>0</v>
      </c>
      <c r="V145" s="56"/>
      <c r="W145" s="32"/>
    </row>
    <row r="146" spans="1:27" s="4" customFormat="1" x14ac:dyDescent="0.35">
      <c r="A146" s="10" t="s">
        <v>141</v>
      </c>
      <c r="B146" s="4" t="s">
        <v>15</v>
      </c>
      <c r="C146" s="17">
        <f>C128-C137</f>
        <v>88323.760000000009</v>
      </c>
      <c r="D146"/>
      <c r="E146"/>
      <c r="F146" s="61">
        <f t="shared" ref="F146:F149" si="47">-C146/C128</f>
        <v>-9.4736807104357418E-2</v>
      </c>
      <c r="G146" s="56"/>
      <c r="I146" s="15"/>
      <c r="J146" s="17"/>
      <c r="K146" s="56"/>
      <c r="M146" s="15"/>
      <c r="N146" s="15"/>
      <c r="O146" s="15"/>
      <c r="P146" s="56"/>
      <c r="Q146" s="4" t="s">
        <v>12</v>
      </c>
      <c r="R146" s="17">
        <f>R128-R137</f>
        <v>-8562.859999999986</v>
      </c>
      <c r="S146" s="15">
        <f>R146*Supporting!$A$2</f>
        <v>-64054.645487199901</v>
      </c>
      <c r="T146" s="15">
        <f>S146/Supporting!$A$15</f>
        <v>-762.55530341904648</v>
      </c>
      <c r="U146" s="15">
        <f>T146/365</f>
        <v>-2.0891926121069768</v>
      </c>
      <c r="V146" s="56"/>
      <c r="W146" s="32"/>
    </row>
    <row r="147" spans="1:27" s="4" customFormat="1" x14ac:dyDescent="0.35">
      <c r="A147" s="10"/>
      <c r="B147" s="4" t="s">
        <v>16</v>
      </c>
      <c r="C147" s="17">
        <f>C129-C138</f>
        <v>124.69999999999982</v>
      </c>
      <c r="D147"/>
      <c r="E147"/>
      <c r="F147" s="61">
        <f t="shared" si="47"/>
        <v>2.8724776559476601E-2</v>
      </c>
      <c r="G147" s="56"/>
      <c r="H147" s="4" t="s">
        <v>84</v>
      </c>
      <c r="I147" s="33">
        <f>I145/I127</f>
        <v>0.71756327651662177</v>
      </c>
      <c r="J147" s="15"/>
      <c r="K147" s="56"/>
      <c r="L147" s="4" t="s">
        <v>84</v>
      </c>
      <c r="M147" s="53">
        <f>M145/M127</f>
        <v>0.37562735083323079</v>
      </c>
      <c r="N147" s="15"/>
      <c r="O147" s="15"/>
      <c r="P147" s="56"/>
      <c r="Q147" s="4" t="s">
        <v>13</v>
      </c>
      <c r="R147" s="17">
        <f>R129-R138</f>
        <v>8562.859999999986</v>
      </c>
      <c r="S147" s="15">
        <f>R147*Supporting!$A$2</f>
        <v>64054.645487199901</v>
      </c>
      <c r="T147" s="15">
        <f>S147/Supporting!$A$15</f>
        <v>762.55530341904648</v>
      </c>
      <c r="U147" s="15">
        <f>T147/365</f>
        <v>2.0891926121069768</v>
      </c>
      <c r="V147" s="56"/>
      <c r="W147" s="32"/>
    </row>
    <row r="148" spans="1:27" s="4" customFormat="1" x14ac:dyDescent="0.35">
      <c r="A148" s="10"/>
      <c r="B148" s="4" t="s">
        <v>17</v>
      </c>
      <c r="C148" s="17">
        <f>C130-C139</f>
        <v>83218.539999999979</v>
      </c>
      <c r="D148"/>
      <c r="E148"/>
      <c r="F148" s="61">
        <f t="shared" si="47"/>
        <v>-0.36952336954388409</v>
      </c>
      <c r="G148" s="56"/>
      <c r="I148" s="15"/>
      <c r="J148" s="15"/>
      <c r="K148" s="56"/>
      <c r="M148" s="15"/>
      <c r="N148" s="15"/>
      <c r="O148" s="15"/>
      <c r="P148" s="56"/>
      <c r="R148" s="15"/>
      <c r="S148" s="15"/>
      <c r="T148" s="15"/>
      <c r="U148" s="15"/>
      <c r="V148" s="56"/>
      <c r="W148" s="32"/>
    </row>
    <row r="149" spans="1:27" s="4" customFormat="1" x14ac:dyDescent="0.35">
      <c r="A149" s="10"/>
      <c r="B149" s="4" t="s">
        <v>54</v>
      </c>
      <c r="C149" s="17">
        <f>C131-C140</f>
        <v>12592.970000000001</v>
      </c>
      <c r="D149"/>
      <c r="E149"/>
      <c r="F149" s="61">
        <f t="shared" si="47"/>
        <v>-0.71756327626280447</v>
      </c>
      <c r="G149" s="56"/>
      <c r="I149" s="15"/>
      <c r="J149" s="15"/>
      <c r="K149" s="56"/>
      <c r="M149" s="15"/>
      <c r="N149" s="15"/>
      <c r="O149" s="15"/>
      <c r="P149" s="56"/>
      <c r="Q149" s="4" t="s">
        <v>84</v>
      </c>
      <c r="R149" s="33">
        <f>R146/R128</f>
        <v>-4.5532482185118364E-2</v>
      </c>
      <c r="S149" s="15"/>
      <c r="T149" s="15"/>
      <c r="U149" s="15"/>
      <c r="V149" s="56"/>
      <c r="W149" s="32"/>
    </row>
    <row r="150" spans="1:27" x14ac:dyDescent="0.35">
      <c r="G150" s="59"/>
      <c r="K150" s="59"/>
      <c r="P150" s="59"/>
      <c r="V150" s="59"/>
    </row>
    <row r="151" spans="1:27" x14ac:dyDescent="0.35">
      <c r="G151" s="59"/>
      <c r="K151" s="59"/>
      <c r="P151" s="59"/>
      <c r="V151" s="59"/>
    </row>
    <row r="152" spans="1:27" s="4" customFormat="1" x14ac:dyDescent="0.35">
      <c r="A152" s="10">
        <f>A127+1</f>
        <v>7</v>
      </c>
      <c r="B152" s="4" t="s">
        <v>14</v>
      </c>
      <c r="C152" s="16">
        <v>706056.35</v>
      </c>
      <c r="D152" s="17">
        <f>ABS(C152/100/W$202)</f>
        <v>8825.7044347073625</v>
      </c>
      <c r="E152" s="17">
        <f>D152/Supporting!$A$15</f>
        <v>105.06790993699241</v>
      </c>
      <c r="F152" s="11">
        <f>ABS(C152/C157)</f>
        <v>0.75855843199705952</v>
      </c>
      <c r="G152" s="56"/>
      <c r="H152" s="4" t="s">
        <v>33</v>
      </c>
      <c r="I152" s="16">
        <v>5390.17</v>
      </c>
      <c r="J152" s="17">
        <f>I152/Supporting!$A$15</f>
        <v>64.168690476190477</v>
      </c>
      <c r="K152" s="56"/>
      <c r="L152" s="4" t="s">
        <v>32</v>
      </c>
      <c r="M152" s="17">
        <f>N152/100</f>
        <v>11416.2871</v>
      </c>
      <c r="N152" s="16">
        <v>1141628.71</v>
      </c>
      <c r="O152" s="22">
        <f>M152/Supporting!$A$15</f>
        <v>135.90817976190476</v>
      </c>
      <c r="P152" s="56"/>
      <c r="Q152" s="4" t="s">
        <v>11</v>
      </c>
      <c r="R152" s="16">
        <v>266635.18</v>
      </c>
      <c r="S152" s="15">
        <f>R152*Supporting!$A$2</f>
        <v>1994569.7966936</v>
      </c>
      <c r="T152" s="15">
        <f>S152/Supporting!$A$15</f>
        <v>23744.878532066668</v>
      </c>
      <c r="U152" s="15">
        <f>T152/365</f>
        <v>65.0544617316895</v>
      </c>
      <c r="V152" s="56"/>
      <c r="W152" s="34">
        <f>C153/N152</f>
        <v>0.79999999299246771</v>
      </c>
      <c r="Y152"/>
      <c r="Z152"/>
      <c r="AA152"/>
    </row>
    <row r="153" spans="1:27" s="4" customFormat="1" x14ac:dyDescent="0.35">
      <c r="A153" s="10" t="s">
        <v>139</v>
      </c>
      <c r="B153" s="4" t="s">
        <v>15</v>
      </c>
      <c r="C153" s="16">
        <v>913302.96</v>
      </c>
      <c r="D153" s="17">
        <f>ABS(C153/100/W$202)</f>
        <v>11416.287077233086</v>
      </c>
      <c r="E153" s="17">
        <f>D153/Supporting!$A$15</f>
        <v>135.90817949087008</v>
      </c>
      <c r="F153" s="60"/>
      <c r="G153" s="56"/>
      <c r="I153" s="15"/>
      <c r="J153" s="17"/>
      <c r="K153" s="56"/>
      <c r="M153" s="15"/>
      <c r="O153" s="15"/>
      <c r="P153" s="56"/>
      <c r="Q153" s="4" t="s">
        <v>12</v>
      </c>
      <c r="R153" s="16">
        <v>186746.86</v>
      </c>
      <c r="S153" s="15">
        <f>R153*Supporting!$A$2</f>
        <v>1396963.6211671999</v>
      </c>
      <c r="T153" s="15">
        <f>S153/Supporting!$A$15</f>
        <v>16630.519299609521</v>
      </c>
      <c r="U153" s="22">
        <f>T153/365</f>
        <v>45.563066574272661</v>
      </c>
      <c r="V153" s="56"/>
      <c r="W153" s="32"/>
    </row>
    <row r="154" spans="1:27" s="4" customFormat="1" x14ac:dyDescent="0.35">
      <c r="A154" s="10"/>
      <c r="B154" s="4" t="s">
        <v>16</v>
      </c>
      <c r="C154" s="16">
        <v>-4332.1000000000004</v>
      </c>
      <c r="D154" s="17">
        <f>ABS(C154/100/W$202)</f>
        <v>54.151250366342246</v>
      </c>
      <c r="E154" s="17">
        <f>D154/Supporting!$A$15</f>
        <v>0.64465774245645535</v>
      </c>
      <c r="F154" s="11">
        <f>ABS(C154/C157)</f>
        <v>4.6542333104920902E-3</v>
      </c>
      <c r="G154" s="56"/>
      <c r="I154" s="15"/>
      <c r="J154" s="17"/>
      <c r="K154" s="56"/>
      <c r="M154" s="15"/>
      <c r="N154" s="15"/>
      <c r="O154" s="15"/>
      <c r="P154" s="56"/>
      <c r="Q154" s="4" t="s">
        <v>13</v>
      </c>
      <c r="R154" s="16">
        <f>R152-R153</f>
        <v>79888.320000000007</v>
      </c>
      <c r="S154" s="15">
        <f>R154*Supporting!$A$2</f>
        <v>597606.1755264001</v>
      </c>
      <c r="T154" s="15">
        <f>S154/Supporting!$A$15</f>
        <v>7114.3592324571437</v>
      </c>
      <c r="U154" s="15">
        <f>T154/365</f>
        <v>19.491395157416832</v>
      </c>
      <c r="V154" s="56"/>
      <c r="W154" s="32"/>
    </row>
    <row r="155" spans="1:27" s="4" customFormat="1" x14ac:dyDescent="0.35">
      <c r="A155" s="10"/>
      <c r="B155" s="4" t="s">
        <v>17</v>
      </c>
      <c r="C155" s="16">
        <v>219740</v>
      </c>
      <c r="D155" s="17">
        <f>ABS(C155/100/W$202)</f>
        <v>2746.7500185822223</v>
      </c>
      <c r="E155" s="17">
        <f>D155/Supporting!$A$15</f>
        <v>32.699404983121696</v>
      </c>
      <c r="F155" s="11">
        <f>ABS(C155/C157)</f>
        <v>0.23607978293380391</v>
      </c>
      <c r="G155" s="56"/>
      <c r="I155" s="15"/>
      <c r="J155" s="17"/>
      <c r="K155" s="56"/>
      <c r="M155" s="15"/>
      <c r="N155" s="15"/>
      <c r="O155" s="15"/>
      <c r="P155" s="56"/>
      <c r="R155" s="15"/>
      <c r="S155" s="15"/>
      <c r="T155" s="15"/>
      <c r="U155" s="15"/>
      <c r="V155" s="56"/>
      <c r="W155" s="32"/>
    </row>
    <row r="156" spans="1:27" s="4" customFormat="1" x14ac:dyDescent="0.35">
      <c r="A156" s="10"/>
      <c r="B156" s="4" t="s">
        <v>54</v>
      </c>
      <c r="C156" s="16">
        <v>17484.07</v>
      </c>
      <c r="D156" s="17">
        <f>ABS(C156/100/W$202)</f>
        <v>218.55087647853316</v>
      </c>
      <c r="E156" s="17">
        <f>D156/Supporting!$A$15</f>
        <v>2.6017961485539662</v>
      </c>
      <c r="F156" s="60"/>
      <c r="G156" s="56"/>
      <c r="H156" s="39"/>
      <c r="I156" s="15"/>
      <c r="J156" s="17"/>
      <c r="K156" s="56"/>
      <c r="M156" s="15"/>
      <c r="N156" s="15"/>
      <c r="O156" s="15"/>
      <c r="P156" s="56"/>
      <c r="R156" s="15"/>
      <c r="S156" s="15"/>
      <c r="T156" s="15"/>
      <c r="U156" s="15"/>
      <c r="V156" s="56"/>
      <c r="W156" s="32"/>
    </row>
    <row r="157" spans="1:27" s="4" customFormat="1" x14ac:dyDescent="0.35">
      <c r="A157" s="10"/>
      <c r="B157" s="4" t="s">
        <v>29</v>
      </c>
      <c r="C157" s="17">
        <f>C153+C156</f>
        <v>930787.02999999991</v>
      </c>
      <c r="D157" s="17">
        <f t="shared" ref="D157:E157" si="48">D153+D156</f>
        <v>11634.83795371162</v>
      </c>
      <c r="E157" s="17">
        <f t="shared" si="48"/>
        <v>138.50997563942406</v>
      </c>
      <c r="F157" s="60"/>
      <c r="G157" s="56"/>
      <c r="I157" s="15"/>
      <c r="J157" s="17"/>
      <c r="K157" s="56"/>
      <c r="M157" s="15"/>
      <c r="N157" s="15"/>
      <c r="O157" s="15"/>
      <c r="P157" s="56"/>
      <c r="R157" s="15"/>
      <c r="S157" s="15"/>
      <c r="T157" s="15"/>
      <c r="U157" s="15"/>
      <c r="V157" s="56"/>
      <c r="W157" s="32"/>
    </row>
    <row r="158" spans="1:27" s="4" customFormat="1" x14ac:dyDescent="0.35">
      <c r="A158" s="10"/>
      <c r="B158" s="6" t="s">
        <v>21</v>
      </c>
      <c r="C158" s="17">
        <f>C152-C154+C155</f>
        <v>930128.45</v>
      </c>
      <c r="D158" s="17">
        <f t="shared" ref="D158:E158" si="49">D152-D154+D155</f>
        <v>11518.303202923244</v>
      </c>
      <c r="E158" s="17">
        <f t="shared" si="49"/>
        <v>137.12265717765763</v>
      </c>
      <c r="F158" s="11">
        <f>SUM(F152:F155)</f>
        <v>0.99929244824135555</v>
      </c>
      <c r="G158" s="57"/>
      <c r="I158" s="15"/>
      <c r="J158" s="17"/>
      <c r="K158" s="57"/>
      <c r="M158" s="15"/>
      <c r="N158" s="15"/>
      <c r="O158" s="15"/>
      <c r="P158" s="57"/>
      <c r="R158" s="15"/>
      <c r="S158" s="15"/>
      <c r="T158" s="15"/>
      <c r="U158" s="15"/>
      <c r="V158" s="57"/>
      <c r="W158" s="32"/>
      <c r="X158"/>
      <c r="Y158"/>
      <c r="Z158"/>
      <c r="AA158"/>
    </row>
    <row r="159" spans="1:27" s="4" customFormat="1" x14ac:dyDescent="0.35">
      <c r="A159" s="10"/>
      <c r="B159" s="6" t="s">
        <v>30</v>
      </c>
      <c r="C159" s="15">
        <f>C157-C158</f>
        <v>658.57999999995809</v>
      </c>
      <c r="D159" s="15">
        <f t="shared" ref="D159:E159" si="50">D157-D158</f>
        <v>116.53475078837619</v>
      </c>
      <c r="E159" s="15">
        <f t="shared" si="50"/>
        <v>1.3873184617664265</v>
      </c>
      <c r="F159" s="11">
        <f>ABS(C159/C157)</f>
        <v>7.0755175864446469E-4</v>
      </c>
      <c r="G159" s="57"/>
      <c r="I159" s="15"/>
      <c r="J159" s="17"/>
      <c r="K159" s="57"/>
      <c r="M159" s="15"/>
      <c r="N159" s="15"/>
      <c r="O159" s="15"/>
      <c r="P159" s="57"/>
      <c r="R159" s="15"/>
      <c r="S159" s="15"/>
      <c r="T159" s="15"/>
      <c r="U159" s="15"/>
      <c r="V159" s="57"/>
      <c r="W159" s="32"/>
      <c r="X159"/>
      <c r="Y159"/>
      <c r="Z159"/>
      <c r="AA159"/>
    </row>
    <row r="160" spans="1:27" s="4" customFormat="1" x14ac:dyDescent="0.35">
      <c r="A160" s="14"/>
      <c r="B160" s="13"/>
      <c r="C160" s="18"/>
      <c r="D160" s="18"/>
      <c r="E160" s="18"/>
      <c r="F160" s="60"/>
      <c r="G160" s="56"/>
      <c r="H160" s="13"/>
      <c r="I160" s="18"/>
      <c r="J160" s="18"/>
      <c r="K160" s="56"/>
      <c r="L160" s="13"/>
      <c r="M160" s="18"/>
      <c r="N160" s="18"/>
      <c r="O160" s="18"/>
      <c r="P160" s="56"/>
      <c r="Q160" s="13"/>
      <c r="R160" s="18"/>
      <c r="S160" s="18"/>
      <c r="T160" s="18"/>
      <c r="U160" s="18"/>
      <c r="V160" s="56"/>
      <c r="W160" s="32"/>
      <c r="X160"/>
      <c r="Y160"/>
      <c r="Z160"/>
      <c r="AA160"/>
    </row>
    <row r="161" spans="1:27" s="4" customFormat="1" x14ac:dyDescent="0.35">
      <c r="A161" s="10">
        <f>A136+1</f>
        <v>7</v>
      </c>
      <c r="B161" s="4" t="s">
        <v>14</v>
      </c>
      <c r="C161" s="19">
        <v>706007.84</v>
      </c>
      <c r="D161" s="17">
        <f>ABS(C161/100/W$211)</f>
        <v>6062.106207367915</v>
      </c>
      <c r="E161" s="17">
        <f>D161/Supporting!$A$15</f>
        <v>72.167931040094231</v>
      </c>
      <c r="F161" s="11">
        <f>ABS(C161/C166)</f>
        <v>0.84902981622508744</v>
      </c>
      <c r="G161" s="56"/>
      <c r="H161" s="4" t="s">
        <v>33</v>
      </c>
      <c r="I161" s="21">
        <v>1501.26</v>
      </c>
      <c r="J161" s="17">
        <f>I161/Supporting!$A$15</f>
        <v>17.872142857142858</v>
      </c>
      <c r="K161" s="56"/>
      <c r="L161" s="4" t="s">
        <v>32</v>
      </c>
      <c r="M161" s="17">
        <f>N161/100</f>
        <v>7091.4936147917424</v>
      </c>
      <c r="N161" s="52">
        <v>709149.36147917423</v>
      </c>
      <c r="O161" s="22">
        <f>M161/Supporting!$A$15</f>
        <v>84.42254303323503</v>
      </c>
      <c r="P161" s="56"/>
      <c r="Q161" s="4" t="s">
        <v>11</v>
      </c>
      <c r="R161" s="21">
        <v>266635.18</v>
      </c>
      <c r="S161" s="15">
        <f>R161*Supporting!$A$2</f>
        <v>1994569.7966936</v>
      </c>
      <c r="T161" s="15">
        <f>S161/Supporting!$A$15</f>
        <v>23744.878532066668</v>
      </c>
      <c r="U161" s="15">
        <f>T161/365</f>
        <v>65.0544617316895</v>
      </c>
      <c r="V161" s="56"/>
      <c r="W161" s="54">
        <f>C162/N161</f>
        <v>1.1657303875669882</v>
      </c>
      <c r="X161" s="45"/>
      <c r="Y161" s="17">
        <f>Z161/100</f>
        <v>8645.2246999999988</v>
      </c>
      <c r="Z161" s="46">
        <v>864522.47</v>
      </c>
      <c r="AA161" s="17">
        <f>Y161/Supporting!$A$15</f>
        <v>102.91934166666665</v>
      </c>
    </row>
    <row r="162" spans="1:27" s="4" customFormat="1" x14ac:dyDescent="0.35">
      <c r="A162" s="10" t="s">
        <v>140</v>
      </c>
      <c r="B162" s="4" t="s">
        <v>15</v>
      </c>
      <c r="C162" s="19">
        <v>826676.96</v>
      </c>
      <c r="D162" s="17">
        <f>ABS(C162/100/W$211)</f>
        <v>7098.2264597855428</v>
      </c>
      <c r="E162" s="17">
        <f>D162/Supporting!$A$15</f>
        <v>84.502695949827896</v>
      </c>
      <c r="F162" s="60"/>
      <c r="G162" s="56"/>
      <c r="I162" s="15"/>
      <c r="J162" s="17"/>
      <c r="K162" s="56"/>
      <c r="M162" s="15"/>
      <c r="N162" s="15"/>
      <c r="O162" s="17"/>
      <c r="P162" s="56"/>
      <c r="Q162" s="4" t="s">
        <v>12</v>
      </c>
      <c r="R162" s="21">
        <v>195497.98</v>
      </c>
      <c r="S162" s="15">
        <f>R162*Supporting!$A$2</f>
        <v>1462426.5493496002</v>
      </c>
      <c r="T162" s="15">
        <f>S162/Supporting!$A$15</f>
        <v>17409.839873209527</v>
      </c>
      <c r="U162" s="22">
        <f>T162/365</f>
        <v>47.698191433450759</v>
      </c>
      <c r="V162" s="56"/>
      <c r="W162" s="32"/>
      <c r="X162"/>
      <c r="Y162"/>
      <c r="Z162"/>
      <c r="AA162"/>
    </row>
    <row r="163" spans="1:27" s="4" customFormat="1" x14ac:dyDescent="0.35">
      <c r="A163" s="10"/>
      <c r="B163" s="4" t="s">
        <v>16</v>
      </c>
      <c r="C163" s="19">
        <v>-4452.1000000000004</v>
      </c>
      <c r="D163" s="17">
        <f>ABS(C163/100/W$211)</f>
        <v>38.227766770724102</v>
      </c>
      <c r="E163" s="17">
        <f>D163/Supporting!$A$15</f>
        <v>0.45509246155623934</v>
      </c>
      <c r="F163" s="11">
        <f>ABS(C163/C166)</f>
        <v>5.3539995318121576E-3</v>
      </c>
      <c r="G163" s="56"/>
      <c r="I163" s="15"/>
      <c r="J163" s="17"/>
      <c r="K163" s="56"/>
      <c r="M163" s="15"/>
      <c r="N163" s="15"/>
      <c r="O163" s="17"/>
      <c r="P163" s="56"/>
      <c r="Q163" s="4" t="s">
        <v>13</v>
      </c>
      <c r="R163" s="21">
        <f>R161-R162</f>
        <v>71137.199999999983</v>
      </c>
      <c r="S163" s="15">
        <f>R163*Supporting!$A$2</f>
        <v>532143.24734399992</v>
      </c>
      <c r="T163" s="15">
        <f>S163/Supporting!$A$15</f>
        <v>6335.0386588571419</v>
      </c>
      <c r="U163" s="15">
        <f>T163/365</f>
        <v>17.356270298238744</v>
      </c>
      <c r="V163" s="56"/>
      <c r="W163" s="32"/>
      <c r="X163"/>
      <c r="Y163" s="4" t="s">
        <v>84</v>
      </c>
      <c r="Z163" s="33">
        <f>(N152-Z161)/N152</f>
        <v>0.2427288640980306</v>
      </c>
      <c r="AA163"/>
    </row>
    <row r="164" spans="1:27" s="4" customFormat="1" x14ac:dyDescent="0.35">
      <c r="A164" s="10"/>
      <c r="B164" s="4" t="s">
        <v>17</v>
      </c>
      <c r="C164" s="19">
        <v>137785.76</v>
      </c>
      <c r="D164" s="17">
        <f>ABS(C164/100/W$211)</f>
        <v>1183.0915517636545</v>
      </c>
      <c r="E164" s="17">
        <f>D164/Supporting!$A$15</f>
        <v>14.084423235281601</v>
      </c>
      <c r="F164" s="11">
        <f>ABS(C164/C166)</f>
        <v>0.16569818614370349</v>
      </c>
      <c r="G164" s="56"/>
      <c r="I164" s="15"/>
      <c r="J164" s="17"/>
      <c r="K164" s="56"/>
      <c r="M164" s="15"/>
      <c r="N164" s="15"/>
      <c r="O164" s="17"/>
      <c r="P164" s="56"/>
      <c r="R164" s="15"/>
      <c r="S164" s="15"/>
      <c r="T164" s="15"/>
      <c r="U164" s="15"/>
      <c r="V164" s="56"/>
      <c r="W164" s="32"/>
      <c r="X164"/>
      <c r="Y164"/>
      <c r="Z164"/>
      <c r="AA164"/>
    </row>
    <row r="165" spans="1:27" s="4" customFormat="1" x14ac:dyDescent="0.35">
      <c r="A165" s="10"/>
      <c r="B165" s="4" t="s">
        <v>54</v>
      </c>
      <c r="C165" s="19">
        <v>4869.62</v>
      </c>
      <c r="D165" s="17">
        <f>ABS(C165/100/W$211)</f>
        <v>41.812784443757664</v>
      </c>
      <c r="E165" s="17">
        <f>D165/Supporting!$A$15</f>
        <v>0.49777124337806744</v>
      </c>
      <c r="F165" s="60"/>
      <c r="G165" s="56"/>
      <c r="I165" s="15"/>
      <c r="J165" s="17"/>
      <c r="K165" s="56"/>
      <c r="M165" s="15"/>
      <c r="N165" s="15"/>
      <c r="O165" s="17"/>
      <c r="P165" s="56"/>
      <c r="R165" s="15"/>
      <c r="S165" s="15"/>
      <c r="T165" s="15"/>
      <c r="U165" s="15"/>
      <c r="V165" s="56"/>
      <c r="W165" s="32"/>
      <c r="X165"/>
      <c r="Y165"/>
      <c r="Z165"/>
      <c r="AA165"/>
    </row>
    <row r="166" spans="1:27" s="4" customFormat="1" x14ac:dyDescent="0.35">
      <c r="A166" s="10"/>
      <c r="B166" s="4" t="s">
        <v>29</v>
      </c>
      <c r="C166" s="17">
        <f>C162+C165</f>
        <v>831546.58</v>
      </c>
      <c r="D166" s="17">
        <f t="shared" ref="D166:E166" si="51">D162+D165</f>
        <v>7140.0392442293005</v>
      </c>
      <c r="E166" s="17">
        <f t="shared" si="51"/>
        <v>85.000467193205964</v>
      </c>
      <c r="F166" s="60"/>
      <c r="G166" s="56"/>
      <c r="I166" s="15"/>
      <c r="J166" s="17"/>
      <c r="K166" s="56"/>
      <c r="M166" s="15"/>
      <c r="N166" s="15"/>
      <c r="O166" s="17"/>
      <c r="P166" s="56"/>
      <c r="R166" s="15"/>
      <c r="S166" s="15"/>
      <c r="T166" s="15"/>
      <c r="U166" s="15"/>
      <c r="V166" s="56"/>
      <c r="W166" s="32"/>
      <c r="X166"/>
      <c r="Y166"/>
      <c r="Z166"/>
      <c r="AA166"/>
    </row>
    <row r="167" spans="1:27" s="4" customFormat="1" x14ac:dyDescent="0.35">
      <c r="A167" s="10"/>
      <c r="B167" s="6" t="s">
        <v>21</v>
      </c>
      <c r="C167" s="17">
        <f>C161-C163+C164</f>
        <v>848245.7</v>
      </c>
      <c r="D167" s="17">
        <f t="shared" ref="D167:E167" si="52">D161-D163+D164</f>
        <v>7206.9699923608459</v>
      </c>
      <c r="E167" s="17">
        <f t="shared" si="52"/>
        <v>85.797261813819603</v>
      </c>
      <c r="F167" s="11">
        <f>SUM(F161:F164)</f>
        <v>1.0200820019006032</v>
      </c>
      <c r="G167" s="57"/>
      <c r="I167" s="15"/>
      <c r="J167" s="17"/>
      <c r="K167" s="57"/>
      <c r="M167" s="15"/>
      <c r="N167" s="15"/>
      <c r="O167" s="17"/>
      <c r="P167" s="57"/>
      <c r="R167" s="15"/>
      <c r="S167" s="15"/>
      <c r="T167" s="15"/>
      <c r="U167" s="15"/>
      <c r="V167" s="57"/>
      <c r="W167" s="32"/>
      <c r="X167"/>
      <c r="Y167"/>
      <c r="Z167" s="27"/>
      <c r="AA167"/>
    </row>
    <row r="168" spans="1:27" s="4" customFormat="1" x14ac:dyDescent="0.35">
      <c r="A168" s="10"/>
      <c r="B168" s="6" t="s">
        <v>30</v>
      </c>
      <c r="C168" s="15">
        <f>C166-C167</f>
        <v>-16699.119999999995</v>
      </c>
      <c r="D168" s="15">
        <f t="shared" ref="D168:E168" si="53">D166-D167</f>
        <v>-66.930748131545442</v>
      </c>
      <c r="E168" s="15">
        <f t="shared" si="53"/>
        <v>-0.79679462061363893</v>
      </c>
      <c r="F168" s="11">
        <f>ABS(C168/C166)</f>
        <v>2.0082001900603087E-2</v>
      </c>
      <c r="G168" s="57"/>
      <c r="I168" s="15"/>
      <c r="J168" s="17"/>
      <c r="K168" s="57"/>
      <c r="M168" s="15"/>
      <c r="N168" s="15"/>
      <c r="O168" s="17"/>
      <c r="P168" s="57"/>
      <c r="R168" s="15"/>
      <c r="S168" s="15"/>
      <c r="T168" s="15"/>
      <c r="U168" s="15"/>
      <c r="V168" s="57"/>
      <c r="W168" s="32"/>
      <c r="X168"/>
      <c r="Y168"/>
      <c r="Z168"/>
      <c r="AA168"/>
    </row>
    <row r="169" spans="1:27" s="4" customFormat="1" x14ac:dyDescent="0.35">
      <c r="A169" s="14"/>
      <c r="B169" s="13"/>
      <c r="C169" s="18"/>
      <c r="D169" s="18"/>
      <c r="E169" s="18"/>
      <c r="F169" s="60"/>
      <c r="G169" s="58"/>
      <c r="H169" s="13"/>
      <c r="I169" s="18"/>
      <c r="J169" s="18"/>
      <c r="K169" s="58"/>
      <c r="L169" s="13"/>
      <c r="M169" s="18"/>
      <c r="N169" s="18"/>
      <c r="O169" s="18"/>
      <c r="P169" s="58"/>
      <c r="Q169" s="13"/>
      <c r="R169" s="18"/>
      <c r="S169" s="18"/>
      <c r="T169" s="18"/>
      <c r="U169" s="18"/>
      <c r="V169" s="58"/>
      <c r="W169" s="32"/>
      <c r="X169"/>
      <c r="Y169"/>
      <c r="Z169"/>
      <c r="AA169"/>
    </row>
    <row r="170" spans="1:27" s="4" customFormat="1" x14ac:dyDescent="0.35">
      <c r="A170" s="10">
        <f>A145+1</f>
        <v>7</v>
      </c>
      <c r="B170" s="4" t="s">
        <v>14</v>
      </c>
      <c r="C170" s="17">
        <f>C152-C161</f>
        <v>48.510000000009313</v>
      </c>
      <c r="D170"/>
      <c r="E170"/>
      <c r="F170" s="61">
        <f>-C170/C152</f>
        <v>-6.8705564364670489E-5</v>
      </c>
      <c r="G170" s="56"/>
      <c r="H170" s="4" t="s">
        <v>33</v>
      </c>
      <c r="I170" s="15">
        <f>I152-I161</f>
        <v>3888.91</v>
      </c>
      <c r="J170" s="17">
        <f>I170/Supporting!$A$15</f>
        <v>46.296547619047615</v>
      </c>
      <c r="K170" s="56"/>
      <c r="L170" s="4" t="s">
        <v>32</v>
      </c>
      <c r="M170" s="15">
        <f>M152-M161</f>
        <v>4324.7934852082572</v>
      </c>
      <c r="N170" s="15"/>
      <c r="O170" s="22">
        <f>M170/Supporting!$A$15</f>
        <v>51.485636728669725</v>
      </c>
      <c r="P170" s="56"/>
      <c r="Q170" s="4" t="s">
        <v>11</v>
      </c>
      <c r="R170" s="17">
        <f>R152-R161</f>
        <v>0</v>
      </c>
      <c r="S170" s="15">
        <f>R170*Supporting!$A$2</f>
        <v>0</v>
      </c>
      <c r="T170" s="15">
        <f>S170/Supporting!$A$15</f>
        <v>0</v>
      </c>
      <c r="U170" s="15">
        <f>T170/365</f>
        <v>0</v>
      </c>
      <c r="V170" s="56"/>
      <c r="W170" s="32"/>
      <c r="X170"/>
      <c r="Y170"/>
      <c r="Z170"/>
      <c r="AA170"/>
    </row>
    <row r="171" spans="1:27" s="4" customFormat="1" x14ac:dyDescent="0.35">
      <c r="A171" s="10" t="s">
        <v>141</v>
      </c>
      <c r="B171" s="4" t="s">
        <v>15</v>
      </c>
      <c r="C171" s="17">
        <f>C153-C162</f>
        <v>86626</v>
      </c>
      <c r="D171"/>
      <c r="E171"/>
      <c r="F171" s="61">
        <f t="shared" ref="F171:F174" si="54">-C171/C153</f>
        <v>-9.4849139654600484E-2</v>
      </c>
      <c r="G171" s="56"/>
      <c r="I171" s="15"/>
      <c r="J171" s="17"/>
      <c r="K171" s="56"/>
      <c r="M171" s="15"/>
      <c r="N171" s="15"/>
      <c r="O171" s="15"/>
      <c r="P171" s="56"/>
      <c r="Q171" s="4" t="s">
        <v>12</v>
      </c>
      <c r="R171" s="17">
        <f>R153-R162</f>
        <v>-8751.1200000000244</v>
      </c>
      <c r="S171" s="15">
        <f>R171*Supporting!$A$2</f>
        <v>-65462.928182400188</v>
      </c>
      <c r="T171" s="15">
        <f>S171/Supporting!$A$15</f>
        <v>-779.32057360000226</v>
      </c>
      <c r="U171" s="15">
        <f>T171/365</f>
        <v>-2.1351248591780885</v>
      </c>
      <c r="V171" s="56"/>
      <c r="W171" s="32"/>
      <c r="X171"/>
      <c r="Y171"/>
      <c r="Z171"/>
      <c r="AA171"/>
    </row>
    <row r="172" spans="1:27" s="4" customFormat="1" x14ac:dyDescent="0.35">
      <c r="A172" s="10"/>
      <c r="B172" s="4" t="s">
        <v>16</v>
      </c>
      <c r="C172" s="17">
        <f>C154-C163</f>
        <v>120</v>
      </c>
      <c r="D172"/>
      <c r="E172"/>
      <c r="F172" s="61">
        <f t="shared" si="54"/>
        <v>2.7700191592991849E-2</v>
      </c>
      <c r="G172" s="56"/>
      <c r="H172" s="4" t="s">
        <v>84</v>
      </c>
      <c r="I172" s="33">
        <f>I170/I152</f>
        <v>0.72148188276065506</v>
      </c>
      <c r="J172" s="15"/>
      <c r="K172" s="56"/>
      <c r="L172" s="4" t="s">
        <v>84</v>
      </c>
      <c r="M172" s="53">
        <f>M170/M152</f>
        <v>0.37882662264233502</v>
      </c>
      <c r="N172" s="15"/>
      <c r="O172" s="15"/>
      <c r="P172" s="56"/>
      <c r="Q172" s="4" t="s">
        <v>13</v>
      </c>
      <c r="R172" s="17">
        <f>R154-R163</f>
        <v>8751.1200000000244</v>
      </c>
      <c r="S172" s="15">
        <f>R172*Supporting!$A$2</f>
        <v>65462.928182400188</v>
      </c>
      <c r="T172" s="15">
        <f>S172/Supporting!$A$15</f>
        <v>779.32057360000226</v>
      </c>
      <c r="U172" s="15">
        <f>T172/365</f>
        <v>2.1351248591780885</v>
      </c>
      <c r="V172" s="56"/>
      <c r="W172" s="32"/>
      <c r="X172"/>
      <c r="Y172"/>
      <c r="Z172"/>
      <c r="AA172"/>
    </row>
    <row r="173" spans="1:27" s="4" customFormat="1" x14ac:dyDescent="0.35">
      <c r="A173" s="10"/>
      <c r="B173" s="4" t="s">
        <v>17</v>
      </c>
      <c r="C173" s="17">
        <f>C155-C164</f>
        <v>81954.239999999991</v>
      </c>
      <c r="D173"/>
      <c r="E173"/>
      <c r="F173" s="61">
        <f t="shared" si="54"/>
        <v>-0.37296004368799485</v>
      </c>
      <c r="G173" s="56"/>
      <c r="I173" s="15"/>
      <c r="J173" s="15"/>
      <c r="K173" s="56"/>
      <c r="M173" s="15"/>
      <c r="N173" s="15"/>
      <c r="O173" s="15"/>
      <c r="P173" s="56"/>
      <c r="R173" s="15"/>
      <c r="S173" s="15"/>
      <c r="T173" s="15"/>
      <c r="U173" s="15"/>
      <c r="V173" s="56"/>
      <c r="W173" s="32"/>
      <c r="X173"/>
      <c r="Y173"/>
      <c r="Z173"/>
      <c r="AA173"/>
    </row>
    <row r="174" spans="1:27" s="4" customFormat="1" x14ac:dyDescent="0.35">
      <c r="A174" s="10"/>
      <c r="B174" s="4" t="s">
        <v>54</v>
      </c>
      <c r="C174" s="17">
        <f>C156-C165</f>
        <v>12614.45</v>
      </c>
      <c r="D174"/>
      <c r="E174"/>
      <c r="F174" s="61">
        <f t="shared" si="54"/>
        <v>-0.72148246947078121</v>
      </c>
      <c r="G174" s="56"/>
      <c r="I174" s="15"/>
      <c r="J174" s="15"/>
      <c r="K174" s="56"/>
      <c r="M174" s="15"/>
      <c r="N174" s="15"/>
      <c r="O174" s="15"/>
      <c r="P174" s="56"/>
      <c r="Q174" s="4" t="s">
        <v>84</v>
      </c>
      <c r="R174" s="33">
        <f>R171/R153</f>
        <v>-4.6860868236285338E-2</v>
      </c>
      <c r="S174" s="15"/>
      <c r="T174" s="15"/>
      <c r="U174" s="15"/>
      <c r="V174" s="56"/>
      <c r="W174" s="32"/>
      <c r="X174"/>
      <c r="Y174"/>
      <c r="Z174"/>
      <c r="AA174"/>
    </row>
    <row r="175" spans="1:27" x14ac:dyDescent="0.35">
      <c r="G175" s="59"/>
      <c r="K175" s="59"/>
      <c r="P175" s="59"/>
      <c r="V175" s="59"/>
    </row>
    <row r="176" spans="1:27" x14ac:dyDescent="0.35">
      <c r="G176" s="59"/>
      <c r="K176" s="59"/>
      <c r="P176" s="59"/>
      <c r="V176" s="59"/>
    </row>
    <row r="177" spans="1:27" s="4" customFormat="1" x14ac:dyDescent="0.35">
      <c r="A177" s="10">
        <f>A152+1</f>
        <v>8</v>
      </c>
      <c r="B177" s="4" t="s">
        <v>14</v>
      </c>
      <c r="C177" s="16">
        <v>686349.87</v>
      </c>
      <c r="D177" s="17">
        <f>ABS(C177/100/W$202)</f>
        <v>8579.3734330408934</v>
      </c>
      <c r="E177" s="17">
        <f>D177/Supporting!$A$15</f>
        <v>102.13539801239159</v>
      </c>
      <c r="F177" s="11">
        <f>ABS(C177/C182)</f>
        <v>0.76308862623163765</v>
      </c>
      <c r="G177" s="56"/>
      <c r="H177" s="4" t="s">
        <v>33</v>
      </c>
      <c r="I177" s="16">
        <v>5373.82</v>
      </c>
      <c r="J177" s="17">
        <f>I177/Supporting!$A$15</f>
        <v>63.974047619047617</v>
      </c>
      <c r="K177" s="56"/>
      <c r="L177" s="4" t="s">
        <v>32</v>
      </c>
      <c r="M177" s="17">
        <f>N177/100</f>
        <v>11025.0699</v>
      </c>
      <c r="N177" s="16">
        <v>1102506.99</v>
      </c>
      <c r="O177" s="22">
        <f>M177/Supporting!$A$15</f>
        <v>131.25083214285715</v>
      </c>
      <c r="P177" s="56"/>
      <c r="Q177" s="4" t="s">
        <v>11</v>
      </c>
      <c r="R177" s="16">
        <v>266635.18</v>
      </c>
      <c r="S177" s="15">
        <f>R177*Supporting!$A$2</f>
        <v>1994569.7966936</v>
      </c>
      <c r="T177" s="15">
        <f>S177/Supporting!$A$15</f>
        <v>23744.878532066668</v>
      </c>
      <c r="U177" s="15">
        <f>T177/365</f>
        <v>65.0544617316895</v>
      </c>
      <c r="V177" s="56"/>
      <c r="W177" s="34">
        <f>C178/N177</f>
        <v>0.79999999818595258</v>
      </c>
      <c r="Y177"/>
      <c r="Z177"/>
      <c r="AA177"/>
    </row>
    <row r="178" spans="1:27" s="4" customFormat="1" x14ac:dyDescent="0.35">
      <c r="A178" s="10" t="s">
        <v>139</v>
      </c>
      <c r="B178" s="4" t="s">
        <v>15</v>
      </c>
      <c r="C178" s="16">
        <v>882005.59</v>
      </c>
      <c r="D178" s="17">
        <f>ABS(C178/100/W$202)</f>
        <v>11025.069949586437</v>
      </c>
      <c r="E178" s="17">
        <f>D178/Supporting!$A$15</f>
        <v>131.25083273317188</v>
      </c>
      <c r="F178" s="60"/>
      <c r="G178" s="56"/>
      <c r="I178" s="15"/>
      <c r="J178" s="17"/>
      <c r="K178" s="56"/>
      <c r="M178" s="15"/>
      <c r="O178" s="15"/>
      <c r="P178" s="56"/>
      <c r="Q178" s="4" t="s">
        <v>12</v>
      </c>
      <c r="R178" s="16">
        <v>184312.87</v>
      </c>
      <c r="S178" s="15">
        <f>R178*Supporting!$A$2</f>
        <v>1378756.1102924</v>
      </c>
      <c r="T178" s="15">
        <f>S178/Supporting!$A$15</f>
        <v>16413.763217766667</v>
      </c>
      <c r="U178" s="22">
        <f>T178/365</f>
        <v>44.969214295251142</v>
      </c>
      <c r="V178" s="56"/>
      <c r="W178" s="32"/>
    </row>
    <row r="179" spans="1:27" s="4" customFormat="1" x14ac:dyDescent="0.35">
      <c r="A179" s="10"/>
      <c r="B179" s="4" t="s">
        <v>16</v>
      </c>
      <c r="C179" s="16">
        <v>-4215.3999999999996</v>
      </c>
      <c r="D179" s="17">
        <f>ABS(C179/100/W$202)</f>
        <v>52.692500356473552</v>
      </c>
      <c r="E179" s="17">
        <f>D179/Supporting!$A$15</f>
        <v>0.62729167091039939</v>
      </c>
      <c r="F179" s="11">
        <f>ABS(C179/C182)</f>
        <v>4.6867114508477217E-3</v>
      </c>
      <c r="G179" s="56"/>
      <c r="I179" s="15"/>
      <c r="J179" s="17"/>
      <c r="K179" s="56"/>
      <c r="M179" s="15"/>
      <c r="N179" s="15"/>
      <c r="O179" s="15"/>
      <c r="P179" s="56"/>
      <c r="Q179" s="4" t="s">
        <v>13</v>
      </c>
      <c r="R179" s="16">
        <f>R177-R178</f>
        <v>82322.31</v>
      </c>
      <c r="S179" s="15">
        <f>R179*Supporting!$A$2</f>
        <v>615813.68640120002</v>
      </c>
      <c r="T179" s="15">
        <f>S179/Supporting!$A$15</f>
        <v>7331.1153143000001</v>
      </c>
      <c r="U179" s="15">
        <f>T179/365</f>
        <v>20.085247436438358</v>
      </c>
      <c r="V179" s="56"/>
      <c r="W179" s="32"/>
    </row>
    <row r="180" spans="1:27" s="4" customFormat="1" x14ac:dyDescent="0.35">
      <c r="A180" s="10"/>
      <c r="B180" s="4" t="s">
        <v>17</v>
      </c>
      <c r="C180" s="16">
        <v>207764.85</v>
      </c>
      <c r="D180" s="17">
        <f>ABS(C180/100/W$202)</f>
        <v>2597.0606425695487</v>
      </c>
      <c r="E180" s="17">
        <f>D180/Supporting!$A$15</f>
        <v>30.917388602018438</v>
      </c>
      <c r="F180" s="11">
        <f>ABS(C180/C182)</f>
        <v>0.23099442557732583</v>
      </c>
      <c r="G180" s="56"/>
      <c r="I180" s="15"/>
      <c r="J180" s="17"/>
      <c r="K180" s="56"/>
      <c r="M180" s="15"/>
      <c r="N180" s="15"/>
      <c r="O180" s="15"/>
      <c r="P180" s="56"/>
      <c r="R180" s="15"/>
      <c r="S180" s="15"/>
      <c r="T180" s="15"/>
      <c r="U180" s="15"/>
      <c r="V180" s="56"/>
      <c r="W180" s="32"/>
    </row>
    <row r="181" spans="1:27" s="4" customFormat="1" x14ac:dyDescent="0.35">
      <c r="A181" s="10"/>
      <c r="B181" s="4" t="s">
        <v>54</v>
      </c>
      <c r="C181" s="16">
        <v>17431.05</v>
      </c>
      <c r="D181" s="17">
        <f>ABS(C181/100/W$202)</f>
        <v>217.88812647404953</v>
      </c>
      <c r="E181" s="17">
        <f>D181/Supporting!$A$15</f>
        <v>2.5939062675482085</v>
      </c>
      <c r="F181" s="60"/>
      <c r="G181" s="56"/>
      <c r="H181" s="39"/>
      <c r="I181" s="15"/>
      <c r="J181" s="17"/>
      <c r="K181" s="56"/>
      <c r="M181" s="15"/>
      <c r="N181" s="15"/>
      <c r="O181" s="15"/>
      <c r="P181" s="56"/>
      <c r="R181" s="15"/>
      <c r="S181" s="15"/>
      <c r="T181" s="15"/>
      <c r="U181" s="15"/>
      <c r="V181" s="56"/>
      <c r="W181" s="32"/>
    </row>
    <row r="182" spans="1:27" s="4" customFormat="1" x14ac:dyDescent="0.35">
      <c r="A182" s="10"/>
      <c r="B182" s="4" t="s">
        <v>29</v>
      </c>
      <c r="C182" s="17">
        <f>C178+C181</f>
        <v>899436.64</v>
      </c>
      <c r="D182" s="17">
        <f t="shared" ref="D182:E182" si="55">D178+D181</f>
        <v>11242.958076060488</v>
      </c>
      <c r="E182" s="17">
        <f t="shared" si="55"/>
        <v>133.8447390007201</v>
      </c>
      <c r="F182" s="60"/>
      <c r="G182" s="56"/>
      <c r="I182" s="15"/>
      <c r="J182" s="17"/>
      <c r="K182" s="56"/>
      <c r="M182" s="15"/>
      <c r="N182" s="15"/>
      <c r="O182" s="15"/>
      <c r="P182" s="56"/>
      <c r="R182" s="15"/>
      <c r="S182" s="15"/>
      <c r="T182" s="15"/>
      <c r="U182" s="15"/>
      <c r="V182" s="56"/>
      <c r="W182" s="32"/>
    </row>
    <row r="183" spans="1:27" s="4" customFormat="1" x14ac:dyDescent="0.35">
      <c r="A183" s="10"/>
      <c r="B183" s="6" t="s">
        <v>21</v>
      </c>
      <c r="C183" s="17">
        <f>C177-C179+C180</f>
        <v>898330.12</v>
      </c>
      <c r="D183" s="17">
        <f t="shared" ref="D183:E183" si="56">D177-D179+D180</f>
        <v>11123.741575253967</v>
      </c>
      <c r="E183" s="17">
        <f t="shared" si="56"/>
        <v>132.42549494349964</v>
      </c>
      <c r="F183" s="11">
        <f>SUM(F177:F180)</f>
        <v>0.99876976325981126</v>
      </c>
      <c r="G183" s="57"/>
      <c r="I183" s="15"/>
      <c r="J183" s="17"/>
      <c r="K183" s="57"/>
      <c r="M183" s="15"/>
      <c r="N183" s="15"/>
      <c r="O183" s="15"/>
      <c r="P183" s="57"/>
      <c r="R183" s="15"/>
      <c r="S183" s="15"/>
      <c r="T183" s="15"/>
      <c r="U183" s="15"/>
      <c r="V183" s="57"/>
      <c r="W183" s="32"/>
      <c r="X183"/>
      <c r="Y183"/>
      <c r="Z183"/>
      <c r="AA183"/>
    </row>
    <row r="184" spans="1:27" s="4" customFormat="1" x14ac:dyDescent="0.35">
      <c r="A184" s="10"/>
      <c r="B184" s="6" t="s">
        <v>30</v>
      </c>
      <c r="C184" s="15">
        <f>C182-C183</f>
        <v>1106.5200000000186</v>
      </c>
      <c r="D184" s="15">
        <f t="shared" ref="D184:E184" si="57">D182-D183</f>
        <v>119.21650080652034</v>
      </c>
      <c r="E184" s="15">
        <f t="shared" si="57"/>
        <v>1.4192440572204532</v>
      </c>
      <c r="F184" s="11">
        <f>ABS(C184/C182)</f>
        <v>1.230236740188857E-3</v>
      </c>
      <c r="G184" s="57"/>
      <c r="I184" s="15"/>
      <c r="J184" s="17"/>
      <c r="K184" s="57"/>
      <c r="M184" s="15"/>
      <c r="N184" s="15"/>
      <c r="O184" s="15"/>
      <c r="P184" s="57"/>
      <c r="R184" s="15"/>
      <c r="S184" s="15"/>
      <c r="T184" s="15"/>
      <c r="U184" s="15"/>
      <c r="V184" s="57"/>
      <c r="W184" s="32"/>
      <c r="X184"/>
      <c r="Y184"/>
      <c r="Z184"/>
      <c r="AA184"/>
    </row>
    <row r="185" spans="1:27" s="4" customFormat="1" x14ac:dyDescent="0.35">
      <c r="A185" s="14"/>
      <c r="B185" s="13"/>
      <c r="C185" s="18"/>
      <c r="D185" s="18"/>
      <c r="E185" s="18"/>
      <c r="F185" s="60"/>
      <c r="G185" s="56"/>
      <c r="H185" s="13"/>
      <c r="I185" s="18"/>
      <c r="J185" s="18"/>
      <c r="K185" s="56"/>
      <c r="L185" s="13"/>
      <c r="M185" s="18"/>
      <c r="N185" s="18"/>
      <c r="O185" s="18"/>
      <c r="P185" s="56"/>
      <c r="Q185" s="13"/>
      <c r="R185" s="18"/>
      <c r="S185" s="18"/>
      <c r="T185" s="18"/>
      <c r="U185" s="18"/>
      <c r="V185" s="56"/>
      <c r="W185" s="32"/>
      <c r="X185"/>
      <c r="Y185"/>
      <c r="Z185"/>
      <c r="AA185"/>
    </row>
    <row r="186" spans="1:27" s="4" customFormat="1" x14ac:dyDescent="0.35">
      <c r="A186" s="10">
        <f>A161+1</f>
        <v>8</v>
      </c>
      <c r="B186" s="4" t="s">
        <v>14</v>
      </c>
      <c r="C186" s="19">
        <v>686303.5</v>
      </c>
      <c r="D186" s="17">
        <f>ABS(C186/100/W$211)</f>
        <v>5892.9157323356721</v>
      </c>
      <c r="E186" s="17">
        <f>D186/Supporting!$A$15</f>
        <v>70.153758718281807</v>
      </c>
      <c r="F186" s="11">
        <f>ABS(C186/C191)</f>
        <v>0.86544684218809276</v>
      </c>
      <c r="G186" s="56"/>
      <c r="H186" s="4" t="s">
        <v>33</v>
      </c>
      <c r="I186" s="21">
        <v>1464.6</v>
      </c>
      <c r="J186" s="17">
        <f>I186/Supporting!$A$15</f>
        <v>17.435714285714283</v>
      </c>
      <c r="K186" s="56"/>
      <c r="L186" s="4" t="s">
        <v>32</v>
      </c>
      <c r="M186" s="17">
        <f>N186/100</f>
        <v>6739.4618075977787</v>
      </c>
      <c r="N186" s="71">
        <v>673946.1807597779</v>
      </c>
      <c r="O186" s="22">
        <f>M186/Supporting!$A$15</f>
        <v>80.231688185687844</v>
      </c>
      <c r="P186" s="56"/>
      <c r="Q186" s="4" t="s">
        <v>11</v>
      </c>
      <c r="R186" s="21">
        <v>266635.18</v>
      </c>
      <c r="S186" s="15">
        <f>R186*Supporting!$A$2</f>
        <v>1994569.7966936</v>
      </c>
      <c r="T186" s="15">
        <f>S186/Supporting!$A$15</f>
        <v>23744.878532066668</v>
      </c>
      <c r="U186" s="15">
        <f>T186/365</f>
        <v>65.0544617316895</v>
      </c>
      <c r="V186" s="56"/>
      <c r="W186" s="54">
        <f>C187/N186</f>
        <v>1.1696098331047091</v>
      </c>
      <c r="X186" s="45"/>
      <c r="Y186" s="17">
        <f>Z186/100</f>
        <v>8231.1998999999996</v>
      </c>
      <c r="Z186" s="46">
        <v>823119.99</v>
      </c>
      <c r="AA186" s="17">
        <f>Y186/Supporting!$A$15</f>
        <v>97.990474999999989</v>
      </c>
    </row>
    <row r="187" spans="1:27" s="4" customFormat="1" x14ac:dyDescent="0.35">
      <c r="A187" s="10" t="s">
        <v>140</v>
      </c>
      <c r="B187" s="4" t="s">
        <v>15</v>
      </c>
      <c r="C187" s="19">
        <v>788254.08</v>
      </c>
      <c r="D187" s="17">
        <f>ABS(C187/100/W$211)</f>
        <v>6768.3100393773047</v>
      </c>
      <c r="E187" s="17">
        <f>D187/Supporting!$A$15</f>
        <v>80.575119516396484</v>
      </c>
      <c r="F187" s="60"/>
      <c r="G187" s="56"/>
      <c r="I187" s="15"/>
      <c r="J187" s="17"/>
      <c r="K187" s="56"/>
      <c r="M187" s="15"/>
      <c r="N187" s="15"/>
      <c r="O187" s="17"/>
      <c r="P187" s="56"/>
      <c r="Q187" s="4" t="s">
        <v>12</v>
      </c>
      <c r="R187" s="21">
        <v>192867.5</v>
      </c>
      <c r="S187" s="15">
        <f>R187*Supporting!$A$2</f>
        <v>1442749.1910999999</v>
      </c>
      <c r="T187" s="15">
        <f>S187/Supporting!$A$15</f>
        <v>17175.585608333331</v>
      </c>
      <c r="U187" s="22">
        <f>T187/365</f>
        <v>47.056398926940631</v>
      </c>
      <c r="V187" s="56"/>
      <c r="W187" s="32"/>
      <c r="X187"/>
      <c r="Y187"/>
      <c r="Z187"/>
      <c r="AA187"/>
    </row>
    <row r="188" spans="1:27" s="4" customFormat="1" x14ac:dyDescent="0.35">
      <c r="A188" s="10"/>
      <c r="B188" s="4" t="s">
        <v>16</v>
      </c>
      <c r="C188" s="19">
        <v>-4324.8</v>
      </c>
      <c r="D188" s="17">
        <f>ABS(C188/100/W$211)</f>
        <v>37.13471074998936</v>
      </c>
      <c r="E188" s="17">
        <f>D188/Supporting!$A$15</f>
        <v>0.44207988988082569</v>
      </c>
      <c r="F188" s="11">
        <f>ABS(C188/C191)</f>
        <v>5.4536870394731544E-3</v>
      </c>
      <c r="G188" s="56"/>
      <c r="I188" s="15"/>
      <c r="J188" s="17"/>
      <c r="K188" s="56"/>
      <c r="M188" s="15"/>
      <c r="N188" s="15"/>
      <c r="O188" s="17"/>
      <c r="P188" s="56"/>
      <c r="Q188" s="4" t="s">
        <v>13</v>
      </c>
      <c r="R188" s="21">
        <f>R186-R187</f>
        <v>73767.679999999993</v>
      </c>
      <c r="S188" s="15">
        <f>R188*Supporting!$A$2</f>
        <v>551820.60559359996</v>
      </c>
      <c r="T188" s="15">
        <f>S188/Supporting!$A$15</f>
        <v>6569.2929237333328</v>
      </c>
      <c r="U188" s="15">
        <f>T188/365</f>
        <v>17.998062804748859</v>
      </c>
      <c r="V188" s="56"/>
      <c r="W188" s="32"/>
      <c r="X188"/>
      <c r="Y188" s="4" t="s">
        <v>84</v>
      </c>
      <c r="Z188" s="33">
        <f>(N177-Z186)/N177</f>
        <v>0.25341063824003512</v>
      </c>
      <c r="AA188"/>
    </row>
    <row r="189" spans="1:27" s="4" customFormat="1" x14ac:dyDescent="0.35">
      <c r="A189" s="10"/>
      <c r="B189" s="4" t="s">
        <v>17</v>
      </c>
      <c r="C189" s="19">
        <v>127412.2</v>
      </c>
      <c r="D189" s="17">
        <f>ABS(C189/100/W$211)</f>
        <v>1094.0194212494898</v>
      </c>
      <c r="E189" s="17">
        <f>D189/Supporting!$A$15</f>
        <v>13.024040729160593</v>
      </c>
      <c r="F189" s="11">
        <f>ABS(C189/C191)</f>
        <v>0.16067014978976168</v>
      </c>
      <c r="G189" s="56"/>
      <c r="I189" s="15"/>
      <c r="J189" s="17"/>
      <c r="K189" s="56"/>
      <c r="M189" s="15"/>
      <c r="N189" s="15"/>
      <c r="O189" s="17"/>
      <c r="P189" s="56"/>
      <c r="R189" s="15"/>
      <c r="S189" s="15"/>
      <c r="T189" s="15"/>
      <c r="U189" s="15"/>
      <c r="V189" s="56"/>
      <c r="W189" s="32"/>
      <c r="X189"/>
      <c r="Y189"/>
      <c r="Z189"/>
      <c r="AA189"/>
    </row>
    <row r="190" spans="1:27" s="4" customFormat="1" x14ac:dyDescent="0.35">
      <c r="A190" s="10"/>
      <c r="B190" s="4" t="s">
        <v>54</v>
      </c>
      <c r="C190" s="19">
        <v>4750.72</v>
      </c>
      <c r="D190" s="17">
        <f>ABS(C190/100/W$211)</f>
        <v>40.791854664768181</v>
      </c>
      <c r="E190" s="17">
        <f>D190/Supporting!$A$15</f>
        <v>0.48561731743771641</v>
      </c>
      <c r="F190" s="60"/>
      <c r="G190" s="56"/>
      <c r="I190" s="15"/>
      <c r="J190" s="17"/>
      <c r="K190" s="56"/>
      <c r="M190" s="15"/>
      <c r="N190" s="15"/>
      <c r="O190" s="17"/>
      <c r="P190" s="56"/>
      <c r="R190" s="15"/>
      <c r="S190" s="15"/>
      <c r="T190" s="15"/>
      <c r="U190" s="15"/>
      <c r="V190" s="56"/>
      <c r="W190" s="32"/>
      <c r="X190"/>
      <c r="Y190"/>
      <c r="Z190"/>
      <c r="AA190"/>
    </row>
    <row r="191" spans="1:27" s="4" customFormat="1" x14ac:dyDescent="0.35">
      <c r="A191" s="10"/>
      <c r="B191" s="4" t="s">
        <v>29</v>
      </c>
      <c r="C191" s="17">
        <f>C187+C190</f>
        <v>793004.79999999993</v>
      </c>
      <c r="D191" s="17">
        <f t="shared" ref="D191:E191" si="58">D187+D190</f>
        <v>6809.1018940420727</v>
      </c>
      <c r="E191" s="17">
        <f t="shared" si="58"/>
        <v>81.060736833834198</v>
      </c>
      <c r="F191" s="60"/>
      <c r="G191" s="56"/>
      <c r="I191" s="15"/>
      <c r="J191" s="17"/>
      <c r="K191" s="56"/>
      <c r="M191" s="15"/>
      <c r="N191" s="15"/>
      <c r="O191" s="17"/>
      <c r="P191" s="56"/>
      <c r="R191" s="15"/>
      <c r="S191" s="15"/>
      <c r="T191" s="15"/>
      <c r="U191" s="15"/>
      <c r="V191" s="56"/>
      <c r="W191" s="32"/>
      <c r="X191"/>
      <c r="Y191"/>
      <c r="Z191"/>
      <c r="AA191"/>
    </row>
    <row r="192" spans="1:27" s="4" customFormat="1" x14ac:dyDescent="0.35">
      <c r="A192" s="10"/>
      <c r="B192" s="6" t="s">
        <v>21</v>
      </c>
      <c r="C192" s="17">
        <f>C186-C188+C189</f>
        <v>818040.5</v>
      </c>
      <c r="D192" s="17">
        <f t="shared" ref="D192:E192" si="59">D186-D188+D189</f>
        <v>6949.8004428351724</v>
      </c>
      <c r="E192" s="17">
        <f t="shared" si="59"/>
        <v>82.735719557561566</v>
      </c>
      <c r="F192" s="11">
        <f>SUM(F186:F189)</f>
        <v>1.0315706790173276</v>
      </c>
      <c r="G192" s="57"/>
      <c r="I192" s="15"/>
      <c r="J192" s="17"/>
      <c r="K192" s="57"/>
      <c r="M192" s="15"/>
      <c r="N192" s="15"/>
      <c r="O192" s="17"/>
      <c r="P192" s="57"/>
      <c r="R192" s="15"/>
      <c r="S192" s="15"/>
      <c r="T192" s="15"/>
      <c r="U192" s="15"/>
      <c r="V192" s="57"/>
      <c r="W192" s="32"/>
      <c r="X192"/>
      <c r="Y192"/>
      <c r="Z192" s="27"/>
      <c r="AA192"/>
    </row>
    <row r="193" spans="1:27" s="4" customFormat="1" x14ac:dyDescent="0.35">
      <c r="A193" s="10"/>
      <c r="B193" s="6" t="s">
        <v>30</v>
      </c>
      <c r="C193" s="15">
        <f>C191-C192</f>
        <v>-25035.70000000007</v>
      </c>
      <c r="D193" s="15">
        <f t="shared" ref="D193:E193" si="60">D191-D192</f>
        <v>-140.69854879309969</v>
      </c>
      <c r="E193" s="15">
        <f t="shared" si="60"/>
        <v>-1.6749827237273678</v>
      </c>
      <c r="F193" s="11">
        <f>ABS(C193/C191)</f>
        <v>3.1570679017327602E-2</v>
      </c>
      <c r="G193" s="57"/>
      <c r="I193" s="15"/>
      <c r="J193" s="17"/>
      <c r="K193" s="57"/>
      <c r="M193" s="15"/>
      <c r="N193" s="15"/>
      <c r="O193" s="17"/>
      <c r="P193" s="57"/>
      <c r="R193" s="15"/>
      <c r="S193" s="15"/>
      <c r="T193" s="15"/>
      <c r="U193" s="15"/>
      <c r="V193" s="57"/>
      <c r="W193" s="32"/>
      <c r="X193"/>
      <c r="Y193"/>
      <c r="Z193"/>
      <c r="AA193"/>
    </row>
    <row r="194" spans="1:27" s="4" customFormat="1" x14ac:dyDescent="0.35">
      <c r="A194" s="14"/>
      <c r="B194" s="13"/>
      <c r="C194" s="18"/>
      <c r="D194" s="18"/>
      <c r="E194" s="18"/>
      <c r="F194" s="60"/>
      <c r="G194" s="58"/>
      <c r="H194" s="13"/>
      <c r="I194" s="18"/>
      <c r="J194" s="18"/>
      <c r="K194" s="58"/>
      <c r="L194" s="13"/>
      <c r="M194" s="18"/>
      <c r="N194" s="18"/>
      <c r="O194" s="18"/>
      <c r="P194" s="58"/>
      <c r="Q194" s="13"/>
      <c r="R194" s="18"/>
      <c r="S194" s="18"/>
      <c r="T194" s="18"/>
      <c r="U194" s="18"/>
      <c r="V194" s="58"/>
      <c r="W194" s="32"/>
      <c r="X194"/>
      <c r="Y194"/>
      <c r="Z194"/>
      <c r="AA194"/>
    </row>
    <row r="195" spans="1:27" s="4" customFormat="1" x14ac:dyDescent="0.35">
      <c r="A195" s="10">
        <f>A170+1</f>
        <v>8</v>
      </c>
      <c r="B195" s="4" t="s">
        <v>14</v>
      </c>
      <c r="C195" s="17">
        <f>C177-C186</f>
        <v>46.369999999995343</v>
      </c>
      <c r="D195"/>
      <c r="E195"/>
      <c r="F195" s="61">
        <f>-C195/C177</f>
        <v>-6.7560295451058133E-5</v>
      </c>
      <c r="G195" s="56"/>
      <c r="H195" s="4" t="s">
        <v>33</v>
      </c>
      <c r="I195" s="15">
        <f>I177-I186</f>
        <v>3909.22</v>
      </c>
      <c r="J195" s="17">
        <f>I195/Supporting!$A$15</f>
        <v>46.538333333333334</v>
      </c>
      <c r="K195" s="56"/>
      <c r="L195" s="4" t="s">
        <v>32</v>
      </c>
      <c r="M195" s="15">
        <f>M177-M186</f>
        <v>4285.6080924022217</v>
      </c>
      <c r="N195" s="15"/>
      <c r="O195" s="22">
        <f>M195/Supporting!$A$15</f>
        <v>51.019143957169305</v>
      </c>
      <c r="P195" s="56"/>
      <c r="Q195" s="4" t="s">
        <v>11</v>
      </c>
      <c r="R195" s="17">
        <f>R177-R186</f>
        <v>0</v>
      </c>
      <c r="S195" s="15">
        <f>R195*Supporting!$A$2</f>
        <v>0</v>
      </c>
      <c r="T195" s="15">
        <f>S195/Supporting!$A$15</f>
        <v>0</v>
      </c>
      <c r="U195" s="15">
        <f>T195/365</f>
        <v>0</v>
      </c>
      <c r="V195" s="56"/>
      <c r="W195" s="32"/>
      <c r="X195"/>
      <c r="Y195"/>
      <c r="Z195"/>
      <c r="AA195"/>
    </row>
    <row r="196" spans="1:27" s="4" customFormat="1" x14ac:dyDescent="0.35">
      <c r="A196" s="10" t="s">
        <v>141</v>
      </c>
      <c r="B196" s="4" t="s">
        <v>15</v>
      </c>
      <c r="C196" s="17">
        <f>C178-C187</f>
        <v>93751.510000000009</v>
      </c>
      <c r="D196"/>
      <c r="E196"/>
      <c r="F196" s="61">
        <f t="shared" ref="F196:F199" si="61">-C196/C178</f>
        <v>-0.10629355535036916</v>
      </c>
      <c r="G196" s="56"/>
      <c r="I196" s="15"/>
      <c r="J196" s="17"/>
      <c r="K196" s="56"/>
      <c r="M196" s="15"/>
      <c r="N196" s="15"/>
      <c r="O196" s="15"/>
      <c r="P196" s="56"/>
      <c r="Q196" s="4" t="s">
        <v>12</v>
      </c>
      <c r="R196" s="17">
        <f>R178-R187</f>
        <v>-8554.6300000000047</v>
      </c>
      <c r="S196" s="15">
        <f>R196*Supporting!$A$2</f>
        <v>-63993.080807600039</v>
      </c>
      <c r="T196" s="15">
        <f>S196/Supporting!$A$15</f>
        <v>-761.82239056666708</v>
      </c>
      <c r="U196" s="15">
        <f>T196/365</f>
        <v>-2.0871846316894986</v>
      </c>
      <c r="V196" s="56"/>
      <c r="W196" s="32"/>
      <c r="X196"/>
      <c r="Y196"/>
      <c r="Z196"/>
      <c r="AA196"/>
    </row>
    <row r="197" spans="1:27" s="4" customFormat="1" x14ac:dyDescent="0.35">
      <c r="A197" s="10"/>
      <c r="B197" s="4" t="s">
        <v>16</v>
      </c>
      <c r="C197" s="17">
        <f>C179-C188</f>
        <v>109.40000000000055</v>
      </c>
      <c r="D197"/>
      <c r="E197"/>
      <c r="F197" s="61">
        <f t="shared" si="61"/>
        <v>2.5952460027518279E-2</v>
      </c>
      <c r="G197" s="56"/>
      <c r="H197" s="4" t="s">
        <v>84</v>
      </c>
      <c r="I197" s="33">
        <f>I195/I177</f>
        <v>0.72745644625238659</v>
      </c>
      <c r="J197" s="15"/>
      <c r="K197" s="56"/>
      <c r="L197" s="4" t="s">
        <v>84</v>
      </c>
      <c r="M197" s="53">
        <f>M195/M177</f>
        <v>0.38871482278785568</v>
      </c>
      <c r="N197" s="15"/>
      <c r="O197" s="15"/>
      <c r="P197" s="56"/>
      <c r="Q197" s="4" t="s">
        <v>13</v>
      </c>
      <c r="R197" s="17">
        <f>R179-R188</f>
        <v>8554.6300000000047</v>
      </c>
      <c r="S197" s="15">
        <f>R197*Supporting!$A$2</f>
        <v>63993.080807600039</v>
      </c>
      <c r="T197" s="15">
        <f>S197/Supporting!$A$15</f>
        <v>761.82239056666708</v>
      </c>
      <c r="U197" s="15">
        <f>T197/365</f>
        <v>2.0871846316894986</v>
      </c>
      <c r="V197" s="56"/>
      <c r="W197" s="32"/>
      <c r="X197"/>
      <c r="Y197"/>
      <c r="Z197"/>
      <c r="AA197"/>
    </row>
    <row r="198" spans="1:27" s="4" customFormat="1" x14ac:dyDescent="0.35">
      <c r="A198" s="10"/>
      <c r="B198" s="4" t="s">
        <v>17</v>
      </c>
      <c r="C198" s="17">
        <f>C180-C189</f>
        <v>80352.650000000009</v>
      </c>
      <c r="D198"/>
      <c r="E198"/>
      <c r="F198" s="61">
        <f t="shared" si="61"/>
        <v>-0.38674804713116778</v>
      </c>
      <c r="G198" s="56"/>
      <c r="I198" s="15"/>
      <c r="J198" s="15"/>
      <c r="K198" s="56"/>
      <c r="M198" s="15"/>
      <c r="N198" s="15"/>
      <c r="O198" s="15"/>
      <c r="P198" s="56"/>
      <c r="R198" s="15"/>
      <c r="S198" s="15"/>
      <c r="T198" s="15"/>
      <c r="U198" s="15"/>
      <c r="V198" s="56"/>
      <c r="W198" s="32"/>
      <c r="X198"/>
      <c r="Y198"/>
      <c r="Z198"/>
      <c r="AA198"/>
    </row>
    <row r="199" spans="1:27" s="4" customFormat="1" x14ac:dyDescent="0.35">
      <c r="A199" s="10"/>
      <c r="B199" s="4" t="s">
        <v>54</v>
      </c>
      <c r="C199" s="17">
        <f>C181-C190</f>
        <v>12680.329999999998</v>
      </c>
      <c r="D199"/>
      <c r="E199"/>
      <c r="F199" s="61">
        <f t="shared" si="61"/>
        <v>-0.72745646418316734</v>
      </c>
      <c r="G199" s="56"/>
      <c r="I199" s="15"/>
      <c r="J199" s="15"/>
      <c r="K199" s="56"/>
      <c r="M199" s="15"/>
      <c r="N199" s="15"/>
      <c r="O199" s="15"/>
      <c r="P199" s="56"/>
      <c r="Q199" s="4" t="s">
        <v>84</v>
      </c>
      <c r="R199" s="33">
        <f>R196/R178</f>
        <v>-4.6413633513492598E-2</v>
      </c>
      <c r="S199" s="15"/>
      <c r="T199" s="15"/>
      <c r="U199" s="15"/>
      <c r="V199" s="56"/>
      <c r="W199" s="32"/>
      <c r="X199"/>
      <c r="Y199"/>
      <c r="Z199"/>
      <c r="AA199"/>
    </row>
    <row r="200" spans="1:27" x14ac:dyDescent="0.35">
      <c r="G200" s="59"/>
      <c r="K200" s="59"/>
      <c r="P200" s="59"/>
      <c r="V200" s="59"/>
    </row>
    <row r="201" spans="1:27" x14ac:dyDescent="0.35">
      <c r="G201" s="59"/>
      <c r="K201" s="59"/>
      <c r="P201" s="59"/>
      <c r="V201" s="59"/>
    </row>
    <row r="202" spans="1:27" s="4" customFormat="1" x14ac:dyDescent="0.35">
      <c r="A202" s="10">
        <f>A177+1</f>
        <v>9</v>
      </c>
      <c r="B202" s="4" t="s">
        <v>14</v>
      </c>
      <c r="C202" s="16">
        <v>685052.05</v>
      </c>
      <c r="D202" s="17">
        <f>ABS(C202/100/W$202)</f>
        <v>8563.1506829311438</v>
      </c>
      <c r="E202" s="17">
        <f>D202/Supporting!$A$15</f>
        <v>101.94227003489456</v>
      </c>
      <c r="F202" s="11">
        <f>ABS(C202/C207)</f>
        <v>0.75750644287682634</v>
      </c>
      <c r="G202" s="56"/>
      <c r="H202" s="4" t="s">
        <v>33</v>
      </c>
      <c r="I202" s="16">
        <v>5381.32</v>
      </c>
      <c r="J202" s="17">
        <f>I202/Supporting!$A$15</f>
        <v>64.063333333333333</v>
      </c>
      <c r="K202" s="56"/>
      <c r="L202" s="4" t="s">
        <v>32</v>
      </c>
      <c r="M202" s="17">
        <f>N202/100</f>
        <v>11086.201200000001</v>
      </c>
      <c r="N202" s="16">
        <v>1108620.1200000001</v>
      </c>
      <c r="O202" s="22">
        <f>M202/Supporting!$A$15</f>
        <v>131.97858571428574</v>
      </c>
      <c r="P202" s="56"/>
      <c r="Q202" s="4" t="s">
        <v>11</v>
      </c>
      <c r="R202" s="16">
        <v>266635.18</v>
      </c>
      <c r="S202" s="15">
        <f>R202*Supporting!$A$2</f>
        <v>1994569.7966936</v>
      </c>
      <c r="T202" s="15">
        <f>S202/Supporting!$A$15</f>
        <v>23744.878532066668</v>
      </c>
      <c r="U202" s="15">
        <f>T202/365</f>
        <v>65.0544617316895</v>
      </c>
      <c r="V202" s="56"/>
      <c r="W202" s="34">
        <f>C203/N202</f>
        <v>0.79999999458786653</v>
      </c>
      <c r="Y202"/>
      <c r="Z202"/>
      <c r="AA202"/>
    </row>
    <row r="203" spans="1:27" s="4" customFormat="1" x14ac:dyDescent="0.35">
      <c r="A203" s="10" t="s">
        <v>139</v>
      </c>
      <c r="B203" s="4" t="s">
        <v>15</v>
      </c>
      <c r="C203" s="16">
        <v>886896.09</v>
      </c>
      <c r="D203" s="17">
        <f>ABS(C203/100/W$202)</f>
        <v>11086.201200000001</v>
      </c>
      <c r="E203" s="17">
        <f>D203/Supporting!$A$15</f>
        <v>131.97858571428574</v>
      </c>
      <c r="F203" s="60"/>
      <c r="G203" s="56"/>
      <c r="I203" s="15"/>
      <c r="J203" s="17"/>
      <c r="K203" s="56"/>
      <c r="M203" s="15"/>
      <c r="O203" s="15"/>
      <c r="P203" s="56"/>
      <c r="Q203" s="4" t="s">
        <v>12</v>
      </c>
      <c r="R203" s="16">
        <v>184194.15</v>
      </c>
      <c r="S203" s="15">
        <f>R203*Supporting!$A$2</f>
        <v>1377868.022958</v>
      </c>
      <c r="T203" s="15">
        <f>S203/Supporting!$A$15</f>
        <v>16403.190749499998</v>
      </c>
      <c r="U203" s="22">
        <f>T203/365</f>
        <v>44.940248628767115</v>
      </c>
      <c r="V203" s="56"/>
      <c r="W203" s="32"/>
    </row>
    <row r="204" spans="1:27" s="4" customFormat="1" x14ac:dyDescent="0.35">
      <c r="A204" s="10"/>
      <c r="B204" s="4" t="s">
        <v>16</v>
      </c>
      <c r="C204" s="16">
        <v>-4254.6000000000004</v>
      </c>
      <c r="D204" s="17">
        <f>ABS(C204/100/W$202)</f>
        <v>53.182500359788499</v>
      </c>
      <c r="E204" s="17">
        <f>D204/Supporting!$A$15</f>
        <v>0.6331250042831964</v>
      </c>
      <c r="F204" s="11">
        <f>ABS(C204/C207)</f>
        <v>4.7045869169557927E-3</v>
      </c>
      <c r="G204" s="56"/>
      <c r="I204" s="15"/>
      <c r="J204" s="17"/>
      <c r="K204" s="56"/>
      <c r="M204" s="15"/>
      <c r="N204" s="15"/>
      <c r="O204" s="15"/>
      <c r="P204" s="56"/>
      <c r="Q204" s="4" t="s">
        <v>13</v>
      </c>
      <c r="R204" s="16">
        <f>R202-R203</f>
        <v>82441.03</v>
      </c>
      <c r="S204" s="15">
        <f>R204*Supporting!$A$2</f>
        <v>616701.77373560006</v>
      </c>
      <c r="T204" s="15">
        <f>S204/Supporting!$A$15</f>
        <v>7341.687782566667</v>
      </c>
      <c r="U204" s="15">
        <f>T204/365</f>
        <v>20.114213102922374</v>
      </c>
      <c r="V204" s="56"/>
      <c r="W204" s="32"/>
    </row>
    <row r="205" spans="1:27" s="4" customFormat="1" x14ac:dyDescent="0.35">
      <c r="A205" s="10"/>
      <c r="B205" s="4" t="s">
        <v>17</v>
      </c>
      <c r="C205" s="16">
        <v>214207.41</v>
      </c>
      <c r="D205" s="17">
        <f>ABS(C205/100/W$202)</f>
        <v>2677.5926431143607</v>
      </c>
      <c r="E205" s="17">
        <f>D205/Supporting!$A$15</f>
        <v>31.87610289421858</v>
      </c>
      <c r="F205" s="11">
        <f>ABS(C205/C207)</f>
        <v>0.23686301382056724</v>
      </c>
      <c r="G205" s="56"/>
      <c r="I205" s="15"/>
      <c r="J205" s="17"/>
      <c r="K205" s="56"/>
      <c r="M205" s="15"/>
      <c r="N205" s="15"/>
      <c r="O205" s="15"/>
      <c r="P205" s="56"/>
      <c r="R205" s="15"/>
      <c r="S205" s="15"/>
      <c r="T205" s="15"/>
      <c r="U205" s="15"/>
      <c r="V205" s="56"/>
      <c r="W205" s="32"/>
    </row>
    <row r="206" spans="1:27" s="4" customFormat="1" x14ac:dyDescent="0.35">
      <c r="A206" s="10"/>
      <c r="B206" s="4" t="s">
        <v>54</v>
      </c>
      <c r="C206" s="16">
        <v>17455.36</v>
      </c>
      <c r="D206" s="17">
        <f>ABS(C206/100/W$202)</f>
        <v>218.1920014761053</v>
      </c>
      <c r="E206" s="17">
        <f>D206/Supporting!$A$15</f>
        <v>2.5975238270964915</v>
      </c>
      <c r="F206" s="60"/>
      <c r="G206" s="56"/>
      <c r="H206" s="39"/>
      <c r="I206" s="15"/>
      <c r="J206" s="17"/>
      <c r="K206" s="56"/>
      <c r="M206" s="15"/>
      <c r="N206" s="15"/>
      <c r="O206" s="15"/>
      <c r="P206" s="56"/>
      <c r="R206" s="15"/>
      <c r="S206" s="15"/>
      <c r="T206" s="15"/>
      <c r="U206" s="15"/>
      <c r="V206" s="56"/>
      <c r="W206" s="32"/>
    </row>
    <row r="207" spans="1:27" s="4" customFormat="1" x14ac:dyDescent="0.35">
      <c r="A207" s="10"/>
      <c r="B207" s="4" t="s">
        <v>29</v>
      </c>
      <c r="C207" s="17">
        <f>C203+C206</f>
        <v>904351.45</v>
      </c>
      <c r="D207" s="17">
        <f t="shared" ref="D207:E207" si="62">D203+D206</f>
        <v>11304.393201476107</v>
      </c>
      <c r="E207" s="17">
        <f t="shared" si="62"/>
        <v>134.57610954138224</v>
      </c>
      <c r="F207" s="60"/>
      <c r="G207" s="56"/>
      <c r="I207" s="15"/>
      <c r="J207" s="17"/>
      <c r="K207" s="56"/>
      <c r="M207" s="15"/>
      <c r="N207" s="15"/>
      <c r="O207" s="15"/>
      <c r="P207" s="56"/>
      <c r="R207" s="15"/>
      <c r="S207" s="15"/>
      <c r="T207" s="15"/>
      <c r="U207" s="15"/>
      <c r="V207" s="56"/>
      <c r="W207" s="32"/>
    </row>
    <row r="208" spans="1:27" s="4" customFormat="1" x14ac:dyDescent="0.35">
      <c r="A208" s="10"/>
      <c r="B208" s="6" t="s">
        <v>21</v>
      </c>
      <c r="C208" s="17">
        <f>C202-C204+C205</f>
        <v>903514.06</v>
      </c>
      <c r="D208" s="17">
        <f t="shared" ref="D208:E208" si="63">D202-D204+D205</f>
        <v>11187.560825685716</v>
      </c>
      <c r="E208" s="17">
        <f t="shared" si="63"/>
        <v>133.18524792482995</v>
      </c>
      <c r="F208" s="11">
        <f>SUM(F202:F205)</f>
        <v>0.99907404361434926</v>
      </c>
      <c r="G208" s="57"/>
      <c r="I208" s="15"/>
      <c r="J208" s="17"/>
      <c r="K208" s="57"/>
      <c r="M208" s="15"/>
      <c r="N208" s="15"/>
      <c r="O208" s="15"/>
      <c r="P208" s="57"/>
      <c r="R208" s="15"/>
      <c r="S208" s="15"/>
      <c r="T208" s="15"/>
      <c r="U208" s="15"/>
      <c r="V208" s="57"/>
      <c r="W208" s="32"/>
      <c r="X208"/>
      <c r="Y208"/>
      <c r="Z208"/>
      <c r="AA208"/>
    </row>
    <row r="209" spans="1:27" s="4" customFormat="1" x14ac:dyDescent="0.35">
      <c r="A209" s="10"/>
      <c r="B209" s="6" t="s">
        <v>30</v>
      </c>
      <c r="C209" s="15">
        <f>C207-C208</f>
        <v>837.38999999989755</v>
      </c>
      <c r="D209" s="15">
        <f t="shared" ref="D209:E209" si="64">D207-D208</f>
        <v>116.83237579039087</v>
      </c>
      <c r="E209" s="15">
        <f t="shared" si="64"/>
        <v>1.3908616165522858</v>
      </c>
      <c r="F209" s="11">
        <f>ABS(C209/C207)</f>
        <v>9.2595638565062019E-4</v>
      </c>
      <c r="G209" s="57"/>
      <c r="I209" s="15"/>
      <c r="J209" s="17"/>
      <c r="K209" s="57"/>
      <c r="M209" s="15"/>
      <c r="N209" s="15"/>
      <c r="O209" s="15"/>
      <c r="P209" s="57"/>
      <c r="R209" s="15"/>
      <c r="S209" s="15"/>
      <c r="T209" s="15"/>
      <c r="U209" s="15"/>
      <c r="V209" s="57"/>
      <c r="W209" s="32"/>
      <c r="X209"/>
      <c r="Y209"/>
      <c r="Z209"/>
      <c r="AA209"/>
    </row>
    <row r="210" spans="1:27" s="4" customFormat="1" x14ac:dyDescent="0.35">
      <c r="A210" s="14"/>
      <c r="B210" s="13"/>
      <c r="C210" s="18"/>
      <c r="D210" s="18"/>
      <c r="E210" s="18"/>
      <c r="F210" s="60"/>
      <c r="G210" s="56"/>
      <c r="H210" s="13"/>
      <c r="I210" s="18"/>
      <c r="J210" s="18"/>
      <c r="K210" s="56"/>
      <c r="L210" s="13"/>
      <c r="M210" s="18"/>
      <c r="N210" s="18"/>
      <c r="O210" s="18"/>
      <c r="P210" s="56"/>
      <c r="Q210" s="13"/>
      <c r="R210" s="18"/>
      <c r="S210" s="18"/>
      <c r="T210" s="18"/>
      <c r="U210" s="18"/>
      <c r="V210" s="56"/>
      <c r="W210" s="32"/>
      <c r="X210"/>
      <c r="Y210"/>
      <c r="Z210"/>
      <c r="AA210"/>
    </row>
    <row r="211" spans="1:27" s="4" customFormat="1" x14ac:dyDescent="0.35">
      <c r="A211" s="10">
        <f>A186+1</f>
        <v>9</v>
      </c>
      <c r="B211" s="4" t="s">
        <v>14</v>
      </c>
      <c r="C211" s="19">
        <v>685006.26</v>
      </c>
      <c r="D211" s="17">
        <f>ABS(C211/100/W$211)</f>
        <v>5881.7770364021462</v>
      </c>
      <c r="E211" s="17">
        <f>D211/Supporting!$A$15</f>
        <v>70.021155195263646</v>
      </c>
      <c r="F211" s="11">
        <f>ABS(C211/C216)</f>
        <v>0.85876200721661888</v>
      </c>
      <c r="G211" s="56"/>
      <c r="H211" s="4" t="s">
        <v>33</v>
      </c>
      <c r="I211" s="21">
        <v>1475.45</v>
      </c>
      <c r="J211" s="17">
        <f>I211/Supporting!$A$15</f>
        <v>17.564880952380953</v>
      </c>
      <c r="K211" s="56"/>
      <c r="L211" s="4" t="s">
        <v>32</v>
      </c>
      <c r="M211" s="17">
        <f>N211/100</f>
        <v>6808.0410372364031</v>
      </c>
      <c r="N211" s="52">
        <v>680804.10372364032</v>
      </c>
      <c r="O211" s="22">
        <f>M211/Supporting!$A$15</f>
        <v>81.048107586147651</v>
      </c>
      <c r="P211" s="56"/>
      <c r="Q211" s="4" t="s">
        <v>11</v>
      </c>
      <c r="R211" s="21">
        <v>266635.18</v>
      </c>
      <c r="S211" s="15">
        <f>R211*Supporting!$A$2</f>
        <v>1994569.7966936</v>
      </c>
      <c r="T211" s="15">
        <f>S211/Supporting!$A$15</f>
        <v>23744.878532066668</v>
      </c>
      <c r="U211" s="15">
        <f>T211/365</f>
        <v>65.0544617316895</v>
      </c>
      <c r="V211" s="56"/>
      <c r="W211" s="54">
        <f>C212/N211</f>
        <v>1.164624663193651</v>
      </c>
      <c r="X211" s="45"/>
      <c r="Y211" s="17">
        <f>Z211/100</f>
        <v>8284.9501999999993</v>
      </c>
      <c r="Z211" s="46">
        <v>828495.02</v>
      </c>
      <c r="AA211" s="17">
        <f>Y211/Supporting!$A$15</f>
        <v>98.630359523809517</v>
      </c>
    </row>
    <row r="212" spans="1:27" s="4" customFormat="1" x14ac:dyDescent="0.35">
      <c r="A212" s="10" t="s">
        <v>140</v>
      </c>
      <c r="B212" s="4" t="s">
        <v>15</v>
      </c>
      <c r="C212" s="19">
        <v>792881.25</v>
      </c>
      <c r="D212" s="17">
        <f t="shared" ref="D212:D215" si="65">ABS(C212/100/W$211)</f>
        <v>6808.0410372364031</v>
      </c>
      <c r="E212" s="17">
        <f>D212/Supporting!$A$15</f>
        <v>81.048107586147651</v>
      </c>
      <c r="F212" s="60"/>
      <c r="G212" s="56"/>
      <c r="I212" s="15"/>
      <c r="J212" s="17"/>
      <c r="K212" s="56"/>
      <c r="M212" s="15"/>
      <c r="N212" s="15"/>
      <c r="O212" s="17"/>
      <c r="P212" s="56"/>
      <c r="Q212" s="4" t="s">
        <v>12</v>
      </c>
      <c r="R212" s="21">
        <v>193045.92</v>
      </c>
      <c r="S212" s="15">
        <f>R212*Supporting!$A$2</f>
        <v>1444083.8654784001</v>
      </c>
      <c r="T212" s="15">
        <f>S212/Supporting!$A$15</f>
        <v>17191.474589028574</v>
      </c>
      <c r="U212" s="22">
        <f>T212/365</f>
        <v>47.099930380900204</v>
      </c>
      <c r="V212" s="56"/>
      <c r="W212" s="32"/>
      <c r="X212"/>
      <c r="Y212"/>
      <c r="Z212"/>
      <c r="AA212"/>
    </row>
    <row r="213" spans="1:27" s="4" customFormat="1" x14ac:dyDescent="0.35">
      <c r="A213" s="10"/>
      <c r="B213" s="4" t="s">
        <v>16</v>
      </c>
      <c r="C213" s="19">
        <v>-4366.1000000000004</v>
      </c>
      <c r="D213" s="17">
        <f t="shared" si="65"/>
        <v>37.489331438570225</v>
      </c>
      <c r="E213" s="17">
        <f>D213/Supporting!$A$15</f>
        <v>0.44630156474488364</v>
      </c>
      <c r="F213" s="11">
        <f>ABS(C213/C216)</f>
        <v>5.4735861825678496E-3</v>
      </c>
      <c r="G213" s="56"/>
      <c r="I213" s="15"/>
      <c r="J213" s="17"/>
      <c r="K213" s="56"/>
      <c r="M213" s="15"/>
      <c r="N213" s="15"/>
      <c r="O213" s="17"/>
      <c r="P213" s="56"/>
      <c r="Q213" s="4" t="s">
        <v>13</v>
      </c>
      <c r="R213" s="21">
        <f>R211-R212</f>
        <v>73589.25999999998</v>
      </c>
      <c r="S213" s="15">
        <f>R213*Supporting!$A$2</f>
        <v>550485.93121519987</v>
      </c>
      <c r="T213" s="15">
        <f>S213/Supporting!$A$15</f>
        <v>6553.4039430380935</v>
      </c>
      <c r="U213" s="15">
        <f>T213/365</f>
        <v>17.954531350789296</v>
      </c>
      <c r="V213" s="56"/>
      <c r="W213" s="32"/>
      <c r="X213"/>
      <c r="Y213" s="4" t="s">
        <v>84</v>
      </c>
      <c r="Z213" s="33">
        <f>(N202-Z211)/N202</f>
        <v>0.25267906918377059</v>
      </c>
      <c r="AA213"/>
    </row>
    <row r="214" spans="1:27" s="4" customFormat="1" x14ac:dyDescent="0.35">
      <c r="A214" s="10"/>
      <c r="B214" s="4" t="s">
        <v>17</v>
      </c>
      <c r="C214" s="19">
        <v>133789.14000000001</v>
      </c>
      <c r="D214" s="17">
        <f t="shared" si="65"/>
        <v>1148.7747445869938</v>
      </c>
      <c r="E214" s="17">
        <f>D214/Supporting!$A$15</f>
        <v>13.675889816511832</v>
      </c>
      <c r="F214" s="11">
        <f>ABS(C214/C216)</f>
        <v>0.16772551890282761</v>
      </c>
      <c r="G214" s="56"/>
      <c r="I214" s="15"/>
      <c r="J214" s="17"/>
      <c r="K214" s="56"/>
      <c r="M214" s="15"/>
      <c r="N214" s="15"/>
      <c r="O214" s="17"/>
      <c r="P214" s="56"/>
      <c r="R214" s="15"/>
      <c r="S214" s="15"/>
      <c r="T214" s="15"/>
      <c r="U214" s="15"/>
      <c r="V214" s="56"/>
      <c r="W214" s="32"/>
      <c r="X214"/>
      <c r="Y214"/>
      <c r="Z214"/>
      <c r="AA214"/>
    </row>
    <row r="215" spans="1:27" s="4" customFormat="1" x14ac:dyDescent="0.35">
      <c r="A215" s="10"/>
      <c r="B215" s="4" t="s">
        <v>54</v>
      </c>
      <c r="C215" s="19">
        <v>4785.92</v>
      </c>
      <c r="D215" s="17">
        <f t="shared" si="65"/>
        <v>41.094097963510229</v>
      </c>
      <c r="E215" s="17">
        <f>D215/Supporting!$A$15</f>
        <v>0.48921545194655036</v>
      </c>
      <c r="F215" s="60"/>
      <c r="G215" s="56"/>
      <c r="I215" s="15"/>
      <c r="J215" s="17"/>
      <c r="K215" s="56"/>
      <c r="M215" s="15"/>
      <c r="N215" s="15"/>
      <c r="O215" s="17"/>
      <c r="P215" s="56"/>
      <c r="R215" s="15"/>
      <c r="S215" s="15"/>
      <c r="T215" s="15"/>
      <c r="U215" s="15"/>
      <c r="V215" s="56"/>
      <c r="W215" s="32"/>
      <c r="X215"/>
      <c r="Y215"/>
      <c r="Z215"/>
      <c r="AA215"/>
    </row>
    <row r="216" spans="1:27" s="4" customFormat="1" x14ac:dyDescent="0.35">
      <c r="A216" s="10"/>
      <c r="B216" s="4" t="s">
        <v>29</v>
      </c>
      <c r="C216" s="17">
        <f>C212+C215</f>
        <v>797667.17</v>
      </c>
      <c r="D216" s="17">
        <f t="shared" ref="D216" si="66">D212+D215</f>
        <v>6849.1351351999137</v>
      </c>
      <c r="E216" s="17">
        <f t="shared" ref="E216" si="67">E212+E215</f>
        <v>81.5373230380942</v>
      </c>
      <c r="F216" s="60"/>
      <c r="G216" s="56"/>
      <c r="I216" s="15"/>
      <c r="J216" s="17"/>
      <c r="K216" s="56"/>
      <c r="M216" s="15"/>
      <c r="N216" s="15"/>
      <c r="O216" s="17"/>
      <c r="P216" s="56"/>
      <c r="R216" s="15"/>
      <c r="S216" s="15"/>
      <c r="T216" s="15"/>
      <c r="U216" s="15"/>
      <c r="V216" s="56"/>
      <c r="W216" s="32"/>
      <c r="X216"/>
      <c r="Y216"/>
      <c r="Z216"/>
      <c r="AA216"/>
    </row>
    <row r="217" spans="1:27" s="4" customFormat="1" x14ac:dyDescent="0.35">
      <c r="A217" s="10"/>
      <c r="B217" s="6" t="s">
        <v>21</v>
      </c>
      <c r="C217" s="17">
        <f>C211-C213+C214</f>
        <v>823161.5</v>
      </c>
      <c r="D217" s="17">
        <f t="shared" ref="D217:E217" si="68">D211-D213+D214</f>
        <v>6993.0624495505699</v>
      </c>
      <c r="E217" s="17">
        <f t="shared" si="68"/>
        <v>83.250743447030587</v>
      </c>
      <c r="F217" s="11">
        <f>SUM(F211:F214)</f>
        <v>1.0319611123020143</v>
      </c>
      <c r="G217" s="57"/>
      <c r="I217" s="15"/>
      <c r="J217" s="17"/>
      <c r="K217" s="57"/>
      <c r="M217" s="15"/>
      <c r="N217" s="15"/>
      <c r="O217" s="17"/>
      <c r="P217" s="57"/>
      <c r="R217" s="15"/>
      <c r="S217" s="15"/>
      <c r="T217" s="15"/>
      <c r="U217" s="15"/>
      <c r="V217" s="57"/>
      <c r="W217" s="32"/>
      <c r="X217"/>
      <c r="Y217"/>
      <c r="Z217" s="27"/>
      <c r="AA217"/>
    </row>
    <row r="218" spans="1:27" s="4" customFormat="1" x14ac:dyDescent="0.35">
      <c r="A218" s="10"/>
      <c r="B218" s="6" t="s">
        <v>30</v>
      </c>
      <c r="C218" s="15">
        <f>C216-C217</f>
        <v>-25494.329999999958</v>
      </c>
      <c r="D218" s="15">
        <f t="shared" ref="D218" si="69">D216-D217</f>
        <v>-143.92731435065616</v>
      </c>
      <c r="E218" s="15">
        <f t="shared" ref="E218" si="70">E216-E217</f>
        <v>-1.7134204089363863</v>
      </c>
      <c r="F218" s="11">
        <f>ABS(C218/C216)</f>
        <v>3.196111230201433E-2</v>
      </c>
      <c r="G218" s="57"/>
      <c r="I218" s="15"/>
      <c r="J218" s="17"/>
      <c r="K218" s="57"/>
      <c r="M218" s="15"/>
      <c r="N218" s="15"/>
      <c r="O218" s="17"/>
      <c r="P218" s="57"/>
      <c r="R218" s="15"/>
      <c r="S218" s="15"/>
      <c r="T218" s="15"/>
      <c r="U218" s="15"/>
      <c r="V218" s="57"/>
      <c r="W218" s="32"/>
      <c r="X218"/>
      <c r="Y218"/>
      <c r="Z218"/>
      <c r="AA218"/>
    </row>
    <row r="219" spans="1:27" s="4" customFormat="1" x14ac:dyDescent="0.35">
      <c r="A219" s="14"/>
      <c r="B219" s="13"/>
      <c r="C219" s="18"/>
      <c r="D219" s="18"/>
      <c r="E219" s="18"/>
      <c r="F219" s="60"/>
      <c r="G219" s="58"/>
      <c r="H219" s="13"/>
      <c r="I219" s="18"/>
      <c r="J219" s="18"/>
      <c r="K219" s="58"/>
      <c r="L219" s="13"/>
      <c r="M219" s="18"/>
      <c r="N219" s="18"/>
      <c r="O219" s="18"/>
      <c r="P219" s="58"/>
      <c r="Q219" s="13"/>
      <c r="R219" s="18"/>
      <c r="S219" s="18"/>
      <c r="T219" s="18"/>
      <c r="U219" s="18"/>
      <c r="V219" s="58"/>
      <c r="W219" s="32"/>
      <c r="X219"/>
      <c r="Y219"/>
      <c r="Z219"/>
      <c r="AA219"/>
    </row>
    <row r="220" spans="1:27" s="4" customFormat="1" x14ac:dyDescent="0.35">
      <c r="A220" s="10">
        <f>A195+1</f>
        <v>9</v>
      </c>
      <c r="B220" s="4" t="s">
        <v>14</v>
      </c>
      <c r="C220" s="17">
        <f>C202-C211</f>
        <v>45.790000000037253</v>
      </c>
      <c r="D220"/>
      <c r="E220"/>
      <c r="F220" s="61">
        <f>-C220/C202</f>
        <v>-6.6841636339950005E-5</v>
      </c>
      <c r="G220" s="56"/>
      <c r="H220" s="4" t="s">
        <v>33</v>
      </c>
      <c r="I220" s="15">
        <f>I202-I211</f>
        <v>3905.87</v>
      </c>
      <c r="J220" s="17">
        <f>I220/Supporting!$A$15</f>
        <v>46.498452380952379</v>
      </c>
      <c r="K220" s="56"/>
      <c r="L220" s="4" t="s">
        <v>32</v>
      </c>
      <c r="M220" s="15">
        <f>M202-M211</f>
        <v>4278.1601627635982</v>
      </c>
      <c r="N220" s="15"/>
      <c r="O220" s="22">
        <f>M220/Supporting!$A$15</f>
        <v>50.930478128138077</v>
      </c>
      <c r="P220" s="56"/>
      <c r="Q220" s="4" t="s">
        <v>11</v>
      </c>
      <c r="R220" s="17">
        <f>R202-R211</f>
        <v>0</v>
      </c>
      <c r="S220" s="15">
        <f>R220*Supporting!$A$2</f>
        <v>0</v>
      </c>
      <c r="T220" s="15">
        <f>S220/Supporting!$A$15</f>
        <v>0</v>
      </c>
      <c r="U220" s="15">
        <f>T220/365</f>
        <v>0</v>
      </c>
      <c r="V220" s="56"/>
      <c r="W220" s="32"/>
      <c r="X220"/>
      <c r="Y220"/>
      <c r="Z220"/>
      <c r="AA220"/>
    </row>
    <row r="221" spans="1:27" s="4" customFormat="1" x14ac:dyDescent="0.35">
      <c r="A221" s="10" t="s">
        <v>141</v>
      </c>
      <c r="B221" s="4" t="s">
        <v>15</v>
      </c>
      <c r="C221" s="17">
        <f>C203-C212</f>
        <v>94014.839999999967</v>
      </c>
      <c r="D221"/>
      <c r="E221"/>
      <c r="F221" s="61">
        <f t="shared" ref="F221:F224" si="71">-C221/C203</f>
        <v>-0.10600434601081618</v>
      </c>
      <c r="G221" s="56"/>
      <c r="I221" s="15"/>
      <c r="J221" s="17"/>
      <c r="K221" s="56"/>
      <c r="M221" s="15"/>
      <c r="N221" s="15"/>
      <c r="O221" s="15"/>
      <c r="P221" s="56"/>
      <c r="Q221" s="4" t="s">
        <v>12</v>
      </c>
      <c r="R221" s="17">
        <f>R203-R212</f>
        <v>-8851.7700000000186</v>
      </c>
      <c r="S221" s="15">
        <f>R221*Supporting!$A$2</f>
        <v>-66215.84252040014</v>
      </c>
      <c r="T221" s="15">
        <f>S221/Supporting!$A$15</f>
        <v>-788.28383952857314</v>
      </c>
      <c r="U221" s="15">
        <f>T221/365</f>
        <v>-2.1596817521330771</v>
      </c>
      <c r="V221" s="56"/>
      <c r="W221" s="32"/>
      <c r="X221"/>
      <c r="Y221"/>
      <c r="Z221"/>
      <c r="AA221"/>
    </row>
    <row r="222" spans="1:27" s="4" customFormat="1" x14ac:dyDescent="0.35">
      <c r="A222" s="10"/>
      <c r="B222" s="4" t="s">
        <v>16</v>
      </c>
      <c r="C222" s="17">
        <f>C204-C213</f>
        <v>111.5</v>
      </c>
      <c r="D222"/>
      <c r="E222"/>
      <c r="F222" s="61">
        <f t="shared" si="71"/>
        <v>2.6206928970996097E-2</v>
      </c>
      <c r="G222" s="56"/>
      <c r="H222" s="4" t="s">
        <v>84</v>
      </c>
      <c r="I222" s="33">
        <f>I220/I202</f>
        <v>0.72582005901897673</v>
      </c>
      <c r="J222" s="15"/>
      <c r="K222" s="56"/>
      <c r="L222" s="4" t="s">
        <v>84</v>
      </c>
      <c r="M222" s="53">
        <f>M220/M202</f>
        <v>0.38589955978460844</v>
      </c>
      <c r="N222" s="15"/>
      <c r="O222" s="15"/>
      <c r="P222" s="56"/>
      <c r="Q222" s="4" t="s">
        <v>13</v>
      </c>
      <c r="R222" s="17">
        <f>R204-R213</f>
        <v>8851.7700000000186</v>
      </c>
      <c r="S222" s="15">
        <f>R222*Supporting!$A$2</f>
        <v>66215.84252040014</v>
      </c>
      <c r="T222" s="15">
        <f>S222/Supporting!$A$15</f>
        <v>788.28383952857314</v>
      </c>
      <c r="U222" s="15">
        <f>T222/365</f>
        <v>2.1596817521330771</v>
      </c>
      <c r="V222" s="56"/>
      <c r="W222" s="32"/>
      <c r="X222"/>
      <c r="Y222"/>
      <c r="Z222"/>
      <c r="AA222"/>
    </row>
    <row r="223" spans="1:27" s="4" customFormat="1" x14ac:dyDescent="0.35">
      <c r="A223" s="10"/>
      <c r="B223" s="4" t="s">
        <v>17</v>
      </c>
      <c r="C223" s="17">
        <f>C205-C214</f>
        <v>80418.26999999999</v>
      </c>
      <c r="D223"/>
      <c r="E223"/>
      <c r="F223" s="61">
        <f t="shared" si="71"/>
        <v>-0.37542244687053539</v>
      </c>
      <c r="G223" s="56"/>
      <c r="I223" s="15"/>
      <c r="J223" s="15"/>
      <c r="K223" s="56"/>
      <c r="M223" s="15"/>
      <c r="N223" s="15"/>
      <c r="O223" s="15"/>
      <c r="P223" s="56"/>
      <c r="R223" s="15"/>
      <c r="S223" s="15"/>
      <c r="T223" s="15"/>
      <c r="U223" s="15"/>
      <c r="V223" s="56"/>
      <c r="W223" s="32"/>
      <c r="X223"/>
      <c r="Y223"/>
      <c r="Z223"/>
      <c r="AA223"/>
    </row>
    <row r="224" spans="1:27" s="4" customFormat="1" x14ac:dyDescent="0.35">
      <c r="A224" s="10"/>
      <c r="B224" s="4" t="s">
        <v>54</v>
      </c>
      <c r="C224" s="17">
        <f>C206-C215</f>
        <v>12669.44</v>
      </c>
      <c r="D224"/>
      <c r="E224"/>
      <c r="F224" s="61">
        <f t="shared" si="71"/>
        <v>-0.72581946175845125</v>
      </c>
      <c r="G224" s="56"/>
      <c r="I224" s="15"/>
      <c r="J224" s="15"/>
      <c r="K224" s="56"/>
      <c r="M224" s="15"/>
      <c r="N224" s="15"/>
      <c r="O224" s="15"/>
      <c r="P224" s="56"/>
      <c r="Q224" s="4" t="s">
        <v>84</v>
      </c>
      <c r="R224" s="33">
        <f>R221/R203</f>
        <v>-4.805673795829031E-2</v>
      </c>
      <c r="S224" s="15"/>
      <c r="T224" s="15"/>
      <c r="U224" s="15"/>
      <c r="V224" s="56"/>
      <c r="W224" s="32"/>
      <c r="X224"/>
      <c r="Y224"/>
      <c r="Z224"/>
      <c r="AA224"/>
    </row>
    <row r="225" spans="1:27" x14ac:dyDescent="0.35">
      <c r="G225" s="59"/>
      <c r="K225" s="59"/>
      <c r="P225" s="59"/>
      <c r="V225" s="59"/>
    </row>
    <row r="226" spans="1:27" x14ac:dyDescent="0.35">
      <c r="G226" s="59"/>
      <c r="K226" s="59"/>
      <c r="P226" s="59"/>
      <c r="V226" s="59"/>
    </row>
    <row r="227" spans="1:27" s="4" customFormat="1" x14ac:dyDescent="0.35">
      <c r="A227" s="10">
        <f>A202+1</f>
        <v>10</v>
      </c>
      <c r="B227" s="4" t="s">
        <v>14</v>
      </c>
      <c r="C227" s="16">
        <v>679649.71</v>
      </c>
      <c r="D227" s="17">
        <f>ABS(C227/100/W$202)</f>
        <v>8495.6214324742959</v>
      </c>
      <c r="E227" s="17">
        <f>D227/Supporting!$A$15</f>
        <v>101.13835038659876</v>
      </c>
      <c r="F227" s="11">
        <f>ABS(C227/C232)</f>
        <v>0.75761652679988367</v>
      </c>
      <c r="G227" s="56"/>
      <c r="H227" s="4" t="s">
        <v>33</v>
      </c>
      <c r="I227" s="16">
        <v>5373.37</v>
      </c>
      <c r="J227" s="17">
        <f>I227/Supporting!$A$15</f>
        <v>63.968690476190474</v>
      </c>
      <c r="K227" s="56"/>
      <c r="L227" s="4" t="s">
        <v>32</v>
      </c>
      <c r="M227" s="17">
        <f>N227/100</f>
        <v>10995.747100000001</v>
      </c>
      <c r="N227" s="16">
        <v>1099574.71</v>
      </c>
      <c r="O227" s="22">
        <f>M227/Supporting!$A$15</f>
        <v>130.9017511904762</v>
      </c>
      <c r="P227" s="56"/>
      <c r="Q227" s="4" t="s">
        <v>11</v>
      </c>
      <c r="R227" s="16">
        <v>266635.18</v>
      </c>
      <c r="S227" s="15">
        <f>R227*Supporting!$A$2</f>
        <v>1994569.7966936</v>
      </c>
      <c r="T227" s="15">
        <f>S227/Supporting!$A$15</f>
        <v>23744.878532066668</v>
      </c>
      <c r="U227" s="15">
        <f>T227/365</f>
        <v>65.0544617316895</v>
      </c>
      <c r="V227" s="56"/>
      <c r="W227" s="34">
        <f>C228/N227</f>
        <v>0.80000000181888509</v>
      </c>
      <c r="Y227"/>
      <c r="Z227"/>
      <c r="AA227"/>
    </row>
    <row r="228" spans="1:27" s="4" customFormat="1" x14ac:dyDescent="0.35">
      <c r="A228" s="10" t="s">
        <v>139</v>
      </c>
      <c r="B228" s="4" t="s">
        <v>15</v>
      </c>
      <c r="C228" s="16">
        <v>879659.77</v>
      </c>
      <c r="D228" s="17">
        <f>ABS(C228/100/W$202)</f>
        <v>10995.747199388064</v>
      </c>
      <c r="E228" s="17">
        <f>D228/Supporting!$A$15</f>
        <v>130.90175237366742</v>
      </c>
      <c r="F228" s="60"/>
      <c r="G228" s="56"/>
      <c r="I228" s="15"/>
      <c r="J228" s="17"/>
      <c r="K228" s="56"/>
      <c r="M228" s="15"/>
      <c r="O228" s="15"/>
      <c r="P228" s="56"/>
      <c r="Q228" s="4" t="s">
        <v>12</v>
      </c>
      <c r="R228" s="16">
        <v>183432.91</v>
      </c>
      <c r="S228" s="15">
        <f>R228*Supporting!$A$2</f>
        <v>1372173.5519132002</v>
      </c>
      <c r="T228" s="15">
        <f>S228/Supporting!$A$15</f>
        <v>16335.399427538097</v>
      </c>
      <c r="U228" s="22">
        <f>T228/365</f>
        <v>44.75451897955643</v>
      </c>
      <c r="V228" s="56"/>
      <c r="W228" s="32"/>
    </row>
    <row r="229" spans="1:27" s="4" customFormat="1" x14ac:dyDescent="0.35">
      <c r="A229" s="10"/>
      <c r="B229" s="4" t="s">
        <v>16</v>
      </c>
      <c r="C229" s="16">
        <v>-4238.8</v>
      </c>
      <c r="D229" s="17">
        <f>ABS(C229/100/W$202)</f>
        <v>52.985000358452375</v>
      </c>
      <c r="E229" s="17">
        <f>D229/Supporting!$A$15</f>
        <v>0.63077381379109965</v>
      </c>
      <c r="F229" s="11">
        <f>ABS(C229/C232)</f>
        <v>4.7250589333722327E-3</v>
      </c>
      <c r="G229" s="56"/>
      <c r="I229" s="15"/>
      <c r="J229" s="17"/>
      <c r="K229" s="56"/>
      <c r="M229" s="15"/>
      <c r="N229" s="15"/>
      <c r="O229" s="15"/>
      <c r="P229" s="56"/>
      <c r="Q229" s="4" t="s">
        <v>13</v>
      </c>
      <c r="R229" s="16">
        <f>R227-R228</f>
        <v>83202.26999999999</v>
      </c>
      <c r="S229" s="15">
        <f>R229*Supporting!$A$2</f>
        <v>622396.24478039995</v>
      </c>
      <c r="T229" s="15">
        <f>S229/Supporting!$A$15</f>
        <v>7409.479104528571</v>
      </c>
      <c r="U229" s="15">
        <f>T229/365</f>
        <v>20.29994275213307</v>
      </c>
      <c r="V229" s="56"/>
      <c r="W229" s="32"/>
    </row>
    <row r="230" spans="1:27" s="4" customFormat="1" x14ac:dyDescent="0.35">
      <c r="A230" s="10"/>
      <c r="B230" s="4" t="s">
        <v>17</v>
      </c>
      <c r="C230" s="16">
        <v>212523.93</v>
      </c>
      <c r="D230" s="17">
        <f>ABS(C230/100/W$202)</f>
        <v>2656.5491429719978</v>
      </c>
      <c r="E230" s="17">
        <f>D230/Supporting!$A$15</f>
        <v>31.625585035380926</v>
      </c>
      <c r="F230" s="11">
        <f>ABS(C230/C232)</f>
        <v>0.23690386288616472</v>
      </c>
      <c r="G230" s="56"/>
      <c r="I230" s="15"/>
      <c r="J230" s="17"/>
      <c r="K230" s="56"/>
      <c r="M230" s="15"/>
      <c r="N230" s="15"/>
      <c r="O230" s="15"/>
      <c r="P230" s="56"/>
      <c r="R230" s="15"/>
      <c r="S230" s="15"/>
      <c r="T230" s="15"/>
      <c r="U230" s="15"/>
      <c r="V230" s="56"/>
      <c r="W230" s="32"/>
    </row>
    <row r="231" spans="1:27" s="4" customFormat="1" x14ac:dyDescent="0.35">
      <c r="A231" s="10"/>
      <c r="B231" s="4" t="s">
        <v>54</v>
      </c>
      <c r="C231" s="16">
        <v>17429.57</v>
      </c>
      <c r="D231" s="17">
        <f>ABS(C231/100/W$202)</f>
        <v>217.8696264739244</v>
      </c>
      <c r="E231" s="17">
        <f>D231/Supporting!$A$15</f>
        <v>2.5936860294514807</v>
      </c>
      <c r="F231" s="60"/>
      <c r="G231" s="56"/>
      <c r="H231" s="39"/>
      <c r="I231" s="15"/>
      <c r="J231" s="17"/>
      <c r="K231" s="56"/>
      <c r="M231" s="15"/>
      <c r="N231" s="15"/>
      <c r="O231" s="15"/>
      <c r="P231" s="56"/>
      <c r="R231" s="15"/>
      <c r="S231" s="15"/>
      <c r="T231" s="15"/>
      <c r="U231" s="15"/>
      <c r="V231" s="56"/>
      <c r="W231" s="32"/>
    </row>
    <row r="232" spans="1:27" s="4" customFormat="1" x14ac:dyDescent="0.35">
      <c r="A232" s="10"/>
      <c r="B232" s="4" t="s">
        <v>29</v>
      </c>
      <c r="C232" s="17">
        <f>C228+C231</f>
        <v>897089.34</v>
      </c>
      <c r="D232" s="17">
        <f t="shared" ref="D232:E232" si="72">D228+D231</f>
        <v>11213.616825861989</v>
      </c>
      <c r="E232" s="17">
        <f t="shared" si="72"/>
        <v>133.4954384031189</v>
      </c>
      <c r="F232" s="60"/>
      <c r="G232" s="56"/>
      <c r="I232" s="15"/>
      <c r="J232" s="17"/>
      <c r="K232" s="56"/>
      <c r="M232" s="15"/>
      <c r="N232" s="15"/>
      <c r="O232" s="15"/>
      <c r="P232" s="56"/>
      <c r="R232" s="15"/>
      <c r="S232" s="15"/>
      <c r="T232" s="15"/>
      <c r="U232" s="15"/>
      <c r="V232" s="56"/>
      <c r="W232" s="32"/>
    </row>
    <row r="233" spans="1:27" s="4" customFormat="1" x14ac:dyDescent="0.35">
      <c r="A233" s="10"/>
      <c r="B233" s="6" t="s">
        <v>21</v>
      </c>
      <c r="C233" s="17">
        <f>C227-C229+C230</f>
        <v>896412.44</v>
      </c>
      <c r="D233" s="17">
        <f t="shared" ref="D233:E233" si="73">D227-D229+D230</f>
        <v>11099.185575087842</v>
      </c>
      <c r="E233" s="17">
        <f t="shared" si="73"/>
        <v>132.1331616081886</v>
      </c>
      <c r="F233" s="11">
        <f>SUM(F227:F230)</f>
        <v>0.99924544861942066</v>
      </c>
      <c r="G233" s="57"/>
      <c r="I233" s="15"/>
      <c r="J233" s="17"/>
      <c r="K233" s="57"/>
      <c r="M233" s="15"/>
      <c r="N233" s="15"/>
      <c r="O233" s="15"/>
      <c r="P233" s="57"/>
      <c r="R233" s="15"/>
      <c r="S233" s="15"/>
      <c r="T233" s="15"/>
      <c r="U233" s="15"/>
      <c r="V233" s="57"/>
      <c r="W233" s="32"/>
      <c r="X233"/>
      <c r="Y233"/>
      <c r="Z233"/>
      <c r="AA233"/>
    </row>
    <row r="234" spans="1:27" s="4" customFormat="1" x14ac:dyDescent="0.35">
      <c r="A234" s="10"/>
      <c r="B234" s="6" t="s">
        <v>30</v>
      </c>
      <c r="C234" s="15">
        <f>C232-C233</f>
        <v>676.90000000002328</v>
      </c>
      <c r="D234" s="15">
        <f t="shared" ref="D234:E234" si="74">D232-D233</f>
        <v>114.43125077414697</v>
      </c>
      <c r="E234" s="15">
        <f t="shared" si="74"/>
        <v>1.3622767949302954</v>
      </c>
      <c r="F234" s="11">
        <f>ABS(C234/C232)</f>
        <v>7.5455138057935601E-4</v>
      </c>
      <c r="G234" s="57"/>
      <c r="I234" s="15"/>
      <c r="J234" s="17"/>
      <c r="K234" s="57"/>
      <c r="M234" s="15"/>
      <c r="N234" s="15"/>
      <c r="O234" s="15"/>
      <c r="P234" s="57"/>
      <c r="R234" s="15"/>
      <c r="S234" s="15"/>
      <c r="T234" s="15"/>
      <c r="U234" s="15"/>
      <c r="V234" s="57"/>
      <c r="W234" s="32"/>
      <c r="X234"/>
      <c r="Y234"/>
      <c r="Z234"/>
      <c r="AA234"/>
    </row>
    <row r="235" spans="1:27" s="4" customFormat="1" x14ac:dyDescent="0.35">
      <c r="A235" s="14"/>
      <c r="B235" s="13"/>
      <c r="C235" s="18"/>
      <c r="D235" s="18"/>
      <c r="E235" s="18"/>
      <c r="F235" s="60"/>
      <c r="G235" s="56"/>
      <c r="H235" s="13"/>
      <c r="I235" s="18"/>
      <c r="J235" s="18"/>
      <c r="K235" s="56"/>
      <c r="L235" s="13"/>
      <c r="M235" s="18"/>
      <c r="N235" s="18"/>
      <c r="O235" s="18"/>
      <c r="P235" s="56"/>
      <c r="Q235" s="13"/>
      <c r="R235" s="18"/>
      <c r="S235" s="18"/>
      <c r="T235" s="18"/>
      <c r="U235" s="18"/>
      <c r="V235" s="56"/>
      <c r="W235" s="32"/>
      <c r="X235"/>
      <c r="Y235"/>
      <c r="Z235"/>
      <c r="AA235"/>
    </row>
    <row r="236" spans="1:27" s="4" customFormat="1" x14ac:dyDescent="0.35">
      <c r="A236" s="10">
        <f>A211+1</f>
        <v>10</v>
      </c>
      <c r="B236" s="4" t="s">
        <v>14</v>
      </c>
      <c r="C236" s="19">
        <v>679604.49</v>
      </c>
      <c r="D236" s="17">
        <f>ABS(C236/100/W$211)</f>
        <v>5835.3949686792521</v>
      </c>
      <c r="E236" s="17">
        <f>D236/Supporting!$A$15</f>
        <v>69.468987722372049</v>
      </c>
      <c r="F236" s="11">
        <f>ABS(C236/C241)</f>
        <v>0.85967749935382309</v>
      </c>
      <c r="G236" s="56"/>
      <c r="H236" s="4" t="s">
        <v>33</v>
      </c>
      <c r="I236" s="21">
        <v>1466.68</v>
      </c>
      <c r="J236" s="17">
        <f>I236/Supporting!$A$15</f>
        <v>17.460476190476193</v>
      </c>
      <c r="K236" s="56"/>
      <c r="L236" s="4" t="s">
        <v>32</v>
      </c>
      <c r="M236" s="17">
        <f>N236/100</f>
        <v>6760.7580056442421</v>
      </c>
      <c r="N236" s="52">
        <v>676075.80056442425</v>
      </c>
      <c r="O236" s="22">
        <f>M236/Supporting!$A$15</f>
        <v>80.485214352907647</v>
      </c>
      <c r="P236" s="56"/>
      <c r="Q236" s="4" t="s">
        <v>11</v>
      </c>
      <c r="R236" s="21">
        <v>266635.18</v>
      </c>
      <c r="S236" s="15">
        <f>R236*Supporting!$A$2</f>
        <v>1994569.7966936</v>
      </c>
      <c r="T236" s="15">
        <f>S236/Supporting!$A$15</f>
        <v>23744.878532066668</v>
      </c>
      <c r="U236" s="15">
        <f>T236/365</f>
        <v>65.0544617316895</v>
      </c>
      <c r="V236" s="56"/>
      <c r="W236" s="54">
        <f>C237/N236</f>
        <v>1.1622613608473955</v>
      </c>
      <c r="X236" s="45"/>
      <c r="Y236" s="17">
        <f>Z236/100</f>
        <v>8207.9274999999998</v>
      </c>
      <c r="Z236" s="46">
        <v>820792.75</v>
      </c>
      <c r="AA236" s="17">
        <f>Y236/Supporting!$A$15</f>
        <v>97.71342261904762</v>
      </c>
    </row>
    <row r="237" spans="1:27" s="4" customFormat="1" x14ac:dyDescent="0.35">
      <c r="A237" s="10" t="s">
        <v>140</v>
      </c>
      <c r="B237" s="4" t="s">
        <v>15</v>
      </c>
      <c r="C237" s="19">
        <v>785776.78</v>
      </c>
      <c r="D237" s="17">
        <f>ABS(C237/100/W$211)</f>
        <v>6747.038808582598</v>
      </c>
      <c r="E237" s="17">
        <f>D237/Supporting!$A$15</f>
        <v>80.321890578364261</v>
      </c>
      <c r="F237" s="60"/>
      <c r="G237" s="56"/>
      <c r="I237" s="15"/>
      <c r="J237" s="17"/>
      <c r="K237" s="56"/>
      <c r="M237" s="15"/>
      <c r="N237" s="15"/>
      <c r="O237" s="17"/>
      <c r="P237" s="56"/>
      <c r="Q237" s="4" t="s">
        <v>12</v>
      </c>
      <c r="R237" s="21">
        <v>192288.52</v>
      </c>
      <c r="S237" s="15">
        <f>R237*Supporting!$A$2</f>
        <v>1438418.1196304001</v>
      </c>
      <c r="T237" s="15">
        <f>S237/Supporting!$A$15</f>
        <v>17124.02523369524</v>
      </c>
      <c r="U237" s="22">
        <f>T237/365</f>
        <v>46.915137626562299</v>
      </c>
      <c r="V237" s="56"/>
      <c r="W237" s="32"/>
      <c r="X237"/>
      <c r="Y237"/>
      <c r="Z237"/>
      <c r="AA237"/>
    </row>
    <row r="238" spans="1:27" s="4" customFormat="1" x14ac:dyDescent="0.35">
      <c r="A238" s="10"/>
      <c r="B238" s="4" t="s">
        <v>16</v>
      </c>
      <c r="C238" s="19">
        <v>-4349.2</v>
      </c>
      <c r="D238" s="17">
        <f>ABS(C238/100/W$211)</f>
        <v>37.344220309344635</v>
      </c>
      <c r="E238" s="17">
        <f>D238/Supporting!$A$15</f>
        <v>0.44457405130172184</v>
      </c>
      <c r="F238" s="11">
        <f>ABS(C238/C241)</f>
        <v>5.501596053595301E-3</v>
      </c>
      <c r="G238" s="56"/>
      <c r="I238" s="15"/>
      <c r="J238" s="17"/>
      <c r="K238" s="56"/>
      <c r="M238" s="15"/>
      <c r="N238" s="15"/>
      <c r="O238" s="17"/>
      <c r="P238" s="56"/>
      <c r="Q238" s="4" t="s">
        <v>13</v>
      </c>
      <c r="R238" s="21">
        <f>R236-R237</f>
        <v>74346.66</v>
      </c>
      <c r="S238" s="15">
        <f>R238*Supporting!$A$2</f>
        <v>556151.67706320004</v>
      </c>
      <c r="T238" s="15">
        <f>S238/Supporting!$A$15</f>
        <v>6620.8532983714294</v>
      </c>
      <c r="U238" s="15">
        <f>T238/365</f>
        <v>18.139324105127205</v>
      </c>
      <c r="V238" s="56"/>
      <c r="W238" s="32"/>
      <c r="X238"/>
      <c r="Y238" s="4" t="s">
        <v>84</v>
      </c>
      <c r="Z238" s="33">
        <f>(N227-Z236)/N227</f>
        <v>0.25353616945227847</v>
      </c>
      <c r="AA238"/>
    </row>
    <row r="239" spans="1:27" s="4" customFormat="1" x14ac:dyDescent="0.35">
      <c r="A239" s="10"/>
      <c r="B239" s="4" t="s">
        <v>17</v>
      </c>
      <c r="C239" s="19">
        <v>132281.54</v>
      </c>
      <c r="D239" s="17">
        <f>ABS(C239/100/W$211)</f>
        <v>1135.8298014851894</v>
      </c>
      <c r="E239" s="17">
        <f>D239/Supporting!$A$15</f>
        <v>13.521783351014159</v>
      </c>
      <c r="F239" s="11">
        <f>ABS(C239/C241)</f>
        <v>0.16733183077980066</v>
      </c>
      <c r="G239" s="56"/>
      <c r="I239" s="15"/>
      <c r="J239" s="17"/>
      <c r="K239" s="56"/>
      <c r="M239" s="15"/>
      <c r="N239" s="15"/>
      <c r="O239" s="17"/>
      <c r="P239" s="56"/>
      <c r="R239" s="15"/>
      <c r="S239" s="15"/>
      <c r="T239" s="15"/>
      <c r="U239" s="15"/>
      <c r="V239" s="56"/>
      <c r="W239" s="32"/>
      <c r="X239"/>
      <c r="Y239"/>
      <c r="Z239"/>
      <c r="AA239"/>
    </row>
    <row r="240" spans="1:27" s="4" customFormat="1" x14ac:dyDescent="0.35">
      <c r="A240" s="10"/>
      <c r="B240" s="4" t="s">
        <v>54</v>
      </c>
      <c r="C240" s="19">
        <v>4757.45</v>
      </c>
      <c r="D240" s="17">
        <f>ABS(C240/100/W$211)</f>
        <v>40.849641522737898</v>
      </c>
      <c r="E240" s="17">
        <f>D240/Supporting!$A$15</f>
        <v>0.48630525622307019</v>
      </c>
      <c r="F240" s="60"/>
      <c r="G240" s="56"/>
      <c r="I240" s="15"/>
      <c r="J240" s="17"/>
      <c r="K240" s="56"/>
      <c r="M240" s="15"/>
      <c r="N240" s="15"/>
      <c r="O240" s="17"/>
      <c r="P240" s="56"/>
      <c r="R240" s="15"/>
      <c r="S240" s="15"/>
      <c r="T240" s="15"/>
      <c r="U240" s="15"/>
      <c r="V240" s="56"/>
      <c r="W240" s="32"/>
      <c r="X240"/>
      <c r="Y240"/>
      <c r="Z240"/>
      <c r="AA240"/>
    </row>
    <row r="241" spans="1:27" s="4" customFormat="1" x14ac:dyDescent="0.35">
      <c r="A241" s="10"/>
      <c r="B241" s="4" t="s">
        <v>29</v>
      </c>
      <c r="C241" s="17">
        <f>C237+C240</f>
        <v>790534.23</v>
      </c>
      <c r="D241" s="17">
        <f t="shared" ref="D241:E241" si="75">D237+D240</f>
        <v>6787.8884501053362</v>
      </c>
      <c r="E241" s="17">
        <f t="shared" si="75"/>
        <v>80.808195834587337</v>
      </c>
      <c r="F241" s="60"/>
      <c r="G241" s="56"/>
      <c r="I241" s="15"/>
      <c r="J241" s="17"/>
      <c r="K241" s="56"/>
      <c r="M241" s="15"/>
      <c r="N241" s="15"/>
      <c r="O241" s="17"/>
      <c r="P241" s="56"/>
      <c r="R241" s="15"/>
      <c r="S241" s="15"/>
      <c r="T241" s="15"/>
      <c r="U241" s="15"/>
      <c r="V241" s="56"/>
      <c r="W241" s="32"/>
      <c r="X241"/>
      <c r="Y241"/>
      <c r="Z241"/>
      <c r="AA241"/>
    </row>
    <row r="242" spans="1:27" s="4" customFormat="1" x14ac:dyDescent="0.35">
      <c r="A242" s="10"/>
      <c r="B242" s="6" t="s">
        <v>21</v>
      </c>
      <c r="C242" s="17">
        <f>C236-C238+C239</f>
        <v>816235.23</v>
      </c>
      <c r="D242" s="17">
        <f t="shared" ref="D242:E242" si="76">D236-D238+D239</f>
        <v>6933.8805498550973</v>
      </c>
      <c r="E242" s="17">
        <f t="shared" si="76"/>
        <v>82.546197022084485</v>
      </c>
      <c r="F242" s="11">
        <f>SUM(F236:F239)</f>
        <v>1.0325109261872192</v>
      </c>
      <c r="G242" s="57"/>
      <c r="I242" s="15"/>
      <c r="J242" s="17"/>
      <c r="K242" s="57"/>
      <c r="M242" s="15"/>
      <c r="N242" s="15"/>
      <c r="O242" s="17"/>
      <c r="P242" s="57"/>
      <c r="R242" s="15"/>
      <c r="S242" s="15"/>
      <c r="T242" s="15"/>
      <c r="U242" s="15"/>
      <c r="V242" s="57"/>
      <c r="W242" s="32"/>
      <c r="X242"/>
      <c r="Y242"/>
      <c r="Z242" s="27"/>
      <c r="AA242"/>
    </row>
    <row r="243" spans="1:27" s="4" customFormat="1" x14ac:dyDescent="0.35">
      <c r="A243" s="10"/>
      <c r="B243" s="6" t="s">
        <v>30</v>
      </c>
      <c r="C243" s="15">
        <f>C241-C242</f>
        <v>-25701</v>
      </c>
      <c r="D243" s="15">
        <f t="shared" ref="D243:E243" si="77">D241-D242</f>
        <v>-145.99209974976111</v>
      </c>
      <c r="E243" s="15">
        <f t="shared" si="77"/>
        <v>-1.7380011874971473</v>
      </c>
      <c r="F243" s="11">
        <f>ABS(C243/C241)</f>
        <v>3.2510926187218993E-2</v>
      </c>
      <c r="G243" s="57"/>
      <c r="I243" s="15"/>
      <c r="J243" s="17"/>
      <c r="K243" s="57"/>
      <c r="M243" s="15"/>
      <c r="N243" s="15"/>
      <c r="O243" s="17"/>
      <c r="P243" s="57"/>
      <c r="R243" s="15"/>
      <c r="S243" s="15"/>
      <c r="T243" s="15"/>
      <c r="U243" s="15"/>
      <c r="V243" s="57"/>
      <c r="W243" s="32"/>
      <c r="X243"/>
      <c r="Y243"/>
      <c r="Z243"/>
      <c r="AA243"/>
    </row>
    <row r="244" spans="1:27" s="4" customFormat="1" x14ac:dyDescent="0.35">
      <c r="A244" s="14"/>
      <c r="B244" s="13"/>
      <c r="C244" s="18"/>
      <c r="D244" s="18"/>
      <c r="E244" s="18"/>
      <c r="F244" s="60"/>
      <c r="G244" s="58"/>
      <c r="H244" s="13"/>
      <c r="I244" s="18"/>
      <c r="J244" s="18"/>
      <c r="K244" s="58"/>
      <c r="L244" s="13"/>
      <c r="M244" s="18"/>
      <c r="N244" s="18"/>
      <c r="O244" s="18"/>
      <c r="P244" s="58"/>
      <c r="Q244" s="13"/>
      <c r="R244" s="18"/>
      <c r="S244" s="18"/>
      <c r="T244" s="18"/>
      <c r="U244" s="18"/>
      <c r="V244" s="58"/>
      <c r="W244" s="32"/>
      <c r="X244"/>
      <c r="Y244"/>
      <c r="Z244"/>
      <c r="AA244"/>
    </row>
    <row r="245" spans="1:27" s="4" customFormat="1" x14ac:dyDescent="0.35">
      <c r="A245" s="10">
        <f>A220+1</f>
        <v>10</v>
      </c>
      <c r="B245" s="4" t="s">
        <v>14</v>
      </c>
      <c r="C245" s="17">
        <f>C227-C236</f>
        <v>45.21999999997206</v>
      </c>
      <c r="D245"/>
      <c r="E245"/>
      <c r="F245" s="61">
        <f>-C245/C227</f>
        <v>-6.653427395705364E-5</v>
      </c>
      <c r="G245" s="56"/>
      <c r="H245" s="4" t="s">
        <v>33</v>
      </c>
      <c r="I245" s="15">
        <f>I227-I236</f>
        <v>3906.6899999999996</v>
      </c>
      <c r="J245" s="17">
        <f>I245/Supporting!$A$15</f>
        <v>46.508214285714281</v>
      </c>
      <c r="K245" s="56"/>
      <c r="L245" s="4" t="s">
        <v>32</v>
      </c>
      <c r="M245" s="15">
        <f>M227-M236</f>
        <v>4234.9890943557584</v>
      </c>
      <c r="N245" s="15"/>
      <c r="O245" s="22">
        <f>M245/Supporting!$A$15</f>
        <v>50.41653683756855</v>
      </c>
      <c r="P245" s="56"/>
      <c r="Q245" s="4" t="s">
        <v>11</v>
      </c>
      <c r="R245" s="17">
        <f>R227-R236</f>
        <v>0</v>
      </c>
      <c r="S245" s="15">
        <f>R245*Supporting!$A$2</f>
        <v>0</v>
      </c>
      <c r="T245" s="15">
        <f>S245/Supporting!$A$15</f>
        <v>0</v>
      </c>
      <c r="U245" s="15">
        <f>T245/365</f>
        <v>0</v>
      </c>
      <c r="V245" s="56"/>
      <c r="W245" s="32"/>
      <c r="X245"/>
      <c r="Y245"/>
      <c r="Z245"/>
      <c r="AA245"/>
    </row>
    <row r="246" spans="1:27" s="4" customFormat="1" x14ac:dyDescent="0.35">
      <c r="A246" s="10" t="s">
        <v>141</v>
      </c>
      <c r="B246" s="4" t="s">
        <v>15</v>
      </c>
      <c r="C246" s="17">
        <f>C228-C237</f>
        <v>93882.989999999991</v>
      </c>
      <c r="D246"/>
      <c r="E246"/>
      <c r="F246" s="61">
        <f t="shared" ref="F246:F249" si="78">-C246/C228</f>
        <v>-0.10672647903404743</v>
      </c>
      <c r="G246" s="56"/>
      <c r="I246" s="15"/>
      <c r="J246" s="17"/>
      <c r="K246" s="56"/>
      <c r="M246" s="15"/>
      <c r="N246" s="15"/>
      <c r="O246" s="15"/>
      <c r="P246" s="56"/>
      <c r="Q246" s="4" t="s">
        <v>12</v>
      </c>
      <c r="R246" s="17">
        <f>R228-R237</f>
        <v>-8855.609999999986</v>
      </c>
      <c r="S246" s="15">
        <f>R246*Supporting!$A$2</f>
        <v>-66244.567717199898</v>
      </c>
      <c r="T246" s="15">
        <f>S246/Supporting!$A$15</f>
        <v>-788.6258061571416</v>
      </c>
      <c r="U246" s="15">
        <f>T246/365</f>
        <v>-2.1606186470058675</v>
      </c>
      <c r="V246" s="56"/>
      <c r="W246" s="32"/>
      <c r="X246"/>
      <c r="Y246"/>
      <c r="Z246"/>
      <c r="AA246"/>
    </row>
    <row r="247" spans="1:27" s="4" customFormat="1" x14ac:dyDescent="0.35">
      <c r="A247" s="10"/>
      <c r="B247" s="4" t="s">
        <v>16</v>
      </c>
      <c r="C247" s="17">
        <f>C229-C238</f>
        <v>110.39999999999964</v>
      </c>
      <c r="D247"/>
      <c r="E247"/>
      <c r="F247" s="61">
        <f t="shared" si="78"/>
        <v>2.604510710578457E-2</v>
      </c>
      <c r="G247" s="56"/>
      <c r="H247" s="4" t="s">
        <v>84</v>
      </c>
      <c r="I247" s="33">
        <f>I245/I227</f>
        <v>0.7270465275981367</v>
      </c>
      <c r="J247" s="15"/>
      <c r="K247" s="56"/>
      <c r="L247" s="4" t="s">
        <v>84</v>
      </c>
      <c r="M247" s="53">
        <f>M245/M227</f>
        <v>0.3851479172666456</v>
      </c>
      <c r="N247" s="15"/>
      <c r="O247" s="15"/>
      <c r="P247" s="56"/>
      <c r="Q247" s="4" t="s">
        <v>13</v>
      </c>
      <c r="R247" s="17">
        <f>R229-R238</f>
        <v>8855.609999999986</v>
      </c>
      <c r="S247" s="15">
        <f>R247*Supporting!$A$2</f>
        <v>66244.567717199898</v>
      </c>
      <c r="T247" s="15">
        <f>S247/Supporting!$A$15</f>
        <v>788.6258061571416</v>
      </c>
      <c r="U247" s="15">
        <f>T247/365</f>
        <v>2.1606186470058675</v>
      </c>
      <c r="V247" s="56"/>
      <c r="W247" s="32"/>
      <c r="X247"/>
      <c r="Y247"/>
      <c r="Z247"/>
      <c r="AA247"/>
    </row>
    <row r="248" spans="1:27" s="4" customFormat="1" x14ac:dyDescent="0.35">
      <c r="A248" s="10"/>
      <c r="B248" s="4" t="s">
        <v>17</v>
      </c>
      <c r="C248" s="17">
        <f>C230-C239</f>
        <v>80242.389999999985</v>
      </c>
      <c r="D248"/>
      <c r="E248"/>
      <c r="F248" s="61">
        <f t="shared" si="78"/>
        <v>-0.37756872837802308</v>
      </c>
      <c r="G248" s="56"/>
      <c r="I248" s="15"/>
      <c r="J248" s="15"/>
      <c r="K248" s="56"/>
      <c r="M248" s="15"/>
      <c r="N248" s="15"/>
      <c r="O248" s="15"/>
      <c r="P248" s="56"/>
      <c r="R248" s="15"/>
      <c r="S248" s="15"/>
      <c r="T248" s="15"/>
      <c r="U248" s="15"/>
      <c r="V248" s="56"/>
      <c r="W248" s="32"/>
      <c r="X248"/>
      <c r="Y248"/>
      <c r="Z248"/>
      <c r="AA248"/>
    </row>
    <row r="249" spans="1:27" s="4" customFormat="1" x14ac:dyDescent="0.35">
      <c r="A249" s="10"/>
      <c r="B249" s="4" t="s">
        <v>54</v>
      </c>
      <c r="C249" s="17">
        <f>C231-C240</f>
        <v>12672.119999999999</v>
      </c>
      <c r="D249"/>
      <c r="E249"/>
      <c r="F249" s="61">
        <f t="shared" si="78"/>
        <v>-0.72704719623031433</v>
      </c>
      <c r="G249" s="56"/>
      <c r="I249" s="15"/>
      <c r="J249" s="15"/>
      <c r="K249" s="56"/>
      <c r="M249" s="15"/>
      <c r="N249" s="15"/>
      <c r="O249" s="15"/>
      <c r="P249" s="56"/>
      <c r="Q249" s="4" t="s">
        <v>84</v>
      </c>
      <c r="R249" s="33">
        <f>R246/R228</f>
        <v>-4.8277105782163002E-2</v>
      </c>
      <c r="S249" s="15"/>
      <c r="T249" s="15"/>
      <c r="U249" s="15"/>
      <c r="V249" s="56"/>
      <c r="W249" s="32"/>
      <c r="X249"/>
      <c r="Y249"/>
      <c r="Z249"/>
      <c r="AA249"/>
    </row>
    <row r="250" spans="1:27" x14ac:dyDescent="0.35">
      <c r="G250" s="59"/>
      <c r="K250" s="59"/>
      <c r="P250" s="59"/>
      <c r="V250" s="59"/>
    </row>
    <row r="251" spans="1:27" x14ac:dyDescent="0.35">
      <c r="G251" s="59"/>
      <c r="K251" s="59"/>
      <c r="P251" s="59"/>
      <c r="V251" s="59"/>
    </row>
    <row r="252" spans="1:27" s="4" customFormat="1" x14ac:dyDescent="0.35">
      <c r="A252" s="10">
        <f>A227+1</f>
        <v>11</v>
      </c>
      <c r="B252" s="4" t="s">
        <v>14</v>
      </c>
      <c r="C252" s="16">
        <v>695827.35</v>
      </c>
      <c r="D252" s="17">
        <f>ABS(C252/100/W$202)</f>
        <v>8697.8419338423519</v>
      </c>
      <c r="E252" s="17">
        <f>D252/Supporting!$A$15</f>
        <v>103.54573730764704</v>
      </c>
      <c r="F252" s="11">
        <f>ABS(C252/C257)</f>
        <v>0.75134393550470102</v>
      </c>
      <c r="G252" s="56"/>
      <c r="H252" s="4" t="s">
        <v>33</v>
      </c>
      <c r="I252" s="16">
        <v>5378.03</v>
      </c>
      <c r="J252" s="17">
        <f>I252/Supporting!$A$15</f>
        <v>64.024166666666659</v>
      </c>
      <c r="K252" s="56"/>
      <c r="L252" s="4" t="s">
        <v>32</v>
      </c>
      <c r="M252" s="17">
        <f>N252/100</f>
        <v>11358.320100000001</v>
      </c>
      <c r="N252" s="16">
        <v>1135832.01</v>
      </c>
      <c r="O252" s="22">
        <f>M252/Supporting!$A$15</f>
        <v>135.21809642857144</v>
      </c>
      <c r="P252" s="56"/>
      <c r="Q252" s="4" t="s">
        <v>11</v>
      </c>
      <c r="R252" s="16">
        <v>266635.18</v>
      </c>
      <c r="S252" s="15">
        <f>R252*Supporting!$A$2</f>
        <v>1994569.7966936</v>
      </c>
      <c r="T252" s="15">
        <f>S252/Supporting!$A$15</f>
        <v>23744.878532066668</v>
      </c>
      <c r="U252" s="15">
        <f>T252/365</f>
        <v>65.0544617316895</v>
      </c>
      <c r="V252" s="56"/>
      <c r="W252" s="34">
        <f>C253/N252</f>
        <v>0.80000000176082375</v>
      </c>
      <c r="Y252"/>
      <c r="Z252"/>
      <c r="AA252"/>
    </row>
    <row r="253" spans="1:27" s="4" customFormat="1" x14ac:dyDescent="0.35">
      <c r="A253" s="10" t="s">
        <v>139</v>
      </c>
      <c r="B253" s="4" t="s">
        <v>15</v>
      </c>
      <c r="C253" s="16">
        <v>908665.61</v>
      </c>
      <c r="D253" s="17">
        <f>ABS(C253/100/W$202)</f>
        <v>11358.320201840932</v>
      </c>
      <c r="E253" s="17">
        <f>D253/Supporting!$A$15</f>
        <v>135.21809764096346</v>
      </c>
      <c r="F253" s="60"/>
      <c r="G253" s="56"/>
      <c r="I253" s="15"/>
      <c r="J253" s="17"/>
      <c r="K253" s="56"/>
      <c r="M253" s="15"/>
      <c r="O253" s="15"/>
      <c r="P253" s="56"/>
      <c r="Q253" s="4" t="s">
        <v>12</v>
      </c>
      <c r="R253" s="16">
        <v>184355.99</v>
      </c>
      <c r="S253" s="15">
        <f>R253*Supporting!$A$2</f>
        <v>1379078.6703148</v>
      </c>
      <c r="T253" s="15">
        <f>S253/Supporting!$A$15</f>
        <v>16417.603218033335</v>
      </c>
      <c r="U253" s="22">
        <f>T253/365</f>
        <v>44.979734843926948</v>
      </c>
      <c r="V253" s="56"/>
      <c r="W253" s="32"/>
    </row>
    <row r="254" spans="1:27" s="4" customFormat="1" x14ac:dyDescent="0.35">
      <c r="A254" s="10"/>
      <c r="B254" s="4" t="s">
        <v>16</v>
      </c>
      <c r="C254" s="16">
        <v>-4330.3999999999996</v>
      </c>
      <c r="D254" s="17">
        <f>ABS(C254/100/W$202)</f>
        <v>54.13000036619848</v>
      </c>
      <c r="E254" s="17">
        <f>D254/Supporting!$A$15</f>
        <v>0.64440476626426757</v>
      </c>
      <c r="F254" s="11">
        <f>ABS(C254/C257)</f>
        <v>4.6759009663956972E-3</v>
      </c>
      <c r="G254" s="56"/>
      <c r="I254" s="15"/>
      <c r="J254" s="17"/>
      <c r="K254" s="56"/>
      <c r="M254" s="15"/>
      <c r="N254" s="15"/>
      <c r="O254" s="15"/>
      <c r="P254" s="56"/>
      <c r="Q254" s="4" t="s">
        <v>13</v>
      </c>
      <c r="R254" s="16">
        <f>R252-R253</f>
        <v>82279.19</v>
      </c>
      <c r="S254" s="15">
        <f>R254*Supporting!$A$2</f>
        <v>615491.12637880002</v>
      </c>
      <c r="T254" s="15">
        <f>S254/Supporting!$A$15</f>
        <v>7327.2753140333334</v>
      </c>
      <c r="U254" s="15">
        <f>T254/365</f>
        <v>20.074726887762559</v>
      </c>
      <c r="V254" s="56"/>
      <c r="W254" s="32"/>
    </row>
    <row r="255" spans="1:27" s="4" customFormat="1" x14ac:dyDescent="0.35">
      <c r="A255" s="10"/>
      <c r="B255" s="4" t="s">
        <v>17</v>
      </c>
      <c r="C255" s="16">
        <v>224913.01</v>
      </c>
      <c r="D255" s="17">
        <f>ABS(C255/100/W$202)</f>
        <v>2811.412644019676</v>
      </c>
      <c r="E255" s="17">
        <f>D255/Supporting!$A$15</f>
        <v>33.469198143091383</v>
      </c>
      <c r="F255" s="11">
        <f>ABS(C255/C257)</f>
        <v>0.24285769462727813</v>
      </c>
      <c r="G255" s="56"/>
      <c r="I255" s="15"/>
      <c r="J255" s="17"/>
      <c r="K255" s="56"/>
      <c r="M255" s="15"/>
      <c r="N255" s="15"/>
      <c r="O255" s="15"/>
      <c r="P255" s="56"/>
      <c r="R255" s="15"/>
      <c r="S255" s="15"/>
      <c r="T255" s="15"/>
      <c r="U255" s="15"/>
      <c r="V255" s="56"/>
      <c r="W255" s="32"/>
    </row>
    <row r="256" spans="1:27" s="4" customFormat="1" x14ac:dyDescent="0.35">
      <c r="A256" s="10"/>
      <c r="B256" s="4" t="s">
        <v>54</v>
      </c>
      <c r="C256" s="16">
        <v>17444.68</v>
      </c>
      <c r="D256" s="17">
        <f>ABS(C256/100/W$202)</f>
        <v>218.05850147520215</v>
      </c>
      <c r="E256" s="17">
        <f>D256/Supporting!$A$15</f>
        <v>2.5959345413714541</v>
      </c>
      <c r="F256" s="60"/>
      <c r="G256" s="56"/>
      <c r="H256" s="39"/>
      <c r="I256" s="15"/>
      <c r="J256" s="17"/>
      <c r="K256" s="56"/>
      <c r="M256" s="15"/>
      <c r="N256" s="15"/>
      <c r="O256" s="15"/>
      <c r="P256" s="56"/>
      <c r="R256" s="15"/>
      <c r="S256" s="15"/>
      <c r="T256" s="15"/>
      <c r="U256" s="15"/>
      <c r="V256" s="56"/>
      <c r="W256" s="32"/>
    </row>
    <row r="257" spans="1:27" s="4" customFormat="1" x14ac:dyDescent="0.35">
      <c r="A257" s="10"/>
      <c r="B257" s="4" t="s">
        <v>29</v>
      </c>
      <c r="C257" s="17">
        <f>C253+C256</f>
        <v>926110.29</v>
      </c>
      <c r="D257" s="17">
        <f t="shared" ref="D257:E257" si="79">D253+D256</f>
        <v>11576.378703316133</v>
      </c>
      <c r="E257" s="17">
        <f t="shared" si="79"/>
        <v>137.81403218233493</v>
      </c>
      <c r="F257" s="60"/>
      <c r="G257" s="56"/>
      <c r="I257" s="15"/>
      <c r="J257" s="17"/>
      <c r="K257" s="56"/>
      <c r="M257" s="15"/>
      <c r="N257" s="15"/>
      <c r="O257" s="15"/>
      <c r="P257" s="56"/>
      <c r="R257" s="15"/>
      <c r="S257" s="15"/>
      <c r="T257" s="15"/>
      <c r="U257" s="15"/>
      <c r="V257" s="56"/>
      <c r="W257" s="32"/>
    </row>
    <row r="258" spans="1:27" s="4" customFormat="1" x14ac:dyDescent="0.35">
      <c r="A258" s="10"/>
      <c r="B258" s="6" t="s">
        <v>21</v>
      </c>
      <c r="C258" s="17">
        <f>C252-C254+C255</f>
        <v>925070.76</v>
      </c>
      <c r="D258" s="17">
        <f t="shared" ref="D258:E258" si="80">D252-D254+D255</f>
        <v>11455.12457749583</v>
      </c>
      <c r="E258" s="17">
        <f t="shared" si="80"/>
        <v>136.37053068447415</v>
      </c>
      <c r="F258" s="11">
        <f>SUM(F252:F255)</f>
        <v>0.99887753109837485</v>
      </c>
      <c r="G258" s="57"/>
      <c r="I258" s="15"/>
      <c r="J258" s="17"/>
      <c r="K258" s="57"/>
      <c r="M258" s="15"/>
      <c r="N258" s="15"/>
      <c r="O258" s="15"/>
      <c r="P258" s="57"/>
      <c r="R258" s="15"/>
      <c r="S258" s="15"/>
      <c r="T258" s="15"/>
      <c r="U258" s="15"/>
      <c r="V258" s="57"/>
      <c r="W258" s="32"/>
      <c r="X258"/>
      <c r="Y258"/>
      <c r="Z258"/>
      <c r="AA258"/>
    </row>
    <row r="259" spans="1:27" s="4" customFormat="1" x14ac:dyDescent="0.35">
      <c r="A259" s="10"/>
      <c r="B259" s="6" t="s">
        <v>30</v>
      </c>
      <c r="C259" s="15">
        <f>C257-C258</f>
        <v>1039.5300000000279</v>
      </c>
      <c r="D259" s="15">
        <f t="shared" ref="D259:E259" si="81">D257-D258</f>
        <v>121.25412582030367</v>
      </c>
      <c r="E259" s="15">
        <f t="shared" si="81"/>
        <v>1.4435014978607796</v>
      </c>
      <c r="F259" s="11">
        <f>ABS(C259/C257)</f>
        <v>1.1224689016251272E-3</v>
      </c>
      <c r="G259" s="57"/>
      <c r="I259" s="15"/>
      <c r="J259" s="17"/>
      <c r="K259" s="57"/>
      <c r="M259" s="15"/>
      <c r="N259" s="15"/>
      <c r="O259" s="15"/>
      <c r="P259" s="57"/>
      <c r="R259" s="15"/>
      <c r="S259" s="15"/>
      <c r="T259" s="15"/>
      <c r="U259" s="15"/>
      <c r="V259" s="57"/>
      <c r="W259" s="32"/>
      <c r="X259"/>
      <c r="Y259"/>
      <c r="Z259"/>
      <c r="AA259"/>
    </row>
    <row r="260" spans="1:27" s="4" customFormat="1" x14ac:dyDescent="0.35">
      <c r="A260" s="14"/>
      <c r="B260" s="13"/>
      <c r="C260" s="18"/>
      <c r="D260" s="18"/>
      <c r="E260" s="18"/>
      <c r="F260" s="60"/>
      <c r="G260" s="56"/>
      <c r="H260" s="13"/>
      <c r="I260" s="18"/>
      <c r="J260" s="18"/>
      <c r="K260" s="56"/>
      <c r="L260" s="13"/>
      <c r="M260" s="18"/>
      <c r="N260" s="18"/>
      <c r="O260" s="18"/>
      <c r="P260" s="56"/>
      <c r="Q260" s="13"/>
      <c r="R260" s="18"/>
      <c r="S260" s="18"/>
      <c r="T260" s="18"/>
      <c r="U260" s="18"/>
      <c r="V260" s="56"/>
      <c r="W260" s="32"/>
      <c r="X260"/>
      <c r="Y260"/>
      <c r="Z260"/>
      <c r="AA260"/>
    </row>
    <row r="261" spans="1:27" s="4" customFormat="1" x14ac:dyDescent="0.35">
      <c r="A261" s="10">
        <f>A236+1</f>
        <v>11</v>
      </c>
      <c r="B261" s="4" t="s">
        <v>14</v>
      </c>
      <c r="C261" s="19">
        <v>695780.27</v>
      </c>
      <c r="D261" s="17">
        <f>ABS(C261/100/W$211)</f>
        <v>5974.2876137623689</v>
      </c>
      <c r="E261" s="17">
        <f>D261/Supporting!$A$15</f>
        <v>71.122471592409156</v>
      </c>
      <c r="F261" s="11">
        <f>ABS(C261/C266)</f>
        <v>0.85014628783507207</v>
      </c>
      <c r="G261" s="56"/>
      <c r="H261" s="4" t="s">
        <v>33</v>
      </c>
      <c r="I261" s="21">
        <v>1519.69</v>
      </c>
      <c r="J261" s="17">
        <f>I261/Supporting!$A$15</f>
        <v>18.091547619047621</v>
      </c>
      <c r="K261" s="56"/>
      <c r="L261" s="4" t="s">
        <v>32</v>
      </c>
      <c r="M261" s="17">
        <f>N261/100</f>
        <v>7134.0388073312424</v>
      </c>
      <c r="N261" s="52">
        <v>713403.88073312421</v>
      </c>
      <c r="O261" s="22">
        <f>M261/Supporting!$A$15</f>
        <v>84.929033420610025</v>
      </c>
      <c r="P261" s="56"/>
      <c r="Q261" s="4" t="s">
        <v>11</v>
      </c>
      <c r="R261" s="21">
        <v>266635.18</v>
      </c>
      <c r="S261" s="15">
        <f>R261*Supporting!$A$2</f>
        <v>1994569.7966936</v>
      </c>
      <c r="T261" s="15">
        <f>S261/Supporting!$A$15</f>
        <v>23744.878532066668</v>
      </c>
      <c r="U261" s="15">
        <f>T261/365</f>
        <v>65.0544617316895</v>
      </c>
      <c r="V261" s="56"/>
      <c r="W261" s="54">
        <f>C262/N261</f>
        <v>1.1403004552821021</v>
      </c>
      <c r="X261" s="45"/>
      <c r="Y261" s="17">
        <f>Z261/100</f>
        <v>8533.9628000000012</v>
      </c>
      <c r="Z261" s="46">
        <v>853396.28</v>
      </c>
      <c r="AA261" s="17">
        <f>Y261/Supporting!$A$15</f>
        <v>101.59479523809526</v>
      </c>
    </row>
    <row r="262" spans="1:27" s="4" customFormat="1" x14ac:dyDescent="0.35">
      <c r="A262" s="10" t="s">
        <v>140</v>
      </c>
      <c r="B262" s="4" t="s">
        <v>15</v>
      </c>
      <c r="C262" s="19">
        <v>813494.77</v>
      </c>
      <c r="D262" s="17">
        <f>ABS(C262/100/W$211)</f>
        <v>6985.0381475626891</v>
      </c>
      <c r="E262" s="17">
        <f>D262/Supporting!$A$15</f>
        <v>83.15521604241296</v>
      </c>
      <c r="F262" s="60"/>
      <c r="G262" s="56"/>
      <c r="I262" s="15"/>
      <c r="J262" s="17"/>
      <c r="K262" s="56"/>
      <c r="M262" s="15"/>
      <c r="N262" s="15"/>
      <c r="O262" s="17"/>
      <c r="P262" s="56"/>
      <c r="Q262" s="4" t="s">
        <v>12</v>
      </c>
      <c r="R262" s="21">
        <v>193738.79</v>
      </c>
      <c r="S262" s="15">
        <f>R262*Supporting!$A$2</f>
        <v>1449266.8933708002</v>
      </c>
      <c r="T262" s="15">
        <f>S262/Supporting!$A$15</f>
        <v>17253.177302033335</v>
      </c>
      <c r="U262" s="22">
        <f>T262/365</f>
        <v>47.268978909680371</v>
      </c>
      <c r="V262" s="56"/>
      <c r="W262" s="32"/>
      <c r="X262"/>
      <c r="Y262"/>
      <c r="Z262"/>
      <c r="AA262"/>
    </row>
    <row r="263" spans="1:27" s="4" customFormat="1" x14ac:dyDescent="0.35">
      <c r="A263" s="10"/>
      <c r="B263" s="4" t="s">
        <v>16</v>
      </c>
      <c r="C263" s="19">
        <v>-4445.5</v>
      </c>
      <c r="D263" s="17">
        <f>ABS(C263/100/W$211)</f>
        <v>38.171096152209962</v>
      </c>
      <c r="E263" s="17">
        <f>D263/Supporting!$A$15</f>
        <v>0.45441781133583287</v>
      </c>
      <c r="F263" s="11">
        <f>ABS(C263/C266)</f>
        <v>5.4317799534195086E-3</v>
      </c>
      <c r="G263" s="56"/>
      <c r="I263" s="15"/>
      <c r="J263" s="17"/>
      <c r="K263" s="56"/>
      <c r="M263" s="15"/>
      <c r="N263" s="15"/>
      <c r="O263" s="17"/>
      <c r="P263" s="56"/>
      <c r="Q263" s="4" t="s">
        <v>13</v>
      </c>
      <c r="R263" s="21">
        <f>R261-R262</f>
        <v>72896.389999999985</v>
      </c>
      <c r="S263" s="15">
        <f>R263*Supporting!$A$2</f>
        <v>545302.90332279995</v>
      </c>
      <c r="T263" s="15">
        <f>S263/Supporting!$A$15</f>
        <v>6491.7012300333326</v>
      </c>
      <c r="U263" s="15">
        <f>T263/365</f>
        <v>17.785482822009129</v>
      </c>
      <c r="V263" s="56"/>
      <c r="W263" s="32"/>
      <c r="X263"/>
      <c r="Y263" s="4" t="s">
        <v>84</v>
      </c>
      <c r="Z263" s="33">
        <f>(N252-Z261)/N252</f>
        <v>0.24865977320008792</v>
      </c>
      <c r="AA263"/>
    </row>
    <row r="264" spans="1:27" s="4" customFormat="1" x14ac:dyDescent="0.35">
      <c r="A264" s="10"/>
      <c r="B264" s="4" t="s">
        <v>17</v>
      </c>
      <c r="C264" s="19">
        <v>143731.82999999999</v>
      </c>
      <c r="D264" s="17">
        <f>ABS(C264/100/W$211)</f>
        <v>1234.1472282224938</v>
      </c>
      <c r="E264" s="17">
        <f>D264/Supporting!$A$15</f>
        <v>14.692228907410641</v>
      </c>
      <c r="F264" s="11">
        <f>ABS(C264/C266)</f>
        <v>0.1756202165925769</v>
      </c>
      <c r="G264" s="56"/>
      <c r="I264" s="15"/>
      <c r="J264" s="17"/>
      <c r="K264" s="56"/>
      <c r="M264" s="15"/>
      <c r="N264" s="15"/>
      <c r="O264" s="17"/>
      <c r="P264" s="56"/>
      <c r="R264" s="15"/>
      <c r="S264" s="15"/>
      <c r="T264" s="15"/>
      <c r="U264" s="15"/>
      <c r="V264" s="56"/>
      <c r="W264" s="32"/>
      <c r="X264"/>
      <c r="Y264"/>
      <c r="Z264"/>
      <c r="AA264"/>
    </row>
    <row r="265" spans="1:27" s="4" customFormat="1" x14ac:dyDescent="0.35">
      <c r="A265" s="10"/>
      <c r="B265" s="4" t="s">
        <v>54</v>
      </c>
      <c r="C265" s="19">
        <v>4929.3999999999996</v>
      </c>
      <c r="D265" s="17">
        <f>ABS(C265/100/W$211)</f>
        <v>42.326082864178112</v>
      </c>
      <c r="E265" s="17">
        <f>D265/Supporting!$A$15</f>
        <v>0.50388193885926325</v>
      </c>
      <c r="F265" s="60"/>
      <c r="G265" s="56"/>
      <c r="I265" s="15"/>
      <c r="J265" s="17"/>
      <c r="K265" s="56"/>
      <c r="M265" s="15"/>
      <c r="N265" s="15"/>
      <c r="O265" s="17"/>
      <c r="P265" s="56"/>
      <c r="R265" s="15"/>
      <c r="S265" s="15"/>
      <c r="T265" s="15"/>
      <c r="U265" s="15"/>
      <c r="V265" s="56"/>
      <c r="W265" s="32"/>
      <c r="X265"/>
      <c r="Y265"/>
      <c r="Z265"/>
      <c r="AA265"/>
    </row>
    <row r="266" spans="1:27" s="4" customFormat="1" x14ac:dyDescent="0.35">
      <c r="A266" s="10"/>
      <c r="B266" s="4" t="s">
        <v>29</v>
      </c>
      <c r="C266" s="17">
        <f>C262+C265</f>
        <v>818424.17</v>
      </c>
      <c r="D266" s="17">
        <f t="shared" ref="D266:E266" si="82">D262+D265</f>
        <v>7027.3642304268669</v>
      </c>
      <c r="E266" s="17">
        <f t="shared" si="82"/>
        <v>83.659097981272225</v>
      </c>
      <c r="F266" s="60"/>
      <c r="G266" s="56"/>
      <c r="I266" s="15"/>
      <c r="J266" s="17"/>
      <c r="K266" s="56"/>
      <c r="M266" s="15"/>
      <c r="N266" s="15"/>
      <c r="O266" s="17"/>
      <c r="P266" s="56"/>
      <c r="R266" s="15"/>
      <c r="S266" s="15"/>
      <c r="T266" s="15"/>
      <c r="U266" s="15"/>
      <c r="V266" s="56"/>
      <c r="W266" s="32"/>
      <c r="X266"/>
      <c r="Y266"/>
      <c r="Z266"/>
      <c r="AA266"/>
    </row>
    <row r="267" spans="1:27" s="4" customFormat="1" x14ac:dyDescent="0.35">
      <c r="A267" s="10"/>
      <c r="B267" s="6" t="s">
        <v>21</v>
      </c>
      <c r="C267" s="17">
        <f>C261-C263+C264</f>
        <v>843957.6</v>
      </c>
      <c r="D267" s="17">
        <f t="shared" ref="D267:E267" si="83">D261-D263+D264</f>
        <v>7170.2637458326526</v>
      </c>
      <c r="E267" s="17">
        <f t="shared" si="83"/>
        <v>85.360282688483963</v>
      </c>
      <c r="F267" s="11">
        <f>SUM(F261:F264)</f>
        <v>1.0311982843810685</v>
      </c>
      <c r="G267" s="57"/>
      <c r="I267" s="15"/>
      <c r="J267" s="17"/>
      <c r="K267" s="57"/>
      <c r="M267" s="15"/>
      <c r="N267" s="15"/>
      <c r="O267" s="17"/>
      <c r="P267" s="57"/>
      <c r="R267" s="15"/>
      <c r="S267" s="15"/>
      <c r="T267" s="15"/>
      <c r="U267" s="15"/>
      <c r="V267" s="57"/>
      <c r="W267" s="32"/>
      <c r="X267"/>
      <c r="Y267"/>
      <c r="Z267" s="27"/>
      <c r="AA267"/>
    </row>
    <row r="268" spans="1:27" s="4" customFormat="1" x14ac:dyDescent="0.35">
      <c r="A268" s="10"/>
      <c r="B268" s="6" t="s">
        <v>30</v>
      </c>
      <c r="C268" s="15">
        <f>C266-C267</f>
        <v>-25533.429999999935</v>
      </c>
      <c r="D268" s="15">
        <f t="shared" ref="D268:E268" si="84">D266-D267</f>
        <v>-142.89951540578568</v>
      </c>
      <c r="E268" s="15">
        <f t="shared" si="84"/>
        <v>-1.7011847072117376</v>
      </c>
      <c r="F268" s="11">
        <f>ABS(C268/C266)</f>
        <v>3.1198284381068479E-2</v>
      </c>
      <c r="G268" s="57"/>
      <c r="I268" s="15"/>
      <c r="J268" s="17"/>
      <c r="K268" s="57"/>
      <c r="M268" s="15"/>
      <c r="N268" s="15"/>
      <c r="O268" s="17"/>
      <c r="P268" s="57"/>
      <c r="R268" s="15"/>
      <c r="S268" s="15"/>
      <c r="T268" s="15"/>
      <c r="U268" s="15"/>
      <c r="V268" s="57"/>
      <c r="W268" s="32"/>
      <c r="X268"/>
      <c r="Y268"/>
      <c r="Z268"/>
      <c r="AA268"/>
    </row>
    <row r="269" spans="1:27" s="4" customFormat="1" x14ac:dyDescent="0.35">
      <c r="A269" s="14"/>
      <c r="B269" s="13"/>
      <c r="C269" s="18"/>
      <c r="D269" s="18"/>
      <c r="E269" s="18"/>
      <c r="F269" s="60"/>
      <c r="G269" s="58"/>
      <c r="H269" s="13"/>
      <c r="I269" s="18"/>
      <c r="J269" s="18"/>
      <c r="K269" s="58"/>
      <c r="L269" s="13"/>
      <c r="M269" s="18"/>
      <c r="N269" s="18"/>
      <c r="O269" s="18"/>
      <c r="P269" s="58"/>
      <c r="Q269" s="13"/>
      <c r="R269" s="18"/>
      <c r="S269" s="18"/>
      <c r="T269" s="18"/>
      <c r="U269" s="18"/>
      <c r="V269" s="58"/>
      <c r="W269" s="32"/>
      <c r="X269"/>
      <c r="Y269"/>
      <c r="Z269"/>
      <c r="AA269"/>
    </row>
    <row r="270" spans="1:27" s="4" customFormat="1" x14ac:dyDescent="0.35">
      <c r="A270" s="10">
        <f>A245+1</f>
        <v>11</v>
      </c>
      <c r="B270" s="4" t="s">
        <v>14</v>
      </c>
      <c r="C270" s="17">
        <f>C252-C261</f>
        <v>47.07999999995809</v>
      </c>
      <c r="D270"/>
      <c r="E270"/>
      <c r="F270" s="61">
        <f>-C270/C252</f>
        <v>-6.7660462038403766E-5</v>
      </c>
      <c r="G270" s="56"/>
      <c r="H270" s="4" t="s">
        <v>33</v>
      </c>
      <c r="I270" s="15">
        <f>I252-I261</f>
        <v>3858.3399999999997</v>
      </c>
      <c r="J270" s="17">
        <f>I270/Supporting!$A$15</f>
        <v>45.932619047619042</v>
      </c>
      <c r="K270" s="56"/>
      <c r="L270" s="4" t="s">
        <v>32</v>
      </c>
      <c r="M270" s="15">
        <f>M252-M261</f>
        <v>4224.2812926687584</v>
      </c>
      <c r="N270" s="15"/>
      <c r="O270" s="22">
        <f>M270/Supporting!$A$15</f>
        <v>50.28906300796141</v>
      </c>
      <c r="P270" s="56"/>
      <c r="Q270" s="4" t="s">
        <v>11</v>
      </c>
      <c r="R270" s="17">
        <f>R252-R261</f>
        <v>0</v>
      </c>
      <c r="S270" s="15">
        <f>R270*Supporting!$A$2</f>
        <v>0</v>
      </c>
      <c r="T270" s="15">
        <f>S270/Supporting!$A$15</f>
        <v>0</v>
      </c>
      <c r="U270" s="15">
        <f>T270/365</f>
        <v>0</v>
      </c>
      <c r="V270" s="56"/>
      <c r="W270" s="32"/>
      <c r="X270"/>
      <c r="Y270"/>
      <c r="Z270"/>
      <c r="AA270"/>
    </row>
    <row r="271" spans="1:27" s="4" customFormat="1" x14ac:dyDescent="0.35">
      <c r="A271" s="10" t="s">
        <v>141</v>
      </c>
      <c r="B271" s="4" t="s">
        <v>15</v>
      </c>
      <c r="C271" s="17">
        <f>C253-C262</f>
        <v>95170.839999999967</v>
      </c>
      <c r="D271"/>
      <c r="E271"/>
      <c r="F271" s="61">
        <f t="shared" ref="F271:F274" si="85">-C271/C253</f>
        <v>-0.10473692296993607</v>
      </c>
      <c r="G271" s="56"/>
      <c r="I271" s="15"/>
      <c r="J271" s="17"/>
      <c r="K271" s="56"/>
      <c r="M271" s="15"/>
      <c r="N271" s="15"/>
      <c r="O271" s="15"/>
      <c r="P271" s="56"/>
      <c r="Q271" s="4" t="s">
        <v>12</v>
      </c>
      <c r="R271" s="17">
        <f>R253-R262</f>
        <v>-9382.8000000000175</v>
      </c>
      <c r="S271" s="15">
        <f>R271*Supporting!$A$2</f>
        <v>-70188.223056000134</v>
      </c>
      <c r="T271" s="15">
        <f>S271/Supporting!$A$15</f>
        <v>-835.57408400000156</v>
      </c>
      <c r="U271" s="15">
        <f>T271/365</f>
        <v>-2.289244065753429</v>
      </c>
      <c r="V271" s="56"/>
      <c r="W271" s="32"/>
      <c r="X271"/>
      <c r="Y271"/>
      <c r="Z271"/>
      <c r="AA271"/>
    </row>
    <row r="272" spans="1:27" s="4" customFormat="1" x14ac:dyDescent="0.35">
      <c r="A272" s="10"/>
      <c r="B272" s="4" t="s">
        <v>16</v>
      </c>
      <c r="C272" s="17">
        <f>C254-C263</f>
        <v>115.10000000000036</v>
      </c>
      <c r="D272"/>
      <c r="E272"/>
      <c r="F272" s="61">
        <f t="shared" si="85"/>
        <v>2.6579530759283293E-2</v>
      </c>
      <c r="G272" s="56"/>
      <c r="H272" s="4" t="s">
        <v>84</v>
      </c>
      <c r="I272" s="33">
        <f>I270/I252</f>
        <v>0.71742626947041943</v>
      </c>
      <c r="J272" s="15"/>
      <c r="K272" s="56"/>
      <c r="L272" s="4" t="s">
        <v>84</v>
      </c>
      <c r="M272" s="53">
        <f>M270/M252</f>
        <v>0.37191074520507289</v>
      </c>
      <c r="N272" s="15"/>
      <c r="O272" s="15"/>
      <c r="P272" s="56"/>
      <c r="Q272" s="4" t="s">
        <v>13</v>
      </c>
      <c r="R272" s="17">
        <f>R254-R263</f>
        <v>9382.8000000000175</v>
      </c>
      <c r="S272" s="15">
        <f>R272*Supporting!$A$2</f>
        <v>70188.223056000134</v>
      </c>
      <c r="T272" s="15">
        <f>S272/Supporting!$A$15</f>
        <v>835.57408400000156</v>
      </c>
      <c r="U272" s="15">
        <f>T272/365</f>
        <v>2.289244065753429</v>
      </c>
      <c r="V272" s="56"/>
      <c r="W272" s="32"/>
      <c r="X272"/>
      <c r="Y272"/>
      <c r="Z272"/>
      <c r="AA272"/>
    </row>
    <row r="273" spans="1:27" s="4" customFormat="1" x14ac:dyDescent="0.35">
      <c r="A273" s="10"/>
      <c r="B273" s="4" t="s">
        <v>17</v>
      </c>
      <c r="C273" s="17">
        <f>C255-C264</f>
        <v>81181.180000000022</v>
      </c>
      <c r="D273"/>
      <c r="E273"/>
      <c r="F273" s="61">
        <f t="shared" si="85"/>
        <v>-0.36094479372269311</v>
      </c>
      <c r="G273" s="56"/>
      <c r="I273" s="15"/>
      <c r="J273" s="15"/>
      <c r="K273" s="56"/>
      <c r="M273" s="15"/>
      <c r="N273" s="15"/>
      <c r="O273" s="15"/>
      <c r="P273" s="56"/>
      <c r="R273" s="15"/>
      <c r="S273" s="15"/>
      <c r="T273" s="15"/>
      <c r="U273" s="15"/>
      <c r="V273" s="56"/>
      <c r="W273" s="32"/>
      <c r="X273"/>
      <c r="Y273"/>
      <c r="Z273"/>
      <c r="AA273"/>
    </row>
    <row r="274" spans="1:27" s="4" customFormat="1" x14ac:dyDescent="0.35">
      <c r="A274" s="10"/>
      <c r="B274" s="4" t="s">
        <v>54</v>
      </c>
      <c r="C274" s="17">
        <f>C256-C265</f>
        <v>12515.28</v>
      </c>
      <c r="D274"/>
      <c r="E274"/>
      <c r="F274" s="61">
        <f t="shared" si="85"/>
        <v>-0.71742674557515529</v>
      </c>
      <c r="G274" s="56"/>
      <c r="I274" s="15"/>
      <c r="J274" s="15"/>
      <c r="K274" s="56"/>
      <c r="M274" s="15"/>
      <c r="N274" s="15"/>
      <c r="O274" s="15"/>
      <c r="P274" s="56"/>
      <c r="Q274" s="4" t="s">
        <v>84</v>
      </c>
      <c r="R274" s="33">
        <f>R271/R253</f>
        <v>-5.0895010246209078E-2</v>
      </c>
      <c r="S274" s="15"/>
      <c r="T274" s="15"/>
      <c r="U274" s="15"/>
      <c r="V274" s="56"/>
      <c r="W274" s="32"/>
      <c r="X274"/>
      <c r="Y274"/>
      <c r="Z274"/>
      <c r="AA274"/>
    </row>
    <row r="275" spans="1:27" x14ac:dyDescent="0.35">
      <c r="G275" s="59"/>
      <c r="K275" s="59"/>
      <c r="P275" s="59"/>
      <c r="V275" s="59"/>
    </row>
    <row r="276" spans="1:27" x14ac:dyDescent="0.35">
      <c r="G276" s="59"/>
      <c r="K276" s="59"/>
      <c r="P276" s="59"/>
      <c r="V276" s="59"/>
    </row>
    <row r="277" spans="1:27" s="4" customFormat="1" x14ac:dyDescent="0.35">
      <c r="A277" s="10">
        <f>A252+1</f>
        <v>12</v>
      </c>
      <c r="B277" s="4" t="s">
        <v>14</v>
      </c>
      <c r="C277" s="16">
        <v>734052.81</v>
      </c>
      <c r="D277" s="17">
        <f>ABS(C277/100/W$202)</f>
        <v>9175.6601870748727</v>
      </c>
      <c r="E277" s="17">
        <f>D277/Supporting!$A$15</f>
        <v>109.23404984612944</v>
      </c>
      <c r="F277" s="11">
        <f>ABS(C277/C282)</f>
        <v>0.75922268182343988</v>
      </c>
      <c r="G277" s="56"/>
      <c r="H277" s="4" t="s">
        <v>33</v>
      </c>
      <c r="I277" s="16">
        <v>5413.22</v>
      </c>
      <c r="J277" s="17">
        <f>I277/Supporting!$A$15</f>
        <v>64.443095238095239</v>
      </c>
      <c r="K277" s="56"/>
      <c r="L277" s="4" t="s">
        <v>32</v>
      </c>
      <c r="M277" s="17">
        <f>N277/100</f>
        <v>11866.1124</v>
      </c>
      <c r="N277" s="16">
        <v>1186611.24</v>
      </c>
      <c r="O277" s="22">
        <f>M277/Supporting!$A$15</f>
        <v>141.26324285714287</v>
      </c>
      <c r="P277" s="56"/>
      <c r="Q277" s="4" t="s">
        <v>11</v>
      </c>
      <c r="R277" s="16">
        <v>266635.18</v>
      </c>
      <c r="S277" s="15">
        <f>R277*Supporting!$A$2</f>
        <v>1994569.7966936</v>
      </c>
      <c r="T277" s="15">
        <f>S277/Supporting!$A$15</f>
        <v>23744.878532066668</v>
      </c>
      <c r="U277" s="15">
        <f>T277/365</f>
        <v>65.0544617316895</v>
      </c>
      <c r="V277" s="56"/>
      <c r="W277" s="34">
        <f>C278/N277</f>
        <v>0.79999999831452806</v>
      </c>
      <c r="Y277"/>
      <c r="Z277"/>
      <c r="AA277"/>
    </row>
    <row r="278" spans="1:27" s="4" customFormat="1" x14ac:dyDescent="0.35">
      <c r="A278" s="10" t="s">
        <v>139</v>
      </c>
      <c r="B278" s="4" t="s">
        <v>15</v>
      </c>
      <c r="C278" s="16">
        <v>949288.99</v>
      </c>
      <c r="D278" s="17">
        <f>ABS(C278/100/W$202)</f>
        <v>11866.11245527623</v>
      </c>
      <c r="E278" s="17">
        <f>D278/Supporting!$A$15</f>
        <v>141.26324351519321</v>
      </c>
      <c r="F278" s="60"/>
      <c r="G278" s="56"/>
      <c r="I278" s="15"/>
      <c r="J278" s="17"/>
      <c r="K278" s="56"/>
      <c r="M278" s="15"/>
      <c r="O278" s="15"/>
      <c r="P278" s="56"/>
      <c r="Q278" s="4" t="s">
        <v>12</v>
      </c>
      <c r="R278" s="16">
        <v>189093.91</v>
      </c>
      <c r="S278" s="15">
        <f>R278*Supporting!$A$2</f>
        <v>1414520.7756332001</v>
      </c>
      <c r="T278" s="15">
        <f>S278/Supporting!$A$15</f>
        <v>16839.533043252381</v>
      </c>
      <c r="U278" s="22">
        <f>T278/365</f>
        <v>46.135706967814741</v>
      </c>
      <c r="V278" s="56"/>
      <c r="W278" s="32"/>
    </row>
    <row r="279" spans="1:27" s="4" customFormat="1" x14ac:dyDescent="0.35">
      <c r="A279" s="10"/>
      <c r="B279" s="4" t="s">
        <v>16</v>
      </c>
      <c r="C279" s="16">
        <v>-4496.7</v>
      </c>
      <c r="D279" s="17">
        <f>ABS(C279/100/W$202)</f>
        <v>56.20875038026157</v>
      </c>
      <c r="E279" s="17">
        <f>D279/Supporting!$A$15</f>
        <v>0.66915179024120919</v>
      </c>
      <c r="F279" s="11">
        <f>ABS(C279/C282)</f>
        <v>4.6508869482503054E-3</v>
      </c>
      <c r="G279" s="56"/>
      <c r="I279" s="15"/>
      <c r="J279" s="17"/>
      <c r="K279" s="56"/>
      <c r="M279" s="15"/>
      <c r="N279" s="15"/>
      <c r="O279" s="15"/>
      <c r="P279" s="56"/>
      <c r="Q279" s="4" t="s">
        <v>13</v>
      </c>
      <c r="R279" s="16">
        <f>R277-R278</f>
        <v>77541.26999999999</v>
      </c>
      <c r="S279" s="15">
        <f>R279*Supporting!$A$2</f>
        <v>580049.02106039994</v>
      </c>
      <c r="T279" s="15">
        <f>S279/Supporting!$A$15</f>
        <v>6905.3454888142851</v>
      </c>
      <c r="U279" s="15">
        <f>T279/365</f>
        <v>18.918754763874755</v>
      </c>
      <c r="V279" s="56"/>
      <c r="W279" s="32"/>
    </row>
    <row r="280" spans="1:27" s="4" customFormat="1" x14ac:dyDescent="0.35">
      <c r="A280" s="10"/>
      <c r="B280" s="4" t="s">
        <v>17</v>
      </c>
      <c r="C280" s="16">
        <v>227862.2</v>
      </c>
      <c r="D280" s="17">
        <f>ABS(C280/100/W$202)</f>
        <v>2848.2775192690729</v>
      </c>
      <c r="E280" s="17">
        <f>D280/Supporting!$A$15</f>
        <v>33.9080657055842</v>
      </c>
      <c r="F280" s="11">
        <f>ABS(C280/C282)</f>
        <v>0.23567534680534635</v>
      </c>
      <c r="G280" s="56"/>
      <c r="I280" s="15"/>
      <c r="J280" s="17"/>
      <c r="K280" s="56"/>
      <c r="M280" s="15"/>
      <c r="N280" s="15"/>
      <c r="O280" s="15"/>
      <c r="P280" s="56"/>
      <c r="R280" s="15"/>
      <c r="S280" s="15"/>
      <c r="T280" s="15"/>
      <c r="U280" s="15"/>
      <c r="V280" s="56"/>
      <c r="W280" s="32"/>
    </row>
    <row r="281" spans="1:27" s="4" customFormat="1" x14ac:dyDescent="0.35">
      <c r="A281" s="10"/>
      <c r="B281" s="4" t="s">
        <v>54</v>
      </c>
      <c r="C281" s="16">
        <v>17558.849999999999</v>
      </c>
      <c r="D281" s="17">
        <f>ABS(C281/100/W$202)</f>
        <v>219.48562648485685</v>
      </c>
      <c r="E281" s="17">
        <f>D281/Supporting!$A$15</f>
        <v>2.6129241248197244</v>
      </c>
      <c r="F281" s="60"/>
      <c r="G281" s="56"/>
      <c r="H281" s="39"/>
      <c r="I281" s="15"/>
      <c r="J281" s="17"/>
      <c r="K281" s="56"/>
      <c r="M281" s="15"/>
      <c r="N281" s="15"/>
      <c r="O281" s="15"/>
      <c r="P281" s="56"/>
      <c r="R281" s="15"/>
      <c r="S281" s="15"/>
      <c r="T281" s="15"/>
      <c r="U281" s="15"/>
      <c r="V281" s="56"/>
      <c r="W281" s="32"/>
    </row>
    <row r="282" spans="1:27" s="4" customFormat="1" x14ac:dyDescent="0.35">
      <c r="A282" s="10"/>
      <c r="B282" s="4" t="s">
        <v>29</v>
      </c>
      <c r="C282" s="17">
        <f>C278+C281</f>
        <v>966847.84</v>
      </c>
      <c r="D282" s="17">
        <f t="shared" ref="D282:E282" si="86">D278+D281</f>
        <v>12085.598081761087</v>
      </c>
      <c r="E282" s="17">
        <f t="shared" si="86"/>
        <v>143.87616764001294</v>
      </c>
      <c r="F282" s="60"/>
      <c r="G282" s="56"/>
      <c r="I282" s="15"/>
      <c r="J282" s="17"/>
      <c r="K282" s="56"/>
      <c r="M282" s="15"/>
      <c r="N282" s="15"/>
      <c r="O282" s="15"/>
      <c r="P282" s="56"/>
      <c r="R282" s="15"/>
      <c r="S282" s="15"/>
      <c r="T282" s="15"/>
      <c r="U282" s="15"/>
      <c r="V282" s="56"/>
      <c r="W282" s="32"/>
    </row>
    <row r="283" spans="1:27" s="4" customFormat="1" x14ac:dyDescent="0.35">
      <c r="A283" s="10"/>
      <c r="B283" s="6" t="s">
        <v>21</v>
      </c>
      <c r="C283" s="17">
        <f>C277-C279+C280</f>
        <v>966411.71</v>
      </c>
      <c r="D283" s="17">
        <f t="shared" ref="D283:E283" si="87">D277-D279+D280</f>
        <v>11967.728955963685</v>
      </c>
      <c r="E283" s="17">
        <f t="shared" si="87"/>
        <v>142.47296376147241</v>
      </c>
      <c r="F283" s="11">
        <f>SUM(F277:F280)</f>
        <v>0.99954891557703651</v>
      </c>
      <c r="G283" s="57"/>
      <c r="I283" s="15"/>
      <c r="J283" s="17"/>
      <c r="K283" s="57"/>
      <c r="M283" s="15"/>
      <c r="N283" s="15"/>
      <c r="O283" s="15"/>
      <c r="P283" s="57"/>
      <c r="R283" s="15"/>
      <c r="S283" s="15"/>
      <c r="T283" s="15"/>
      <c r="U283" s="15"/>
      <c r="V283" s="57"/>
      <c r="W283" s="32"/>
      <c r="X283"/>
      <c r="Y283"/>
      <c r="Z283"/>
      <c r="AA283"/>
    </row>
    <row r="284" spans="1:27" s="4" customFormat="1" x14ac:dyDescent="0.35">
      <c r="A284" s="10"/>
      <c r="B284" s="6" t="s">
        <v>30</v>
      </c>
      <c r="C284" s="15">
        <f>C282-C283</f>
        <v>436.13000000000466</v>
      </c>
      <c r="D284" s="15">
        <f t="shared" ref="D284:E284" si="88">D282-D283</f>
        <v>117.86912579740238</v>
      </c>
      <c r="E284" s="15">
        <f t="shared" si="88"/>
        <v>1.4032038785405234</v>
      </c>
      <c r="F284" s="11">
        <f>ABS(C284/C282)</f>
        <v>4.5108442296360168E-4</v>
      </c>
      <c r="G284" s="57"/>
      <c r="I284" s="15"/>
      <c r="J284" s="17"/>
      <c r="K284" s="57"/>
      <c r="M284" s="15"/>
      <c r="N284" s="15"/>
      <c r="O284" s="15"/>
      <c r="P284" s="57"/>
      <c r="R284" s="15"/>
      <c r="S284" s="15"/>
      <c r="T284" s="15"/>
      <c r="U284" s="15"/>
      <c r="V284" s="57"/>
      <c r="W284" s="32"/>
      <c r="X284"/>
      <c r="Y284"/>
      <c r="Z284"/>
      <c r="AA284"/>
    </row>
    <row r="285" spans="1:27" s="4" customFormat="1" x14ac:dyDescent="0.35">
      <c r="A285" s="14"/>
      <c r="B285" s="13"/>
      <c r="C285" s="18"/>
      <c r="D285" s="18"/>
      <c r="E285" s="18"/>
      <c r="F285" s="60"/>
      <c r="G285" s="56"/>
      <c r="H285" s="13"/>
      <c r="I285" s="18"/>
      <c r="J285" s="18"/>
      <c r="K285" s="56"/>
      <c r="L285" s="13"/>
      <c r="M285" s="18"/>
      <c r="N285" s="18"/>
      <c r="O285" s="18"/>
      <c r="P285" s="56"/>
      <c r="Q285" s="13"/>
      <c r="R285" s="18"/>
      <c r="S285" s="18"/>
      <c r="T285" s="18"/>
      <c r="U285" s="18"/>
      <c r="V285" s="56"/>
      <c r="W285" s="32"/>
      <c r="X285"/>
      <c r="Y285"/>
      <c r="Z285"/>
      <c r="AA285"/>
    </row>
    <row r="286" spans="1:27" s="4" customFormat="1" x14ac:dyDescent="0.35">
      <c r="A286" s="10">
        <f>A261+1</f>
        <v>12</v>
      </c>
      <c r="B286" s="4" t="s">
        <v>14</v>
      </c>
      <c r="C286" s="19">
        <v>734002.05</v>
      </c>
      <c r="D286" s="17">
        <f>ABS(C286/100/W$211)</f>
        <v>6302.4772975973974</v>
      </c>
      <c r="E286" s="17">
        <f>D286/Supporting!$A$15</f>
        <v>75.029491638064258</v>
      </c>
      <c r="F286" s="11">
        <f>ABS(C286/C291)</f>
        <v>0.84673849873060525</v>
      </c>
      <c r="G286" s="56"/>
      <c r="H286" s="4" t="s">
        <v>33</v>
      </c>
      <c r="I286" s="21">
        <v>1564.74</v>
      </c>
      <c r="J286" s="17">
        <f>I286/Supporting!$A$15</f>
        <v>18.627857142857142</v>
      </c>
      <c r="K286" s="56"/>
      <c r="L286" s="4" t="s">
        <v>32</v>
      </c>
      <c r="M286" s="17">
        <f>N286/100</f>
        <v>7563.7903502108929</v>
      </c>
      <c r="N286" s="52">
        <v>756379.03502108925</v>
      </c>
      <c r="O286" s="22">
        <f>M286/Supporting!$A$15</f>
        <v>90.045123216796341</v>
      </c>
      <c r="P286" s="56"/>
      <c r="Q286" s="4" t="s">
        <v>11</v>
      </c>
      <c r="R286" s="21">
        <v>266635.18</v>
      </c>
      <c r="S286" s="15">
        <f>R286*Supporting!$A$2</f>
        <v>1994569.7966936</v>
      </c>
      <c r="T286" s="15">
        <f>S286/Supporting!$A$15</f>
        <v>23744.878532066668</v>
      </c>
      <c r="U286" s="15">
        <f>T286/365</f>
        <v>65.0544617316895</v>
      </c>
      <c r="V286" s="56"/>
      <c r="W286" s="54">
        <f>C287/N286</f>
        <v>1.1393526791444872</v>
      </c>
      <c r="X286" s="45"/>
      <c r="Y286" s="17">
        <f>Z286/100</f>
        <v>9047.2414000000008</v>
      </c>
      <c r="Z286" s="46">
        <v>904724.14</v>
      </c>
      <c r="AA286" s="17">
        <f>Y286/Supporting!$A$15</f>
        <v>107.70525476190477</v>
      </c>
    </row>
    <row r="287" spans="1:27" s="4" customFormat="1" x14ac:dyDescent="0.35">
      <c r="A287" s="10" t="s">
        <v>140</v>
      </c>
      <c r="B287" s="4" t="s">
        <v>15</v>
      </c>
      <c r="C287" s="19">
        <v>861782.48</v>
      </c>
      <c r="D287" s="17">
        <f>ABS(C287/100/W$211)</f>
        <v>7399.6585100371085</v>
      </c>
      <c r="E287" s="17">
        <f>D287/Supporting!$A$15</f>
        <v>88.091172738537011</v>
      </c>
      <c r="F287" s="60"/>
      <c r="G287" s="56"/>
      <c r="I287" s="15"/>
      <c r="J287" s="17"/>
      <c r="K287" s="56"/>
      <c r="M287" s="15"/>
      <c r="N287" s="15"/>
      <c r="O287" s="17"/>
      <c r="P287" s="56"/>
      <c r="Q287" s="4" t="s">
        <v>12</v>
      </c>
      <c r="R287" s="21">
        <v>197722.09</v>
      </c>
      <c r="S287" s="15">
        <f>R287*Supporting!$A$2</f>
        <v>1479064.0486868001</v>
      </c>
      <c r="T287" s="15">
        <f>S287/Supporting!$A$15</f>
        <v>17607.905341509526</v>
      </c>
      <c r="U287" s="22">
        <f>T287/365</f>
        <v>48.240836552080893</v>
      </c>
      <c r="V287" s="56"/>
      <c r="W287" s="32"/>
      <c r="X287"/>
      <c r="Y287"/>
      <c r="Z287"/>
      <c r="AA287"/>
    </row>
    <row r="288" spans="1:27" s="4" customFormat="1" x14ac:dyDescent="0.35">
      <c r="A288" s="10"/>
      <c r="B288" s="4" t="s">
        <v>16</v>
      </c>
      <c r="C288" s="19">
        <v>-4627.1000000000004</v>
      </c>
      <c r="D288" s="17">
        <f>ABS(C288/100/W$211)</f>
        <v>39.730396807083736</v>
      </c>
      <c r="E288" s="17">
        <f>D288/Supporting!$A$15</f>
        <v>0.47298091437004447</v>
      </c>
      <c r="F288" s="11">
        <f>ABS(C288/C291)</f>
        <v>5.3377830586118719E-3</v>
      </c>
      <c r="G288" s="56"/>
      <c r="I288" s="15"/>
      <c r="J288" s="17"/>
      <c r="K288" s="56"/>
      <c r="M288" s="15"/>
      <c r="N288" s="15"/>
      <c r="O288" s="17"/>
      <c r="P288" s="56"/>
      <c r="Q288" s="4" t="s">
        <v>13</v>
      </c>
      <c r="R288" s="21">
        <f>R286-R287</f>
        <v>68913.09</v>
      </c>
      <c r="S288" s="15">
        <f>R288*Supporting!$A$2</f>
        <v>515505.74800680001</v>
      </c>
      <c r="T288" s="15">
        <f>S288/Supporting!$A$15</f>
        <v>6136.9731905571434</v>
      </c>
      <c r="U288" s="15">
        <f>T288/365</f>
        <v>16.813625179608611</v>
      </c>
      <c r="V288" s="56"/>
      <c r="W288" s="32"/>
      <c r="X288"/>
      <c r="Y288" s="4" t="s">
        <v>84</v>
      </c>
      <c r="Z288" s="33">
        <f>(N277-Z286)/N277</f>
        <v>0.23755640474128661</v>
      </c>
      <c r="AA288"/>
    </row>
    <row r="289" spans="1:27" s="4" customFormat="1" x14ac:dyDescent="0.35">
      <c r="A289" s="10"/>
      <c r="B289" s="4" t="s">
        <v>17</v>
      </c>
      <c r="C289" s="19">
        <v>143926.51</v>
      </c>
      <c r="D289" s="17">
        <f>ABS(C289/100/W$211)</f>
        <v>1235.818839739514</v>
      </c>
      <c r="E289" s="17">
        <f>D289/Supporting!$A$15</f>
        <v>14.712129044518024</v>
      </c>
      <c r="F289" s="11">
        <f>ABS(C289/C291)</f>
        <v>0.16603239324050315</v>
      </c>
      <c r="G289" s="56"/>
      <c r="I289" s="15"/>
      <c r="J289" s="17"/>
      <c r="K289" s="56"/>
      <c r="M289" s="15"/>
      <c r="N289" s="15"/>
      <c r="O289" s="17"/>
      <c r="P289" s="56"/>
      <c r="R289" s="15"/>
      <c r="S289" s="15"/>
      <c r="T289" s="15"/>
      <c r="U289" s="15"/>
      <c r="V289" s="56"/>
      <c r="W289" s="32"/>
      <c r="X289"/>
      <c r="Y289"/>
      <c r="Z289"/>
      <c r="AA289"/>
    </row>
    <row r="290" spans="1:27" s="4" customFormat="1" x14ac:dyDescent="0.35">
      <c r="A290" s="10"/>
      <c r="B290" s="4" t="s">
        <v>54</v>
      </c>
      <c r="C290" s="19">
        <v>5075.53</v>
      </c>
      <c r="D290" s="17">
        <f>ABS(C290/100/W$211)</f>
        <v>43.580821876825162</v>
      </c>
      <c r="E290" s="17">
        <f>D290/Supporting!$A$15</f>
        <v>0.51881930805744236</v>
      </c>
      <c r="F290" s="60"/>
      <c r="G290" s="56"/>
      <c r="I290" s="15"/>
      <c r="J290" s="17"/>
      <c r="K290" s="56"/>
      <c r="M290" s="15"/>
      <c r="N290" s="15"/>
      <c r="O290" s="17"/>
      <c r="P290" s="56"/>
      <c r="R290" s="15"/>
      <c r="S290" s="15"/>
      <c r="T290" s="15"/>
      <c r="U290" s="15"/>
      <c r="V290" s="56"/>
      <c r="W290" s="32"/>
      <c r="X290"/>
      <c r="Y290"/>
      <c r="Z290"/>
      <c r="AA290"/>
    </row>
    <row r="291" spans="1:27" s="4" customFormat="1" x14ac:dyDescent="0.35">
      <c r="A291" s="10"/>
      <c r="B291" s="4" t="s">
        <v>29</v>
      </c>
      <c r="C291" s="17">
        <f>C287+C290</f>
        <v>866858.01</v>
      </c>
      <c r="D291" s="17">
        <f t="shared" ref="D291:E291" si="89">D287+D290</f>
        <v>7443.2393319139337</v>
      </c>
      <c r="E291" s="17">
        <f t="shared" si="89"/>
        <v>88.609992046594456</v>
      </c>
      <c r="F291" s="60"/>
      <c r="G291" s="56"/>
      <c r="I291" s="15"/>
      <c r="J291" s="17"/>
      <c r="K291" s="56"/>
      <c r="M291" s="15"/>
      <c r="N291" s="15"/>
      <c r="O291" s="17"/>
      <c r="P291" s="56"/>
      <c r="R291" s="15"/>
      <c r="S291" s="15"/>
      <c r="T291" s="15"/>
      <c r="U291" s="15"/>
      <c r="V291" s="56"/>
      <c r="W291" s="32"/>
      <c r="X291"/>
      <c r="Y291"/>
      <c r="Z291"/>
      <c r="AA291"/>
    </row>
    <row r="292" spans="1:27" s="4" customFormat="1" x14ac:dyDescent="0.35">
      <c r="A292" s="10"/>
      <c r="B292" s="6" t="s">
        <v>21</v>
      </c>
      <c r="C292" s="17">
        <f>C286-C288+C289</f>
        <v>882555.66</v>
      </c>
      <c r="D292" s="17">
        <f t="shared" ref="D292:E292" si="90">D286-D288+D289</f>
        <v>7498.565740529828</v>
      </c>
      <c r="E292" s="17">
        <f t="shared" si="90"/>
        <v>89.268639768212239</v>
      </c>
      <c r="F292" s="11">
        <f>SUM(F286:F289)</f>
        <v>1.0181086750297204</v>
      </c>
      <c r="G292" s="57"/>
      <c r="I292" s="15"/>
      <c r="J292" s="17"/>
      <c r="K292" s="57"/>
      <c r="M292" s="15"/>
      <c r="N292" s="15"/>
      <c r="O292" s="17"/>
      <c r="P292" s="57"/>
      <c r="R292" s="15"/>
      <c r="S292" s="15"/>
      <c r="T292" s="15"/>
      <c r="U292" s="15"/>
      <c r="V292" s="57"/>
      <c r="W292" s="32"/>
      <c r="X292"/>
      <c r="Y292"/>
      <c r="Z292" s="27"/>
      <c r="AA292"/>
    </row>
    <row r="293" spans="1:27" s="4" customFormat="1" x14ac:dyDescent="0.35">
      <c r="A293" s="10"/>
      <c r="B293" s="6" t="s">
        <v>30</v>
      </c>
      <c r="C293" s="15">
        <f>C291-C292</f>
        <v>-15697.650000000023</v>
      </c>
      <c r="D293" s="15">
        <f t="shared" ref="D293:E293" si="91">D291-D292</f>
        <v>-55.326408615894252</v>
      </c>
      <c r="E293" s="15">
        <f t="shared" si="91"/>
        <v>-0.65864772161778262</v>
      </c>
      <c r="F293" s="11">
        <f>ABS(C293/C291)</f>
        <v>1.8108675029720293E-2</v>
      </c>
      <c r="G293" s="57"/>
      <c r="I293" s="15"/>
      <c r="J293" s="17"/>
      <c r="K293" s="57"/>
      <c r="M293" s="15"/>
      <c r="N293" s="15"/>
      <c r="O293" s="17"/>
      <c r="P293" s="57"/>
      <c r="R293" s="15"/>
      <c r="S293" s="15"/>
      <c r="T293" s="15"/>
      <c r="U293" s="15"/>
      <c r="V293" s="57"/>
      <c r="W293" s="32"/>
      <c r="X293"/>
      <c r="Y293"/>
      <c r="Z293"/>
      <c r="AA293"/>
    </row>
    <row r="294" spans="1:27" s="4" customFormat="1" x14ac:dyDescent="0.35">
      <c r="A294" s="14"/>
      <c r="B294" s="13"/>
      <c r="C294" s="18"/>
      <c r="D294" s="18"/>
      <c r="E294" s="18"/>
      <c r="F294" s="60"/>
      <c r="G294" s="58"/>
      <c r="H294" s="13"/>
      <c r="I294" s="18"/>
      <c r="J294" s="18"/>
      <c r="K294" s="58"/>
      <c r="L294" s="13"/>
      <c r="M294" s="18"/>
      <c r="N294" s="18"/>
      <c r="O294" s="18"/>
      <c r="P294" s="58"/>
      <c r="Q294" s="13"/>
      <c r="R294" s="18"/>
      <c r="S294" s="18"/>
      <c r="T294" s="18"/>
      <c r="U294" s="18"/>
      <c r="V294" s="58"/>
      <c r="W294" s="32"/>
      <c r="X294"/>
      <c r="Y294"/>
      <c r="Z294"/>
      <c r="AA294"/>
    </row>
    <row r="295" spans="1:27" s="4" customFormat="1" x14ac:dyDescent="0.35">
      <c r="A295" s="10">
        <f>A270+1</f>
        <v>12</v>
      </c>
      <c r="B295" s="4" t="s">
        <v>14</v>
      </c>
      <c r="C295" s="17">
        <f>C277-C286</f>
        <v>50.760000000009313</v>
      </c>
      <c r="D295"/>
      <c r="E295"/>
      <c r="F295" s="61">
        <f>-C295/C277</f>
        <v>-6.9150338107157859E-5</v>
      </c>
      <c r="G295" s="56"/>
      <c r="H295" s="4" t="s">
        <v>33</v>
      </c>
      <c r="I295" s="15">
        <f>I277-I286</f>
        <v>3848.4800000000005</v>
      </c>
      <c r="J295" s="17">
        <f>I295/Supporting!$A$15</f>
        <v>45.815238095238101</v>
      </c>
      <c r="K295" s="56"/>
      <c r="L295" s="4" t="s">
        <v>32</v>
      </c>
      <c r="M295" s="15">
        <f>M277-M286</f>
        <v>4302.322049789107</v>
      </c>
      <c r="N295" s="15"/>
      <c r="O295" s="22">
        <f>M295/Supporting!$A$15</f>
        <v>51.218119640346515</v>
      </c>
      <c r="P295" s="56"/>
      <c r="Q295" s="4" t="s">
        <v>11</v>
      </c>
      <c r="R295" s="17">
        <f>R277-R286</f>
        <v>0</v>
      </c>
      <c r="S295" s="15">
        <f>R295*Supporting!$A$2</f>
        <v>0</v>
      </c>
      <c r="T295" s="15">
        <f>S295/Supporting!$A$15</f>
        <v>0</v>
      </c>
      <c r="U295" s="15">
        <f>T295/365</f>
        <v>0</v>
      </c>
      <c r="V295" s="56"/>
      <c r="W295" s="32"/>
      <c r="X295"/>
      <c r="Y295"/>
      <c r="Z295"/>
      <c r="AA295"/>
    </row>
    <row r="296" spans="1:27" s="4" customFormat="1" x14ac:dyDescent="0.35">
      <c r="A296" s="10" t="s">
        <v>141</v>
      </c>
      <c r="B296" s="4" t="s">
        <v>15</v>
      </c>
      <c r="C296" s="17">
        <f>C278-C287</f>
        <v>87506.510000000009</v>
      </c>
      <c r="D296"/>
      <c r="E296"/>
      <c r="F296" s="61">
        <f t="shared" ref="F296:F299" si="92">-C296/C278</f>
        <v>-9.2181107040965479E-2</v>
      </c>
      <c r="G296" s="56"/>
      <c r="I296" s="15"/>
      <c r="J296" s="17"/>
      <c r="K296" s="56"/>
      <c r="M296" s="15"/>
      <c r="N296" s="15"/>
      <c r="O296" s="15"/>
      <c r="P296" s="56"/>
      <c r="Q296" s="4" t="s">
        <v>12</v>
      </c>
      <c r="R296" s="17">
        <f>R278-R287</f>
        <v>-8628.179999999993</v>
      </c>
      <c r="S296" s="15">
        <f>R296*Supporting!$A$2</f>
        <v>-64543.273053599951</v>
      </c>
      <c r="T296" s="15">
        <f>S296/Supporting!$A$15</f>
        <v>-768.37229825714223</v>
      </c>
      <c r="U296" s="15">
        <f>T296/365</f>
        <v>-2.1051295842661433</v>
      </c>
      <c r="V296" s="56"/>
      <c r="W296" s="32"/>
      <c r="X296"/>
      <c r="Y296"/>
      <c r="Z296"/>
      <c r="AA296"/>
    </row>
    <row r="297" spans="1:27" s="4" customFormat="1" x14ac:dyDescent="0.35">
      <c r="A297" s="10"/>
      <c r="B297" s="4" t="s">
        <v>16</v>
      </c>
      <c r="C297" s="17">
        <f>C279-C288</f>
        <v>130.40000000000055</v>
      </c>
      <c r="D297"/>
      <c r="E297"/>
      <c r="F297" s="61">
        <f t="shared" si="92"/>
        <v>2.8999043743189571E-2</v>
      </c>
      <c r="G297" s="56"/>
      <c r="H297" s="4" t="s">
        <v>84</v>
      </c>
      <c r="I297" s="33">
        <f>I295/I277</f>
        <v>0.71094099260698818</v>
      </c>
      <c r="J297" s="15"/>
      <c r="K297" s="56"/>
      <c r="L297" s="4" t="s">
        <v>84</v>
      </c>
      <c r="M297" s="53">
        <f>M295/M277</f>
        <v>0.36257216388655705</v>
      </c>
      <c r="N297" s="15"/>
      <c r="O297" s="15"/>
      <c r="P297" s="56"/>
      <c r="Q297" s="4" t="s">
        <v>13</v>
      </c>
      <c r="R297" s="17">
        <f>R279-R288</f>
        <v>8628.179999999993</v>
      </c>
      <c r="S297" s="15">
        <f>R297*Supporting!$A$2</f>
        <v>64543.273053599951</v>
      </c>
      <c r="T297" s="15">
        <f>S297/Supporting!$A$15</f>
        <v>768.37229825714223</v>
      </c>
      <c r="U297" s="15">
        <f>T297/365</f>
        <v>2.1051295842661433</v>
      </c>
      <c r="V297" s="56"/>
      <c r="W297" s="32"/>
      <c r="X297"/>
      <c r="Y297"/>
      <c r="Z297"/>
      <c r="AA297"/>
    </row>
    <row r="298" spans="1:27" s="4" customFormat="1" x14ac:dyDescent="0.35">
      <c r="A298" s="10"/>
      <c r="B298" s="4" t="s">
        <v>17</v>
      </c>
      <c r="C298" s="17">
        <f>C280-C289</f>
        <v>83935.69</v>
      </c>
      <c r="D298"/>
      <c r="E298"/>
      <c r="F298" s="61">
        <f t="shared" si="92"/>
        <v>-0.36836162382352139</v>
      </c>
      <c r="G298" s="56"/>
      <c r="I298" s="15"/>
      <c r="J298" s="15"/>
      <c r="K298" s="56"/>
      <c r="M298" s="15"/>
      <c r="N298" s="15"/>
      <c r="O298" s="15"/>
      <c r="P298" s="56"/>
      <c r="R298" s="15"/>
      <c r="S298" s="15"/>
      <c r="T298" s="15"/>
      <c r="U298" s="15"/>
      <c r="V298" s="56"/>
      <c r="W298" s="32"/>
      <c r="X298"/>
      <c r="Y298"/>
      <c r="Z298"/>
      <c r="AA298"/>
    </row>
    <row r="299" spans="1:27" s="4" customFormat="1" x14ac:dyDescent="0.35">
      <c r="A299" s="10"/>
      <c r="B299" s="4" t="s">
        <v>54</v>
      </c>
      <c r="C299" s="17">
        <f>C281-C290</f>
        <v>12483.32</v>
      </c>
      <c r="D299"/>
      <c r="E299"/>
      <c r="F299" s="61">
        <f t="shared" si="92"/>
        <v>-0.710941775799668</v>
      </c>
      <c r="G299" s="56"/>
      <c r="I299" s="15"/>
      <c r="J299" s="15"/>
      <c r="K299" s="56"/>
      <c r="M299" s="15"/>
      <c r="N299" s="15"/>
      <c r="O299" s="15"/>
      <c r="P299" s="56"/>
      <c r="Q299" s="4" t="s">
        <v>84</v>
      </c>
      <c r="R299" s="33">
        <f>R296/R278</f>
        <v>-4.5629073934744871E-2</v>
      </c>
      <c r="S299" s="15"/>
      <c r="T299" s="15"/>
      <c r="U299" s="15"/>
      <c r="V299" s="56"/>
      <c r="W299" s="32"/>
      <c r="X299"/>
      <c r="Y299"/>
      <c r="Z299"/>
      <c r="AA299"/>
    </row>
    <row r="300" spans="1:27" x14ac:dyDescent="0.35">
      <c r="G300" s="59"/>
      <c r="K300" s="59"/>
      <c r="P300" s="59"/>
      <c r="V300" s="59"/>
    </row>
    <row r="301" spans="1:27" x14ac:dyDescent="0.35">
      <c r="G301" s="59"/>
      <c r="K301" s="59"/>
      <c r="P301" s="59"/>
      <c r="V301" s="59"/>
    </row>
    <row r="302" spans="1:27" s="4" customFormat="1" x14ac:dyDescent="0.35">
      <c r="A302" s="10">
        <f>A277+1</f>
        <v>13</v>
      </c>
      <c r="B302" s="4" t="s">
        <v>14</v>
      </c>
      <c r="C302" s="16">
        <v>680716.86</v>
      </c>
      <c r="D302" s="17">
        <f>ABS(C302/100/W$202)</f>
        <v>8508.9608075645392</v>
      </c>
      <c r="E302" s="17">
        <f>D302/Supporting!$A$15</f>
        <v>101.29715247100641</v>
      </c>
      <c r="F302" s="11">
        <f>ABS(C302/C307)</f>
        <v>0.75745712086028971</v>
      </c>
      <c r="G302" s="56"/>
      <c r="H302" s="4" t="s">
        <v>33</v>
      </c>
      <c r="I302" s="16">
        <v>5354.53</v>
      </c>
      <c r="J302" s="17">
        <f>I302/Supporting!$A$15</f>
        <v>63.744404761904761</v>
      </c>
      <c r="K302" s="56"/>
      <c r="L302" s="4" t="s">
        <v>32</v>
      </c>
      <c r="M302" s="17">
        <f>N302/100</f>
        <v>11016.481699999998</v>
      </c>
      <c r="N302" s="16">
        <v>1101648.17</v>
      </c>
      <c r="O302" s="22">
        <f>M302/Supporting!$A$15</f>
        <v>131.14859166666665</v>
      </c>
      <c r="P302" s="56"/>
      <c r="Q302" s="4" t="s">
        <v>11</v>
      </c>
      <c r="R302" s="16">
        <v>266635.18</v>
      </c>
      <c r="S302" s="15">
        <f>R302*Supporting!$A$2</f>
        <v>1994569.7966936</v>
      </c>
      <c r="T302" s="15">
        <f>S302/Supporting!$A$15</f>
        <v>23744.878532066668</v>
      </c>
      <c r="U302" s="15">
        <f>T302/365</f>
        <v>65.0544617316895</v>
      </c>
      <c r="V302" s="56"/>
      <c r="W302" s="34">
        <f>C303/N302</f>
        <v>0.79999999455361515</v>
      </c>
      <c r="Y302"/>
      <c r="Z302"/>
      <c r="AA302"/>
    </row>
    <row r="303" spans="1:27" s="4" customFormat="1" x14ac:dyDescent="0.35">
      <c r="A303" s="10" t="s">
        <v>139</v>
      </c>
      <c r="B303" s="4" t="s">
        <v>15</v>
      </c>
      <c r="C303" s="16">
        <v>881318.53</v>
      </c>
      <c r="D303" s="17">
        <f>ABS(C303/100/W$202)</f>
        <v>11016.481699528338</v>
      </c>
      <c r="E303" s="17">
        <f>D303/Supporting!$A$15</f>
        <v>131.14859166105165</v>
      </c>
      <c r="F303" s="60"/>
      <c r="G303" s="56"/>
      <c r="I303" s="15"/>
      <c r="J303" s="17"/>
      <c r="K303" s="56"/>
      <c r="M303" s="15"/>
      <c r="O303" s="15"/>
      <c r="P303" s="56"/>
      <c r="Q303" s="4" t="s">
        <v>12</v>
      </c>
      <c r="R303" s="16">
        <v>182548.78</v>
      </c>
      <c r="S303" s="15">
        <f>R303*Supporting!$A$2</f>
        <v>1365559.7997656001</v>
      </c>
      <c r="T303" s="15">
        <f>S303/Supporting!$A$15</f>
        <v>16256.664282923812</v>
      </c>
      <c r="U303" s="22">
        <f>T303/365</f>
        <v>44.538806254585786</v>
      </c>
      <c r="V303" s="56"/>
      <c r="W303" s="32"/>
    </row>
    <row r="304" spans="1:27" s="4" customFormat="1" x14ac:dyDescent="0.35">
      <c r="A304" s="10"/>
      <c r="B304" s="4" t="s">
        <v>16</v>
      </c>
      <c r="C304" s="16">
        <v>-4209.1000000000004</v>
      </c>
      <c r="D304" s="17">
        <f>ABS(C304/100/W$202)</f>
        <v>52.613750355940802</v>
      </c>
      <c r="E304" s="17">
        <f>D304/Supporting!$A$15</f>
        <v>0.62635417090405721</v>
      </c>
      <c r="F304" s="11">
        <f>ABS(C304/C307)</f>
        <v>4.6836106974242507E-3</v>
      </c>
      <c r="G304" s="56"/>
      <c r="I304" s="15"/>
      <c r="J304" s="17"/>
      <c r="K304" s="56"/>
      <c r="M304" s="15"/>
      <c r="N304" s="15"/>
      <c r="O304" s="15"/>
      <c r="P304" s="56"/>
      <c r="Q304" s="4" t="s">
        <v>13</v>
      </c>
      <c r="R304" s="16">
        <f>R302-R303</f>
        <v>84086.399999999994</v>
      </c>
      <c r="S304" s="15">
        <f>R304*Supporting!$A$2</f>
        <v>629009.99692800001</v>
      </c>
      <c r="T304" s="15">
        <f>S304/Supporting!$A$15</f>
        <v>7488.2142491428576</v>
      </c>
      <c r="U304" s="15">
        <f>T304/365</f>
        <v>20.515655477103721</v>
      </c>
      <c r="V304" s="56"/>
      <c r="W304" s="32"/>
    </row>
    <row r="305" spans="1:27" s="4" customFormat="1" x14ac:dyDescent="0.35">
      <c r="A305" s="10"/>
      <c r="B305" s="4" t="s">
        <v>17</v>
      </c>
      <c r="C305" s="16">
        <v>212879.54</v>
      </c>
      <c r="D305" s="17">
        <f>ABS(C305/100/W$202)</f>
        <v>2660.9942680020704</v>
      </c>
      <c r="E305" s="17">
        <f>D305/Supporting!$A$15</f>
        <v>31.678503190500837</v>
      </c>
      <c r="F305" s="11">
        <f>ABS(C305/C307)</f>
        <v>0.23687840412600167</v>
      </c>
      <c r="G305" s="56"/>
      <c r="I305" s="15"/>
      <c r="J305" s="17"/>
      <c r="K305" s="56"/>
      <c r="M305" s="15"/>
      <c r="N305" s="15"/>
      <c r="O305" s="15"/>
      <c r="P305" s="56"/>
      <c r="R305" s="15"/>
      <c r="S305" s="15"/>
      <c r="T305" s="15"/>
      <c r="U305" s="15"/>
      <c r="V305" s="56"/>
      <c r="W305" s="32"/>
    </row>
    <row r="306" spans="1:27" s="4" customFormat="1" x14ac:dyDescent="0.35">
      <c r="A306" s="10"/>
      <c r="B306" s="4" t="s">
        <v>54</v>
      </c>
      <c r="C306" s="16">
        <v>17368.46</v>
      </c>
      <c r="D306" s="17">
        <f>ABS(C306/100/W$202)</f>
        <v>217.10575146875661</v>
      </c>
      <c r="E306" s="17">
        <f>D306/Supporting!$A$15</f>
        <v>2.5845922793899598</v>
      </c>
      <c r="F306" s="60"/>
      <c r="G306" s="56"/>
      <c r="H306" s="39"/>
      <c r="I306" s="15"/>
      <c r="J306" s="17"/>
      <c r="K306" s="56"/>
      <c r="M306" s="15"/>
      <c r="N306" s="15"/>
      <c r="O306" s="15"/>
      <c r="P306" s="56"/>
      <c r="R306" s="15"/>
      <c r="S306" s="15"/>
      <c r="T306" s="15"/>
      <c r="U306" s="15"/>
      <c r="V306" s="56"/>
      <c r="W306" s="32"/>
    </row>
    <row r="307" spans="1:27" s="4" customFormat="1" x14ac:dyDescent="0.35">
      <c r="A307" s="10"/>
      <c r="B307" s="4" t="s">
        <v>29</v>
      </c>
      <c r="C307" s="17">
        <f>C303+C306</f>
        <v>898686.99</v>
      </c>
      <c r="D307" s="17">
        <f t="shared" ref="D307:E307" si="93">D303+D306</f>
        <v>11233.587450997094</v>
      </c>
      <c r="E307" s="17">
        <f t="shared" si="93"/>
        <v>133.73318394044162</v>
      </c>
      <c r="F307" s="60"/>
      <c r="G307" s="56"/>
      <c r="I307" s="15"/>
      <c r="J307" s="17"/>
      <c r="K307" s="56"/>
      <c r="M307" s="15"/>
      <c r="N307" s="15"/>
      <c r="O307" s="15"/>
      <c r="P307" s="56"/>
      <c r="R307" s="15"/>
      <c r="S307" s="15"/>
      <c r="T307" s="15"/>
      <c r="U307" s="15"/>
      <c r="V307" s="56"/>
      <c r="W307" s="32"/>
    </row>
    <row r="308" spans="1:27" s="4" customFormat="1" x14ac:dyDescent="0.35">
      <c r="A308" s="10"/>
      <c r="B308" s="6" t="s">
        <v>21</v>
      </c>
      <c r="C308" s="17">
        <f>C302-C304+C305</f>
        <v>897805.5</v>
      </c>
      <c r="D308" s="17">
        <f t="shared" ref="D308:E308" si="94">D302-D304+D305</f>
        <v>11117.341325210669</v>
      </c>
      <c r="E308" s="17">
        <f t="shared" si="94"/>
        <v>132.34930149060321</v>
      </c>
      <c r="F308" s="11">
        <f>SUM(F302:F305)</f>
        <v>0.9990191356837157</v>
      </c>
      <c r="G308" s="57"/>
      <c r="I308" s="15"/>
      <c r="J308" s="17"/>
      <c r="K308" s="57"/>
      <c r="M308" s="15"/>
      <c r="N308" s="15"/>
      <c r="O308" s="15"/>
      <c r="P308" s="57"/>
      <c r="R308" s="15"/>
      <c r="S308" s="15"/>
      <c r="T308" s="15"/>
      <c r="U308" s="15"/>
      <c r="V308" s="57"/>
      <c r="W308" s="32"/>
      <c r="X308"/>
      <c r="Y308"/>
      <c r="Z308"/>
      <c r="AA308"/>
    </row>
    <row r="309" spans="1:27" s="4" customFormat="1" x14ac:dyDescent="0.35">
      <c r="A309" s="10"/>
      <c r="B309" s="6" t="s">
        <v>30</v>
      </c>
      <c r="C309" s="15">
        <f>C307-C308</f>
        <v>881.48999999999069</v>
      </c>
      <c r="D309" s="15">
        <f t="shared" ref="D309:E309" si="95">D307-D308</f>
        <v>116.24612578642518</v>
      </c>
      <c r="E309" s="15">
        <f t="shared" si="95"/>
        <v>1.3838824498384099</v>
      </c>
      <c r="F309" s="11">
        <f>ABS(C309/C307)</f>
        <v>9.8086431628435018E-4</v>
      </c>
      <c r="G309" s="57"/>
      <c r="I309" s="15"/>
      <c r="J309" s="17"/>
      <c r="K309" s="57"/>
      <c r="M309" s="15"/>
      <c r="N309" s="15"/>
      <c r="O309" s="15"/>
      <c r="P309" s="57"/>
      <c r="R309" s="15"/>
      <c r="S309" s="15"/>
      <c r="T309" s="15"/>
      <c r="U309" s="15"/>
      <c r="V309" s="57"/>
      <c r="W309" s="32"/>
      <c r="X309"/>
      <c r="Y309"/>
      <c r="Z309"/>
      <c r="AA309"/>
    </row>
    <row r="310" spans="1:27" s="4" customFormat="1" x14ac:dyDescent="0.35">
      <c r="A310" s="14"/>
      <c r="B310" s="13"/>
      <c r="C310" s="18"/>
      <c r="D310" s="18"/>
      <c r="E310" s="18"/>
      <c r="F310" s="60"/>
      <c r="G310" s="56"/>
      <c r="H310" s="13"/>
      <c r="I310" s="18"/>
      <c r="J310" s="18"/>
      <c r="K310" s="56"/>
      <c r="L310" s="13"/>
      <c r="M310" s="18"/>
      <c r="N310" s="18"/>
      <c r="O310" s="18"/>
      <c r="P310" s="56"/>
      <c r="Q310" s="13"/>
      <c r="R310" s="18"/>
      <c r="S310" s="18"/>
      <c r="T310" s="18"/>
      <c r="U310" s="18"/>
      <c r="V310" s="56"/>
      <c r="W310" s="32"/>
      <c r="X310"/>
      <c r="Y310"/>
      <c r="Z310"/>
      <c r="AA310"/>
    </row>
    <row r="311" spans="1:27" s="4" customFormat="1" x14ac:dyDescent="0.35">
      <c r="A311" s="10">
        <f>A286+1</f>
        <v>13</v>
      </c>
      <c r="B311" s="4" t="s">
        <v>14</v>
      </c>
      <c r="C311" s="19">
        <v>680671.98</v>
      </c>
      <c r="D311" s="17">
        <f>ABS(C311/100/W$211)</f>
        <v>5844.5609260364727</v>
      </c>
      <c r="E311" s="17">
        <f>D311/Supporting!$A$15</f>
        <v>69.578106262338963</v>
      </c>
      <c r="F311" s="11">
        <f>ABS(C311/C316)</f>
        <v>0.86011706868527904</v>
      </c>
      <c r="G311" s="56"/>
      <c r="H311" s="4" t="s">
        <v>33</v>
      </c>
      <c r="I311" s="21">
        <v>1481.64</v>
      </c>
      <c r="J311" s="17">
        <f>I311/Supporting!$A$15</f>
        <v>17.638571428571431</v>
      </c>
      <c r="K311" s="56"/>
      <c r="L311" s="4" t="s">
        <v>32</v>
      </c>
      <c r="M311" s="17">
        <f>N311/100</f>
        <v>6836.3620505893487</v>
      </c>
      <c r="N311" s="52">
        <v>683636.20505893487</v>
      </c>
      <c r="O311" s="22">
        <f>M311/Supporting!$A$15</f>
        <v>81.385262507016051</v>
      </c>
      <c r="P311" s="56"/>
      <c r="Q311" s="4" t="s">
        <v>11</v>
      </c>
      <c r="R311" s="21">
        <v>266635.18</v>
      </c>
      <c r="S311" s="15">
        <f>R311*Supporting!$A$2</f>
        <v>1994569.7966936</v>
      </c>
      <c r="T311" s="15">
        <f>S311/Supporting!$A$15</f>
        <v>23744.878532066668</v>
      </c>
      <c r="U311" s="15">
        <f>T311/365</f>
        <v>65.0544617316895</v>
      </c>
      <c r="V311" s="56"/>
      <c r="W311" s="54">
        <f>C312/N311</f>
        <v>1.1505612256626927</v>
      </c>
      <c r="X311" s="45"/>
      <c r="Y311" s="17">
        <f>Z311/100</f>
        <v>8234.5189000000009</v>
      </c>
      <c r="Z311" s="46">
        <v>823451.89</v>
      </c>
      <c r="AA311" s="17">
        <f>Y311/Supporting!$A$15</f>
        <v>98.029986904761913</v>
      </c>
    </row>
    <row r="312" spans="1:27" s="4" customFormat="1" x14ac:dyDescent="0.35">
      <c r="A312" s="10" t="s">
        <v>140</v>
      </c>
      <c r="B312" s="4" t="s">
        <v>15</v>
      </c>
      <c r="C312" s="19">
        <v>786565.31</v>
      </c>
      <c r="D312" s="17">
        <f>ABS(C312/100/W$211)</f>
        <v>6753.8094877972871</v>
      </c>
      <c r="E312" s="17">
        <f>D312/Supporting!$A$15</f>
        <v>80.402493902348652</v>
      </c>
      <c r="F312" s="60"/>
      <c r="G312" s="56"/>
      <c r="I312" s="15"/>
      <c r="J312" s="17"/>
      <c r="K312" s="56"/>
      <c r="M312" s="15"/>
      <c r="N312" s="15"/>
      <c r="O312" s="17"/>
      <c r="P312" s="56"/>
      <c r="Q312" s="4" t="s">
        <v>12</v>
      </c>
      <c r="R312" s="21">
        <v>191614.7</v>
      </c>
      <c r="S312" s="15">
        <f>R312*Supporting!$A$2</f>
        <v>1433377.5956440002</v>
      </c>
      <c r="T312" s="15">
        <f>S312/Supporting!$A$15</f>
        <v>17064.018995761908</v>
      </c>
      <c r="U312" s="22">
        <f>T312/365</f>
        <v>46.750736974690156</v>
      </c>
      <c r="V312" s="56"/>
      <c r="W312" s="32"/>
      <c r="X312"/>
      <c r="Y312"/>
      <c r="Z312"/>
      <c r="AA312"/>
    </row>
    <row r="313" spans="1:27" s="4" customFormat="1" x14ac:dyDescent="0.35">
      <c r="A313" s="10"/>
      <c r="B313" s="4" t="s">
        <v>16</v>
      </c>
      <c r="C313" s="19">
        <v>-4318.3</v>
      </c>
      <c r="D313" s="17">
        <f>ABS(C313/100/W$211)</f>
        <v>37.078898777210277</v>
      </c>
      <c r="E313" s="17">
        <f>D313/Supporting!$A$15</f>
        <v>0.44141546163345569</v>
      </c>
      <c r="F313" s="11">
        <f>ABS(C313/C316)</f>
        <v>5.4567304764089756E-3</v>
      </c>
      <c r="G313" s="56"/>
      <c r="I313" s="15"/>
      <c r="J313" s="17"/>
      <c r="K313" s="56"/>
      <c r="M313" s="15"/>
      <c r="N313" s="15"/>
      <c r="O313" s="17"/>
      <c r="P313" s="56"/>
      <c r="Q313" s="4" t="s">
        <v>13</v>
      </c>
      <c r="R313" s="21">
        <f>R311-R312</f>
        <v>75020.479999999981</v>
      </c>
      <c r="S313" s="15">
        <f>R313*Supporting!$A$2</f>
        <v>561192.20104959991</v>
      </c>
      <c r="T313" s="15">
        <f>S313/Supporting!$A$15</f>
        <v>6680.8595363047607</v>
      </c>
      <c r="U313" s="15">
        <f>T313/365</f>
        <v>18.303724756999344</v>
      </c>
      <c r="V313" s="56"/>
      <c r="W313" s="32"/>
      <c r="X313"/>
      <c r="Y313" s="4" t="s">
        <v>84</v>
      </c>
      <c r="Z313" s="33">
        <f>(N302-Z311)/N302</f>
        <v>0.25252733819727574</v>
      </c>
      <c r="AA313"/>
    </row>
    <row r="314" spans="1:27" s="4" customFormat="1" x14ac:dyDescent="0.35">
      <c r="A314" s="10"/>
      <c r="B314" s="4" t="s">
        <v>17</v>
      </c>
      <c r="C314" s="19">
        <v>132994.19</v>
      </c>
      <c r="D314" s="17">
        <f>ABS(C314/100/W$211)</f>
        <v>1141.9489403161133</v>
      </c>
      <c r="E314" s="17">
        <f>D314/Supporting!$A$15</f>
        <v>13.594630241858491</v>
      </c>
      <c r="F314" s="11">
        <f>ABS(C314/C316)</f>
        <v>0.16805535737635777</v>
      </c>
      <c r="G314" s="56"/>
      <c r="I314" s="15"/>
      <c r="J314" s="17"/>
      <c r="K314" s="56"/>
      <c r="M314" s="15"/>
      <c r="N314" s="15"/>
      <c r="O314" s="17"/>
      <c r="P314" s="56"/>
      <c r="R314" s="15"/>
      <c r="S314" s="15"/>
      <c r="T314" s="15"/>
      <c r="U314" s="15"/>
      <c r="V314" s="56"/>
      <c r="W314" s="32"/>
      <c r="X314"/>
      <c r="Y314"/>
      <c r="Z314"/>
      <c r="AA314"/>
    </row>
    <row r="315" spans="1:27" s="4" customFormat="1" x14ac:dyDescent="0.35">
      <c r="A315" s="10"/>
      <c r="B315" s="4" t="s">
        <v>54</v>
      </c>
      <c r="C315" s="19">
        <v>4806.01</v>
      </c>
      <c r="D315" s="17">
        <f>ABS(C315/100/W$211)</f>
        <v>41.266599891684322</v>
      </c>
      <c r="E315" s="17">
        <f>D315/Supporting!$A$15</f>
        <v>0.49126904632957524</v>
      </c>
      <c r="F315" s="60"/>
      <c r="G315" s="56"/>
      <c r="I315" s="15"/>
      <c r="J315" s="17"/>
      <c r="K315" s="56"/>
      <c r="M315" s="15"/>
      <c r="N315" s="15"/>
      <c r="O315" s="17"/>
      <c r="P315" s="56"/>
      <c r="R315" s="15"/>
      <c r="S315" s="15"/>
      <c r="T315" s="15"/>
      <c r="U315" s="15"/>
      <c r="V315" s="56"/>
      <c r="W315" s="32"/>
      <c r="X315"/>
      <c r="Y315"/>
      <c r="Z315"/>
      <c r="AA315"/>
    </row>
    <row r="316" spans="1:27" s="4" customFormat="1" x14ac:dyDescent="0.35">
      <c r="A316" s="10"/>
      <c r="B316" s="4" t="s">
        <v>29</v>
      </c>
      <c r="C316" s="17">
        <f>C312+C315</f>
        <v>791371.32000000007</v>
      </c>
      <c r="D316" s="17">
        <f t="shared" ref="D316:E316" si="96">D312+D315</f>
        <v>6795.0760876889717</v>
      </c>
      <c r="E316" s="17">
        <f t="shared" si="96"/>
        <v>80.89376294867823</v>
      </c>
      <c r="F316" s="60"/>
      <c r="G316" s="56"/>
      <c r="I316" s="15"/>
      <c r="J316" s="17"/>
      <c r="K316" s="56"/>
      <c r="M316" s="15"/>
      <c r="N316" s="15"/>
      <c r="O316" s="17"/>
      <c r="P316" s="56"/>
      <c r="R316" s="15"/>
      <c r="S316" s="15"/>
      <c r="T316" s="15"/>
      <c r="U316" s="15"/>
      <c r="V316" s="56"/>
      <c r="W316" s="32"/>
      <c r="X316"/>
      <c r="Y316"/>
      <c r="Z316"/>
      <c r="AA316"/>
    </row>
    <row r="317" spans="1:27" s="4" customFormat="1" x14ac:dyDescent="0.35">
      <c r="A317" s="10"/>
      <c r="B317" s="6" t="s">
        <v>21</v>
      </c>
      <c r="C317" s="17">
        <f>C311-C313+C314</f>
        <v>817984.47</v>
      </c>
      <c r="D317" s="17">
        <f t="shared" ref="D317:E317" si="97">D311-D313+D314</f>
        <v>6949.4309675753757</v>
      </c>
      <c r="E317" s="17">
        <f t="shared" si="97"/>
        <v>82.731321042564005</v>
      </c>
      <c r="F317" s="11">
        <f>SUM(F311:F314)</f>
        <v>1.0336291565380458</v>
      </c>
      <c r="G317" s="57"/>
      <c r="I317" s="15"/>
      <c r="J317" s="17"/>
      <c r="K317" s="57"/>
      <c r="M317" s="15"/>
      <c r="N317" s="15"/>
      <c r="O317" s="17"/>
      <c r="P317" s="57"/>
      <c r="R317" s="15"/>
      <c r="S317" s="15"/>
      <c r="T317" s="15"/>
      <c r="U317" s="15"/>
      <c r="V317" s="57"/>
      <c r="W317" s="32"/>
      <c r="X317"/>
      <c r="Y317"/>
      <c r="Z317" s="27"/>
      <c r="AA317"/>
    </row>
    <row r="318" spans="1:27" s="4" customFormat="1" x14ac:dyDescent="0.35">
      <c r="A318" s="10"/>
      <c r="B318" s="6" t="s">
        <v>30</v>
      </c>
      <c r="C318" s="15">
        <f>C316-C317</f>
        <v>-26613.149999999907</v>
      </c>
      <c r="D318" s="15">
        <f t="shared" ref="D318:E318" si="98">D316-D317</f>
        <v>-154.35487988640398</v>
      </c>
      <c r="E318" s="15">
        <f t="shared" si="98"/>
        <v>-1.8375580938857752</v>
      </c>
      <c r="F318" s="11">
        <f>ABS(C318/C316)</f>
        <v>3.3629156538045761E-2</v>
      </c>
      <c r="G318" s="57"/>
      <c r="I318" s="15"/>
      <c r="J318" s="17"/>
      <c r="K318" s="57"/>
      <c r="M318" s="15"/>
      <c r="N318" s="15"/>
      <c r="O318" s="17"/>
      <c r="P318" s="57"/>
      <c r="R318" s="15"/>
      <c r="S318" s="15"/>
      <c r="T318" s="15"/>
      <c r="U318" s="15"/>
      <c r="V318" s="57"/>
      <c r="W318" s="32"/>
      <c r="X318"/>
      <c r="Y318"/>
      <c r="Z318"/>
      <c r="AA318"/>
    </row>
    <row r="319" spans="1:27" s="4" customFormat="1" x14ac:dyDescent="0.35">
      <c r="A319" s="14"/>
      <c r="B319" s="13"/>
      <c r="C319" s="18"/>
      <c r="D319" s="18"/>
      <c r="E319" s="18"/>
      <c r="F319" s="60"/>
      <c r="G319" s="58"/>
      <c r="H319" s="13"/>
      <c r="I319" s="18"/>
      <c r="J319" s="18"/>
      <c r="K319" s="58"/>
      <c r="L319" s="13"/>
      <c r="M319" s="18"/>
      <c r="N319" s="18"/>
      <c r="O319" s="18"/>
      <c r="P319" s="58"/>
      <c r="Q319" s="13"/>
      <c r="R319" s="18"/>
      <c r="S319" s="18"/>
      <c r="T319" s="18"/>
      <c r="U319" s="18"/>
      <c r="V319" s="58"/>
      <c r="W319" s="32"/>
      <c r="X319"/>
      <c r="Y319"/>
      <c r="Z319"/>
      <c r="AA319"/>
    </row>
    <row r="320" spans="1:27" s="4" customFormat="1" x14ac:dyDescent="0.35">
      <c r="A320" s="10">
        <f>A295+1</f>
        <v>13</v>
      </c>
      <c r="B320" s="4" t="s">
        <v>14</v>
      </c>
      <c r="C320" s="17">
        <f>C302-C311</f>
        <v>44.880000000004657</v>
      </c>
      <c r="D320"/>
      <c r="E320"/>
      <c r="F320" s="61">
        <f>-C320/C302</f>
        <v>-6.5930495683630725E-5</v>
      </c>
      <c r="G320" s="56"/>
      <c r="H320" s="4" t="s">
        <v>33</v>
      </c>
      <c r="I320" s="15">
        <f>I302-I311</f>
        <v>3872.8899999999994</v>
      </c>
      <c r="J320" s="17">
        <f>I320/Supporting!$A$15</f>
        <v>46.105833333333329</v>
      </c>
      <c r="K320" s="56"/>
      <c r="L320" s="4" t="s">
        <v>32</v>
      </c>
      <c r="M320" s="15">
        <f>M302-M311</f>
        <v>4180.1196494106498</v>
      </c>
      <c r="N320" s="15"/>
      <c r="O320" s="22">
        <f>M320/Supporting!$A$15</f>
        <v>49.763329159650596</v>
      </c>
      <c r="P320" s="56"/>
      <c r="Q320" s="4" t="s">
        <v>11</v>
      </c>
      <c r="R320" s="17">
        <f>R302-R311</f>
        <v>0</v>
      </c>
      <c r="S320" s="15">
        <f>R320*Supporting!$A$2</f>
        <v>0</v>
      </c>
      <c r="T320" s="15">
        <f>S320/Supporting!$A$15</f>
        <v>0</v>
      </c>
      <c r="U320" s="15">
        <f>T320/365</f>
        <v>0</v>
      </c>
      <c r="V320" s="56"/>
      <c r="W320" s="32"/>
      <c r="X320"/>
      <c r="Y320"/>
      <c r="Z320"/>
      <c r="AA320"/>
    </row>
    <row r="321" spans="1:27" s="4" customFormat="1" x14ac:dyDescent="0.35">
      <c r="A321" s="10" t="s">
        <v>141</v>
      </c>
      <c r="B321" s="4" t="s">
        <v>15</v>
      </c>
      <c r="C321" s="17">
        <f>C303-C312</f>
        <v>94753.219999999972</v>
      </c>
      <c r="D321"/>
      <c r="E321"/>
      <c r="F321" s="61">
        <f t="shared" ref="F321:F324" si="99">-C321/C303</f>
        <v>-0.10751302369643807</v>
      </c>
      <c r="G321" s="56"/>
      <c r="I321" s="15"/>
      <c r="J321" s="17"/>
      <c r="K321" s="56"/>
      <c r="M321" s="15"/>
      <c r="N321" s="15"/>
      <c r="O321" s="15"/>
      <c r="P321" s="56"/>
      <c r="Q321" s="4" t="s">
        <v>12</v>
      </c>
      <c r="R321" s="17">
        <f>R303-R312</f>
        <v>-9065.9200000000128</v>
      </c>
      <c r="S321" s="15">
        <f>R321*Supporting!$A$2</f>
        <v>-67817.795878400095</v>
      </c>
      <c r="T321" s="15">
        <f>S321/Supporting!$A$15</f>
        <v>-807.35471283809636</v>
      </c>
      <c r="U321" s="15">
        <f>T321/365</f>
        <v>-2.2119307201043736</v>
      </c>
      <c r="V321" s="56"/>
      <c r="W321" s="32"/>
      <c r="X321"/>
      <c r="Y321"/>
      <c r="Z321"/>
      <c r="AA321"/>
    </row>
    <row r="322" spans="1:27" s="4" customFormat="1" x14ac:dyDescent="0.35">
      <c r="A322" s="10"/>
      <c r="B322" s="4" t="s">
        <v>16</v>
      </c>
      <c r="C322" s="17">
        <f>C304-C313</f>
        <v>109.19999999999982</v>
      </c>
      <c r="D322"/>
      <c r="E322"/>
      <c r="F322" s="61">
        <f t="shared" si="99"/>
        <v>2.5943788458340219E-2</v>
      </c>
      <c r="G322" s="56"/>
      <c r="H322" s="4" t="s">
        <v>84</v>
      </c>
      <c r="I322" s="33">
        <f>I320/I302</f>
        <v>0.72329224040205198</v>
      </c>
      <c r="J322" s="15"/>
      <c r="K322" s="56"/>
      <c r="L322" s="4" t="s">
        <v>84</v>
      </c>
      <c r="M322" s="53">
        <f>M320/M302</f>
        <v>0.37944234495579932</v>
      </c>
      <c r="N322" s="15"/>
      <c r="O322" s="15"/>
      <c r="P322" s="56"/>
      <c r="Q322" s="4" t="s">
        <v>13</v>
      </c>
      <c r="R322" s="17">
        <f>R304-R313</f>
        <v>9065.9200000000128</v>
      </c>
      <c r="S322" s="15">
        <f>R322*Supporting!$A$2</f>
        <v>67817.795878400095</v>
      </c>
      <c r="T322" s="15">
        <f>S322/Supporting!$A$15</f>
        <v>807.35471283809636</v>
      </c>
      <c r="U322" s="15">
        <f>T322/365</f>
        <v>2.2119307201043736</v>
      </c>
      <c r="V322" s="56"/>
      <c r="W322" s="32"/>
      <c r="X322"/>
      <c r="Y322"/>
      <c r="Z322"/>
      <c r="AA322"/>
    </row>
    <row r="323" spans="1:27" s="4" customFormat="1" x14ac:dyDescent="0.35">
      <c r="A323" s="10"/>
      <c r="B323" s="4" t="s">
        <v>17</v>
      </c>
      <c r="C323" s="17">
        <f>C305-C314</f>
        <v>79885.350000000006</v>
      </c>
      <c r="D323"/>
      <c r="E323"/>
      <c r="F323" s="61">
        <f t="shared" si="99"/>
        <v>-0.37526081651623261</v>
      </c>
      <c r="G323" s="56"/>
      <c r="I323" s="15"/>
      <c r="J323" s="15"/>
      <c r="K323" s="56"/>
      <c r="M323" s="15"/>
      <c r="N323" s="15"/>
      <c r="O323" s="15"/>
      <c r="P323" s="56"/>
      <c r="R323" s="15"/>
      <c r="S323" s="15"/>
      <c r="T323" s="15"/>
      <c r="U323" s="15"/>
      <c r="V323" s="56"/>
      <c r="W323" s="32"/>
      <c r="X323"/>
      <c r="Y323"/>
      <c r="Z323"/>
      <c r="AA323"/>
    </row>
    <row r="324" spans="1:27" s="4" customFormat="1" x14ac:dyDescent="0.35">
      <c r="A324" s="10"/>
      <c r="B324" s="4" t="s">
        <v>54</v>
      </c>
      <c r="C324" s="17">
        <f>C306-C315</f>
        <v>12562.449999999999</v>
      </c>
      <c r="D324"/>
      <c r="E324"/>
      <c r="F324" s="61">
        <f t="shared" si="99"/>
        <v>-0.72329095383240649</v>
      </c>
      <c r="G324" s="56"/>
      <c r="I324" s="15"/>
      <c r="J324" s="15"/>
      <c r="K324" s="56"/>
      <c r="M324" s="15"/>
      <c r="N324" s="15"/>
      <c r="O324" s="15"/>
      <c r="P324" s="56"/>
      <c r="Q324" s="4" t="s">
        <v>84</v>
      </c>
      <c r="R324" s="33">
        <f>R321/R303</f>
        <v>-4.966299966507589E-2</v>
      </c>
      <c r="S324" s="15"/>
      <c r="T324" s="15"/>
      <c r="U324" s="15"/>
      <c r="V324" s="56"/>
      <c r="W324" s="32"/>
      <c r="X324"/>
      <c r="Y324"/>
      <c r="Z324"/>
      <c r="AA324"/>
    </row>
    <row r="325" spans="1:27" x14ac:dyDescent="0.35">
      <c r="G325" s="59"/>
      <c r="K325" s="59"/>
      <c r="P325" s="59"/>
      <c r="V325" s="59"/>
    </row>
    <row r="326" spans="1:27" x14ac:dyDescent="0.35">
      <c r="G326" s="59"/>
      <c r="K326" s="59"/>
      <c r="P326" s="59"/>
      <c r="V326" s="59"/>
    </row>
    <row r="327" spans="1:27" s="4" customFormat="1" x14ac:dyDescent="0.35">
      <c r="A327" s="10">
        <f>A302+1</f>
        <v>14</v>
      </c>
      <c r="B327" s="4" t="s">
        <v>14</v>
      </c>
      <c r="C327" s="16">
        <v>704574.82</v>
      </c>
      <c r="D327" s="17">
        <f>ABS(C327/100/W$202)</f>
        <v>8807.185309582077</v>
      </c>
      <c r="E327" s="17">
        <f>D327/Supporting!$A$15</f>
        <v>104.8474441616914</v>
      </c>
      <c r="F327" s="11">
        <f>ABS(C327/C332)</f>
        <v>0.7497378111696027</v>
      </c>
      <c r="G327" s="56"/>
      <c r="H327" s="4" t="s">
        <v>33</v>
      </c>
      <c r="I327" s="16">
        <v>5391.48</v>
      </c>
      <c r="J327" s="17">
        <f>I327/Supporting!$A$15</f>
        <v>64.184285714285707</v>
      </c>
      <c r="K327" s="56"/>
      <c r="L327" s="4" t="s">
        <v>32</v>
      </c>
      <c r="M327" s="17">
        <f>N327/100</f>
        <v>11528.416200000001</v>
      </c>
      <c r="N327" s="16">
        <v>1152841.6200000001</v>
      </c>
      <c r="O327" s="22">
        <f>M327/Supporting!$A$15</f>
        <v>137.24305000000001</v>
      </c>
      <c r="P327" s="56"/>
      <c r="Q327" s="4" t="s">
        <v>11</v>
      </c>
      <c r="R327" s="16">
        <v>266635.18</v>
      </c>
      <c r="S327" s="15">
        <f>R327*Supporting!$A$2</f>
        <v>1994569.7966936</v>
      </c>
      <c r="T327" s="15">
        <f>S327/Supporting!$A$15</f>
        <v>23744.878532066668</v>
      </c>
      <c r="U327" s="15">
        <f>T327/365</f>
        <v>65.0544617316895</v>
      </c>
      <c r="V327" s="56"/>
      <c r="W327" s="34">
        <f>C328/N327</f>
        <v>0.80000000346968736</v>
      </c>
      <c r="Y327"/>
      <c r="Z327"/>
      <c r="AA327"/>
    </row>
    <row r="328" spans="1:27" s="4" customFormat="1" x14ac:dyDescent="0.35">
      <c r="A328" s="10" t="s">
        <v>139</v>
      </c>
      <c r="B328" s="4" t="s">
        <v>15</v>
      </c>
      <c r="C328" s="16">
        <v>922273.3</v>
      </c>
      <c r="D328" s="17">
        <f>ABS(C328/100/W$202)</f>
        <v>11528.416327991659</v>
      </c>
      <c r="E328" s="17">
        <f>D328/Supporting!$A$15</f>
        <v>137.24305152371022</v>
      </c>
      <c r="F328" s="60"/>
      <c r="G328" s="56"/>
      <c r="I328" s="15"/>
      <c r="J328" s="17"/>
      <c r="K328" s="56"/>
      <c r="M328" s="15"/>
      <c r="O328" s="15"/>
      <c r="P328" s="56"/>
      <c r="Q328" s="4" t="s">
        <v>12</v>
      </c>
      <c r="R328" s="16">
        <v>185273.08</v>
      </c>
      <c r="S328" s="15">
        <f>R328*Supporting!$A$2</f>
        <v>1385938.9804016</v>
      </c>
      <c r="T328" s="15">
        <f>S328/Supporting!$A$15</f>
        <v>16499.273576209525</v>
      </c>
      <c r="U328" s="22">
        <f>T328/365</f>
        <v>45.20348924988911</v>
      </c>
      <c r="V328" s="56"/>
      <c r="W328" s="32"/>
    </row>
    <row r="329" spans="1:27" s="4" customFormat="1" x14ac:dyDescent="0.35">
      <c r="A329" s="10"/>
      <c r="B329" s="4" t="s">
        <v>16</v>
      </c>
      <c r="C329" s="16">
        <v>-4356.3999999999996</v>
      </c>
      <c r="D329" s="17">
        <f>ABS(C329/100/W$202)</f>
        <v>54.455000368397151</v>
      </c>
      <c r="E329" s="17">
        <f>D329/Supporting!$A$15</f>
        <v>0.6482738139094899</v>
      </c>
      <c r="F329" s="11">
        <f>ABS(C329/C332)</f>
        <v>4.6356436646135856E-3</v>
      </c>
      <c r="G329" s="56"/>
      <c r="I329" s="15"/>
      <c r="J329" s="17"/>
      <c r="K329" s="56"/>
      <c r="M329" s="15"/>
      <c r="N329" s="15"/>
      <c r="O329" s="15"/>
      <c r="P329" s="56"/>
      <c r="Q329" s="4" t="s">
        <v>13</v>
      </c>
      <c r="R329" s="16">
        <f>R327-R328</f>
        <v>81362.100000000006</v>
      </c>
      <c r="S329" s="15">
        <f>R329*Supporting!$A$2</f>
        <v>608630.81629200012</v>
      </c>
      <c r="T329" s="15">
        <f>S329/Supporting!$A$15</f>
        <v>7245.604955857144</v>
      </c>
      <c r="U329" s="15">
        <f>T329/365</f>
        <v>19.850972481800394</v>
      </c>
      <c r="V329" s="56"/>
      <c r="W329" s="32"/>
    </row>
    <row r="330" spans="1:27" s="4" customFormat="1" x14ac:dyDescent="0.35">
      <c r="A330" s="10"/>
      <c r="B330" s="4" t="s">
        <v>17</v>
      </c>
      <c r="C330" s="16">
        <v>230037.18</v>
      </c>
      <c r="D330" s="17">
        <f>ABS(C330/100/W$202)</f>
        <v>2875.464769452999</v>
      </c>
      <c r="E330" s="17">
        <f>D330/Supporting!$A$15</f>
        <v>34.231723445869036</v>
      </c>
      <c r="F330" s="11">
        <f>ABS(C330/C332)</f>
        <v>0.24478248005063241</v>
      </c>
      <c r="G330" s="56"/>
      <c r="I330" s="15"/>
      <c r="J330" s="17"/>
      <c r="K330" s="56"/>
      <c r="M330" s="15"/>
      <c r="N330" s="15"/>
      <c r="O330" s="15"/>
      <c r="P330" s="56"/>
      <c r="R330" s="15"/>
      <c r="S330" s="15"/>
      <c r="T330" s="15"/>
      <c r="U330" s="15"/>
      <c r="V330" s="56"/>
      <c r="W330" s="32"/>
    </row>
    <row r="331" spans="1:27" s="4" customFormat="1" x14ac:dyDescent="0.35">
      <c r="A331" s="10"/>
      <c r="B331" s="4" t="s">
        <v>54</v>
      </c>
      <c r="C331" s="16">
        <v>17488.32</v>
      </c>
      <c r="D331" s="17">
        <f>ABS(C331/100/W$202)</f>
        <v>218.60400147889251</v>
      </c>
      <c r="E331" s="17">
        <f>D331/Supporting!$A$15</f>
        <v>2.6024285890344347</v>
      </c>
      <c r="F331" s="60"/>
      <c r="G331" s="56"/>
      <c r="H331" s="39"/>
      <c r="I331" s="15"/>
      <c r="J331" s="17"/>
      <c r="K331" s="56"/>
      <c r="M331" s="15"/>
      <c r="N331" s="15"/>
      <c r="O331" s="15"/>
      <c r="P331" s="56"/>
      <c r="R331" s="15"/>
      <c r="S331" s="15"/>
      <c r="T331" s="15"/>
      <c r="U331" s="15"/>
      <c r="V331" s="56"/>
      <c r="W331" s="32"/>
    </row>
    <row r="332" spans="1:27" s="4" customFormat="1" x14ac:dyDescent="0.35">
      <c r="A332" s="10"/>
      <c r="B332" s="4" t="s">
        <v>29</v>
      </c>
      <c r="C332" s="17">
        <f>C328+C331</f>
        <v>939761.62</v>
      </c>
      <c r="D332" s="17">
        <f t="shared" ref="D332:E332" si="100">D328+D331</f>
        <v>11747.020329470552</v>
      </c>
      <c r="E332" s="17">
        <f t="shared" si="100"/>
        <v>139.84548011274467</v>
      </c>
      <c r="F332" s="60"/>
      <c r="G332" s="56"/>
      <c r="I332" s="15"/>
      <c r="J332" s="17"/>
      <c r="K332" s="56"/>
      <c r="M332" s="15"/>
      <c r="N332" s="15"/>
      <c r="O332" s="15"/>
      <c r="P332" s="56"/>
      <c r="R332" s="15"/>
      <c r="S332" s="15"/>
      <c r="T332" s="15"/>
      <c r="U332" s="15"/>
      <c r="V332" s="56"/>
      <c r="W332" s="32"/>
    </row>
    <row r="333" spans="1:27" s="4" customFormat="1" x14ac:dyDescent="0.35">
      <c r="A333" s="10"/>
      <c r="B333" s="6" t="s">
        <v>21</v>
      </c>
      <c r="C333" s="17">
        <f>C327-C329+C330</f>
        <v>938968.39999999991</v>
      </c>
      <c r="D333" s="17">
        <f t="shared" ref="D333:E333" si="101">D327-D329+D330</f>
        <v>11628.195078666678</v>
      </c>
      <c r="E333" s="17">
        <f t="shared" si="101"/>
        <v>138.43089379365097</v>
      </c>
      <c r="F333" s="11">
        <f>SUM(F327:F330)</f>
        <v>0.99915593488484866</v>
      </c>
      <c r="G333" s="57"/>
      <c r="I333" s="15"/>
      <c r="J333" s="17"/>
      <c r="K333" s="57"/>
      <c r="M333" s="15"/>
      <c r="N333" s="15"/>
      <c r="O333" s="15"/>
      <c r="P333" s="57"/>
      <c r="R333" s="15"/>
      <c r="S333" s="15"/>
      <c r="T333" s="15"/>
      <c r="U333" s="15"/>
      <c r="V333" s="57"/>
      <c r="W333" s="32"/>
      <c r="X333"/>
      <c r="Y333"/>
      <c r="Z333"/>
      <c r="AA333"/>
    </row>
    <row r="334" spans="1:27" s="4" customFormat="1" x14ac:dyDescent="0.35">
      <c r="A334" s="10"/>
      <c r="B334" s="6" t="s">
        <v>30</v>
      </c>
      <c r="C334" s="15">
        <f>C332-C333</f>
        <v>793.22000000008848</v>
      </c>
      <c r="D334" s="15">
        <f t="shared" ref="D334:E334" si="102">D332-D333</f>
        <v>118.82525080387313</v>
      </c>
      <c r="E334" s="15">
        <f t="shared" si="102"/>
        <v>1.4145863190937007</v>
      </c>
      <c r="F334" s="11">
        <f>ABS(C334/C332)</f>
        <v>8.4406511515131726E-4</v>
      </c>
      <c r="G334" s="57"/>
      <c r="I334" s="15"/>
      <c r="J334" s="17"/>
      <c r="K334" s="57"/>
      <c r="M334" s="15"/>
      <c r="N334" s="15"/>
      <c r="O334" s="15"/>
      <c r="P334" s="57"/>
      <c r="R334" s="15"/>
      <c r="S334" s="15"/>
      <c r="T334" s="15"/>
      <c r="U334" s="15"/>
      <c r="V334" s="57"/>
      <c r="W334" s="32"/>
      <c r="X334"/>
      <c r="Y334"/>
      <c r="Z334"/>
      <c r="AA334"/>
    </row>
    <row r="335" spans="1:27" s="4" customFormat="1" x14ac:dyDescent="0.35">
      <c r="A335" s="14"/>
      <c r="B335" s="13"/>
      <c r="C335" s="18"/>
      <c r="D335" s="18"/>
      <c r="E335" s="18"/>
      <c r="F335" s="60"/>
      <c r="G335" s="56"/>
      <c r="H335" s="13"/>
      <c r="I335" s="18"/>
      <c r="J335" s="18"/>
      <c r="K335" s="56"/>
      <c r="L335" s="13"/>
      <c r="M335" s="18"/>
      <c r="N335" s="18"/>
      <c r="O335" s="18"/>
      <c r="P335" s="56"/>
      <c r="Q335" s="13"/>
      <c r="R335" s="18"/>
      <c r="S335" s="18"/>
      <c r="T335" s="18"/>
      <c r="U335" s="18"/>
      <c r="V335" s="56"/>
      <c r="W335" s="32"/>
      <c r="X335"/>
      <c r="Y335"/>
      <c r="Z335"/>
      <c r="AA335"/>
    </row>
    <row r="336" spans="1:27" s="4" customFormat="1" x14ac:dyDescent="0.35">
      <c r="A336" s="10">
        <f>A311+1</f>
        <v>14</v>
      </c>
      <c r="B336" s="4" t="s">
        <v>14</v>
      </c>
      <c r="C336" s="19">
        <v>704526.7</v>
      </c>
      <c r="D336" s="17">
        <f>ABS(C336/100/W$211)</f>
        <v>6049.3884619276087</v>
      </c>
      <c r="E336" s="17">
        <f>D336/Supporting!$A$15</f>
        <v>72.016529308662001</v>
      </c>
      <c r="F336" s="11">
        <f>ABS(C336/C341)</f>
        <v>0.84613666538491927</v>
      </c>
      <c r="G336" s="56"/>
      <c r="H336" s="4" t="s">
        <v>33</v>
      </c>
      <c r="I336" s="21">
        <v>1534.5</v>
      </c>
      <c r="J336" s="17">
        <f>I336/Supporting!$A$15</f>
        <v>18.267857142857142</v>
      </c>
      <c r="K336" s="56"/>
      <c r="L336" s="4" t="s">
        <v>32</v>
      </c>
      <c r="M336" s="17">
        <f>N336/100</f>
        <v>7289.63162177496</v>
      </c>
      <c r="N336" s="52">
        <v>728963.16217749601</v>
      </c>
      <c r="O336" s="22">
        <f>M336/Supporting!$A$15</f>
        <v>86.781328830654289</v>
      </c>
      <c r="P336" s="56"/>
      <c r="Q336" s="4" t="s">
        <v>11</v>
      </c>
      <c r="R336" s="21">
        <v>266635.18</v>
      </c>
      <c r="S336" s="15">
        <f>R336*Supporting!$A$2</f>
        <v>1994569.7966936</v>
      </c>
      <c r="T336" s="15">
        <f>S336/Supporting!$A$15</f>
        <v>23744.878532066668</v>
      </c>
      <c r="U336" s="15">
        <f>T336/365</f>
        <v>65.0544617316895</v>
      </c>
      <c r="V336" s="56"/>
      <c r="W336" s="54">
        <f>C337/N336</f>
        <v>1.1353960569525621</v>
      </c>
      <c r="X336" s="45"/>
      <c r="Y336" s="17">
        <f>Z336/100</f>
        <v>8688.4758000000002</v>
      </c>
      <c r="Z336" s="46">
        <v>868847.58</v>
      </c>
      <c r="AA336" s="17">
        <f>Y336/Supporting!$A$15</f>
        <v>103.43423571428572</v>
      </c>
    </row>
    <row r="337" spans="1:27" s="4" customFormat="1" x14ac:dyDescent="0.35">
      <c r="A337" s="10" t="s">
        <v>140</v>
      </c>
      <c r="B337" s="4" t="s">
        <v>15</v>
      </c>
      <c r="C337" s="19">
        <v>827661.9</v>
      </c>
      <c r="D337" s="17">
        <f>ABS(C337/100/W$211)</f>
        <v>7106.6836050884694</v>
      </c>
      <c r="E337" s="17">
        <f>D337/Supporting!$A$15</f>
        <v>84.603376251053206</v>
      </c>
      <c r="F337" s="60"/>
      <c r="G337" s="56"/>
      <c r="I337" s="15"/>
      <c r="J337" s="17"/>
      <c r="K337" s="56"/>
      <c r="M337" s="15"/>
      <c r="N337" s="15"/>
      <c r="O337" s="17"/>
      <c r="P337" s="56"/>
      <c r="Q337" s="4" t="s">
        <v>12</v>
      </c>
      <c r="R337" s="21">
        <v>194650.84</v>
      </c>
      <c r="S337" s="15">
        <f>R337*Supporting!$A$2</f>
        <v>1456089.5016368001</v>
      </c>
      <c r="T337" s="15">
        <f>S337/Supporting!$A$15</f>
        <v>17334.398829009526</v>
      </c>
      <c r="U337" s="22">
        <f>T337/365</f>
        <v>47.491503641121987</v>
      </c>
      <c r="V337" s="56"/>
      <c r="W337" s="32"/>
      <c r="X337"/>
      <c r="Y337"/>
      <c r="Z337"/>
      <c r="AA337"/>
    </row>
    <row r="338" spans="1:27" s="4" customFormat="1" x14ac:dyDescent="0.35">
      <c r="A338" s="10"/>
      <c r="B338" s="4" t="s">
        <v>16</v>
      </c>
      <c r="C338" s="19">
        <v>-4475.3</v>
      </c>
      <c r="D338" s="17">
        <f>ABS(C338/100/W$211)</f>
        <v>38.426972581258639</v>
      </c>
      <c r="E338" s="17">
        <f>D338/Supporting!$A$15</f>
        <v>0.45746395930069805</v>
      </c>
      <c r="F338" s="11">
        <f>ABS(C338/C341)</f>
        <v>5.374835926867114E-3</v>
      </c>
      <c r="G338" s="56"/>
      <c r="I338" s="15"/>
      <c r="J338" s="17"/>
      <c r="K338" s="56"/>
      <c r="M338" s="15"/>
      <c r="N338" s="15"/>
      <c r="O338" s="17"/>
      <c r="P338" s="56"/>
      <c r="Q338" s="4" t="s">
        <v>13</v>
      </c>
      <c r="R338" s="21">
        <f>R336-R337</f>
        <v>71984.34</v>
      </c>
      <c r="S338" s="15">
        <f>R338*Supporting!$A$2</f>
        <v>538480.29505680001</v>
      </c>
      <c r="T338" s="15">
        <f>S338/Supporting!$A$15</f>
        <v>6410.4797030571426</v>
      </c>
      <c r="U338" s="15">
        <f>T338/365</f>
        <v>17.562958090567513</v>
      </c>
      <c r="V338" s="56"/>
      <c r="W338" s="32"/>
      <c r="X338"/>
      <c r="Y338" s="4" t="s">
        <v>84</v>
      </c>
      <c r="Z338" s="33">
        <f>(N327-Z336)/N327</f>
        <v>0.24634263291084177</v>
      </c>
      <c r="AA338"/>
    </row>
    <row r="339" spans="1:27" s="4" customFormat="1" x14ac:dyDescent="0.35">
      <c r="A339" s="10"/>
      <c r="B339" s="4" t="s">
        <v>17</v>
      </c>
      <c r="C339" s="19">
        <v>147615.26999999999</v>
      </c>
      <c r="D339" s="17">
        <f>ABS(C339/100/W$211)</f>
        <v>1267.4922201562108</v>
      </c>
      <c r="E339" s="17">
        <f>D339/Supporting!$A$15</f>
        <v>15.089193097097748</v>
      </c>
      <c r="F339" s="11">
        <f>ABS(C339/C341)</f>
        <v>0.1772859599468615</v>
      </c>
      <c r="G339" s="56"/>
      <c r="I339" s="15"/>
      <c r="J339" s="17"/>
      <c r="K339" s="56"/>
      <c r="M339" s="15"/>
      <c r="N339" s="15"/>
      <c r="O339" s="17"/>
      <c r="P339" s="56"/>
      <c r="R339" s="15"/>
      <c r="S339" s="15"/>
      <c r="T339" s="15"/>
      <c r="U339" s="15"/>
      <c r="V339" s="56"/>
      <c r="W339" s="32"/>
      <c r="X339"/>
      <c r="Y339"/>
      <c r="Z339"/>
      <c r="AA339"/>
    </row>
    <row r="340" spans="1:27" s="4" customFormat="1" x14ac:dyDescent="0.35">
      <c r="A340" s="10"/>
      <c r="B340" s="4" t="s">
        <v>54</v>
      </c>
      <c r="C340" s="19">
        <v>4977.47</v>
      </c>
      <c r="D340" s="17">
        <f>ABS(C340/100/W$211)</f>
        <v>42.738833869022734</v>
      </c>
      <c r="E340" s="17">
        <f>D340/Supporting!$A$15</f>
        <v>0.50879564129788968</v>
      </c>
      <c r="F340" s="60"/>
      <c r="G340" s="56"/>
      <c r="I340" s="15"/>
      <c r="J340" s="17"/>
      <c r="K340" s="56"/>
      <c r="M340" s="15"/>
      <c r="N340" s="15"/>
      <c r="O340" s="17"/>
      <c r="P340" s="56"/>
      <c r="R340" s="15"/>
      <c r="S340" s="15"/>
      <c r="T340" s="15"/>
      <c r="U340" s="15"/>
      <c r="V340" s="56"/>
      <c r="W340" s="32"/>
      <c r="X340"/>
      <c r="Y340"/>
      <c r="Z340"/>
      <c r="AA340"/>
    </row>
    <row r="341" spans="1:27" s="4" customFormat="1" x14ac:dyDescent="0.35">
      <c r="A341" s="10"/>
      <c r="B341" s="4" t="s">
        <v>29</v>
      </c>
      <c r="C341" s="17">
        <f>C337+C340</f>
        <v>832639.37</v>
      </c>
      <c r="D341" s="17">
        <f t="shared" ref="D341:E341" si="103">D337+D340</f>
        <v>7149.422438957492</v>
      </c>
      <c r="E341" s="17">
        <f t="shared" si="103"/>
        <v>85.1121718923511</v>
      </c>
      <c r="F341" s="60"/>
      <c r="G341" s="56"/>
      <c r="I341" s="15"/>
      <c r="J341" s="17"/>
      <c r="K341" s="56"/>
      <c r="M341" s="15"/>
      <c r="N341" s="15"/>
      <c r="O341" s="17"/>
      <c r="P341" s="56"/>
      <c r="R341" s="15"/>
      <c r="S341" s="15"/>
      <c r="T341" s="15"/>
      <c r="U341" s="15"/>
      <c r="V341" s="56"/>
      <c r="W341" s="32"/>
      <c r="X341"/>
      <c r="Y341"/>
      <c r="Z341"/>
      <c r="AA341"/>
    </row>
    <row r="342" spans="1:27" s="4" customFormat="1" x14ac:dyDescent="0.35">
      <c r="A342" s="10"/>
      <c r="B342" s="6" t="s">
        <v>21</v>
      </c>
      <c r="C342" s="17">
        <f>C336-C338+C339</f>
        <v>856617.27</v>
      </c>
      <c r="D342" s="17">
        <f t="shared" ref="D342:E342" si="104">D336-D338+D339</f>
        <v>7278.4537095025607</v>
      </c>
      <c r="E342" s="17">
        <f t="shared" si="104"/>
        <v>86.648258446459053</v>
      </c>
      <c r="F342" s="11">
        <f>SUM(F336:F339)</f>
        <v>1.0287974612586479</v>
      </c>
      <c r="G342" s="57"/>
      <c r="I342" s="15"/>
      <c r="J342" s="17"/>
      <c r="K342" s="57"/>
      <c r="M342" s="15"/>
      <c r="N342" s="15"/>
      <c r="O342" s="17"/>
      <c r="P342" s="57"/>
      <c r="R342" s="15"/>
      <c r="S342" s="15"/>
      <c r="T342" s="15"/>
      <c r="U342" s="15"/>
      <c r="V342" s="57"/>
      <c r="W342" s="32"/>
      <c r="X342"/>
      <c r="Y342"/>
      <c r="Z342" s="27"/>
      <c r="AA342"/>
    </row>
    <row r="343" spans="1:27" s="4" customFormat="1" x14ac:dyDescent="0.35">
      <c r="A343" s="10"/>
      <c r="B343" s="6" t="s">
        <v>30</v>
      </c>
      <c r="C343" s="15">
        <f>C341-C342</f>
        <v>-23977.900000000023</v>
      </c>
      <c r="D343" s="15">
        <f t="shared" ref="D343:E343" si="105">D341-D342</f>
        <v>-129.03127054506876</v>
      </c>
      <c r="E343" s="15">
        <f t="shared" si="105"/>
        <v>-1.5360865541079534</v>
      </c>
      <c r="F343" s="11">
        <f>ABS(C343/C341)</f>
        <v>2.8797461258647936E-2</v>
      </c>
      <c r="G343" s="57"/>
      <c r="I343" s="15"/>
      <c r="J343" s="17"/>
      <c r="K343" s="57"/>
      <c r="M343" s="15"/>
      <c r="N343" s="15"/>
      <c r="O343" s="17"/>
      <c r="P343" s="57"/>
      <c r="R343" s="15"/>
      <c r="S343" s="15"/>
      <c r="T343" s="15"/>
      <c r="U343" s="15"/>
      <c r="V343" s="57"/>
      <c r="W343" s="32"/>
      <c r="X343"/>
      <c r="Y343"/>
      <c r="Z343"/>
      <c r="AA343"/>
    </row>
    <row r="344" spans="1:27" s="4" customFormat="1" x14ac:dyDescent="0.35">
      <c r="A344" s="14"/>
      <c r="B344" s="13"/>
      <c r="C344" s="18"/>
      <c r="D344" s="18"/>
      <c r="E344" s="18"/>
      <c r="F344" s="60"/>
      <c r="G344" s="58"/>
      <c r="H344" s="13"/>
      <c r="I344" s="18"/>
      <c r="J344" s="18"/>
      <c r="K344" s="58"/>
      <c r="L344" s="13"/>
      <c r="M344" s="18"/>
      <c r="N344" s="18"/>
      <c r="O344" s="18"/>
      <c r="P344" s="58"/>
      <c r="Q344" s="13"/>
      <c r="R344" s="18"/>
      <c r="S344" s="18"/>
      <c r="T344" s="18"/>
      <c r="U344" s="18"/>
      <c r="V344" s="58"/>
      <c r="W344" s="32"/>
      <c r="X344"/>
      <c r="Y344"/>
      <c r="Z344"/>
      <c r="AA344"/>
    </row>
    <row r="345" spans="1:27" s="4" customFormat="1" x14ac:dyDescent="0.35">
      <c r="A345" s="10">
        <f>A320+1</f>
        <v>14</v>
      </c>
      <c r="B345" s="4" t="s">
        <v>14</v>
      </c>
      <c r="C345" s="17">
        <f>C327-C336</f>
        <v>48.119999999995343</v>
      </c>
      <c r="D345"/>
      <c r="E345"/>
      <c r="F345" s="61">
        <f>-C345/C327</f>
        <v>-6.8296508240239619E-5</v>
      </c>
      <c r="G345" s="56"/>
      <c r="H345" s="4" t="s">
        <v>33</v>
      </c>
      <c r="I345" s="15">
        <f>I327-I336</f>
        <v>3856.9799999999996</v>
      </c>
      <c r="J345" s="17">
        <f>I345/Supporting!$A$15</f>
        <v>45.916428571428568</v>
      </c>
      <c r="K345" s="56"/>
      <c r="L345" s="4" t="s">
        <v>32</v>
      </c>
      <c r="M345" s="15">
        <f>M327-M336</f>
        <v>4238.7845782250415</v>
      </c>
      <c r="N345" s="15"/>
      <c r="O345" s="22">
        <f>M345/Supporting!$A$15</f>
        <v>50.461721169345729</v>
      </c>
      <c r="P345" s="56"/>
      <c r="Q345" s="4" t="s">
        <v>11</v>
      </c>
      <c r="R345" s="17">
        <f>R327-R336</f>
        <v>0</v>
      </c>
      <c r="S345" s="15">
        <f>R345*Supporting!$A$2</f>
        <v>0</v>
      </c>
      <c r="T345" s="15">
        <f>S345/Supporting!$A$15</f>
        <v>0</v>
      </c>
      <c r="U345" s="15">
        <f>T345/365</f>
        <v>0</v>
      </c>
      <c r="V345" s="56"/>
      <c r="W345" s="32"/>
      <c r="X345"/>
      <c r="Y345"/>
      <c r="Z345"/>
      <c r="AA345"/>
    </row>
    <row r="346" spans="1:27" s="4" customFormat="1" x14ac:dyDescent="0.35">
      <c r="A346" s="10" t="s">
        <v>141</v>
      </c>
      <c r="B346" s="4" t="s">
        <v>15</v>
      </c>
      <c r="C346" s="17">
        <f>C328-C337</f>
        <v>94611.400000000023</v>
      </c>
      <c r="D346"/>
      <c r="E346"/>
      <c r="F346" s="61">
        <f t="shared" ref="F346:F349" si="106">-C346/C328</f>
        <v>-0.102584992973341</v>
      </c>
      <c r="G346" s="56"/>
      <c r="I346" s="15"/>
      <c r="J346" s="17"/>
      <c r="K346" s="56"/>
      <c r="M346" s="15"/>
      <c r="N346" s="15"/>
      <c r="O346" s="15"/>
      <c r="P346" s="56"/>
      <c r="Q346" s="4" t="s">
        <v>12</v>
      </c>
      <c r="R346" s="17">
        <f>R328-R337</f>
        <v>-9377.7600000000093</v>
      </c>
      <c r="S346" s="15">
        <f>R346*Supporting!$A$2</f>
        <v>-70150.521235200067</v>
      </c>
      <c r="T346" s="15">
        <f>S346/Supporting!$A$15</f>
        <v>-835.12525280000079</v>
      </c>
      <c r="U346" s="15">
        <f>T346/365</f>
        <v>-2.288014391232879</v>
      </c>
      <c r="V346" s="56"/>
      <c r="W346" s="32"/>
      <c r="X346"/>
      <c r="Y346"/>
      <c r="Z346"/>
      <c r="AA346"/>
    </row>
    <row r="347" spans="1:27" s="4" customFormat="1" x14ac:dyDescent="0.35">
      <c r="A347" s="10"/>
      <c r="B347" s="4" t="s">
        <v>16</v>
      </c>
      <c r="C347" s="17">
        <f>C329-C338</f>
        <v>118.90000000000055</v>
      </c>
      <c r="D347"/>
      <c r="E347"/>
      <c r="F347" s="61">
        <f t="shared" si="106"/>
        <v>2.7293177853273471E-2</v>
      </c>
      <c r="G347" s="56"/>
      <c r="H347" s="4" t="s">
        <v>84</v>
      </c>
      <c r="I347" s="33">
        <f>I345/I327</f>
        <v>0.71538427296400986</v>
      </c>
      <c r="J347" s="15"/>
      <c r="K347" s="56"/>
      <c r="L347" s="4" t="s">
        <v>84</v>
      </c>
      <c r="M347" s="53">
        <f>M345/M327</f>
        <v>0.36768143209689469</v>
      </c>
      <c r="N347" s="15"/>
      <c r="O347" s="15"/>
      <c r="P347" s="56"/>
      <c r="Q347" s="4" t="s">
        <v>13</v>
      </c>
      <c r="R347" s="17">
        <f>R329-R338</f>
        <v>9377.7600000000093</v>
      </c>
      <c r="S347" s="15">
        <f>R347*Supporting!$A$2</f>
        <v>70150.521235200067</v>
      </c>
      <c r="T347" s="15">
        <f>S347/Supporting!$A$15</f>
        <v>835.12525280000079</v>
      </c>
      <c r="U347" s="15">
        <f>T347/365</f>
        <v>2.288014391232879</v>
      </c>
      <c r="V347" s="56"/>
      <c r="W347" s="32"/>
      <c r="X347"/>
      <c r="Y347"/>
      <c r="Z347"/>
      <c r="AA347"/>
    </row>
    <row r="348" spans="1:27" s="4" customFormat="1" x14ac:dyDescent="0.35">
      <c r="A348" s="10"/>
      <c r="B348" s="4" t="s">
        <v>17</v>
      </c>
      <c r="C348" s="17">
        <f>C330-C339</f>
        <v>82421.91</v>
      </c>
      <c r="D348"/>
      <c r="E348"/>
      <c r="F348" s="61">
        <f t="shared" si="106"/>
        <v>-0.35829821075010571</v>
      </c>
      <c r="G348" s="56"/>
      <c r="I348" s="15"/>
      <c r="J348" s="15"/>
      <c r="K348" s="56"/>
      <c r="M348" s="15"/>
      <c r="N348" s="15"/>
      <c r="O348" s="15"/>
      <c r="P348" s="56"/>
      <c r="R348" s="15"/>
      <c r="S348" s="15"/>
      <c r="T348" s="15"/>
      <c r="U348" s="15"/>
      <c r="V348" s="56"/>
      <c r="W348" s="32"/>
      <c r="X348"/>
      <c r="Y348"/>
      <c r="Z348"/>
      <c r="AA348"/>
    </row>
    <row r="349" spans="1:27" s="4" customFormat="1" x14ac:dyDescent="0.35">
      <c r="A349" s="10"/>
      <c r="B349" s="4" t="s">
        <v>54</v>
      </c>
      <c r="C349" s="17">
        <f>C331-C340</f>
        <v>12510.849999999999</v>
      </c>
      <c r="D349"/>
      <c r="E349"/>
      <c r="F349" s="61">
        <f t="shared" si="106"/>
        <v>-0.71538318146054047</v>
      </c>
      <c r="G349" s="56"/>
      <c r="I349" s="15"/>
      <c r="J349" s="15"/>
      <c r="K349" s="56"/>
      <c r="M349" s="15"/>
      <c r="N349" s="15"/>
      <c r="O349" s="15"/>
      <c r="P349" s="56"/>
      <c r="Q349" s="4" t="s">
        <v>84</v>
      </c>
      <c r="R349" s="33">
        <f>R346/R328</f>
        <v>-5.0615880083604216E-2</v>
      </c>
      <c r="S349" s="15"/>
      <c r="T349" s="15"/>
      <c r="U349" s="15"/>
      <c r="V349" s="56"/>
      <c r="W349" s="32"/>
      <c r="X349"/>
      <c r="Y349"/>
      <c r="Z349"/>
      <c r="AA349"/>
    </row>
    <row r="350" spans="1:27" x14ac:dyDescent="0.35">
      <c r="G350" s="59"/>
      <c r="K350" s="59"/>
      <c r="P350" s="59"/>
      <c r="V350" s="59"/>
    </row>
    <row r="351" spans="1:27" x14ac:dyDescent="0.35">
      <c r="G351" s="59"/>
      <c r="K351" s="59"/>
      <c r="P351" s="59"/>
      <c r="V351" s="59"/>
    </row>
    <row r="352" spans="1:27" s="4" customFormat="1" x14ac:dyDescent="0.35">
      <c r="A352" s="10">
        <f>A327+1</f>
        <v>15</v>
      </c>
      <c r="B352" s="4" t="s">
        <v>14</v>
      </c>
      <c r="C352" s="16">
        <v>491758.21</v>
      </c>
      <c r="D352" s="17">
        <f>ABS(C352/100/W$202)</f>
        <v>6146.9776665853306</v>
      </c>
      <c r="E352" s="17">
        <f>D352/Supporting!$A$15</f>
        <v>73.178305554587268</v>
      </c>
      <c r="F352" s="11">
        <f>ABS(C352/C357)</f>
        <v>0.7242809442633622</v>
      </c>
      <c r="G352" s="56"/>
      <c r="H352" s="4" t="s">
        <v>33</v>
      </c>
      <c r="I352" s="16">
        <v>5168.9399999999996</v>
      </c>
      <c r="J352" s="17">
        <f>I352/Supporting!$A$15</f>
        <v>61.534999999999997</v>
      </c>
      <c r="K352" s="56"/>
      <c r="L352" s="4" t="s">
        <v>32</v>
      </c>
      <c r="M352" s="17">
        <f>N352/100</f>
        <v>8277.4264999999996</v>
      </c>
      <c r="N352" s="16">
        <v>827742.65</v>
      </c>
      <c r="O352" s="22">
        <f>M352/Supporting!$A$15</f>
        <v>98.540791666666664</v>
      </c>
      <c r="P352" s="56"/>
      <c r="Q352" s="4" t="s">
        <v>11</v>
      </c>
      <c r="R352" s="16">
        <v>266635.18</v>
      </c>
      <c r="S352" s="15">
        <f>R352*Supporting!$A$2</f>
        <v>1994569.7966936</v>
      </c>
      <c r="T352" s="15">
        <f>S352/Supporting!$A$15</f>
        <v>23744.878532066668</v>
      </c>
      <c r="U352" s="15">
        <f>T352/365</f>
        <v>65.0544617316895</v>
      </c>
      <c r="V352" s="56"/>
      <c r="W352" s="34">
        <f>C353/N352</f>
        <v>0.79999999999999993</v>
      </c>
      <c r="Y352"/>
      <c r="Z352"/>
      <c r="AA352"/>
    </row>
    <row r="353" spans="1:27" s="4" customFormat="1" x14ac:dyDescent="0.35">
      <c r="A353" s="10" t="s">
        <v>139</v>
      </c>
      <c r="B353" s="4" t="s">
        <v>15</v>
      </c>
      <c r="C353" s="16">
        <v>662194.12</v>
      </c>
      <c r="D353" s="17">
        <f>ABS(C353/100/W$202)</f>
        <v>8277.4265559981723</v>
      </c>
      <c r="E353" s="17">
        <f>D353/Supporting!$A$15</f>
        <v>98.540792333311572</v>
      </c>
      <c r="F353" s="60"/>
      <c r="G353" s="56"/>
      <c r="I353" s="15"/>
      <c r="J353" s="17"/>
      <c r="K353" s="56"/>
      <c r="M353" s="15"/>
      <c r="O353" s="15"/>
      <c r="P353" s="56"/>
      <c r="Q353" s="4" t="s">
        <v>12</v>
      </c>
      <c r="R353" s="16">
        <v>156587.41</v>
      </c>
      <c r="S353" s="15">
        <f>R353*Supporting!$A$2</f>
        <v>1171355.2522532002</v>
      </c>
      <c r="T353" s="15">
        <f>S353/Supporting!$A$15</f>
        <v>13944.705383966668</v>
      </c>
      <c r="U353" s="22">
        <f>T353/365</f>
        <v>38.204672284840186</v>
      </c>
      <c r="V353" s="56"/>
      <c r="W353" s="32"/>
    </row>
    <row r="354" spans="1:27" s="4" customFormat="1" x14ac:dyDescent="0.35">
      <c r="A354" s="10"/>
      <c r="B354" s="4" t="s">
        <v>16</v>
      </c>
      <c r="C354" s="16">
        <v>-3552.4</v>
      </c>
      <c r="D354" s="17">
        <f>ABS(C354/100/W$202)</f>
        <v>44.405000300407238</v>
      </c>
      <c r="E354" s="17">
        <f>D354/Supporting!$A$15</f>
        <v>0.52863095595722898</v>
      </c>
      <c r="F354" s="11">
        <f>ABS(C354/C357)</f>
        <v>5.2321152429792026E-3</v>
      </c>
      <c r="G354" s="56"/>
      <c r="I354" s="15"/>
      <c r="J354" s="17"/>
      <c r="K354" s="56"/>
      <c r="M354" s="15"/>
      <c r="N354" s="15"/>
      <c r="O354" s="15"/>
      <c r="P354" s="56"/>
      <c r="Q354" s="4" t="s">
        <v>13</v>
      </c>
      <c r="R354" s="16">
        <f>R352-R353</f>
        <v>110047.76999999999</v>
      </c>
      <c r="S354" s="15">
        <f>R354*Supporting!$A$2</f>
        <v>823214.54444039997</v>
      </c>
      <c r="T354" s="15">
        <f>S354/Supporting!$A$15</f>
        <v>9800.1731480999988</v>
      </c>
      <c r="U354" s="15">
        <f>T354/365</f>
        <v>26.849789446849311</v>
      </c>
      <c r="V354" s="56"/>
      <c r="W354" s="32"/>
    </row>
    <row r="355" spans="1:27" s="4" customFormat="1" x14ac:dyDescent="0.35">
      <c r="A355" s="10"/>
      <c r="B355" s="4" t="s">
        <v>17</v>
      </c>
      <c r="C355" s="16">
        <v>181988.05</v>
      </c>
      <c r="D355" s="17">
        <f>ABS(C355/100/W$202)</f>
        <v>2274.8506403897441</v>
      </c>
      <c r="E355" s="17">
        <f>D355/Supporting!$A$15</f>
        <v>27.08155524273505</v>
      </c>
      <c r="F355" s="11">
        <f>ABS(C355/C357)</f>
        <v>0.26803919897676531</v>
      </c>
      <c r="G355" s="56"/>
      <c r="I355" s="15"/>
      <c r="J355" s="17"/>
      <c r="K355" s="56"/>
      <c r="M355" s="15"/>
      <c r="N355" s="15"/>
      <c r="O355" s="15"/>
      <c r="P355" s="56"/>
      <c r="R355" s="15"/>
      <c r="S355" s="15"/>
      <c r="T355" s="15"/>
      <c r="U355" s="15"/>
      <c r="V355" s="56"/>
      <c r="W355" s="32"/>
    </row>
    <row r="356" spans="1:27" s="4" customFormat="1" x14ac:dyDescent="0.35">
      <c r="A356" s="10"/>
      <c r="B356" s="4" t="s">
        <v>54</v>
      </c>
      <c r="C356" s="16">
        <v>16766.46</v>
      </c>
      <c r="D356" s="17">
        <f>ABS(C356/100/W$202)</f>
        <v>209.58075141784872</v>
      </c>
      <c r="E356" s="17">
        <f>D356/Supporting!$A$15</f>
        <v>2.4950089454505799</v>
      </c>
      <c r="F356" s="60"/>
      <c r="G356" s="56"/>
      <c r="H356" s="39"/>
      <c r="I356" s="15"/>
      <c r="J356" s="17"/>
      <c r="K356" s="56"/>
      <c r="M356" s="15"/>
      <c r="N356" s="15"/>
      <c r="O356" s="15"/>
      <c r="P356" s="56"/>
      <c r="R356" s="15"/>
      <c r="S356" s="15"/>
      <c r="T356" s="15"/>
      <c r="U356" s="15"/>
      <c r="V356" s="56"/>
      <c r="W356" s="32"/>
    </row>
    <row r="357" spans="1:27" s="4" customFormat="1" x14ac:dyDescent="0.35">
      <c r="A357" s="10"/>
      <c r="B357" s="4" t="s">
        <v>29</v>
      </c>
      <c r="C357" s="17">
        <f>C353+C356</f>
        <v>678960.58</v>
      </c>
      <c r="D357" s="17">
        <f t="shared" ref="D357:E357" si="107">D353+D356</f>
        <v>8487.0073074160209</v>
      </c>
      <c r="E357" s="17">
        <f t="shared" si="107"/>
        <v>101.03580127876215</v>
      </c>
      <c r="F357" s="60"/>
      <c r="G357" s="56"/>
      <c r="I357" s="15"/>
      <c r="J357" s="17"/>
      <c r="K357" s="56"/>
      <c r="M357" s="15"/>
      <c r="N357" s="15"/>
      <c r="O357" s="15"/>
      <c r="P357" s="56"/>
      <c r="R357" s="15"/>
      <c r="S357" s="15"/>
      <c r="T357" s="15"/>
      <c r="U357" s="15"/>
      <c r="V357" s="56"/>
      <c r="W357" s="32"/>
    </row>
    <row r="358" spans="1:27" s="4" customFormat="1" x14ac:dyDescent="0.35">
      <c r="A358" s="10"/>
      <c r="B358" s="6" t="s">
        <v>21</v>
      </c>
      <c r="C358" s="17">
        <f>C352-C354+C355</f>
        <v>677298.66</v>
      </c>
      <c r="D358" s="17">
        <f t="shared" ref="D358:E358" si="108">D352-D354+D355</f>
        <v>8377.4233066746674</v>
      </c>
      <c r="E358" s="17">
        <f t="shared" si="108"/>
        <v>99.731229841365092</v>
      </c>
      <c r="F358" s="11">
        <f>SUM(F352:F355)</f>
        <v>0.99755225848310669</v>
      </c>
      <c r="G358" s="57"/>
      <c r="I358" s="15"/>
      <c r="J358" s="17"/>
      <c r="K358" s="57"/>
      <c r="M358" s="15"/>
      <c r="N358" s="15"/>
      <c r="O358" s="15"/>
      <c r="P358" s="57"/>
      <c r="R358" s="15"/>
      <c r="S358" s="15"/>
      <c r="T358" s="15"/>
      <c r="U358" s="15"/>
      <c r="V358" s="57"/>
      <c r="W358" s="32"/>
      <c r="X358"/>
      <c r="Y358"/>
      <c r="Z358"/>
      <c r="AA358"/>
    </row>
    <row r="359" spans="1:27" s="4" customFormat="1" x14ac:dyDescent="0.35">
      <c r="A359" s="10"/>
      <c r="B359" s="6" t="s">
        <v>30</v>
      </c>
      <c r="C359" s="15">
        <f>C357-C358</f>
        <v>1661.9199999999255</v>
      </c>
      <c r="D359" s="15">
        <f t="shared" ref="D359:E359" si="109">D357-D358</f>
        <v>109.58400074135352</v>
      </c>
      <c r="E359" s="15">
        <f t="shared" si="109"/>
        <v>1.3045714373970583</v>
      </c>
      <c r="F359" s="11">
        <f>ABS(C359/C357)</f>
        <v>2.4477415168932572E-3</v>
      </c>
      <c r="G359" s="57"/>
      <c r="I359" s="15"/>
      <c r="J359" s="17"/>
      <c r="K359" s="57"/>
      <c r="M359" s="15"/>
      <c r="N359" s="15"/>
      <c r="O359" s="15"/>
      <c r="P359" s="57"/>
      <c r="R359" s="15"/>
      <c r="S359" s="15"/>
      <c r="T359" s="15"/>
      <c r="U359" s="15"/>
      <c r="V359" s="57"/>
      <c r="W359" s="32"/>
      <c r="X359"/>
      <c r="Y359"/>
      <c r="Z359"/>
      <c r="AA359"/>
    </row>
    <row r="360" spans="1:27" s="4" customFormat="1" x14ac:dyDescent="0.35">
      <c r="A360" s="14"/>
      <c r="B360" s="13"/>
      <c r="C360" s="18"/>
      <c r="D360" s="18"/>
      <c r="E360" s="18"/>
      <c r="F360" s="60"/>
      <c r="G360" s="56"/>
      <c r="H360" s="13"/>
      <c r="I360" s="18"/>
      <c r="J360" s="18"/>
      <c r="K360" s="56"/>
      <c r="L360" s="13"/>
      <c r="M360" s="18"/>
      <c r="N360" s="18"/>
      <c r="O360" s="18"/>
      <c r="P360" s="56"/>
      <c r="Q360" s="13"/>
      <c r="R360" s="18"/>
      <c r="S360" s="18"/>
      <c r="T360" s="18"/>
      <c r="U360" s="18"/>
      <c r="V360" s="56"/>
      <c r="W360" s="32"/>
      <c r="X360"/>
      <c r="Y360"/>
      <c r="Z360"/>
      <c r="AA360"/>
    </row>
    <row r="361" spans="1:27" s="4" customFormat="1" x14ac:dyDescent="0.35">
      <c r="A361" s="10">
        <f>A336+1</f>
        <v>15</v>
      </c>
      <c r="B361" s="4" t="s">
        <v>14</v>
      </c>
      <c r="C361" s="19">
        <v>491734.41</v>
      </c>
      <c r="D361" s="17">
        <f>ABS(C361/100/W$211)</f>
        <v>4222.2565393004688</v>
      </c>
      <c r="E361" s="17">
        <f>D361/Supporting!$A$15</f>
        <v>50.264958801196059</v>
      </c>
      <c r="F361" s="11">
        <f>ABS(C361/C366)</f>
        <v>0.89653542023374033</v>
      </c>
      <c r="G361" s="56"/>
      <c r="H361" s="4" t="s">
        <v>33</v>
      </c>
      <c r="I361" s="21">
        <v>1252.5899999999999</v>
      </c>
      <c r="J361" s="17">
        <f>I361/Supporting!$A$15</f>
        <v>14.911785714285713</v>
      </c>
      <c r="K361" s="56"/>
      <c r="L361" s="4" t="s">
        <v>32</v>
      </c>
      <c r="M361" s="17">
        <f>N361/100</f>
        <v>4563.1965550843452</v>
      </c>
      <c r="N361" s="52">
        <v>456319.65550843452</v>
      </c>
      <c r="O361" s="22">
        <f>M361/Supporting!$A$15</f>
        <v>54.32376851290887</v>
      </c>
      <c r="P361" s="56"/>
      <c r="Q361" s="4" t="s">
        <v>11</v>
      </c>
      <c r="R361" s="21">
        <v>266635.18</v>
      </c>
      <c r="S361" s="15">
        <f>R361*Supporting!$A$2</f>
        <v>1994569.7966936</v>
      </c>
      <c r="T361" s="15">
        <f>S361/Supporting!$A$15</f>
        <v>23744.878532066668</v>
      </c>
      <c r="U361" s="15">
        <f>T361/365</f>
        <v>65.0544617316895</v>
      </c>
      <c r="V361" s="56"/>
      <c r="W361" s="54">
        <f>C362/N361</f>
        <v>1.193067082314049</v>
      </c>
      <c r="X361" s="45"/>
      <c r="Y361" s="17">
        <f>Z361/100</f>
        <v>5653.0099</v>
      </c>
      <c r="Z361" s="46">
        <v>565300.99</v>
      </c>
      <c r="AA361" s="17">
        <f>Y361/Supporting!$A$15</f>
        <v>67.297736904761905</v>
      </c>
    </row>
    <row r="362" spans="1:27" s="4" customFormat="1" x14ac:dyDescent="0.35">
      <c r="A362" s="10" t="s">
        <v>140</v>
      </c>
      <c r="B362" s="4" t="s">
        <v>15</v>
      </c>
      <c r="C362" s="19">
        <v>544419.96</v>
      </c>
      <c r="D362" s="17">
        <f>ABS(C362/100/W$211)</f>
        <v>4674.6387673697682</v>
      </c>
      <c r="E362" s="17">
        <f>D362/Supporting!$A$15</f>
        <v>55.650461516306763</v>
      </c>
      <c r="F362" s="60"/>
      <c r="G362" s="56"/>
      <c r="I362" s="15"/>
      <c r="J362" s="17"/>
      <c r="K362" s="56"/>
      <c r="M362" s="15"/>
      <c r="N362" s="15"/>
      <c r="O362" s="17"/>
      <c r="P362" s="56"/>
      <c r="Q362" s="4" t="s">
        <v>12</v>
      </c>
      <c r="R362" s="21">
        <v>168804.61</v>
      </c>
      <c r="S362" s="15">
        <f>R362*Supporting!$A$2</f>
        <v>1262746.2611972</v>
      </c>
      <c r="T362" s="15">
        <f>S362/Supporting!$A$15</f>
        <v>15032.693585680952</v>
      </c>
      <c r="U362" s="22">
        <f>T362/365</f>
        <v>41.185461878577954</v>
      </c>
      <c r="V362" s="56"/>
      <c r="W362" s="32"/>
      <c r="X362"/>
      <c r="Y362"/>
      <c r="Z362"/>
      <c r="AA362"/>
    </row>
    <row r="363" spans="1:27" s="4" customFormat="1" x14ac:dyDescent="0.35">
      <c r="A363" s="10"/>
      <c r="B363" s="4" t="s">
        <v>16</v>
      </c>
      <c r="C363" s="19">
        <v>-3595.2</v>
      </c>
      <c r="D363" s="17">
        <f>ABS(C363/100/W$211)</f>
        <v>30.870031466972279</v>
      </c>
      <c r="E363" s="17">
        <f>D363/Supporting!$A$15</f>
        <v>0.36750037460681284</v>
      </c>
      <c r="F363" s="11">
        <f>ABS(C363/C366)</f>
        <v>6.5548069796952857E-3</v>
      </c>
      <c r="G363" s="56"/>
      <c r="I363" s="15"/>
      <c r="J363" s="17"/>
      <c r="K363" s="56"/>
      <c r="M363" s="15"/>
      <c r="N363" s="15"/>
      <c r="O363" s="17"/>
      <c r="P363" s="56"/>
      <c r="Q363" s="4" t="s">
        <v>13</v>
      </c>
      <c r="R363" s="21">
        <f>R361-R362</f>
        <v>97830.57</v>
      </c>
      <c r="S363" s="15">
        <f>R363*Supporting!$A$2</f>
        <v>731823.53549640009</v>
      </c>
      <c r="T363" s="15">
        <f>S363/Supporting!$A$15</f>
        <v>8712.1849463857161</v>
      </c>
      <c r="U363" s="15">
        <f>T363/365</f>
        <v>23.86899985311155</v>
      </c>
      <c r="V363" s="56"/>
      <c r="W363" s="32"/>
      <c r="X363"/>
      <c r="Y363" s="4" t="s">
        <v>84</v>
      </c>
      <c r="Z363" s="33">
        <f>(N352-Z361)/N352</f>
        <v>0.31705707081784418</v>
      </c>
      <c r="AA363"/>
    </row>
    <row r="364" spans="1:27" s="4" customFormat="1" x14ac:dyDescent="0.35">
      <c r="A364" s="10"/>
      <c r="B364" s="4" t="s">
        <v>17</v>
      </c>
      <c r="C364" s="19">
        <v>115015.34</v>
      </c>
      <c r="D364" s="17">
        <f>ABS(C364/100/W$211)</f>
        <v>987.5743115778024</v>
      </c>
      <c r="E364" s="17">
        <f>D364/Supporting!$A$15</f>
        <v>11.756837042592887</v>
      </c>
      <c r="F364" s="11">
        <f>ABS(C364/C366)</f>
        <v>0.20969719442702114</v>
      </c>
      <c r="G364" s="56"/>
      <c r="I364" s="15"/>
      <c r="J364" s="17"/>
      <c r="K364" s="56"/>
      <c r="M364" s="15"/>
      <c r="N364" s="15"/>
      <c r="O364" s="17"/>
      <c r="P364" s="56"/>
      <c r="R364" s="15"/>
      <c r="S364" s="15"/>
      <c r="T364" s="15"/>
      <c r="U364" s="15"/>
      <c r="V364" s="56"/>
      <c r="W364" s="32"/>
      <c r="X364"/>
      <c r="Y364"/>
      <c r="Z364"/>
      <c r="AA364"/>
    </row>
    <row r="365" spans="1:27" s="4" customFormat="1" x14ac:dyDescent="0.35">
      <c r="A365" s="10"/>
      <c r="B365" s="4" t="s">
        <v>54</v>
      </c>
      <c r="C365" s="19">
        <v>4063.01</v>
      </c>
      <c r="D365" s="17">
        <f>ABS(C365/100/W$211)</f>
        <v>34.886862080168846</v>
      </c>
      <c r="E365" s="17">
        <f>D365/Supporting!$A$15</f>
        <v>0.41531978666867675</v>
      </c>
      <c r="F365" s="60"/>
      <c r="G365" s="56"/>
      <c r="I365" s="15"/>
      <c r="J365" s="17"/>
      <c r="K365" s="56"/>
      <c r="M365" s="15"/>
      <c r="N365" s="15"/>
      <c r="O365" s="17"/>
      <c r="P365" s="56"/>
      <c r="R365" s="15"/>
      <c r="S365" s="15"/>
      <c r="T365" s="15"/>
      <c r="U365" s="15"/>
      <c r="V365" s="56"/>
      <c r="W365" s="32"/>
      <c r="X365"/>
      <c r="Y365"/>
      <c r="Z365"/>
      <c r="AA365"/>
    </row>
    <row r="366" spans="1:27" s="4" customFormat="1" x14ac:dyDescent="0.35">
      <c r="A366" s="10"/>
      <c r="B366" s="4" t="s">
        <v>29</v>
      </c>
      <c r="C366" s="17">
        <f>C362+C365</f>
        <v>548482.97</v>
      </c>
      <c r="D366" s="17">
        <f t="shared" ref="D366:E366" si="110">D362+D365</f>
        <v>4709.5256294499368</v>
      </c>
      <c r="E366" s="17">
        <f t="shared" si="110"/>
        <v>56.065781302975438</v>
      </c>
      <c r="F366" s="60"/>
      <c r="G366" s="56"/>
      <c r="I366" s="15"/>
      <c r="J366" s="17"/>
      <c r="K366" s="56"/>
      <c r="M366" s="15"/>
      <c r="N366" s="15"/>
      <c r="O366" s="17"/>
      <c r="P366" s="56"/>
      <c r="R366" s="15"/>
      <c r="S366" s="15"/>
      <c r="T366" s="15"/>
      <c r="U366" s="15"/>
      <c r="V366" s="56"/>
      <c r="W366" s="32"/>
      <c r="X366"/>
      <c r="Y366"/>
      <c r="Z366"/>
      <c r="AA366"/>
    </row>
    <row r="367" spans="1:27" s="4" customFormat="1" x14ac:dyDescent="0.35">
      <c r="A367" s="10"/>
      <c r="B367" s="6" t="s">
        <v>21</v>
      </c>
      <c r="C367" s="17">
        <f>C361-C363+C364</f>
        <v>610344.94999999995</v>
      </c>
      <c r="D367" s="17">
        <f t="shared" ref="D367:E367" si="111">D361-D363+D364</f>
        <v>5178.9608194112989</v>
      </c>
      <c r="E367" s="17">
        <f t="shared" si="111"/>
        <v>61.654295469182131</v>
      </c>
      <c r="F367" s="11">
        <f>SUM(F361:F364)</f>
        <v>1.1127874216404567</v>
      </c>
      <c r="G367" s="57"/>
      <c r="I367" s="15"/>
      <c r="J367" s="17"/>
      <c r="K367" s="57"/>
      <c r="M367" s="15"/>
      <c r="N367" s="15"/>
      <c r="O367" s="17"/>
      <c r="P367" s="57"/>
      <c r="R367" s="15"/>
      <c r="S367" s="15"/>
      <c r="T367" s="15"/>
      <c r="U367" s="15"/>
      <c r="V367" s="57"/>
      <c r="W367" s="32"/>
      <c r="X367"/>
      <c r="Y367"/>
      <c r="Z367" s="27"/>
      <c r="AA367"/>
    </row>
    <row r="368" spans="1:27" s="4" customFormat="1" x14ac:dyDescent="0.35">
      <c r="A368" s="10"/>
      <c r="B368" s="6" t="s">
        <v>30</v>
      </c>
      <c r="C368" s="15">
        <f>C366-C367</f>
        <v>-61861.979999999981</v>
      </c>
      <c r="D368" s="15">
        <f t="shared" ref="D368:E368" si="112">D366-D367</f>
        <v>-469.43518996136208</v>
      </c>
      <c r="E368" s="15">
        <f t="shared" si="112"/>
        <v>-5.5885141662066928</v>
      </c>
      <c r="F368" s="11">
        <f>ABS(C368/C366)</f>
        <v>0.11278742164045674</v>
      </c>
      <c r="G368" s="57"/>
      <c r="I368" s="15"/>
      <c r="J368" s="17"/>
      <c r="K368" s="57"/>
      <c r="M368" s="15"/>
      <c r="N368" s="15"/>
      <c r="O368" s="17"/>
      <c r="P368" s="57"/>
      <c r="R368" s="15"/>
      <c r="S368" s="15"/>
      <c r="T368" s="15"/>
      <c r="U368" s="15"/>
      <c r="V368" s="57"/>
      <c r="W368" s="32"/>
      <c r="X368"/>
      <c r="Y368"/>
      <c r="Z368"/>
      <c r="AA368"/>
    </row>
    <row r="369" spans="1:27" s="4" customFormat="1" x14ac:dyDescent="0.35">
      <c r="A369" s="14"/>
      <c r="B369" s="13"/>
      <c r="C369" s="18"/>
      <c r="D369" s="18"/>
      <c r="E369" s="18"/>
      <c r="F369" s="60"/>
      <c r="G369" s="58"/>
      <c r="H369" s="13"/>
      <c r="I369" s="18"/>
      <c r="J369" s="18"/>
      <c r="K369" s="58"/>
      <c r="L369" s="13"/>
      <c r="M369" s="18"/>
      <c r="N369" s="18"/>
      <c r="O369" s="18"/>
      <c r="P369" s="58"/>
      <c r="Q369" s="13"/>
      <c r="R369" s="18"/>
      <c r="S369" s="18"/>
      <c r="T369" s="18"/>
      <c r="U369" s="18"/>
      <c r="V369" s="58"/>
      <c r="W369" s="32"/>
      <c r="X369"/>
      <c r="Y369"/>
      <c r="Z369"/>
      <c r="AA369"/>
    </row>
    <row r="370" spans="1:27" s="4" customFormat="1" x14ac:dyDescent="0.35">
      <c r="A370" s="10">
        <f>A345+1</f>
        <v>15</v>
      </c>
      <c r="B370" s="4" t="s">
        <v>14</v>
      </c>
      <c r="C370" s="17">
        <f>C352-C361</f>
        <v>23.800000000046566</v>
      </c>
      <c r="D370"/>
      <c r="E370"/>
      <c r="F370" s="61">
        <f>-C370/C352</f>
        <v>-4.8397768488799741E-5</v>
      </c>
      <c r="G370" s="56"/>
      <c r="H370" s="4" t="s">
        <v>33</v>
      </c>
      <c r="I370" s="15">
        <f>I352-I361</f>
        <v>3916.3499999999995</v>
      </c>
      <c r="J370" s="17">
        <f>I370/Supporting!$A$15</f>
        <v>46.623214285714276</v>
      </c>
      <c r="K370" s="56"/>
      <c r="L370" s="4" t="s">
        <v>32</v>
      </c>
      <c r="M370" s="15">
        <f>M352-M361</f>
        <v>3714.2299449156544</v>
      </c>
      <c r="N370" s="15"/>
      <c r="O370" s="22">
        <f>M370/Supporting!$A$15</f>
        <v>44.217023153757793</v>
      </c>
      <c r="P370" s="56"/>
      <c r="Q370" s="4" t="s">
        <v>11</v>
      </c>
      <c r="R370" s="17">
        <f>R352-R361</f>
        <v>0</v>
      </c>
      <c r="S370" s="15">
        <f>R370*Supporting!$A$2</f>
        <v>0</v>
      </c>
      <c r="T370" s="15">
        <f>S370/Supporting!$A$15</f>
        <v>0</v>
      </c>
      <c r="U370" s="15">
        <f>T370/365</f>
        <v>0</v>
      </c>
      <c r="V370" s="56"/>
      <c r="W370" s="32"/>
      <c r="X370"/>
      <c r="Y370"/>
      <c r="Z370"/>
      <c r="AA370"/>
    </row>
    <row r="371" spans="1:27" s="4" customFormat="1" x14ac:dyDescent="0.35">
      <c r="A371" s="10" t="s">
        <v>141</v>
      </c>
      <c r="B371" s="4" t="s">
        <v>15</v>
      </c>
      <c r="C371" s="17">
        <f>C353-C362</f>
        <v>117774.16000000003</v>
      </c>
      <c r="D371"/>
      <c r="E371"/>
      <c r="F371" s="61">
        <f t="shared" ref="F371:F374" si="113">-C371/C353</f>
        <v>-0.17785443337974677</v>
      </c>
      <c r="G371" s="56"/>
      <c r="I371" s="15"/>
      <c r="J371" s="17"/>
      <c r="K371" s="56"/>
      <c r="M371" s="15"/>
      <c r="N371" s="15"/>
      <c r="O371" s="15"/>
      <c r="P371" s="56"/>
      <c r="Q371" s="4" t="s">
        <v>12</v>
      </c>
      <c r="R371" s="17">
        <f>R353-R362</f>
        <v>-12217.199999999983</v>
      </c>
      <c r="S371" s="15">
        <f>R371*Supporting!$A$2</f>
        <v>-91391.00894399987</v>
      </c>
      <c r="T371" s="15">
        <f>S371/Supporting!$A$15</f>
        <v>-1087.9882017142841</v>
      </c>
      <c r="U371" s="15">
        <f>T371/365</f>
        <v>-2.9807895937377644</v>
      </c>
      <c r="V371" s="56"/>
      <c r="W371" s="32"/>
      <c r="X371"/>
      <c r="Y371"/>
      <c r="Z371"/>
      <c r="AA371"/>
    </row>
    <row r="372" spans="1:27" s="4" customFormat="1" x14ac:dyDescent="0.35">
      <c r="A372" s="10"/>
      <c r="B372" s="4" t="s">
        <v>16</v>
      </c>
      <c r="C372" s="17">
        <f>C354-C363</f>
        <v>42.799999999999727</v>
      </c>
      <c r="D372"/>
      <c r="E372"/>
      <c r="F372" s="61">
        <f t="shared" si="113"/>
        <v>1.204819277108426E-2</v>
      </c>
      <c r="G372" s="56"/>
      <c r="H372" s="4" t="s">
        <v>84</v>
      </c>
      <c r="I372" s="33">
        <f>I370/I352</f>
        <v>0.75766985107197993</v>
      </c>
      <c r="J372" s="15"/>
      <c r="K372" s="56"/>
      <c r="L372" s="4" t="s">
        <v>84</v>
      </c>
      <c r="M372" s="53">
        <f>M370/M352</f>
        <v>0.44871796142383802</v>
      </c>
      <c r="N372" s="15"/>
      <c r="O372" s="15"/>
      <c r="P372" s="56"/>
      <c r="Q372" s="4" t="s">
        <v>13</v>
      </c>
      <c r="R372" s="17">
        <f>R354-R363</f>
        <v>12217.199999999983</v>
      </c>
      <c r="S372" s="15">
        <f>R372*Supporting!$A$2</f>
        <v>91391.00894399987</v>
      </c>
      <c r="T372" s="15">
        <f>S372/Supporting!$A$15</f>
        <v>1087.9882017142841</v>
      </c>
      <c r="U372" s="15">
        <f>T372/365</f>
        <v>2.9807895937377644</v>
      </c>
      <c r="V372" s="56"/>
      <c r="W372" s="32"/>
      <c r="X372"/>
      <c r="Y372"/>
      <c r="Z372"/>
      <c r="AA372"/>
    </row>
    <row r="373" spans="1:27" s="4" customFormat="1" x14ac:dyDescent="0.35">
      <c r="A373" s="10"/>
      <c r="B373" s="4" t="s">
        <v>17</v>
      </c>
      <c r="C373" s="17">
        <f>C355-C364</f>
        <v>66972.709999999992</v>
      </c>
      <c r="D373"/>
      <c r="E373"/>
      <c r="F373" s="61">
        <f t="shared" si="113"/>
        <v>-0.3680060861138959</v>
      </c>
      <c r="G373" s="56"/>
      <c r="I373" s="15"/>
      <c r="J373" s="15"/>
      <c r="K373" s="56"/>
      <c r="M373" s="15"/>
      <c r="N373" s="15"/>
      <c r="O373" s="15"/>
      <c r="P373" s="56"/>
      <c r="R373" s="15"/>
      <c r="S373" s="15"/>
      <c r="T373" s="15"/>
      <c r="U373" s="15"/>
      <c r="V373" s="56"/>
      <c r="W373" s="32"/>
      <c r="X373"/>
      <c r="Y373"/>
      <c r="Z373"/>
      <c r="AA373"/>
    </row>
    <row r="374" spans="1:27" s="4" customFormat="1" x14ac:dyDescent="0.35">
      <c r="A374" s="10"/>
      <c r="B374" s="4" t="s">
        <v>54</v>
      </c>
      <c r="C374" s="17">
        <f>C356-C365</f>
        <v>12703.449999999999</v>
      </c>
      <c r="D374"/>
      <c r="E374"/>
      <c r="F374" s="61">
        <f t="shared" si="113"/>
        <v>-0.75767037287537142</v>
      </c>
      <c r="G374" s="56"/>
      <c r="I374" s="15"/>
      <c r="J374" s="15"/>
      <c r="K374" s="56"/>
      <c r="M374" s="15"/>
      <c r="N374" s="15"/>
      <c r="O374" s="15"/>
      <c r="P374" s="56"/>
      <c r="Q374" s="4" t="s">
        <v>84</v>
      </c>
      <c r="R374" s="33">
        <f>R371/R353</f>
        <v>-7.8021598288138122E-2</v>
      </c>
      <c r="S374" s="15"/>
      <c r="T374" s="15"/>
      <c r="U374" s="15"/>
      <c r="V374" s="56"/>
      <c r="W374" s="32"/>
      <c r="X374"/>
      <c r="Y374"/>
      <c r="Z374"/>
      <c r="AA374"/>
    </row>
    <row r="375" spans="1:27" x14ac:dyDescent="0.35">
      <c r="G375" s="59"/>
      <c r="K375" s="59"/>
      <c r="P375" s="59"/>
      <c r="V375" s="59"/>
    </row>
    <row r="376" spans="1:27" x14ac:dyDescent="0.35">
      <c r="G376" s="59"/>
      <c r="K376" s="59"/>
      <c r="P376" s="59"/>
      <c r="V376" s="59"/>
    </row>
    <row r="377" spans="1:27" s="4" customFormat="1" x14ac:dyDescent="0.35">
      <c r="A377" s="10">
        <f>A352+1</f>
        <v>16</v>
      </c>
      <c r="B377" s="4" t="s">
        <v>14</v>
      </c>
      <c r="C377" s="16">
        <v>885754.8</v>
      </c>
      <c r="D377" s="17">
        <f>ABS(C377/100/W$377)</f>
        <v>11071.934960905604</v>
      </c>
      <c r="E377" s="17">
        <f>D377/Supporting!$A$15</f>
        <v>131.80874953459053</v>
      </c>
      <c r="F377" s="11">
        <f>ABS(C377/C382)</f>
        <v>0.76984894493936329</v>
      </c>
      <c r="G377" s="56"/>
      <c r="H377" s="4" t="s">
        <v>33</v>
      </c>
      <c r="I377" s="16">
        <v>5461.52</v>
      </c>
      <c r="J377" s="17">
        <f>I377/Supporting!$A$15</f>
        <v>65.018095238095242</v>
      </c>
      <c r="K377" s="56"/>
      <c r="L377" s="4" t="s">
        <v>32</v>
      </c>
      <c r="M377" s="17">
        <f>N377/100</f>
        <v>14160.513700000001</v>
      </c>
      <c r="N377" s="16">
        <v>1416051.37</v>
      </c>
      <c r="O377" s="22">
        <f>M377/Supporting!$A$15</f>
        <v>168.57754404761906</v>
      </c>
      <c r="P377" s="56"/>
      <c r="Q377" s="4" t="s">
        <v>11</v>
      </c>
      <c r="R377" s="16">
        <v>266635.18</v>
      </c>
      <c r="S377" s="15">
        <f>R377*Supporting!$A$2</f>
        <v>1994569.7966936</v>
      </c>
      <c r="T377" s="15">
        <f>S377/Supporting!$A$15</f>
        <v>23744.878532066668</v>
      </c>
      <c r="U377" s="15">
        <f>T377/365</f>
        <v>65.0544617316895</v>
      </c>
      <c r="V377" s="56"/>
      <c r="W377" s="34">
        <f>C378/N377</f>
        <v>0.80000000282475625</v>
      </c>
      <c r="X377"/>
      <c r="Y377"/>
      <c r="Z377"/>
      <c r="AA377"/>
    </row>
    <row r="378" spans="1:27" s="4" customFormat="1" x14ac:dyDescent="0.35">
      <c r="A378" s="10" t="s">
        <v>139</v>
      </c>
      <c r="B378" s="4" t="s">
        <v>15</v>
      </c>
      <c r="C378" s="16">
        <v>1132841.1000000001</v>
      </c>
      <c r="D378" s="17">
        <f t="shared" ref="D378:D381" si="114">ABS(C378/100/W$377)</f>
        <v>14160.513700000001</v>
      </c>
      <c r="E378" s="17">
        <f>D378/Supporting!$A$15</f>
        <v>168.57754404761906</v>
      </c>
      <c r="F378" s="60"/>
      <c r="G378" s="56"/>
      <c r="I378" s="15"/>
      <c r="J378" s="17"/>
      <c r="K378" s="56"/>
      <c r="M378" s="15"/>
      <c r="O378" s="15"/>
      <c r="P378" s="56"/>
      <c r="Q378" s="4" t="s">
        <v>12</v>
      </c>
      <c r="R378" s="16">
        <v>202755.76</v>
      </c>
      <c r="S378" s="15">
        <f>R378*Supporting!$A$2</f>
        <v>1516718.5177952002</v>
      </c>
      <c r="T378" s="15">
        <f>S378/Supporting!$A$15</f>
        <v>18056.172830895241</v>
      </c>
      <c r="U378" s="22">
        <f>T378/365</f>
        <v>49.468966659986961</v>
      </c>
      <c r="V378" s="56"/>
      <c r="W378" s="32"/>
      <c r="X378"/>
      <c r="Y378"/>
      <c r="Z378"/>
      <c r="AA378"/>
    </row>
    <row r="379" spans="1:27" s="4" customFormat="1" x14ac:dyDescent="0.35">
      <c r="A379" s="10"/>
      <c r="B379" s="4" t="s">
        <v>16</v>
      </c>
      <c r="C379" s="16">
        <v>-5066.7</v>
      </c>
      <c r="D379" s="17">
        <f t="shared" si="114"/>
        <v>63.333749776371995</v>
      </c>
      <c r="E379" s="17">
        <f>D379/Supporting!$A$15</f>
        <v>0.75397321162347608</v>
      </c>
      <c r="F379" s="11">
        <f>ABS(C379/C382)</f>
        <v>4.4036946221733958E-3</v>
      </c>
      <c r="G379" s="56"/>
      <c r="I379" s="15"/>
      <c r="J379" s="17"/>
      <c r="K379" s="56"/>
      <c r="M379" s="15"/>
      <c r="N379" s="15"/>
      <c r="O379" s="15"/>
      <c r="P379" s="56"/>
      <c r="Q379" s="4" t="s">
        <v>13</v>
      </c>
      <c r="R379" s="16">
        <f>R377-R378</f>
        <v>63879.419999999984</v>
      </c>
      <c r="S379" s="15">
        <f>R379*Supporting!$A$2</f>
        <v>477851.27889839991</v>
      </c>
      <c r="T379" s="15">
        <f>S379/Supporting!$A$15</f>
        <v>5688.7057011714278</v>
      </c>
      <c r="U379" s="15">
        <f>T379/365</f>
        <v>15.585495071702542</v>
      </c>
      <c r="V379" s="56"/>
      <c r="W379" s="32"/>
      <c r="X379"/>
      <c r="Y379"/>
      <c r="Z379"/>
      <c r="AA379"/>
    </row>
    <row r="380" spans="1:27" s="4" customFormat="1" x14ac:dyDescent="0.35">
      <c r="A380" s="10"/>
      <c r="B380" s="4" t="s">
        <v>17</v>
      </c>
      <c r="C380" s="16">
        <v>258563.38</v>
      </c>
      <c r="D380" s="17">
        <f t="shared" si="114"/>
        <v>3232.0422385878355</v>
      </c>
      <c r="E380" s="17">
        <f>D380/Supporting!$A$15</f>
        <v>38.476693316521853</v>
      </c>
      <c r="F380" s="11">
        <f>ABS(C380/C382)</f>
        <v>0.22472894901947543</v>
      </c>
      <c r="G380" s="56"/>
      <c r="I380" s="15"/>
      <c r="J380" s="17"/>
      <c r="K380" s="56"/>
      <c r="M380" s="15"/>
      <c r="N380" s="15"/>
      <c r="O380" s="15"/>
      <c r="P380" s="56"/>
      <c r="R380" s="15"/>
      <c r="S380" s="15"/>
      <c r="T380" s="15"/>
      <c r="U380" s="15"/>
      <c r="V380" s="56"/>
      <c r="W380" s="32"/>
      <c r="X380"/>
      <c r="Y380"/>
      <c r="Z380"/>
      <c r="AA380"/>
    </row>
    <row r="381" spans="1:27" s="4" customFormat="1" x14ac:dyDescent="0.35">
      <c r="A381" s="10"/>
      <c r="B381" s="4" t="s">
        <v>54</v>
      </c>
      <c r="C381" s="16">
        <v>17715.52</v>
      </c>
      <c r="D381" s="17">
        <f t="shared" si="114"/>
        <v>221.44399921809335</v>
      </c>
      <c r="E381" s="17">
        <f>D381/Supporting!$A$15</f>
        <v>2.6362380859296826</v>
      </c>
      <c r="F381" s="60"/>
      <c r="G381" s="56"/>
      <c r="I381" s="15"/>
      <c r="J381" s="17"/>
      <c r="K381" s="56"/>
      <c r="M381" s="15"/>
      <c r="N381" s="15"/>
      <c r="O381" s="15"/>
      <c r="P381" s="56"/>
      <c r="R381" s="15"/>
      <c r="S381" s="15"/>
      <c r="T381" s="15"/>
      <c r="U381" s="15"/>
      <c r="V381" s="56"/>
      <c r="W381" s="32"/>
      <c r="X381"/>
      <c r="Y381"/>
      <c r="Z381"/>
      <c r="AA381"/>
    </row>
    <row r="382" spans="1:27" s="4" customFormat="1" x14ac:dyDescent="0.35">
      <c r="A382" s="10"/>
      <c r="B382" s="4" t="s">
        <v>29</v>
      </c>
      <c r="C382" s="17">
        <f>C378+C381</f>
        <v>1150556.6200000001</v>
      </c>
      <c r="D382" s="17">
        <f t="shared" ref="D382" si="115">D378+D381</f>
        <v>14381.957699218096</v>
      </c>
      <c r="E382" s="17">
        <f t="shared" ref="E382" si="116">E378+E381</f>
        <v>171.21378213354873</v>
      </c>
      <c r="F382" s="60"/>
      <c r="G382" s="56"/>
      <c r="I382" s="15"/>
      <c r="J382" s="17"/>
      <c r="K382" s="56"/>
      <c r="M382" s="15"/>
      <c r="N382" s="15"/>
      <c r="O382" s="15"/>
      <c r="P382" s="56"/>
      <c r="R382" s="15"/>
      <c r="S382" s="15"/>
      <c r="T382" s="15"/>
      <c r="U382" s="15"/>
      <c r="V382" s="56"/>
      <c r="W382" s="32"/>
      <c r="X382"/>
      <c r="Y382"/>
      <c r="Z382"/>
      <c r="AA382"/>
    </row>
    <row r="383" spans="1:27" s="4" customFormat="1" x14ac:dyDescent="0.35">
      <c r="A383" s="10"/>
      <c r="B383" s="6" t="s">
        <v>21</v>
      </c>
      <c r="C383" s="17">
        <f>C377-C379+C380</f>
        <v>1149384.8799999999</v>
      </c>
      <c r="D383" s="17">
        <f t="shared" ref="D383:E383" si="117">D377-D379+D380</f>
        <v>14240.643449717069</v>
      </c>
      <c r="E383" s="17">
        <f t="shared" si="117"/>
        <v>169.5314696394889</v>
      </c>
      <c r="F383" s="11">
        <f>SUM(F377:F380)</f>
        <v>0.99898158858101205</v>
      </c>
      <c r="G383" s="57"/>
      <c r="I383" s="15"/>
      <c r="J383" s="17"/>
      <c r="K383" s="57"/>
      <c r="M383" s="15"/>
      <c r="N383" s="15"/>
      <c r="O383" s="15"/>
      <c r="P383" s="57"/>
      <c r="R383" s="15"/>
      <c r="S383" s="15"/>
      <c r="T383" s="15"/>
      <c r="U383" s="15"/>
      <c r="V383" s="57"/>
      <c r="W383" s="32"/>
      <c r="X383"/>
      <c r="Y383"/>
      <c r="Z383"/>
      <c r="AA383"/>
    </row>
    <row r="384" spans="1:27" s="4" customFormat="1" x14ac:dyDescent="0.35">
      <c r="A384" s="10"/>
      <c r="B384" s="6" t="s">
        <v>30</v>
      </c>
      <c r="C384" s="15">
        <f>C382-C383</f>
        <v>1171.7400000002235</v>
      </c>
      <c r="D384" s="15">
        <f t="shared" ref="D384" si="118">D382-D383</f>
        <v>141.31424950102701</v>
      </c>
      <c r="E384" s="15">
        <f t="shared" ref="E384" si="119">E382-E383</f>
        <v>1.6823124940598291</v>
      </c>
      <c r="F384" s="11">
        <f>ABS(C384/C382)</f>
        <v>1.0184114189879881E-3</v>
      </c>
      <c r="G384" s="57"/>
      <c r="I384" s="15"/>
      <c r="J384" s="17"/>
      <c r="K384" s="57"/>
      <c r="M384" s="15"/>
      <c r="N384" s="15"/>
      <c r="O384" s="15"/>
      <c r="P384" s="57"/>
      <c r="R384" s="15"/>
      <c r="S384" s="15"/>
      <c r="T384" s="15"/>
      <c r="U384" s="15"/>
      <c r="V384" s="57"/>
      <c r="W384" s="32"/>
      <c r="X384"/>
      <c r="Y384"/>
      <c r="Z384"/>
      <c r="AA384"/>
    </row>
    <row r="385" spans="1:27" s="4" customFormat="1" x14ac:dyDescent="0.35">
      <c r="A385" s="14"/>
      <c r="B385" s="13"/>
      <c r="C385" s="18"/>
      <c r="D385" s="18"/>
      <c r="E385" s="18"/>
      <c r="F385" s="60"/>
      <c r="G385" s="56"/>
      <c r="H385" s="13"/>
      <c r="I385" s="18"/>
      <c r="J385" s="18"/>
      <c r="K385" s="56"/>
      <c r="L385" s="13"/>
      <c r="M385" s="18"/>
      <c r="N385" s="18"/>
      <c r="O385" s="18"/>
      <c r="P385" s="56"/>
      <c r="Q385" s="13"/>
      <c r="R385" s="18"/>
      <c r="S385" s="18"/>
      <c r="T385" s="18"/>
      <c r="U385" s="18"/>
      <c r="V385" s="56"/>
      <c r="W385" s="32"/>
      <c r="X385"/>
      <c r="Y385"/>
      <c r="Z385"/>
      <c r="AA385"/>
    </row>
    <row r="386" spans="1:27" s="4" customFormat="1" x14ac:dyDescent="0.35">
      <c r="A386" s="10">
        <f>A361+1</f>
        <v>16</v>
      </c>
      <c r="B386" s="4" t="s">
        <v>14</v>
      </c>
      <c r="C386" s="19">
        <v>885957.16</v>
      </c>
      <c r="D386" s="17">
        <f>ABS(C386/100/W$386)</f>
        <v>8231.1038469393352</v>
      </c>
      <c r="E386" s="17">
        <f>D386/Supporting!$A$15</f>
        <v>97.989331511182556</v>
      </c>
      <c r="F386" s="11">
        <f>ABS(C386/C391)</f>
        <v>0.83965894513019323</v>
      </c>
      <c r="G386" s="56"/>
      <c r="H386" s="4" t="s">
        <v>33</v>
      </c>
      <c r="I386" s="21">
        <v>1822.94</v>
      </c>
      <c r="J386" s="17">
        <f>I386/Supporting!$A$15</f>
        <v>21.701666666666668</v>
      </c>
      <c r="K386" s="56"/>
      <c r="L386" s="4" t="s">
        <v>32</v>
      </c>
      <c r="M386" s="17">
        <f>N386/100</f>
        <v>9747.97713737501</v>
      </c>
      <c r="N386" s="52">
        <v>974797.71373750095</v>
      </c>
      <c r="O386" s="22">
        <f>M386/Supporting!$A$15</f>
        <v>116.04734687351203</v>
      </c>
      <c r="P386" s="56"/>
      <c r="Q386" s="4" t="s">
        <v>11</v>
      </c>
      <c r="R386" s="21">
        <v>266635.18</v>
      </c>
      <c r="S386" s="15">
        <f>R386*Supporting!$A$2</f>
        <v>1994569.7966936</v>
      </c>
      <c r="T386" s="15">
        <f>S386/Supporting!$A$15</f>
        <v>23744.878532066668</v>
      </c>
      <c r="U386" s="15">
        <f>T386/365</f>
        <v>65.0544617316895</v>
      </c>
      <c r="V386" s="56"/>
      <c r="W386" s="54">
        <f>C387/N386</f>
        <v>1.0763527911623125</v>
      </c>
      <c r="X386"/>
      <c r="Y386" s="17">
        <f>Z386/100</f>
        <v>11169.1042</v>
      </c>
      <c r="Z386" s="46">
        <v>1116910.42</v>
      </c>
      <c r="AA386" s="17">
        <f>Y386/Supporting!$A$15</f>
        <v>132.9655261904762</v>
      </c>
    </row>
    <row r="387" spans="1:27" s="4" customFormat="1" x14ac:dyDescent="0.35">
      <c r="A387" s="10" t="s">
        <v>140</v>
      </c>
      <c r="B387" s="4" t="s">
        <v>15</v>
      </c>
      <c r="C387" s="19">
        <v>1049226.24</v>
      </c>
      <c r="D387" s="17">
        <f t="shared" ref="D387:D390" si="120">ABS(C387/100/W$386)</f>
        <v>9747.9771373750082</v>
      </c>
      <c r="E387" s="17">
        <f>D387/Supporting!$A$15</f>
        <v>116.047346873512</v>
      </c>
      <c r="F387" s="60"/>
      <c r="G387" s="56"/>
      <c r="I387" s="15"/>
      <c r="J387" s="17"/>
      <c r="K387" s="56"/>
      <c r="M387" s="15"/>
      <c r="N387" s="15"/>
      <c r="O387" s="17"/>
      <c r="P387" s="56"/>
      <c r="Q387" s="4" t="s">
        <v>12</v>
      </c>
      <c r="R387" s="21">
        <v>210576</v>
      </c>
      <c r="S387" s="15">
        <f>R387*Supporting!$A$2</f>
        <v>1575217.9795200001</v>
      </c>
      <c r="T387" s="15">
        <f>S387/Supporting!$A$15</f>
        <v>18752.594994285715</v>
      </c>
      <c r="U387" s="22">
        <f>T387/365</f>
        <v>51.376972587084154</v>
      </c>
      <c r="V387" s="56"/>
      <c r="W387" s="32"/>
      <c r="X387"/>
      <c r="Y387"/>
      <c r="Z387"/>
      <c r="AA387"/>
    </row>
    <row r="388" spans="1:27" s="4" customFormat="1" x14ac:dyDescent="0.35">
      <c r="A388" s="10"/>
      <c r="B388" s="4" t="s">
        <v>16</v>
      </c>
      <c r="C388" s="19">
        <v>-5243.2</v>
      </c>
      <c r="D388" s="17">
        <f t="shared" si="120"/>
        <v>48.712652980051892</v>
      </c>
      <c r="E388" s="17">
        <f>D388/Supporting!$A$15</f>
        <v>0.57991253547680821</v>
      </c>
      <c r="F388" s="11">
        <f>ABS(C388/C391)</f>
        <v>4.9692016497802543E-3</v>
      </c>
      <c r="G388" s="56"/>
      <c r="I388" s="15"/>
      <c r="J388" s="17"/>
      <c r="K388" s="56"/>
      <c r="M388" s="15"/>
      <c r="N388" s="15"/>
      <c r="O388" s="17"/>
      <c r="P388" s="56"/>
      <c r="Q388" s="4" t="s">
        <v>13</v>
      </c>
      <c r="R388" s="21">
        <f>R386-R387</f>
        <v>56059.179999999993</v>
      </c>
      <c r="S388" s="15">
        <f>R388*Supporting!$A$2</f>
        <v>419351.81717359996</v>
      </c>
      <c r="T388" s="15">
        <f>S388/Supporting!$A$15</f>
        <v>4992.2835377809515</v>
      </c>
      <c r="U388" s="15">
        <f>T388/365</f>
        <v>13.677489144605346</v>
      </c>
      <c r="V388" s="56"/>
      <c r="W388" s="32"/>
      <c r="X388"/>
      <c r="Y388" s="4" t="s">
        <v>84</v>
      </c>
      <c r="Z388" s="33">
        <f>(N377-Z386)/N377</f>
        <v>0.21125006926832052</v>
      </c>
      <c r="AA388"/>
    </row>
    <row r="389" spans="1:27" s="4" customFormat="1" x14ac:dyDescent="0.35">
      <c r="A389" s="10"/>
      <c r="B389" s="4" t="s">
        <v>17</v>
      </c>
      <c r="C389" s="19">
        <v>165329.45000000001</v>
      </c>
      <c r="D389" s="17">
        <f t="shared" si="120"/>
        <v>1536.0154343211859</v>
      </c>
      <c r="E389" s="17">
        <f>D389/Supporting!$A$15</f>
        <v>18.285898027633166</v>
      </c>
      <c r="F389" s="11">
        <f>ABS(C389/C391)</f>
        <v>0.15668968868196181</v>
      </c>
      <c r="G389" s="56"/>
      <c r="I389" s="15"/>
      <c r="J389" s="17"/>
      <c r="K389" s="56"/>
      <c r="M389" s="15"/>
      <c r="N389" s="15"/>
      <c r="O389" s="17"/>
      <c r="P389" s="56"/>
      <c r="R389" s="15"/>
      <c r="S389" s="15"/>
      <c r="T389" s="15"/>
      <c r="U389" s="15"/>
      <c r="V389" s="56"/>
      <c r="W389" s="32"/>
      <c r="X389"/>
      <c r="Y389"/>
      <c r="Z389"/>
      <c r="AA389"/>
    </row>
    <row r="390" spans="1:27" s="4" customFormat="1" x14ac:dyDescent="0.35">
      <c r="A390" s="10"/>
      <c r="B390" s="4" t="s">
        <v>54</v>
      </c>
      <c r="C390" s="19">
        <v>5913.07</v>
      </c>
      <c r="D390" s="17">
        <f t="shared" si="120"/>
        <v>54.93617007872205</v>
      </c>
      <c r="E390" s="17">
        <f>D390/Supporting!$A$15</f>
        <v>0.65400202474669111</v>
      </c>
      <c r="F390" s="60"/>
      <c r="G390" s="56"/>
      <c r="I390" s="15"/>
      <c r="J390" s="17"/>
      <c r="K390" s="56"/>
      <c r="M390" s="15"/>
      <c r="N390" s="15"/>
      <c r="O390" s="17"/>
      <c r="P390" s="56"/>
      <c r="R390" s="15"/>
      <c r="S390" s="15"/>
      <c r="T390" s="15"/>
      <c r="U390" s="15"/>
      <c r="V390" s="56"/>
      <c r="W390" s="32"/>
      <c r="X390"/>
      <c r="Y390"/>
      <c r="Z390"/>
      <c r="AA390"/>
    </row>
    <row r="391" spans="1:27" s="4" customFormat="1" x14ac:dyDescent="0.35">
      <c r="A391" s="10"/>
      <c r="B391" s="4" t="s">
        <v>29</v>
      </c>
      <c r="C391" s="17">
        <f>C387+C390</f>
        <v>1055139.31</v>
      </c>
      <c r="D391" s="17">
        <f t="shared" ref="D391" si="121">D387+D390</f>
        <v>9802.9133074537294</v>
      </c>
      <c r="E391" s="17">
        <f t="shared" ref="E391" si="122">E387+E390</f>
        <v>116.70134889825869</v>
      </c>
      <c r="F391" s="60"/>
      <c r="G391" s="56"/>
      <c r="I391" s="15"/>
      <c r="J391" s="17"/>
      <c r="K391" s="56"/>
      <c r="M391" s="15"/>
      <c r="N391" s="15"/>
      <c r="O391" s="17"/>
      <c r="P391" s="56"/>
      <c r="R391" s="15"/>
      <c r="S391" s="15"/>
      <c r="T391" s="15"/>
      <c r="U391" s="15"/>
      <c r="V391" s="56"/>
      <c r="W391" s="32"/>
      <c r="X391"/>
      <c r="Y391"/>
      <c r="Z391"/>
      <c r="AA391"/>
    </row>
    <row r="392" spans="1:27" s="4" customFormat="1" x14ac:dyDescent="0.35">
      <c r="A392" s="10"/>
      <c r="B392" s="6" t="s">
        <v>21</v>
      </c>
      <c r="C392" s="17">
        <f>C386-C388+C389</f>
        <v>1056529.81</v>
      </c>
      <c r="D392" s="17">
        <f t="shared" ref="D392:E392" si="123">D386-D388+D389</f>
        <v>9718.4066282804688</v>
      </c>
      <c r="E392" s="17">
        <f t="shared" si="123"/>
        <v>115.69531700333891</v>
      </c>
      <c r="F392" s="11">
        <f>SUM(F386:F389)</f>
        <v>1.0013178354619352</v>
      </c>
      <c r="G392" s="57"/>
      <c r="I392" s="15"/>
      <c r="J392" s="17"/>
      <c r="K392" s="57"/>
      <c r="M392" s="15"/>
      <c r="N392" s="15"/>
      <c r="O392" s="17"/>
      <c r="P392" s="57"/>
      <c r="R392" s="15"/>
      <c r="S392" s="15"/>
      <c r="T392" s="15"/>
      <c r="U392" s="15"/>
      <c r="V392" s="57"/>
      <c r="W392" s="32"/>
      <c r="X392"/>
      <c r="Y392"/>
      <c r="Z392"/>
      <c r="AA392"/>
    </row>
    <row r="393" spans="1:27" s="4" customFormat="1" x14ac:dyDescent="0.35">
      <c r="A393" s="10"/>
      <c r="B393" s="6" t="s">
        <v>30</v>
      </c>
      <c r="C393" s="15">
        <f>C391-C392</f>
        <v>-1390.5</v>
      </c>
      <c r="D393" s="15">
        <f t="shared" ref="D393" si="124">D391-D392</f>
        <v>84.506679173260636</v>
      </c>
      <c r="E393" s="15">
        <f t="shared" ref="E393" si="125">E391-E392</f>
        <v>1.0060318949197722</v>
      </c>
      <c r="F393" s="11">
        <f>ABS(C393/C391)</f>
        <v>1.3178354619353533E-3</v>
      </c>
      <c r="G393" s="57"/>
      <c r="I393" s="15"/>
      <c r="J393" s="17"/>
      <c r="K393" s="57"/>
      <c r="M393" s="15"/>
      <c r="N393" s="15"/>
      <c r="O393" s="17"/>
      <c r="P393" s="57"/>
      <c r="R393" s="15"/>
      <c r="S393" s="15"/>
      <c r="T393" s="15"/>
      <c r="U393" s="15"/>
      <c r="V393" s="57"/>
      <c r="W393" s="32"/>
      <c r="X393"/>
      <c r="Y393"/>
      <c r="Z393"/>
      <c r="AA393"/>
    </row>
    <row r="394" spans="1:27" s="4" customFormat="1" x14ac:dyDescent="0.35">
      <c r="A394" s="14"/>
      <c r="B394" s="13"/>
      <c r="C394" s="18"/>
      <c r="D394" s="18"/>
      <c r="E394" s="18"/>
      <c r="F394" s="60"/>
      <c r="G394" s="58"/>
      <c r="H394" s="13"/>
      <c r="I394" s="18"/>
      <c r="J394" s="18"/>
      <c r="K394" s="58"/>
      <c r="L394" s="13"/>
      <c r="M394" s="18"/>
      <c r="N394" s="18"/>
      <c r="O394" s="18"/>
      <c r="P394" s="58"/>
      <c r="Q394" s="13"/>
      <c r="R394" s="18"/>
      <c r="S394" s="18"/>
      <c r="T394" s="18"/>
      <c r="U394" s="18"/>
      <c r="V394" s="58"/>
      <c r="W394" s="32"/>
      <c r="X394"/>
      <c r="Y394"/>
      <c r="Z394"/>
      <c r="AA394"/>
    </row>
    <row r="395" spans="1:27" s="4" customFormat="1" x14ac:dyDescent="0.35">
      <c r="A395" s="10">
        <f>A370+1</f>
        <v>16</v>
      </c>
      <c r="B395" s="4" t="s">
        <v>14</v>
      </c>
      <c r="C395" s="17">
        <f>C377-C386</f>
        <v>-202.35999999998603</v>
      </c>
      <c r="D395"/>
      <c r="E395"/>
      <c r="F395" s="61">
        <f>-C395/C377</f>
        <v>2.2846051751566689E-4</v>
      </c>
      <c r="G395" s="56"/>
      <c r="H395" s="4" t="s">
        <v>33</v>
      </c>
      <c r="I395" s="15">
        <f>I377-I386</f>
        <v>3638.5800000000004</v>
      </c>
      <c r="J395" s="17">
        <f>I395/Supporting!$A$15</f>
        <v>43.316428571428574</v>
      </c>
      <c r="K395" s="56"/>
      <c r="L395" s="4" t="s">
        <v>32</v>
      </c>
      <c r="M395" s="15">
        <f>M377-M386</f>
        <v>4412.5365626249913</v>
      </c>
      <c r="N395" s="15"/>
      <c r="O395" s="22">
        <f>M395/Supporting!$A$15</f>
        <v>52.530197174107037</v>
      </c>
      <c r="P395" s="56"/>
      <c r="Q395" s="4" t="s">
        <v>11</v>
      </c>
      <c r="R395" s="17">
        <f>R377-R386</f>
        <v>0</v>
      </c>
      <c r="S395" s="15">
        <f>R395*Supporting!$A$2</f>
        <v>0</v>
      </c>
      <c r="T395" s="15">
        <f>S395/Supporting!$A$15</f>
        <v>0</v>
      </c>
      <c r="U395" s="15">
        <f>T395/365</f>
        <v>0</v>
      </c>
      <c r="V395" s="56"/>
      <c r="W395" s="32"/>
      <c r="X395"/>
      <c r="Y395"/>
      <c r="Z395"/>
      <c r="AA395"/>
    </row>
    <row r="396" spans="1:27" s="4" customFormat="1" x14ac:dyDescent="0.35">
      <c r="A396" s="10" t="s">
        <v>141</v>
      </c>
      <c r="B396" s="4" t="s">
        <v>15</v>
      </c>
      <c r="C396" s="17">
        <f>C378-C387</f>
        <v>83614.860000000102</v>
      </c>
      <c r="D396"/>
      <c r="E396"/>
      <c r="F396" s="61">
        <f t="shared" ref="F396:F399" si="126">-C396/C378</f>
        <v>-7.3809875012479764E-2</v>
      </c>
      <c r="G396" s="56"/>
      <c r="I396" s="15"/>
      <c r="J396" s="17"/>
      <c r="K396" s="56"/>
      <c r="M396" s="15"/>
      <c r="N396" s="15"/>
      <c r="O396" s="15"/>
      <c r="P396" s="56"/>
      <c r="Q396" s="4" t="s">
        <v>12</v>
      </c>
      <c r="R396" s="17">
        <f>R378-R387</f>
        <v>-7820.2399999999907</v>
      </c>
      <c r="S396" s="15">
        <f>R396*Supporting!$A$2</f>
        <v>-58499.461724799934</v>
      </c>
      <c r="T396" s="15">
        <f>S396/Supporting!$A$15</f>
        <v>-696.42216339047536</v>
      </c>
      <c r="U396" s="15">
        <f>T396/365</f>
        <v>-1.9080059270971927</v>
      </c>
      <c r="V396" s="56"/>
      <c r="W396" s="32"/>
      <c r="X396"/>
      <c r="Y396"/>
      <c r="Z396"/>
      <c r="AA396"/>
    </row>
    <row r="397" spans="1:27" s="4" customFormat="1" x14ac:dyDescent="0.35">
      <c r="A397" s="10"/>
      <c r="B397" s="4" t="s">
        <v>16</v>
      </c>
      <c r="C397" s="17">
        <f>C379-C388</f>
        <v>176.5</v>
      </c>
      <c r="D397"/>
      <c r="E397"/>
      <c r="F397" s="61">
        <f t="shared" si="126"/>
        <v>3.483529713620305E-2</v>
      </c>
      <c r="G397" s="56"/>
      <c r="H397" s="4" t="s">
        <v>84</v>
      </c>
      <c r="I397" s="33">
        <f>I395/I377</f>
        <v>0.66622112525450794</v>
      </c>
      <c r="J397" s="15"/>
      <c r="K397" s="56"/>
      <c r="L397" s="4" t="s">
        <v>84</v>
      </c>
      <c r="M397" s="53">
        <f>M395/M377</f>
        <v>0.31160850913374638</v>
      </c>
      <c r="N397" s="15"/>
      <c r="O397" s="15"/>
      <c r="P397" s="56"/>
      <c r="Q397" s="4" t="s">
        <v>13</v>
      </c>
      <c r="R397" s="17">
        <f>R379-R388</f>
        <v>7820.2399999999907</v>
      </c>
      <c r="S397" s="15">
        <f>R397*Supporting!$A$2</f>
        <v>58499.461724799934</v>
      </c>
      <c r="T397" s="15">
        <f>S397/Supporting!$A$15</f>
        <v>696.42216339047536</v>
      </c>
      <c r="U397" s="15">
        <f>T397/365</f>
        <v>1.9080059270971927</v>
      </c>
      <c r="V397" s="56"/>
      <c r="W397" s="32"/>
      <c r="X397"/>
      <c r="Y397"/>
      <c r="Z397"/>
      <c r="AA397"/>
    </row>
    <row r="398" spans="1:27" s="4" customFormat="1" x14ac:dyDescent="0.35">
      <c r="A398" s="10"/>
      <c r="B398" s="4" t="s">
        <v>17</v>
      </c>
      <c r="C398" s="17">
        <f>C380-C389</f>
        <v>93233.93</v>
      </c>
      <c r="D398"/>
      <c r="E398"/>
      <c r="F398" s="61">
        <f t="shared" si="126"/>
        <v>-0.36058443388232314</v>
      </c>
      <c r="G398" s="56"/>
      <c r="I398" s="15"/>
      <c r="J398" s="15"/>
      <c r="K398" s="56"/>
      <c r="M398" s="15"/>
      <c r="N398" s="15"/>
      <c r="O398" s="15"/>
      <c r="P398" s="56"/>
      <c r="R398" s="15"/>
      <c r="S398" s="15"/>
      <c r="T398" s="15"/>
      <c r="U398" s="15"/>
      <c r="V398" s="56"/>
      <c r="W398" s="32"/>
      <c r="X398"/>
      <c r="Y398"/>
      <c r="Z398"/>
      <c r="AA398"/>
    </row>
    <row r="399" spans="1:27" s="4" customFormat="1" x14ac:dyDescent="0.35">
      <c r="A399" s="10"/>
      <c r="B399" s="4" t="s">
        <v>54</v>
      </c>
      <c r="C399" s="17">
        <f>C381-C390</f>
        <v>11802.45</v>
      </c>
      <c r="D399"/>
      <c r="E399"/>
      <c r="F399" s="61">
        <f t="shared" si="126"/>
        <v>-0.6662209181553802</v>
      </c>
      <c r="G399" s="56"/>
      <c r="I399" s="15"/>
      <c r="J399" s="15"/>
      <c r="K399" s="56"/>
      <c r="M399" s="15"/>
      <c r="N399" s="15"/>
      <c r="O399" s="15"/>
      <c r="P399" s="56"/>
      <c r="Q399" s="4" t="s">
        <v>84</v>
      </c>
      <c r="R399" s="33">
        <f>R396/R378</f>
        <v>-3.8569755058993099E-2</v>
      </c>
      <c r="S399" s="15"/>
      <c r="T399" s="15"/>
      <c r="U399" s="15"/>
      <c r="V399" s="56"/>
      <c r="W399" s="32"/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60"/>
  <sheetViews>
    <sheetView topLeftCell="A16" zoomScale="80" zoomScaleNormal="80" zoomScaleSheetLayoutView="90" workbookViewId="0">
      <selection activeCell="L33" sqref="A33:L33"/>
    </sheetView>
  </sheetViews>
  <sheetFormatPr defaultRowHeight="14.5" x14ac:dyDescent="0.35"/>
  <cols>
    <col min="1" max="1" width="13.90625" bestFit="1" customWidth="1"/>
    <col min="2" max="2" width="113.453125" bestFit="1" customWidth="1"/>
    <col min="3" max="3" width="6" bestFit="1" customWidth="1"/>
    <col min="4" max="10" width="11" customWidth="1"/>
    <col min="11" max="11" width="10.54296875" customWidth="1"/>
    <col min="12" max="13" width="11" customWidth="1"/>
    <col min="14" max="14" width="10.54296875" customWidth="1"/>
    <col min="15" max="15" width="36.36328125" bestFit="1" customWidth="1"/>
    <col min="16" max="16" width="11.36328125" bestFit="1" customWidth="1"/>
    <col min="17" max="17" width="59.08984375" customWidth="1"/>
    <col min="19" max="19" width="20.90625" customWidth="1"/>
    <col min="20" max="21" width="11.36328125" bestFit="1" customWidth="1"/>
  </cols>
  <sheetData>
    <row r="1" spans="1:17" x14ac:dyDescent="0.35">
      <c r="A1" s="8" t="s">
        <v>41</v>
      </c>
      <c r="D1" t="s">
        <v>90</v>
      </c>
      <c r="G1" t="s">
        <v>91</v>
      </c>
      <c r="I1" t="s">
        <v>92</v>
      </c>
      <c r="L1" s="31" t="s">
        <v>85</v>
      </c>
      <c r="O1" s="2" t="s">
        <v>23</v>
      </c>
      <c r="P1" s="2" t="s">
        <v>22</v>
      </c>
      <c r="Q1" s="2" t="s">
        <v>0</v>
      </c>
    </row>
    <row r="2" spans="1:17" x14ac:dyDescent="0.35">
      <c r="A2">
        <v>7.4805200000000003</v>
      </c>
      <c r="B2" t="s">
        <v>40</v>
      </c>
      <c r="D2" t="s">
        <v>86</v>
      </c>
      <c r="E2" t="s">
        <v>53</v>
      </c>
      <c r="F2" t="s">
        <v>87</v>
      </c>
      <c r="G2" t="s">
        <v>88</v>
      </c>
      <c r="H2" t="s">
        <v>89</v>
      </c>
      <c r="I2" t="s">
        <v>88</v>
      </c>
      <c r="J2" t="s">
        <v>89</v>
      </c>
      <c r="L2" s="31" t="s">
        <v>68</v>
      </c>
      <c r="O2" s="4" t="s">
        <v>1</v>
      </c>
      <c r="P2" s="5">
        <v>118.53793800134481</v>
      </c>
      <c r="Q2" s="3" t="s">
        <v>105</v>
      </c>
    </row>
    <row r="3" spans="1:17" x14ac:dyDescent="0.35">
      <c r="A3">
        <v>100000</v>
      </c>
      <c r="B3" s="1" t="s">
        <v>18</v>
      </c>
      <c r="D3" s="29">
        <f>A49</f>
        <v>123500</v>
      </c>
      <c r="E3" s="1">
        <v>6.2</v>
      </c>
      <c r="F3" s="27">
        <f>D3/(500*E3)</f>
        <v>39.838709677419352</v>
      </c>
      <c r="G3">
        <v>122</v>
      </c>
      <c r="H3" s="35">
        <f>G3+F3</f>
        <v>161.83870967741936</v>
      </c>
      <c r="I3" s="27">
        <f>J3-F3</f>
        <v>100.16129032258064</v>
      </c>
      <c r="J3">
        <v>140</v>
      </c>
      <c r="L3" s="20">
        <v>2.4</v>
      </c>
      <c r="M3" t="s">
        <v>50</v>
      </c>
    </row>
    <row r="4" spans="1:17" x14ac:dyDescent="0.35">
      <c r="A4">
        <f>A3/1000</f>
        <v>100</v>
      </c>
      <c r="B4" s="1" t="s">
        <v>35</v>
      </c>
      <c r="D4" s="29">
        <f>D3</f>
        <v>123500</v>
      </c>
      <c r="E4" s="1">
        <v>10</v>
      </c>
      <c r="F4" s="27">
        <f t="shared" ref="F4:F8" si="0">D4/(500*E4)</f>
        <v>24.7</v>
      </c>
      <c r="G4">
        <v>122</v>
      </c>
      <c r="H4" s="35">
        <f t="shared" ref="H4:H8" si="1">G4+F4</f>
        <v>146.69999999999999</v>
      </c>
      <c r="I4" s="27">
        <f t="shared" ref="I4:I8" si="2">J4-F4</f>
        <v>115.3</v>
      </c>
      <c r="J4">
        <v>140</v>
      </c>
      <c r="L4" s="20">
        <f>L3*60</f>
        <v>144</v>
      </c>
      <c r="M4" t="s">
        <v>51</v>
      </c>
    </row>
    <row r="5" spans="1:17" x14ac:dyDescent="0.35">
      <c r="D5" s="29">
        <f t="shared" ref="D5:D8" si="3">D4</f>
        <v>123500</v>
      </c>
      <c r="E5" s="38">
        <v>13.6</v>
      </c>
      <c r="F5" s="27">
        <f t="shared" si="0"/>
        <v>18.161764705882351</v>
      </c>
      <c r="G5">
        <v>122</v>
      </c>
      <c r="H5" s="1">
        <f t="shared" si="1"/>
        <v>140.16176470588235</v>
      </c>
      <c r="I5" s="27">
        <f t="shared" si="2"/>
        <v>121.83823529411765</v>
      </c>
      <c r="J5">
        <v>140</v>
      </c>
      <c r="L5" s="20">
        <f>L4/A7</f>
        <v>17.560975609756099</v>
      </c>
      <c r="M5" t="s">
        <v>52</v>
      </c>
      <c r="O5" s="4" t="s">
        <v>2</v>
      </c>
      <c r="P5" s="3">
        <f>P6*365</f>
        <v>13710.656398935298</v>
      </c>
    </row>
    <row r="6" spans="1:17" x14ac:dyDescent="0.35">
      <c r="A6" s="2" t="s">
        <v>25</v>
      </c>
      <c r="D6" s="29">
        <f t="shared" si="3"/>
        <v>123500</v>
      </c>
      <c r="E6" s="43">
        <v>19</v>
      </c>
      <c r="F6" s="27">
        <f t="shared" si="0"/>
        <v>13</v>
      </c>
      <c r="G6">
        <v>122</v>
      </c>
      <c r="H6" s="1">
        <f t="shared" si="1"/>
        <v>135</v>
      </c>
      <c r="I6" s="36">
        <f t="shared" si="2"/>
        <v>127</v>
      </c>
      <c r="J6">
        <v>140</v>
      </c>
      <c r="L6" s="31" t="s">
        <v>81</v>
      </c>
      <c r="O6" s="4" t="s">
        <v>3</v>
      </c>
      <c r="P6" s="5">
        <v>37.563442188863831</v>
      </c>
      <c r="Q6" t="s">
        <v>24</v>
      </c>
    </row>
    <row r="7" spans="1:17" x14ac:dyDescent="0.35">
      <c r="A7" s="1">
        <v>8.1999999999999993</v>
      </c>
      <c r="B7" s="1" t="s">
        <v>93</v>
      </c>
      <c r="D7" s="29">
        <f t="shared" si="3"/>
        <v>123500</v>
      </c>
      <c r="E7" s="1">
        <v>20</v>
      </c>
      <c r="F7" s="27">
        <f t="shared" si="0"/>
        <v>12.35</v>
      </c>
      <c r="G7">
        <v>122</v>
      </c>
      <c r="H7" s="1">
        <f t="shared" si="1"/>
        <v>134.35</v>
      </c>
      <c r="I7" s="36">
        <f t="shared" si="2"/>
        <v>127.65</v>
      </c>
      <c r="J7">
        <v>140</v>
      </c>
      <c r="L7" s="20">
        <v>8.11</v>
      </c>
      <c r="M7" t="s">
        <v>53</v>
      </c>
    </row>
    <row r="8" spans="1:17" x14ac:dyDescent="0.35">
      <c r="A8">
        <v>1</v>
      </c>
      <c r="B8" s="1" t="s">
        <v>94</v>
      </c>
      <c r="D8" s="29">
        <f t="shared" si="3"/>
        <v>123500</v>
      </c>
      <c r="E8" s="1">
        <v>22</v>
      </c>
      <c r="F8" s="27">
        <f t="shared" si="0"/>
        <v>11.227272727272727</v>
      </c>
      <c r="G8">
        <v>122</v>
      </c>
      <c r="H8" s="1">
        <f t="shared" si="1"/>
        <v>133.22727272727272</v>
      </c>
      <c r="I8" s="36">
        <f t="shared" si="2"/>
        <v>128.77272727272728</v>
      </c>
      <c r="J8">
        <v>140</v>
      </c>
      <c r="L8" s="20">
        <f>L7*A7</f>
        <v>66.501999999999995</v>
      </c>
      <c r="M8" t="s">
        <v>51</v>
      </c>
      <c r="O8" s="2" t="s">
        <v>77</v>
      </c>
    </row>
    <row r="9" spans="1:17" x14ac:dyDescent="0.35">
      <c r="L9" s="20">
        <f>L8/60</f>
        <v>1.1083666666666665</v>
      </c>
      <c r="M9" t="s">
        <v>50</v>
      </c>
      <c r="P9">
        <v>13.4</v>
      </c>
      <c r="Q9" s="1" t="s">
        <v>48</v>
      </c>
    </row>
    <row r="10" spans="1:17" x14ac:dyDescent="0.35">
      <c r="A10" s="8" t="s">
        <v>26</v>
      </c>
      <c r="D10" t="s">
        <v>0</v>
      </c>
      <c r="P10">
        <f>A15*P9</f>
        <v>1125.6000000000001</v>
      </c>
      <c r="Q10" s="1" t="s">
        <v>49</v>
      </c>
    </row>
    <row r="11" spans="1:17" x14ac:dyDescent="0.35">
      <c r="A11" s="7">
        <v>1</v>
      </c>
      <c r="B11" s="1" t="s">
        <v>6</v>
      </c>
      <c r="D11" t="s">
        <v>95</v>
      </c>
      <c r="L11" s="27">
        <f>L7*2</f>
        <v>16.22</v>
      </c>
      <c r="P11" s="28">
        <f>P10*1000</f>
        <v>1125600.0000000002</v>
      </c>
      <c r="Q11" s="1" t="s">
        <v>55</v>
      </c>
    </row>
    <row r="12" spans="1:17" x14ac:dyDescent="0.35">
      <c r="A12" s="7">
        <v>0.3</v>
      </c>
      <c r="B12" s="1" t="s">
        <v>7</v>
      </c>
      <c r="L12" s="27">
        <f>L7*6</f>
        <v>48.66</v>
      </c>
      <c r="P12" s="30">
        <f>P11*0.8</f>
        <v>900480.00000000023</v>
      </c>
      <c r="Q12" s="1" t="s">
        <v>56</v>
      </c>
    </row>
    <row r="13" spans="1:17" x14ac:dyDescent="0.35">
      <c r="L13" s="27">
        <f>L7*12</f>
        <v>97.32</v>
      </c>
    </row>
    <row r="14" spans="1:17" x14ac:dyDescent="0.35">
      <c r="A14" s="2" t="s">
        <v>42</v>
      </c>
      <c r="B14" s="1"/>
    </row>
    <row r="15" spans="1:17" x14ac:dyDescent="0.35">
      <c r="A15" s="78">
        <f>12*7</f>
        <v>84</v>
      </c>
      <c r="B15" s="79" t="s">
        <v>36</v>
      </c>
      <c r="D15" s="29"/>
      <c r="E15" s="1"/>
      <c r="F15" s="27"/>
      <c r="H15" s="1"/>
    </row>
    <row r="16" spans="1:17" x14ac:dyDescent="0.35">
      <c r="B16" s="1"/>
    </row>
    <row r="17" spans="1:10" x14ac:dyDescent="0.35">
      <c r="A17" s="2" t="s">
        <v>78</v>
      </c>
      <c r="D17" t="s">
        <v>109</v>
      </c>
    </row>
    <row r="18" spans="1:10" x14ac:dyDescent="0.35">
      <c r="A18">
        <v>15</v>
      </c>
      <c r="B18" t="s">
        <v>62</v>
      </c>
      <c r="D18" t="s">
        <v>86</v>
      </c>
      <c r="E18" t="s">
        <v>53</v>
      </c>
      <c r="F18" t="s">
        <v>87</v>
      </c>
      <c r="G18" t="s">
        <v>88</v>
      </c>
      <c r="H18" t="s">
        <v>89</v>
      </c>
      <c r="I18" t="s">
        <v>88</v>
      </c>
      <c r="J18" t="s">
        <v>89</v>
      </c>
    </row>
    <row r="19" spans="1:10" x14ac:dyDescent="0.35">
      <c r="A19">
        <v>160</v>
      </c>
      <c r="B19" t="s">
        <v>71</v>
      </c>
      <c r="C19" s="40">
        <v>1</v>
      </c>
      <c r="D19" s="29">
        <f>A$33</f>
        <v>250000</v>
      </c>
      <c r="E19" s="1">
        <v>50</v>
      </c>
      <c r="F19" s="27">
        <f t="shared" ref="F19" si="4">D19/(500*E19)</f>
        <v>10</v>
      </c>
      <c r="G19">
        <v>125</v>
      </c>
      <c r="H19" s="1">
        <f t="shared" ref="H19" si="5">G19+F19</f>
        <v>135</v>
      </c>
      <c r="I19">
        <v>128</v>
      </c>
      <c r="J19" s="1">
        <f>F19+I19</f>
        <v>138</v>
      </c>
    </row>
    <row r="20" spans="1:10" x14ac:dyDescent="0.35">
      <c r="A20" s="37">
        <v>130</v>
      </c>
      <c r="B20" t="s">
        <v>70</v>
      </c>
      <c r="C20">
        <f>2/5</f>
        <v>0.4</v>
      </c>
      <c r="D20" s="29">
        <f>D$19*C20</f>
        <v>100000</v>
      </c>
      <c r="E20" s="1">
        <v>50</v>
      </c>
      <c r="F20" s="27">
        <f t="shared" ref="F20" si="6">D20/(500*E20)</f>
        <v>4</v>
      </c>
      <c r="G20">
        <v>125</v>
      </c>
      <c r="H20" s="1">
        <f t="shared" ref="H20" si="7">G20+F20</f>
        <v>129</v>
      </c>
      <c r="I20">
        <v>128</v>
      </c>
      <c r="J20" s="1">
        <f t="shared" ref="J20:J21" si="8">F20+I20</f>
        <v>132</v>
      </c>
    </row>
    <row r="21" spans="1:10" x14ac:dyDescent="0.35">
      <c r="A21" s="37">
        <v>130</v>
      </c>
      <c r="B21" t="s">
        <v>72</v>
      </c>
      <c r="C21">
        <f>1/5</f>
        <v>0.2</v>
      </c>
      <c r="D21" s="29">
        <f>D$19*C21</f>
        <v>50000</v>
      </c>
      <c r="E21" s="1">
        <v>50</v>
      </c>
      <c r="F21" s="27">
        <f t="shared" ref="F21" si="9">D21/(500*E21)</f>
        <v>2</v>
      </c>
      <c r="G21">
        <v>125</v>
      </c>
      <c r="H21" s="1">
        <f t="shared" ref="H21" si="10">G21+F21</f>
        <v>127</v>
      </c>
      <c r="I21">
        <v>128</v>
      </c>
      <c r="J21" s="1">
        <f t="shared" si="8"/>
        <v>130</v>
      </c>
    </row>
    <row r="22" spans="1:10" x14ac:dyDescent="0.35">
      <c r="A22" s="37">
        <v>200</v>
      </c>
      <c r="B22" t="s">
        <v>64</v>
      </c>
    </row>
    <row r="23" spans="1:10" x14ac:dyDescent="0.35">
      <c r="A23">
        <v>0.25</v>
      </c>
      <c r="B23" t="s">
        <v>65</v>
      </c>
      <c r="C23" s="40"/>
      <c r="D23" s="29"/>
      <c r="E23" s="1"/>
      <c r="F23" s="27"/>
      <c r="H23" s="1"/>
      <c r="J23" s="1"/>
    </row>
    <row r="24" spans="1:10" x14ac:dyDescent="0.35">
      <c r="A24">
        <v>5</v>
      </c>
      <c r="B24" t="s">
        <v>108</v>
      </c>
      <c r="D24" s="29"/>
      <c r="E24" s="1"/>
      <c r="F24" s="27"/>
      <c r="H24" s="1"/>
      <c r="J24" s="1"/>
    </row>
    <row r="25" spans="1:10" x14ac:dyDescent="0.35">
      <c r="A25">
        <v>40</v>
      </c>
      <c r="B25" t="s">
        <v>66</v>
      </c>
      <c r="D25" s="29"/>
      <c r="E25" s="1"/>
      <c r="F25" s="27"/>
      <c r="H25" s="1"/>
      <c r="J25" s="1"/>
    </row>
    <row r="26" spans="1:10" x14ac:dyDescent="0.35">
      <c r="B26" t="s">
        <v>73</v>
      </c>
    </row>
    <row r="27" spans="1:10" x14ac:dyDescent="0.35">
      <c r="A27">
        <f>1/A31</f>
        <v>0.2</v>
      </c>
      <c r="B27" t="s">
        <v>119</v>
      </c>
      <c r="C27" s="40"/>
      <c r="D27" s="29"/>
      <c r="E27" s="1"/>
      <c r="F27" s="27"/>
      <c r="H27" s="1"/>
      <c r="J27" s="1"/>
    </row>
    <row r="28" spans="1:10" x14ac:dyDescent="0.35">
      <c r="A28">
        <v>2</v>
      </c>
      <c r="B28" s="1" t="s">
        <v>58</v>
      </c>
      <c r="D28" s="29"/>
      <c r="E28" s="1"/>
      <c r="F28" s="27"/>
      <c r="H28" s="1"/>
      <c r="J28" s="1"/>
    </row>
    <row r="29" spans="1:10" x14ac:dyDescent="0.35">
      <c r="A29" s="29">
        <f>A28*A33</f>
        <v>500000</v>
      </c>
      <c r="B29" t="s">
        <v>61</v>
      </c>
      <c r="D29" s="29"/>
      <c r="E29" s="1"/>
      <c r="F29" s="27"/>
      <c r="H29" s="1"/>
      <c r="J29" s="1"/>
    </row>
    <row r="30" spans="1:10" x14ac:dyDescent="0.35">
      <c r="A30">
        <v>0.8</v>
      </c>
      <c r="B30" t="s">
        <v>69</v>
      </c>
    </row>
    <row r="31" spans="1:10" x14ac:dyDescent="0.35">
      <c r="A31">
        <v>5</v>
      </c>
      <c r="B31" t="s">
        <v>74</v>
      </c>
    </row>
    <row r="32" spans="1:10" x14ac:dyDescent="0.35">
      <c r="A32" s="28">
        <f>A33/A30</f>
        <v>312500</v>
      </c>
      <c r="B32" s="1" t="s">
        <v>55</v>
      </c>
    </row>
    <row r="33" spans="1:5" x14ac:dyDescent="0.35">
      <c r="A33" s="28">
        <v>250000</v>
      </c>
      <c r="B33" s="1" t="s">
        <v>56</v>
      </c>
      <c r="D33" t="s">
        <v>101</v>
      </c>
    </row>
    <row r="34" spans="1:5" x14ac:dyDescent="0.35">
      <c r="A34" s="28">
        <f>A33/A31</f>
        <v>50000</v>
      </c>
      <c r="B34" s="1" t="s">
        <v>57</v>
      </c>
      <c r="D34">
        <v>1</v>
      </c>
      <c r="E34" t="s">
        <v>102</v>
      </c>
    </row>
    <row r="35" spans="1:5" x14ac:dyDescent="0.35">
      <c r="A35" s="1">
        <v>50</v>
      </c>
      <c r="B35" s="1" t="s">
        <v>99</v>
      </c>
      <c r="D35">
        <v>2</v>
      </c>
      <c r="E35" t="s">
        <v>103</v>
      </c>
    </row>
    <row r="36" spans="1:5" x14ac:dyDescent="0.35">
      <c r="A36" s="37">
        <v>136.5</v>
      </c>
      <c r="B36" s="1" t="s">
        <v>83</v>
      </c>
      <c r="D36">
        <v>3</v>
      </c>
      <c r="E36" t="s">
        <v>131</v>
      </c>
    </row>
    <row r="37" spans="1:5" x14ac:dyDescent="0.35">
      <c r="A37">
        <v>16.5</v>
      </c>
      <c r="B37" s="1" t="s">
        <v>82</v>
      </c>
      <c r="D37">
        <v>4</v>
      </c>
      <c r="E37" t="s">
        <v>106</v>
      </c>
    </row>
    <row r="38" spans="1:5" x14ac:dyDescent="0.35">
      <c r="B38" s="1" t="s">
        <v>98</v>
      </c>
      <c r="D38">
        <v>5</v>
      </c>
      <c r="E38" t="s">
        <v>104</v>
      </c>
    </row>
    <row r="39" spans="1:5" x14ac:dyDescent="0.35">
      <c r="A39">
        <v>12</v>
      </c>
      <c r="B39" s="1" t="s">
        <v>110</v>
      </c>
    </row>
    <row r="40" spans="1:5" x14ac:dyDescent="0.35">
      <c r="D40" t="s">
        <v>111</v>
      </c>
    </row>
    <row r="41" spans="1:5" x14ac:dyDescent="0.35">
      <c r="A41" s="2" t="s">
        <v>79</v>
      </c>
      <c r="D41">
        <v>1</v>
      </c>
      <c r="E41" t="s">
        <v>112</v>
      </c>
    </row>
    <row r="42" spans="1:5" x14ac:dyDescent="0.35">
      <c r="A42" s="41">
        <v>25</v>
      </c>
      <c r="B42" s="37" t="s">
        <v>107</v>
      </c>
      <c r="D42">
        <v>2</v>
      </c>
      <c r="E42" t="s">
        <v>130</v>
      </c>
    </row>
    <row r="43" spans="1:5" x14ac:dyDescent="0.35">
      <c r="B43" s="37" t="s">
        <v>118</v>
      </c>
      <c r="D43">
        <v>3</v>
      </c>
      <c r="E43" t="s">
        <v>117</v>
      </c>
    </row>
    <row r="44" spans="1:5" x14ac:dyDescent="0.35">
      <c r="D44">
        <v>4</v>
      </c>
      <c r="E44" t="s">
        <v>113</v>
      </c>
    </row>
    <row r="45" spans="1:5" x14ac:dyDescent="0.35">
      <c r="A45" s="2" t="s">
        <v>80</v>
      </c>
      <c r="D45">
        <v>5</v>
      </c>
      <c r="E45" t="s">
        <v>115</v>
      </c>
    </row>
    <row r="46" spans="1:5" x14ac:dyDescent="0.35">
      <c r="A46" s="44" t="s">
        <v>114</v>
      </c>
      <c r="B46" s="37" t="s">
        <v>96</v>
      </c>
      <c r="D46">
        <v>6</v>
      </c>
      <c r="E46" t="s">
        <v>100</v>
      </c>
    </row>
    <row r="47" spans="1:5" x14ac:dyDescent="0.35">
      <c r="A47" s="37">
        <v>1</v>
      </c>
      <c r="B47" t="s">
        <v>59</v>
      </c>
    </row>
    <row r="48" spans="1:5" x14ac:dyDescent="0.35">
      <c r="A48" s="76">
        <v>95500</v>
      </c>
      <c r="B48" s="77" t="s">
        <v>148</v>
      </c>
      <c r="D48" t="s">
        <v>132</v>
      </c>
    </row>
    <row r="49" spans="1:5" x14ac:dyDescent="0.35">
      <c r="A49" s="28">
        <v>123500</v>
      </c>
      <c r="B49" s="1" t="s">
        <v>60</v>
      </c>
      <c r="D49">
        <v>1</v>
      </c>
      <c r="E49" t="s">
        <v>133</v>
      </c>
    </row>
    <row r="50" spans="1:5" x14ac:dyDescent="0.35">
      <c r="A50" s="42">
        <f>A49+A29</f>
        <v>623500</v>
      </c>
      <c r="B50" t="s">
        <v>61</v>
      </c>
      <c r="D50">
        <v>2</v>
      </c>
      <c r="E50" t="s">
        <v>134</v>
      </c>
    </row>
    <row r="51" spans="1:5" x14ac:dyDescent="0.35">
      <c r="A51" s="43">
        <v>13.6</v>
      </c>
      <c r="B51" t="s">
        <v>63</v>
      </c>
      <c r="D51">
        <v>3</v>
      </c>
      <c r="E51" t="s">
        <v>135</v>
      </c>
    </row>
    <row r="52" spans="1:5" x14ac:dyDescent="0.35">
      <c r="A52" s="49">
        <f>A49/(500*A51)</f>
        <v>18.161764705882351</v>
      </c>
      <c r="B52" s="1" t="s">
        <v>67</v>
      </c>
      <c r="D52">
        <v>4</v>
      </c>
      <c r="E52" t="s">
        <v>137</v>
      </c>
    </row>
    <row r="53" spans="1:5" x14ac:dyDescent="0.35">
      <c r="A53" s="37" t="s">
        <v>123</v>
      </c>
      <c r="B53" t="s">
        <v>97</v>
      </c>
      <c r="D53">
        <v>5</v>
      </c>
      <c r="E53" t="s">
        <v>136</v>
      </c>
    </row>
    <row r="54" spans="1:5" x14ac:dyDescent="0.35">
      <c r="A54" s="43">
        <v>122</v>
      </c>
      <c r="B54" t="s">
        <v>128</v>
      </c>
      <c r="D54">
        <v>6</v>
      </c>
      <c r="E54" t="s">
        <v>100</v>
      </c>
    </row>
    <row r="55" spans="1:5" x14ac:dyDescent="0.35">
      <c r="A55" s="43">
        <v>135</v>
      </c>
      <c r="B55" t="s">
        <v>129</v>
      </c>
    </row>
    <row r="56" spans="1:5" x14ac:dyDescent="0.35">
      <c r="B56" t="s">
        <v>116</v>
      </c>
    </row>
    <row r="57" spans="1:5" x14ac:dyDescent="0.35">
      <c r="A57">
        <v>1</v>
      </c>
      <c r="B57" t="s">
        <v>120</v>
      </c>
    </row>
    <row r="58" spans="1:5" x14ac:dyDescent="0.35">
      <c r="B58" t="s">
        <v>146</v>
      </c>
    </row>
    <row r="59" spans="1:5" x14ac:dyDescent="0.35">
      <c r="B59" t="s">
        <v>147</v>
      </c>
    </row>
    <row r="60" spans="1:5" x14ac:dyDescent="0.35">
      <c r="A60" t="s">
        <v>121</v>
      </c>
      <c r="B60" t="s">
        <v>122</v>
      </c>
    </row>
  </sheetData>
  <pageMargins left="0.7" right="0.7" top="0.75" bottom="0.75" header="0.3" footer="0.3"/>
  <pageSetup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DA5A132691E6E40BC8375F4D15DC83C" ma:contentTypeVersion="12" ma:contentTypeDescription="Create a new document." ma:contentTypeScope="" ma:versionID="9bded67250cc0d7105756609dd97b1fc">
  <xsd:schema xmlns:xsd="http://www.w3.org/2001/XMLSchema" xmlns:xs="http://www.w3.org/2001/XMLSchema" xmlns:p="http://schemas.microsoft.com/office/2006/metadata/properties" xmlns:ns2="1404932d-7fbb-4703-8d9f-51bc78b3d707" xmlns:ns3="1305b5c0-996f-467b-95de-057c36692d2e" targetNamespace="http://schemas.microsoft.com/office/2006/metadata/properties" ma:root="true" ma:fieldsID="6e8dd6317634243c639d73a4a3d1bc84" ns2:_="" ns3:_="">
    <xsd:import namespace="1404932d-7fbb-4703-8d9f-51bc78b3d707"/>
    <xsd:import namespace="1305b5c0-996f-467b-95de-057c36692d2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2:MediaServiceAutoTags" minOccurs="0"/>
                <xsd:element ref="ns2:MediaServiceOCR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404932d-7fbb-4703-8d9f-51bc78b3d70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3" nillable="true" ma:displayName="Location" ma:internalName="MediaServiceLocation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Tags" ma:index="16" nillable="true" ma:displayName="Tags" ma:internalName="MediaServiceAutoTags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305b5c0-996f-467b-95de-057c36692d2e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AB9A57A8-AF33-4605-BDB5-924F70DE2D2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404932d-7fbb-4703-8d9f-51bc78b3d707"/>
    <ds:schemaRef ds:uri="1305b5c0-996f-467b-95de-057c36692d2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BE5FEFD3-2D94-404A-A648-631E2396867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35147103-157F-4B8B-853D-BF062501D0F2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SummaryResults</vt:lpstr>
      <vt:lpstr>Results</vt:lpstr>
      <vt:lpstr>Supporting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 White</dc:creator>
  <cp:lastModifiedBy>Danryd, Anders R</cp:lastModifiedBy>
  <dcterms:created xsi:type="dcterms:W3CDTF">2018-01-12T00:21:18Z</dcterms:created>
  <dcterms:modified xsi:type="dcterms:W3CDTF">2021-12-09T22:41:15Z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0x010100DDA5A132691E6E40BC8375F4D15DC83C</vt:lpwstr>
  </property>
</Properties>
</file>