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ergada\Desktop\2018-2019 Workpaper Updates\SCE17WP001.0 - Residential Pool Pump VFD\SCE17WP001.1 - Res Pool VFD_10.5\"/>
    </mc:Choice>
  </mc:AlternateContent>
  <bookViews>
    <workbookView xWindow="0" yWindow="0" windowWidth="30720" windowHeight="12840" tabRatio="813" firstSheet="1" activeTab="1"/>
  </bookViews>
  <sheets>
    <sheet name="Measure Sav. Summary" sheetId="1" state="hidden" r:id="rId1"/>
    <sheet name="Summary Table" sheetId="4" r:id="rId2"/>
    <sheet name="WP Tables" sheetId="6" r:id="rId3"/>
    <sheet name="Energy Factors Tables" sheetId="13" r:id="rId4"/>
    <sheet name="Factors by Measure" sheetId="20" r:id="rId5"/>
    <sheet name="Msr A" sheetId="3" state="hidden" r:id="rId6"/>
    <sheet name="Msr A -New" sheetId="12" r:id="rId7"/>
    <sheet name="Msr B -New" sheetId="15" r:id="rId8"/>
    <sheet name="Msr B -Ex" sheetId="14" state="hidden" r:id="rId9"/>
    <sheet name="Msr B" sheetId="8" state="hidden" r:id="rId10"/>
    <sheet name="Msr C -New" sheetId="16" r:id="rId11"/>
    <sheet name="Msr C" sheetId="9" state="hidden" r:id="rId12"/>
    <sheet name="Msr D-New" sheetId="17" r:id="rId13"/>
    <sheet name="Msr F &amp; G-New" sheetId="18" r:id="rId14"/>
    <sheet name="Msr D" sheetId="10" state="hidden" r:id="rId15"/>
    <sheet name="Msr F &amp; G" sheetId="11" state="hidden" r:id="rId16"/>
    <sheet name="Peak Demand Calculations" sheetId="7" state="hidden" r:id="rId17"/>
    <sheet name="Peak Demand-New" sheetId="19" r:id="rId18"/>
    <sheet name="Meas. A &amp; C, CZ Adjustments" sheetId="5" state="hidden" r:id="rId19"/>
  </sheets>
  <definedNames>
    <definedName name="_xlnm._FilterDatabase" localSheetId="4">'Factors by Measure'!#REF!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 i="4" l="1"/>
  <c r="H43" i="20" l="1"/>
  <c r="H42" i="20"/>
  <c r="H40" i="20"/>
  <c r="H17" i="20"/>
  <c r="H16" i="20"/>
  <c r="G17" i="20"/>
  <c r="G16" i="20"/>
  <c r="G14" i="20"/>
  <c r="F17" i="20"/>
  <c r="F16" i="20"/>
  <c r="I43" i="20" l="1"/>
  <c r="J16" i="20"/>
  <c r="I40" i="20" s="1"/>
  <c r="J17" i="20"/>
  <c r="G6" i="17"/>
  <c r="G8" i="17" l="1"/>
  <c r="D8" i="17"/>
  <c r="C6" i="17"/>
  <c r="F6" i="17"/>
  <c r="C8" i="17"/>
  <c r="D6" i="17"/>
  <c r="J8" i="19" l="1"/>
  <c r="I26" i="20" l="1"/>
  <c r="H34" i="20" s="1"/>
  <c r="M14" i="20"/>
  <c r="M13" i="20"/>
  <c r="M12" i="20"/>
  <c r="O14" i="20"/>
  <c r="O13" i="20"/>
  <c r="O12" i="20"/>
  <c r="G11" i="20"/>
  <c r="G9" i="20"/>
  <c r="H11" i="20"/>
  <c r="F11" i="20"/>
  <c r="H9" i="20"/>
  <c r="F9" i="20"/>
  <c r="H8" i="15"/>
  <c r="G8" i="15"/>
  <c r="B8" i="15"/>
  <c r="C8" i="15"/>
  <c r="J11" i="20" l="1"/>
  <c r="N13" i="20" s="1"/>
  <c r="J9" i="20"/>
  <c r="N12" i="20" s="1"/>
  <c r="R27" i="19" l="1"/>
  <c r="R29" i="19"/>
  <c r="R28" i="19"/>
  <c r="L13" i="19"/>
  <c r="S38" i="19" s="1"/>
  <c r="T38" i="19" s="1"/>
  <c r="K12" i="19"/>
  <c r="S35" i="19" s="1"/>
  <c r="T35" i="19" s="1"/>
  <c r="J12" i="19"/>
  <c r="S32" i="19" s="1"/>
  <c r="T32" i="19" s="1"/>
  <c r="L11" i="19"/>
  <c r="E24" i="19" s="1"/>
  <c r="K10" i="19"/>
  <c r="S34" i="19" s="1"/>
  <c r="T34" i="19" s="1"/>
  <c r="J10" i="19"/>
  <c r="S31" i="19" s="1"/>
  <c r="T31" i="19" s="1"/>
  <c r="L9" i="19"/>
  <c r="S36" i="19" s="1"/>
  <c r="T36" i="19" s="1"/>
  <c r="I9" i="19"/>
  <c r="K8" i="19"/>
  <c r="S33" i="19" s="1"/>
  <c r="T33" i="19" s="1"/>
  <c r="S30" i="19"/>
  <c r="T30" i="19" s="1"/>
  <c r="E9" i="19"/>
  <c r="E8" i="19"/>
  <c r="S27" i="19" s="1"/>
  <c r="E23" i="19" l="1"/>
  <c r="H23" i="19"/>
  <c r="H24" i="19"/>
  <c r="S37" i="19"/>
  <c r="T37" i="19" s="1"/>
  <c r="T27" i="19"/>
  <c r="H50" i="20" l="1"/>
  <c r="H49" i="20"/>
  <c r="H48" i="20"/>
  <c r="H47" i="20"/>
  <c r="H46" i="20"/>
  <c r="H45" i="20"/>
  <c r="H39" i="20"/>
  <c r="H38" i="20"/>
  <c r="M9" i="20"/>
  <c r="M8" i="20"/>
  <c r="M6" i="20"/>
  <c r="M5" i="20"/>
  <c r="M4" i="20"/>
  <c r="H35" i="20"/>
  <c r="I25" i="20"/>
  <c r="I24" i="20"/>
  <c r="M10" i="20"/>
  <c r="H12" i="20"/>
  <c r="H10" i="20"/>
  <c r="H8" i="20"/>
  <c r="H7" i="20"/>
  <c r="H6" i="20"/>
  <c r="H5" i="20"/>
  <c r="H4" i="20"/>
  <c r="O10" i="20"/>
  <c r="O9" i="20"/>
  <c r="O5" i="20"/>
  <c r="O8" i="20"/>
  <c r="O4" i="20"/>
  <c r="H23" i="20"/>
  <c r="H22" i="20"/>
  <c r="H21" i="20"/>
  <c r="H20" i="20"/>
  <c r="H19" i="20"/>
  <c r="H18" i="20"/>
  <c r="H15" i="20"/>
  <c r="H14" i="20"/>
  <c r="H13" i="20"/>
  <c r="G23" i="20"/>
  <c r="G22" i="20"/>
  <c r="G21" i="20"/>
  <c r="G20" i="20"/>
  <c r="G19" i="20"/>
  <c r="G18" i="20"/>
  <c r="G15" i="20"/>
  <c r="G13" i="20"/>
  <c r="G12" i="20"/>
  <c r="G10" i="20"/>
  <c r="G8" i="20"/>
  <c r="G7" i="20"/>
  <c r="G6" i="20"/>
  <c r="G5" i="20"/>
  <c r="G4" i="20"/>
  <c r="F23" i="20"/>
  <c r="F22" i="20"/>
  <c r="F21" i="20"/>
  <c r="F20" i="20"/>
  <c r="F19" i="20"/>
  <c r="F18" i="20"/>
  <c r="F15" i="20"/>
  <c r="F14" i="20"/>
  <c r="J14" i="20" s="1"/>
  <c r="F13" i="20"/>
  <c r="F12" i="20"/>
  <c r="F10" i="20"/>
  <c r="F8" i="20"/>
  <c r="F7" i="20"/>
  <c r="F6" i="20"/>
  <c r="F5" i="20"/>
  <c r="F4" i="20"/>
  <c r="I39" i="20" l="1"/>
  <c r="I41" i="20" s="1"/>
  <c r="K38" i="20" s="1"/>
  <c r="J15" i="20"/>
  <c r="I42" i="20" s="1"/>
  <c r="I44" i="20" s="1"/>
  <c r="H33" i="20"/>
  <c r="H32" i="20"/>
  <c r="H37" i="20"/>
  <c r="H36" i="20"/>
  <c r="H31" i="20"/>
  <c r="J21" i="20"/>
  <c r="I48" i="20" s="1"/>
  <c r="J13" i="20"/>
  <c r="I38" i="20" s="1"/>
  <c r="J22" i="20"/>
  <c r="I49" i="20" s="1"/>
  <c r="J6" i="20"/>
  <c r="N5" i="20" s="1"/>
  <c r="J18" i="20"/>
  <c r="I45" i="20" s="1"/>
  <c r="J8" i="20"/>
  <c r="N8" i="20" s="1"/>
  <c r="J19" i="20"/>
  <c r="I46" i="20" s="1"/>
  <c r="J20" i="20"/>
  <c r="I47" i="20" s="1"/>
  <c r="J10" i="20"/>
  <c r="N9" i="20" s="1"/>
  <c r="J4" i="20"/>
  <c r="I35" i="20" s="1"/>
  <c r="J23" i="20"/>
  <c r="I50" i="20" s="1"/>
  <c r="J12" i="20"/>
  <c r="J5" i="20"/>
  <c r="N4" i="20" s="1"/>
  <c r="J7" i="20"/>
  <c r="N6" i="20" s="1"/>
  <c r="N10" i="20" l="1"/>
  <c r="N11" i="20" s="1"/>
  <c r="J25" i="20" s="1"/>
  <c r="I37" i="20" s="1"/>
  <c r="N14" i="20"/>
  <c r="N15" i="20" s="1"/>
  <c r="J26" i="20" s="1"/>
  <c r="I34" i="20" s="1"/>
  <c r="J38" i="20"/>
  <c r="K48" i="20"/>
  <c r="J45" i="20"/>
  <c r="J48" i="20"/>
  <c r="K45" i="20"/>
  <c r="N7" i="20"/>
  <c r="J24" i="20" s="1"/>
  <c r="I31" i="20" s="1"/>
  <c r="I24" i="19"/>
  <c r="J24" i="19" s="1"/>
  <c r="I23" i="19"/>
  <c r="I22" i="19"/>
  <c r="I21" i="19"/>
  <c r="I20" i="19"/>
  <c r="I19" i="19"/>
  <c r="H18" i="19"/>
  <c r="J18" i="19" s="1"/>
  <c r="H17" i="19"/>
  <c r="J17" i="19" s="1"/>
  <c r="F24" i="19"/>
  <c r="G24" i="19" s="1"/>
  <c r="H69" i="20" s="1"/>
  <c r="F23" i="19"/>
  <c r="G23" i="19" s="1"/>
  <c r="H68" i="20" s="1"/>
  <c r="F22" i="19"/>
  <c r="F21" i="19"/>
  <c r="F20" i="19"/>
  <c r="F19" i="19"/>
  <c r="F17" i="19"/>
  <c r="B16" i="16" s="1"/>
  <c r="E18" i="19"/>
  <c r="G18" i="19" s="1"/>
  <c r="E21" i="19"/>
  <c r="G21" i="19" s="1"/>
  <c r="H65" i="20" s="1"/>
  <c r="E22" i="19"/>
  <c r="E17" i="19"/>
  <c r="B15" i="16" s="1"/>
  <c r="B16" i="12"/>
  <c r="H55" i="20" l="1"/>
  <c r="H60" i="20"/>
  <c r="H57" i="20"/>
  <c r="H56" i="20"/>
  <c r="H61" i="20"/>
  <c r="H58" i="20"/>
  <c r="I33" i="20"/>
  <c r="I32" i="20"/>
  <c r="I36" i="20"/>
  <c r="G22" i="19"/>
  <c r="H66" i="20" s="1"/>
  <c r="G17" i="19"/>
  <c r="H59" i="20" s="1"/>
  <c r="J35" i="20"/>
  <c r="J23" i="19"/>
  <c r="H70" i="20" s="1"/>
  <c r="I68" i="20" s="1"/>
  <c r="E20" i="19"/>
  <c r="G20" i="19" s="1"/>
  <c r="H63" i="20" s="1"/>
  <c r="E19" i="19"/>
  <c r="G19" i="19" s="1"/>
  <c r="H62" i="20" s="1"/>
  <c r="I59" i="20" l="1"/>
  <c r="I57" i="20"/>
  <c r="J59" i="20"/>
  <c r="I55" i="20"/>
  <c r="J68" i="20"/>
  <c r="J33" i="20"/>
  <c r="J31" i="20"/>
  <c r="K35" i="20"/>
  <c r="H22" i="19"/>
  <c r="J22" i="19" s="1"/>
  <c r="H21" i="19"/>
  <c r="J21" i="19" s="1"/>
  <c r="H67" i="20" s="1"/>
  <c r="I65" i="20" s="1"/>
  <c r="H19" i="19"/>
  <c r="J19" i="19" s="1"/>
  <c r="H64" i="20" s="1"/>
  <c r="J62" i="20" s="1"/>
  <c r="H20" i="19"/>
  <c r="J20" i="19" s="1"/>
  <c r="I62" i="20" l="1"/>
  <c r="J65" i="20"/>
  <c r="B8" i="12"/>
  <c r="D31" i="18" l="1"/>
  <c r="D30" i="18"/>
  <c r="C31" i="18"/>
  <c r="C30" i="18"/>
  <c r="B31" i="18"/>
  <c r="B30" i="18"/>
  <c r="D15" i="18"/>
  <c r="D14" i="18"/>
  <c r="C15" i="18"/>
  <c r="C14" i="18"/>
  <c r="B15" i="18"/>
  <c r="B14" i="18"/>
  <c r="D21" i="17"/>
  <c r="D20" i="17"/>
  <c r="C21" i="17"/>
  <c r="C20" i="17"/>
  <c r="B21" i="17"/>
  <c r="B20" i="17"/>
  <c r="K24" i="19"/>
  <c r="K23" i="19"/>
  <c r="K22" i="19"/>
  <c r="K21" i="19"/>
  <c r="K20" i="19"/>
  <c r="K19" i="19"/>
  <c r="K18" i="19"/>
  <c r="K17" i="19"/>
  <c r="D32" i="18" l="1"/>
  <c r="C32" i="18"/>
  <c r="B32" i="18"/>
  <c r="D25" i="18"/>
  <c r="C25" i="18"/>
  <c r="B25" i="18"/>
  <c r="D9" i="18"/>
  <c r="C9" i="18"/>
  <c r="B9" i="18"/>
  <c r="B23" i="18"/>
  <c r="B7" i="18"/>
  <c r="D7" i="18" s="1"/>
  <c r="B6" i="17"/>
  <c r="F8" i="17"/>
  <c r="B8" i="17"/>
  <c r="B5" i="17"/>
  <c r="F5" i="17" s="1"/>
  <c r="D16" i="18"/>
  <c r="C16" i="18"/>
  <c r="B16" i="18"/>
  <c r="D24" i="18"/>
  <c r="D22" i="18"/>
  <c r="D8" i="18"/>
  <c r="D6" i="18"/>
  <c r="G5" i="17" l="1"/>
  <c r="G9" i="17" s="1"/>
  <c r="F9" i="17"/>
  <c r="C5" i="17"/>
  <c r="D5" i="17" s="1"/>
  <c r="D9" i="17" s="1"/>
  <c r="E32" i="18"/>
  <c r="L8" i="4" s="1"/>
  <c r="F32" i="18"/>
  <c r="M8" i="4" s="1"/>
  <c r="F16" i="18"/>
  <c r="M7" i="4" s="1"/>
  <c r="C7" i="18"/>
  <c r="C10" i="18" s="1"/>
  <c r="B26" i="18"/>
  <c r="B10" i="18"/>
  <c r="C23" i="18"/>
  <c r="C26" i="18" s="1"/>
  <c r="D23" i="18"/>
  <c r="D26" i="18" s="1"/>
  <c r="D10" i="18"/>
  <c r="E16" i="18"/>
  <c r="L7" i="4" s="1"/>
  <c r="H9" i="17" l="1"/>
  <c r="F26" i="18"/>
  <c r="K8" i="4" s="1"/>
  <c r="E26" i="18"/>
  <c r="J8" i="4" s="1"/>
  <c r="E10" i="18"/>
  <c r="J7" i="4" s="1"/>
  <c r="F10" i="18"/>
  <c r="K7" i="4" s="1"/>
  <c r="C9" i="17" l="1"/>
  <c r="E9" i="17" s="1"/>
  <c r="J9" i="17" s="1"/>
  <c r="C22" i="17"/>
  <c r="B22" i="17"/>
  <c r="D22" i="17" l="1"/>
  <c r="F22" i="17" s="1"/>
  <c r="M6" i="4" s="1"/>
  <c r="B10" i="16"/>
  <c r="B8" i="16"/>
  <c r="B7" i="16"/>
  <c r="D17" i="16"/>
  <c r="B17" i="16"/>
  <c r="C17" i="15"/>
  <c r="B17" i="15"/>
  <c r="D17" i="15" s="1"/>
  <c r="L4" i="4" s="1"/>
  <c r="I10" i="15"/>
  <c r="H10" i="15"/>
  <c r="G10" i="15"/>
  <c r="D10" i="15"/>
  <c r="C10" i="15"/>
  <c r="B10" i="15"/>
  <c r="D8" i="15"/>
  <c r="I8" i="15" s="1"/>
  <c r="G7" i="15"/>
  <c r="D7" i="15"/>
  <c r="C7" i="15"/>
  <c r="B7" i="15"/>
  <c r="E6" i="15"/>
  <c r="J6" i="15" s="1"/>
  <c r="B6" i="15"/>
  <c r="G6" i="15" s="1"/>
  <c r="I10" i="12"/>
  <c r="H10" i="12"/>
  <c r="G10" i="12"/>
  <c r="G7" i="12"/>
  <c r="D10" i="12"/>
  <c r="B10" i="12"/>
  <c r="C10" i="12"/>
  <c r="D8" i="12"/>
  <c r="C8" i="12"/>
  <c r="E6" i="12"/>
  <c r="B6" i="12"/>
  <c r="D7" i="12"/>
  <c r="C7" i="12"/>
  <c r="B7" i="12"/>
  <c r="H11" i="15" l="1"/>
  <c r="E22" i="17"/>
  <c r="L6" i="4" s="1"/>
  <c r="E17" i="16"/>
  <c r="L5" i="4" s="1"/>
  <c r="C17" i="16"/>
  <c r="F17" i="16" s="1"/>
  <c r="M5" i="4" s="1"/>
  <c r="I11" i="15"/>
  <c r="B11" i="15"/>
  <c r="C11" i="15"/>
  <c r="D11" i="15"/>
  <c r="G11" i="15"/>
  <c r="B9" i="17"/>
  <c r="I9" i="17" s="1"/>
  <c r="K6" i="4"/>
  <c r="B11" i="16"/>
  <c r="J11" i="15" l="1"/>
  <c r="K11" i="15" s="1"/>
  <c r="J6" i="4"/>
  <c r="E11" i="15"/>
  <c r="F11" i="15" s="1"/>
  <c r="L11" i="15" l="1"/>
  <c r="J4" i="4" s="1"/>
  <c r="D9" i="14"/>
  <c r="I9" i="14" s="1"/>
  <c r="C9" i="14"/>
  <c r="C12" i="14" s="1"/>
  <c r="B9" i="14"/>
  <c r="B12" i="14" s="1"/>
  <c r="E7" i="14"/>
  <c r="J7" i="14" s="1"/>
  <c r="B7" i="14"/>
  <c r="G7" i="14" s="1"/>
  <c r="C17" i="14"/>
  <c r="B17" i="14"/>
  <c r="C16" i="14"/>
  <c r="B16" i="14"/>
  <c r="D12" i="14"/>
  <c r="G8" i="14"/>
  <c r="C18" i="14" l="1"/>
  <c r="G9" i="14"/>
  <c r="G12" i="14"/>
  <c r="H9" i="14"/>
  <c r="H8" i="14"/>
  <c r="I8" i="14" s="1"/>
  <c r="I12" i="14" s="1"/>
  <c r="B18" i="14"/>
  <c r="D18" i="14" s="1"/>
  <c r="E12" i="14"/>
  <c r="F12" i="14" s="1"/>
  <c r="H12" i="14"/>
  <c r="J12" i="14" s="1"/>
  <c r="K12" i="14" s="1"/>
  <c r="I8" i="12"/>
  <c r="I11" i="12" s="1"/>
  <c r="G8" i="12"/>
  <c r="G11" i="12" s="1"/>
  <c r="J6" i="12"/>
  <c r="G6" i="12"/>
  <c r="H8" i="12"/>
  <c r="C17" i="12"/>
  <c r="B17" i="12"/>
  <c r="D17" i="12" s="1"/>
  <c r="L3" i="4" s="1"/>
  <c r="D11" i="12"/>
  <c r="B11" i="12"/>
  <c r="L12" i="14" l="1"/>
  <c r="C11" i="12"/>
  <c r="E11" i="12" s="1"/>
  <c r="F11" i="12" s="1"/>
  <c r="C11" i="16" s="1"/>
  <c r="H11" i="12"/>
  <c r="J11" i="12" s="1"/>
  <c r="K11" i="12" s="1"/>
  <c r="D11" i="16" s="1"/>
  <c r="E11" i="16" s="1"/>
  <c r="J5" i="4" s="1"/>
  <c r="F11" i="16" l="1"/>
  <c r="L11" i="12"/>
  <c r="J3" i="4" s="1"/>
  <c r="E6" i="3" l="1"/>
  <c r="G11" i="3"/>
  <c r="C10" i="3"/>
  <c r="G8" i="8" l="1"/>
  <c r="H8" i="8" s="1"/>
  <c r="I8" i="8" s="1"/>
  <c r="C24" i="11" l="1"/>
  <c r="C23" i="11"/>
  <c r="C19" i="11"/>
  <c r="C10" i="11"/>
  <c r="C21" i="10"/>
  <c r="C20" i="10"/>
  <c r="C25" i="11" l="1"/>
  <c r="C22" i="10"/>
  <c r="B34" i="10"/>
  <c r="C5" i="10" l="1"/>
  <c r="B5" i="10"/>
  <c r="C9" i="10"/>
  <c r="D12" i="8"/>
  <c r="C12" i="8"/>
  <c r="D24" i="11" l="1"/>
  <c r="B24" i="11"/>
  <c r="D23" i="11"/>
  <c r="B23" i="11"/>
  <c r="B19" i="11"/>
  <c r="D17" i="11"/>
  <c r="D16" i="11"/>
  <c r="D15" i="11"/>
  <c r="B10" i="11"/>
  <c r="D8" i="11"/>
  <c r="D7" i="11"/>
  <c r="D6" i="11"/>
  <c r="D21" i="10"/>
  <c r="B21" i="10"/>
  <c r="D20" i="10"/>
  <c r="B20" i="10"/>
  <c r="B9" i="10"/>
  <c r="D5" i="10"/>
  <c r="D9" i="10" s="1"/>
  <c r="F9" i="10" s="1"/>
  <c r="B17" i="9"/>
  <c r="C16" i="9"/>
  <c r="C15" i="9"/>
  <c r="B11" i="9"/>
  <c r="E11" i="9" s="1"/>
  <c r="G11" i="9" s="1"/>
  <c r="D17" i="9"/>
  <c r="E17" i="9" s="1"/>
  <c r="G17" i="9" s="1"/>
  <c r="C17" i="8"/>
  <c r="C18" i="8" s="1"/>
  <c r="B17" i="8"/>
  <c r="C16" i="8"/>
  <c r="B16" i="8"/>
  <c r="I12" i="8"/>
  <c r="H12" i="8"/>
  <c r="G12" i="8"/>
  <c r="E12" i="8"/>
  <c r="B12" i="8"/>
  <c r="B18" i="8" l="1"/>
  <c r="D25" i="11"/>
  <c r="F25" i="11" s="1"/>
  <c r="J12" i="8"/>
  <c r="K12" i="8" s="1"/>
  <c r="F12" i="8"/>
  <c r="B22" i="10"/>
  <c r="D18" i="8"/>
  <c r="D22" i="10"/>
  <c r="C17" i="9"/>
  <c r="F17" i="9" s="1"/>
  <c r="H17" i="9" s="1"/>
  <c r="D10" i="11"/>
  <c r="B25" i="11"/>
  <c r="E25" i="11" s="1"/>
  <c r="E9" i="10"/>
  <c r="D19" i="11"/>
  <c r="L12" i="8" l="1"/>
  <c r="E19" i="11"/>
  <c r="F19" i="11"/>
  <c r="E10" i="11"/>
  <c r="F10" i="11"/>
  <c r="E22" i="10"/>
  <c r="F22" i="10"/>
  <c r="E25" i="10" l="1"/>
  <c r="D37" i="5"/>
  <c r="D38" i="5"/>
  <c r="D41" i="5"/>
  <c r="D43" i="5"/>
  <c r="F4" i="7"/>
  <c r="E41" i="5" s="1"/>
  <c r="F3" i="7"/>
  <c r="E43" i="5" s="1"/>
  <c r="F2" i="7"/>
  <c r="E42" i="5" s="1"/>
  <c r="E39" i="5" l="1"/>
  <c r="E38" i="5"/>
  <c r="E19" i="6"/>
  <c r="C19" i="6"/>
  <c r="B19" i="6"/>
  <c r="E18" i="6"/>
  <c r="C18" i="6"/>
  <c r="B18" i="6"/>
  <c r="E17" i="6"/>
  <c r="C17" i="6"/>
  <c r="B17" i="6"/>
  <c r="C16" i="6"/>
  <c r="B16" i="6"/>
  <c r="E15" i="6"/>
  <c r="C15" i="6"/>
  <c r="B15" i="6"/>
  <c r="E14" i="6"/>
  <c r="C14" i="6"/>
  <c r="B14" i="6"/>
  <c r="E3" i="6" l="1"/>
  <c r="E4" i="6"/>
  <c r="E6" i="6"/>
  <c r="E7" i="6"/>
  <c r="E8" i="6"/>
  <c r="C3" i="6"/>
  <c r="C4" i="6"/>
  <c r="C5" i="6"/>
  <c r="C6" i="6"/>
  <c r="C7" i="6"/>
  <c r="C8" i="6"/>
  <c r="B3" i="6"/>
  <c r="B4" i="6"/>
  <c r="B5" i="6"/>
  <c r="B6" i="6"/>
  <c r="B7" i="6"/>
  <c r="B8" i="6"/>
  <c r="D8" i="6" l="1"/>
  <c r="D7" i="6"/>
  <c r="D6" i="6" l="1"/>
  <c r="D42" i="5" l="1"/>
  <c r="E5" i="5" s="1"/>
  <c r="D20" i="5"/>
  <c r="E20" i="5" s="1"/>
  <c r="E14" i="5"/>
  <c r="D14" i="5"/>
  <c r="E13" i="5"/>
  <c r="D13" i="5"/>
  <c r="E6" i="5"/>
  <c r="D5" i="5"/>
  <c r="F5" i="5" l="1"/>
  <c r="F13" i="5"/>
  <c r="F14" i="5"/>
  <c r="J11" i="3" l="1"/>
  <c r="E32" i="5"/>
  <c r="E25" i="5"/>
  <c r="E30" i="5"/>
  <c r="C17" i="3"/>
  <c r="B17" i="3"/>
  <c r="H11" i="9" l="1"/>
  <c r="E5" i="6"/>
  <c r="D5" i="6"/>
  <c r="D17" i="3"/>
  <c r="D16" i="6"/>
  <c r="D11" i="3"/>
  <c r="D3" i="6" l="1"/>
  <c r="E17" i="3"/>
  <c r="C11" i="3"/>
  <c r="E11" i="3" s="1"/>
  <c r="B11" i="3"/>
  <c r="D17" i="6" l="1"/>
  <c r="D4" i="6"/>
  <c r="F11" i="3"/>
  <c r="H10" i="3" s="1"/>
  <c r="C11" i="9" l="1"/>
  <c r="F8" i="9" s="1"/>
  <c r="D39" i="5"/>
  <c r="D6" i="5" s="1"/>
  <c r="F6" i="5" s="1"/>
  <c r="D30" i="5" s="1"/>
  <c r="D19" i="6"/>
  <c r="D18" i="6"/>
  <c r="I11" i="3"/>
  <c r="D15" i="6" l="1"/>
  <c r="D14" i="6"/>
  <c r="E16" i="6"/>
</calcChain>
</file>

<file path=xl/comments1.xml><?xml version="1.0" encoding="utf-8"?>
<comments xmlns="http://schemas.openxmlformats.org/spreadsheetml/2006/main">
  <authors>
    <author>Casco, Lake</author>
  </authors>
  <commentList>
    <comment ref="H5" authorId="0" shapeId="0">
      <text>
        <r>
          <rPr>
            <b/>
            <sz val="9"/>
            <color indexed="81"/>
            <rFont val="Tahoma"/>
            <family val="2"/>
          </rPr>
          <t>Casco, Lake:</t>
        </r>
        <r>
          <rPr>
            <sz val="9"/>
            <color indexed="81"/>
            <rFont val="Tahoma"/>
            <family val="2"/>
          </rPr>
          <t xml:space="preserve">
Should downstream be removed?</t>
        </r>
      </text>
    </comment>
    <comment ref="H6" authorId="0" shapeId="0">
      <text>
        <r>
          <rPr>
            <b/>
            <sz val="9"/>
            <color indexed="81"/>
            <rFont val="Tahoma"/>
            <family val="2"/>
          </rPr>
          <t>Casco, Lake:</t>
        </r>
        <r>
          <rPr>
            <sz val="9"/>
            <color indexed="81"/>
            <rFont val="Tahoma"/>
            <family val="2"/>
          </rPr>
          <t xml:space="preserve">
Should downstream be removed?</t>
        </r>
      </text>
    </comment>
  </commentList>
</comments>
</file>

<file path=xl/comments2.xml><?xml version="1.0" encoding="utf-8"?>
<comments xmlns="http://schemas.openxmlformats.org/spreadsheetml/2006/main">
  <authors>
    <author>Vega, Kara</author>
  </authors>
  <commentList>
    <comment ref="I17" authorId="0" shapeId="0">
      <text>
        <r>
          <rPr>
            <sz val="9"/>
            <color indexed="81"/>
            <rFont val="Tahoma"/>
            <family val="2"/>
          </rPr>
          <t>MFm Report Values tab of Attachment 2</t>
        </r>
      </text>
    </comment>
    <comment ref="M17" authorId="0" shapeId="0">
      <text>
        <r>
          <rPr>
            <sz val="9"/>
            <color indexed="81"/>
            <rFont val="Tahoma"/>
            <family val="2"/>
          </rPr>
          <t>2-Spd CEC Data (2018) tab of Attachment 2</t>
        </r>
      </text>
    </comment>
    <comment ref="M18" authorId="0" shapeId="0">
      <text>
        <r>
          <rPr>
            <sz val="9"/>
            <color indexed="81"/>
            <rFont val="Tahoma"/>
            <family val="2"/>
          </rPr>
          <t>VS CEC Data (2018) tab of Attachment 2</t>
        </r>
      </text>
    </comment>
    <comment ref="I19" authorId="0" shapeId="0">
      <text>
        <r>
          <rPr>
            <sz val="9"/>
            <color indexed="81"/>
            <rFont val="Tahoma"/>
            <family val="2"/>
          </rPr>
          <t>MFm Report Values tab of Attachment 2</t>
        </r>
      </text>
    </comment>
    <comment ref="M19" authorId="0" shapeId="0">
      <text>
        <r>
          <rPr>
            <sz val="9"/>
            <color indexed="81"/>
            <rFont val="Tahoma"/>
            <family val="2"/>
          </rPr>
          <t>2-Spd CEC Data (2018) tab of Attachment 2</t>
        </r>
      </text>
    </comment>
    <comment ref="M20" authorId="0" shapeId="0">
      <text>
        <r>
          <rPr>
            <sz val="9"/>
            <color indexed="81"/>
            <rFont val="Tahoma"/>
            <family val="2"/>
          </rPr>
          <t>VS CEC Data (2018) tab of Attachment 2</t>
        </r>
      </text>
    </comment>
  </commentList>
</comments>
</file>

<file path=xl/comments3.xml><?xml version="1.0" encoding="utf-8"?>
<comments xmlns="http://schemas.openxmlformats.org/spreadsheetml/2006/main">
  <authors>
    <author>Casco, Lake</author>
  </authors>
  <commentList>
    <comment ref="K5" authorId="0" shapeId="0">
      <text>
        <r>
          <rPr>
            <b/>
            <sz val="9"/>
            <color indexed="81"/>
            <rFont val="Tahoma"/>
            <family val="2"/>
          </rPr>
          <t>Casco, Lake:</t>
        </r>
        <r>
          <rPr>
            <sz val="9"/>
            <color indexed="81"/>
            <rFont val="Tahoma"/>
            <family val="2"/>
          </rPr>
          <t xml:space="preserve">
Add Notes showing where values come from. </t>
        </r>
      </text>
    </comment>
  </commentList>
</comments>
</file>

<file path=xl/comments4.xml><?xml version="1.0" encoding="utf-8"?>
<comments xmlns="http://schemas.openxmlformats.org/spreadsheetml/2006/main">
  <authors>
    <author>Casco, Lake</author>
  </authors>
  <commentList>
    <comment ref="I5" authorId="0" shapeId="0">
      <text>
        <r>
          <rPr>
            <b/>
            <sz val="9"/>
            <color indexed="81"/>
            <rFont val="Tahoma"/>
            <family val="2"/>
          </rPr>
          <t>Casco, Lake:</t>
        </r>
        <r>
          <rPr>
            <sz val="9"/>
            <color indexed="81"/>
            <rFont val="Tahoma"/>
            <family val="2"/>
          </rPr>
          <t xml:space="preserve">
Add Notes showing where values come from. </t>
        </r>
      </text>
    </comment>
  </commentList>
</comments>
</file>

<file path=xl/comments5.xml><?xml version="1.0" encoding="utf-8"?>
<comments xmlns="http://schemas.openxmlformats.org/spreadsheetml/2006/main">
  <authors>
    <author>Casco, Lake</author>
    <author>Danielle</author>
  </authors>
  <commentList>
    <comment ref="E2" authorId="0" shapeId="0">
      <text>
        <r>
          <rPr>
            <b/>
            <sz val="9"/>
            <color indexed="81"/>
            <rFont val="Tahoma"/>
            <family val="2"/>
          </rPr>
          <t xml:space="preserve">Casco, Lake:
</t>
        </r>
        <r>
          <rPr>
            <sz val="9"/>
            <color indexed="81"/>
            <rFont val="Tahoma"/>
            <family val="2"/>
          </rPr>
          <t xml:space="preserve">Unsure why the CZ15 programmed savings were extrapolated using NON-Programmed savings. </t>
        </r>
      </text>
    </comment>
    <comment ref="D37" authorId="1" shapeId="0">
      <text>
        <r>
          <rPr>
            <b/>
            <sz val="8"/>
            <color indexed="81"/>
            <rFont val="Tahoma"/>
            <family val="2"/>
          </rPr>
          <t>Danielle:</t>
        </r>
        <r>
          <rPr>
            <sz val="8"/>
            <color indexed="81"/>
            <rFont val="Tahoma"/>
            <family val="2"/>
          </rPr>
          <t xml:space="preserve">
From EC&amp;C database</t>
        </r>
      </text>
    </comment>
    <comment ref="E37" authorId="1" shapeId="0">
      <text>
        <r>
          <rPr>
            <b/>
            <sz val="8"/>
            <color indexed="81"/>
            <rFont val="Tahoma"/>
            <family val="2"/>
          </rPr>
          <t>Danielle:</t>
        </r>
        <r>
          <rPr>
            <sz val="8"/>
            <color indexed="81"/>
            <rFont val="Tahoma"/>
            <family val="2"/>
          </rPr>
          <t xml:space="preserve">
From Work Paper</t>
        </r>
      </text>
    </comment>
    <comment ref="D38" authorId="1" shapeId="0">
      <text>
        <r>
          <rPr>
            <b/>
            <sz val="8"/>
            <color indexed="81"/>
            <rFont val="Tahoma"/>
            <family val="2"/>
          </rPr>
          <t>Danielle:</t>
        </r>
        <r>
          <rPr>
            <sz val="8"/>
            <color indexed="81"/>
            <rFont val="Tahoma"/>
            <family val="2"/>
          </rPr>
          <t xml:space="preserve">
Calculated in Work Paper</t>
        </r>
      </text>
    </comment>
    <comment ref="E38" authorId="1" shapeId="0">
      <text>
        <r>
          <rPr>
            <b/>
            <sz val="8"/>
            <color indexed="81"/>
            <rFont val="Tahoma"/>
            <family val="2"/>
          </rPr>
          <t>Danielle:</t>
        </r>
        <r>
          <rPr>
            <sz val="8"/>
            <color indexed="81"/>
            <rFont val="Tahoma"/>
            <family val="2"/>
          </rPr>
          <t xml:space="preserve">
Calculated with Equation 6 in Work Paper</t>
        </r>
      </text>
    </comment>
    <comment ref="D39" authorId="1" shapeId="0">
      <text>
        <r>
          <rPr>
            <b/>
            <sz val="8"/>
            <color indexed="81"/>
            <rFont val="Tahoma"/>
            <family val="2"/>
          </rPr>
          <t>Danielle:</t>
        </r>
        <r>
          <rPr>
            <sz val="8"/>
            <color indexed="81"/>
            <rFont val="Tahoma"/>
            <family val="2"/>
          </rPr>
          <t xml:space="preserve">
Calculated in Work Paper</t>
        </r>
      </text>
    </comment>
    <comment ref="E39" authorId="1" shapeId="0">
      <text>
        <r>
          <rPr>
            <b/>
            <sz val="8"/>
            <color indexed="81"/>
            <rFont val="Tahoma"/>
            <family val="2"/>
          </rPr>
          <t>Danielle:</t>
        </r>
        <r>
          <rPr>
            <sz val="8"/>
            <color indexed="81"/>
            <rFont val="Tahoma"/>
            <family val="2"/>
          </rPr>
          <t xml:space="preserve">
Calculated with Equation 6 in Work Paper</t>
        </r>
      </text>
    </comment>
    <comment ref="D41" authorId="1" shapeId="0">
      <text>
        <r>
          <rPr>
            <b/>
            <sz val="8"/>
            <color indexed="81"/>
            <rFont val="Tahoma"/>
            <family val="2"/>
          </rPr>
          <t>Danielle:</t>
        </r>
        <r>
          <rPr>
            <sz val="8"/>
            <color indexed="81"/>
            <rFont val="Tahoma"/>
            <family val="2"/>
          </rPr>
          <t xml:space="preserve">
Calculated in Work Paper, Measure B Measure Case energy usage section</t>
        </r>
      </text>
    </comment>
    <comment ref="E41" authorId="1" shapeId="0">
      <text>
        <r>
          <rPr>
            <b/>
            <sz val="8"/>
            <color indexed="81"/>
            <rFont val="Tahoma"/>
            <family val="2"/>
          </rPr>
          <t>Danielle:</t>
        </r>
        <r>
          <rPr>
            <sz val="8"/>
            <color indexed="81"/>
            <rFont val="Tahoma"/>
            <family val="2"/>
          </rPr>
          <t xml:space="preserve">
Calculated with Equation 6 in Work Paper</t>
        </r>
      </text>
    </comment>
    <comment ref="D42" authorId="1" shapeId="0">
      <text>
        <r>
          <rPr>
            <b/>
            <sz val="8"/>
            <color indexed="81"/>
            <rFont val="Tahoma"/>
            <family val="2"/>
          </rPr>
          <t>Danielle:</t>
        </r>
        <r>
          <rPr>
            <sz val="8"/>
            <color indexed="81"/>
            <rFont val="Tahoma"/>
            <family val="2"/>
          </rPr>
          <t xml:space="preserve">
Calculated with Equation 1, with pool size of 20,431 gallons, 1 turnover/day, EFF=2.18) and annual pump operating days of 365.25 days/year.</t>
        </r>
      </text>
    </comment>
    <comment ref="E42" authorId="1" shapeId="0">
      <text>
        <r>
          <rPr>
            <b/>
            <sz val="8"/>
            <color indexed="81"/>
            <rFont val="Tahoma"/>
            <family val="2"/>
          </rPr>
          <t>Danielle:</t>
        </r>
        <r>
          <rPr>
            <sz val="8"/>
            <color indexed="81"/>
            <rFont val="Tahoma"/>
            <family val="2"/>
          </rPr>
          <t xml:space="preserve">
Calculated with Equation 6 in Work Paper</t>
        </r>
      </text>
    </comment>
    <comment ref="D43" authorId="1" shapeId="0">
      <text>
        <r>
          <rPr>
            <b/>
            <sz val="8"/>
            <color indexed="81"/>
            <rFont val="Tahoma"/>
            <family val="2"/>
          </rPr>
          <t>Danielle:</t>
        </r>
        <r>
          <rPr>
            <sz val="8"/>
            <color indexed="81"/>
            <rFont val="Tahoma"/>
            <family val="2"/>
          </rPr>
          <t xml:space="preserve">
Calculated in Work Paper, Measure B 2-Speed Base Case energy usage section</t>
        </r>
      </text>
    </comment>
    <comment ref="E43" authorId="1" shapeId="0">
      <text>
        <r>
          <rPr>
            <b/>
            <sz val="8"/>
            <color indexed="81"/>
            <rFont val="Tahoma"/>
            <family val="2"/>
          </rPr>
          <t>Danielle:</t>
        </r>
        <r>
          <rPr>
            <sz val="8"/>
            <color indexed="81"/>
            <rFont val="Tahoma"/>
            <family val="2"/>
          </rPr>
          <t xml:space="preserve">
Calculated with Equation 6 in Work Paper</t>
        </r>
      </text>
    </comment>
  </commentList>
</comments>
</file>

<file path=xl/sharedStrings.xml><?xml version="1.0" encoding="utf-8"?>
<sst xmlns="http://schemas.openxmlformats.org/spreadsheetml/2006/main" count="1262" uniqueCount="406">
  <si>
    <t>Measure Code (Implement ID)</t>
  </si>
  <si>
    <t>Measure Case</t>
  </si>
  <si>
    <t>SDG&amp;E</t>
  </si>
  <si>
    <t>Energy Savings, kWh/yr</t>
  </si>
  <si>
    <t>kW Reduction</t>
  </si>
  <si>
    <t>PM-99453</t>
  </si>
  <si>
    <t>Variable Speed Drive on Pool Pump Control replacing Single Speed Pool Pump for Spa or Wading Pool</t>
  </si>
  <si>
    <t>SCE</t>
  </si>
  <si>
    <t>PG&amp;E</t>
  </si>
  <si>
    <t>Program Type</t>
  </si>
  <si>
    <t xml:space="preserve"> Applicable Base Case</t>
  </si>
  <si>
    <t>Solution Code</t>
  </si>
  <si>
    <t>Building Types</t>
  </si>
  <si>
    <t>Measure A</t>
  </si>
  <si>
    <t>PM-78394</t>
  </si>
  <si>
    <t>Measure B</t>
  </si>
  <si>
    <t>Measure A2</t>
  </si>
  <si>
    <t>PM-69234</t>
  </si>
  <si>
    <t>PM-xxxx</t>
  </si>
  <si>
    <t>Measure Name</t>
  </si>
  <si>
    <t>SFm</t>
  </si>
  <si>
    <t>ROB</t>
  </si>
  <si>
    <t>DI</t>
  </si>
  <si>
    <t>DSD</t>
  </si>
  <si>
    <t>Delivery Method</t>
  </si>
  <si>
    <t>Commissioned Variable Speed Drive on Pool Pump Controls replacing Two Speed Pool Pump</t>
  </si>
  <si>
    <t>PM-98422</t>
  </si>
  <si>
    <t>Measure C</t>
  </si>
  <si>
    <t>Applicable Savings (CZ15)</t>
  </si>
  <si>
    <t>Applicable Savings (All other CZ)</t>
  </si>
  <si>
    <t>Variable Speed Drive on Pool Pump Controls replacing Two Speed Pool Pump</t>
  </si>
  <si>
    <t>Commissioned Variable Speed Motor in Pool Pump replacing Two Speed Pool Motor</t>
  </si>
  <si>
    <t>Commissioned Variable Speed Drive on Pool Pump Controls replacing Single Speed Pool Pump</t>
  </si>
  <si>
    <t>Measure Code</t>
  </si>
  <si>
    <t>Description</t>
  </si>
  <si>
    <t>Base Case</t>
  </si>
  <si>
    <t>Building Type</t>
  </si>
  <si>
    <t>Single Family Homes</t>
  </si>
  <si>
    <t>Multifamily Homes</t>
  </si>
  <si>
    <t>Measure D</t>
  </si>
  <si>
    <t>Programmable Variable Speed Drive on Pool Pump Control replacing Single Speed Pool Pump</t>
  </si>
  <si>
    <t>Install Type</t>
  </si>
  <si>
    <t>ER</t>
  </si>
  <si>
    <t>Delivery Type</t>
  </si>
  <si>
    <t>DI + DID</t>
  </si>
  <si>
    <t>DID</t>
  </si>
  <si>
    <t>EU</t>
  </si>
  <si>
    <t>Volume</t>
  </si>
  <si>
    <t>Turnovers</t>
  </si>
  <si>
    <t>Days</t>
  </si>
  <si>
    <t>Energy Factor (gal/W-hr)</t>
  </si>
  <si>
    <t>Measures</t>
  </si>
  <si>
    <t>Measure</t>
  </si>
  <si>
    <t>Savings</t>
  </si>
  <si>
    <t>Market Percent</t>
  </si>
  <si>
    <t>Baseline - Weighted</t>
  </si>
  <si>
    <t>Baseline - Mode 1</t>
  </si>
  <si>
    <t>Baseline - Mode 2 Low Speed</t>
  </si>
  <si>
    <t>Baseline - Mode 2 High Speed</t>
  </si>
  <si>
    <t>Baseline - Mode 2 Total</t>
  </si>
  <si>
    <t>Measure - Mode 1</t>
  </si>
  <si>
    <t>Measure - Mode 2 Low Speed</t>
  </si>
  <si>
    <t>Measure - Mode 2 High Speed</t>
  </si>
  <si>
    <t>Measure - Mode 2 Total</t>
  </si>
  <si>
    <t>Measure - Weighted Total</t>
  </si>
  <si>
    <t>Baseline - Weighted Total</t>
  </si>
  <si>
    <t>Enegy Usage</t>
  </si>
  <si>
    <t>Baseline - Mode 1 (1st Baseline)</t>
  </si>
  <si>
    <t>(Same as Measure A, 2 Speed)</t>
  </si>
  <si>
    <t>Baseline  - 1 Speed</t>
  </si>
  <si>
    <t>Measure - Variable Speed</t>
  </si>
  <si>
    <t>Saving</t>
  </si>
  <si>
    <t>Demand Calculations</t>
  </si>
  <si>
    <t>Non Coincident kW</t>
  </si>
  <si>
    <t>CDF</t>
  </si>
  <si>
    <t>Peak Demand</t>
  </si>
  <si>
    <t xml:space="preserve">Baseline- 2-speed </t>
  </si>
  <si>
    <t>Peak Demand Reduction</t>
  </si>
  <si>
    <t>2nd Baseline</t>
  </si>
  <si>
    <t xml:space="preserve">Baseline- 1-speed </t>
  </si>
  <si>
    <t>Notes</t>
  </si>
  <si>
    <t xml:space="preserve">Notes: </t>
  </si>
  <si>
    <t>Baseline</t>
  </si>
  <si>
    <t>2-Speed</t>
  </si>
  <si>
    <t>1-Speed / 2-Speed</t>
  </si>
  <si>
    <t>Energy Use</t>
  </si>
  <si>
    <t>1-Speed</t>
  </si>
  <si>
    <t>Multifamily</t>
  </si>
  <si>
    <t>Single Family</t>
  </si>
  <si>
    <t>SCE Sol Code</t>
  </si>
  <si>
    <t>PM-79353</t>
  </si>
  <si>
    <t>Spa, Programmed</t>
  </si>
  <si>
    <t>Wading, Programmed</t>
  </si>
  <si>
    <t>Swimming, Programmed</t>
  </si>
  <si>
    <t>Res. Pool, Programmed</t>
  </si>
  <si>
    <r>
      <t xml:space="preserve">VSD Pool Pump </t>
    </r>
    <r>
      <rPr>
        <b/>
        <sz val="9"/>
        <rFont val="Arial"/>
        <family val="2"/>
      </rPr>
      <t>Programmed per Spec</t>
    </r>
    <r>
      <rPr>
        <sz val="9"/>
        <rFont val="Arial"/>
        <family val="2"/>
      </rPr>
      <t xml:space="preserve"> (Source: WPSCREWP001.3, </t>
    </r>
    <r>
      <rPr>
        <b/>
        <sz val="9"/>
        <rFont val="Arial"/>
        <family val="2"/>
      </rPr>
      <t>Climate Zone 15</t>
    </r>
    <r>
      <rPr>
        <sz val="9"/>
        <rFont val="Arial"/>
        <family val="2"/>
      </rPr>
      <t>)</t>
    </r>
  </si>
  <si>
    <r>
      <t xml:space="preserve">VSD Pool Pump                 </t>
    </r>
    <r>
      <rPr>
        <b/>
        <sz val="9"/>
        <rFont val="Arial"/>
        <family val="2"/>
      </rPr>
      <t>Standard Install</t>
    </r>
    <r>
      <rPr>
        <sz val="9"/>
        <rFont val="Arial"/>
        <family val="2"/>
      </rPr>
      <t xml:space="preserve">                                          (Source: WPSCREWP001.3)</t>
    </r>
  </si>
  <si>
    <t>Basecase</t>
  </si>
  <si>
    <t>Energy Savings (kWh)</t>
  </si>
  <si>
    <t>Δ Incremental kWh</t>
  </si>
  <si>
    <t>Single Speed Pool Pump</t>
  </si>
  <si>
    <t>2-Speed Pool Pump</t>
  </si>
  <si>
    <r>
      <t xml:space="preserve">VSD Pool Pump                 </t>
    </r>
    <r>
      <rPr>
        <b/>
        <sz val="9"/>
        <rFont val="Arial"/>
        <family val="2"/>
      </rPr>
      <t>Standard Install</t>
    </r>
    <r>
      <rPr>
        <sz val="9"/>
        <rFont val="Arial"/>
        <family val="2"/>
      </rPr>
      <t xml:space="preserve">                                          (Source: WPSCREWP001.3</t>
    </r>
    <r>
      <rPr>
        <sz val="9"/>
        <rFont val="Arial"/>
        <family val="2"/>
      </rPr>
      <t>)</t>
    </r>
  </si>
  <si>
    <t>Demand Reduction (kW)</t>
  </si>
  <si>
    <t>Δ Incremental Kw</t>
  </si>
  <si>
    <t>Operating Hours</t>
  </si>
  <si>
    <t>Reduction Factor</t>
  </si>
  <si>
    <t xml:space="preserve">Market Percentage </t>
  </si>
  <si>
    <t>Weighted Energy Savings (kWh)</t>
  </si>
  <si>
    <t>Weighted Demand Reduction (kW)</t>
  </si>
  <si>
    <t>Energy Usage (kWh/yr)</t>
  </si>
  <si>
    <t>Peak Demand (kW)</t>
  </si>
  <si>
    <t>Programmed VSD Pool Pump (Climate Zone 15)</t>
  </si>
  <si>
    <t>Single-Speed Pool Pump (Climate Zone 15 A Base Case)</t>
  </si>
  <si>
    <t>Two-Speed Puol Pump (Climate Zone 15 Base Case)</t>
  </si>
  <si>
    <t>Single-Speed Pool Pump (All SCE Climate Zones Base Case)</t>
  </si>
  <si>
    <t>CZ 15 Savings</t>
  </si>
  <si>
    <t>CZ 15 Peak Demand Reduction</t>
  </si>
  <si>
    <t>All Other CZ Savings</t>
  </si>
  <si>
    <t>All Other CZ Peak Demand Reduction</t>
  </si>
  <si>
    <t>CZ 15 - 1st Baseline Savings</t>
  </si>
  <si>
    <t>CZ 15 - 2nd Baseline Savings</t>
  </si>
  <si>
    <t>All Other CZ - 1st Baseline Savings</t>
  </si>
  <si>
    <t>All Other CZ - 2nd Baseline Savings</t>
  </si>
  <si>
    <t>1st Baseline</t>
  </si>
  <si>
    <t>SCE Solution Code</t>
  </si>
  <si>
    <t>PM-19753</t>
  </si>
  <si>
    <t>PM-19754</t>
  </si>
  <si>
    <t>Self-Installed Variable Speed Drive on Pool Pump Controls replacing Two Speed Pool Pump</t>
  </si>
  <si>
    <t>Variable-speed pumps (Self Installed)</t>
  </si>
  <si>
    <t>Programmable Variable Speed Drive on Pool Pump Control replacing Single Speed Pool Pump for Spa Pool</t>
  </si>
  <si>
    <t>Programmable Variable Speed Drive on Pool Pump Control replacing Single Speed Pool Pump for Wading Pool</t>
  </si>
  <si>
    <t>1st Baseline kW Red.</t>
  </si>
  <si>
    <t>2nd Baseline kW Red.</t>
  </si>
  <si>
    <t>1st Baseline kWh Saving</t>
  </si>
  <si>
    <t>2nd Baseline kWh savings</t>
  </si>
  <si>
    <t>Measure Type</t>
  </si>
  <si>
    <t>1st Baseline kW Reduction</t>
  </si>
  <si>
    <t>2nd Baseline kW Reduction</t>
  </si>
  <si>
    <t>100% Two Speed Pool Pumps</t>
  </si>
  <si>
    <t>Measure F</t>
  </si>
  <si>
    <t>Measure G</t>
  </si>
  <si>
    <t>DI +DID</t>
  </si>
  <si>
    <t>1-Speed Pump</t>
  </si>
  <si>
    <t>Source/Notes</t>
  </si>
  <si>
    <t>2-Speed Pump</t>
  </si>
  <si>
    <t>Variable Speed Pump</t>
  </si>
  <si>
    <t>Non Coincident Demand (kW)</t>
  </si>
  <si>
    <t>Coincidence Factor</t>
  </si>
  <si>
    <t>Peak Coincident Electric Demands</t>
  </si>
  <si>
    <t>See Peak Demand Calculations Tab for Notes and Sources</t>
  </si>
  <si>
    <t>Measures D</t>
  </si>
  <si>
    <t>Measures C</t>
  </si>
  <si>
    <t>Measures B</t>
  </si>
  <si>
    <t>Measures A</t>
  </si>
  <si>
    <t>Res. Pool, Self Installed (Non-Programmed)</t>
  </si>
  <si>
    <t>Two-Speed Pool Pump (All SCE Climate Zones Base Case)</t>
  </si>
  <si>
    <t>Baseline energy usage is calculated using Eqn 1 from workpaper. Based on EC&amp;C database, 94.4% of 2-speed pumps filter pools only, for 0.98 turnovers per day. 5.6% pools also have pool sweeps at high power, for more turnovers per day. Weighted baselines were calculated on aforementioned percentages. Measure value is taken directly from EC&amp;C Database. EC&amp;C study from CZ15. All other CZ extrapolated. See section 2.1.2 in SCE17WP001.0. Savings approved by CPUC in 2017 Disposition.</t>
  </si>
  <si>
    <t>See Peak Demand Calculations Tab for Notes and Sources for CZ15 peak demands. For adjustments for all other CZ reductions see tab "Meas. A &amp; C, CZ Adjustement"</t>
  </si>
  <si>
    <t xml:space="preserve">1st Baseline- 1-speed </t>
  </si>
  <si>
    <t xml:space="preserve">2nd Baseline- 2-speed </t>
  </si>
  <si>
    <t>CZ 15 - 1st Peak Demand Reduction</t>
  </si>
  <si>
    <t>CZ 15 - 2nd Peak Demand Reduction</t>
  </si>
  <si>
    <t>Pump is programmed to not operate during peak times so Measure demand is 0 kW.See Peak Demand Calculations Tab for Notes and Sources</t>
  </si>
  <si>
    <t>Pump is programmed to not operate during peak times so Measure demand is 0 kW See Peak Demand Calculations Tab for Notes and Sources for CZ15 peak demands. For adjustments for all other CZ reductions see tab "Meas. A &amp; C, CZ Adjustement"</t>
  </si>
  <si>
    <t>INDEE Program records (see WP Section 2.1.1.2)</t>
  </si>
  <si>
    <t>CEC appliance database, average of low GPM from Curve A and B (see WP Section 2.1.1.3)</t>
  </si>
  <si>
    <t>Average 491 records, INDEE Program  (see WP Section 2.1.1.2)</t>
  </si>
  <si>
    <t>2001 and 2008 SCE DR response potential Studies.  Average of factors across peak demand times (see WP Section 2.2.1 &amp;2.2.2)</t>
  </si>
  <si>
    <t>Average 491 records, INDEE Program  ( (see WP Section 2.2.1 &amp;2.2.2))</t>
  </si>
  <si>
    <t>CEC appliance database, Curve B at low flow (20.7gpm) (see WP Section 2.2.1 &amp;2.2.2)</t>
  </si>
  <si>
    <r>
      <t>Estimated</t>
    </r>
    <r>
      <rPr>
        <sz val="9"/>
        <rFont val="Arial"/>
        <family val="2"/>
      </rPr>
      <t xml:space="preserve"> Impacts for VSD Pool Pump </t>
    </r>
    <r>
      <rPr>
        <b/>
        <sz val="9"/>
        <rFont val="Arial"/>
        <family val="2"/>
      </rPr>
      <t>Programmed per Spec    All Climate Zones except 15</t>
    </r>
  </si>
  <si>
    <r>
      <t>Estimated</t>
    </r>
    <r>
      <rPr>
        <sz val="9"/>
        <rFont val="Arial"/>
        <family val="2"/>
      </rPr>
      <t xml:space="preserve"> Impacts for VSD Pool Pump </t>
    </r>
    <r>
      <rPr>
        <b/>
        <sz val="9"/>
        <rFont val="Arial"/>
        <family val="2"/>
      </rPr>
      <t>Programmed per Spec          All Climate Zones except 15</t>
    </r>
  </si>
  <si>
    <r>
      <t>Note:</t>
    </r>
    <r>
      <rPr>
        <sz val="11"/>
        <color theme="1"/>
        <rFont val="Calibri"/>
        <family val="2"/>
        <scheme val="minor"/>
      </rPr>
      <t xml:space="preserve"> Climate Zone : ALL indicates that the savings apply to all Climate Zones except CZ15</t>
    </r>
  </si>
  <si>
    <t>Non-Programmed VSD Pool Pump (All Climate Zones except CZ15)</t>
  </si>
  <si>
    <t>SCG</t>
  </si>
  <si>
    <t>Average Pool Size (gallons)</t>
  </si>
  <si>
    <t>Std. Dev. (gallons)</t>
  </si>
  <si>
    <t>Minimum Size (gallons)</t>
  </si>
  <si>
    <t>Maximum Size (gallons)</t>
  </si>
  <si>
    <t>Count</t>
  </si>
  <si>
    <t>Weighted Average</t>
  </si>
  <si>
    <t xml:space="preserve">Average pool sizes from Attachment 12. </t>
  </si>
  <si>
    <t>Commissioned variable-speed pumps</t>
  </si>
  <si>
    <t>Programmed variable-speed pumps</t>
  </si>
  <si>
    <t>Measure A
(PM-78394)</t>
  </si>
  <si>
    <t>Measure B 
(PM-98422)</t>
  </si>
  <si>
    <t>Measure C
 (PM-69234)</t>
  </si>
  <si>
    <t>Measure D 
(PM-79353)</t>
  </si>
  <si>
    <t>Measure F 
(PM-19753)</t>
  </si>
  <si>
    <t>Measure G 
(PM-19754)</t>
  </si>
  <si>
    <t>100% Two Speed Pool Pumps (Required 2 speed in disposion)</t>
  </si>
  <si>
    <t>Baseline Energy usage is calculated using Eqn 1 from workpaper. Based on EC&amp;C database, 94.4% of 2-speed pumps filter pools only, for 0.98 turnovers per day. 5.6% pools also have pool sweeps at high power, for more turnovers per day. Weighted baselines were calculated on aforementioned percentages.
Measure value is taken directly from EC&amp;C Database. EC&amp;C study from CZ15. All other CZ extrapolated. See section 2.1.2 in SCE17WP001.0. Savings approved by CPUC in 2017 Disposition.</t>
  </si>
  <si>
    <t>General Note</t>
  </si>
  <si>
    <t>No</t>
  </si>
  <si>
    <t>Yes</t>
  </si>
  <si>
    <t>1. All ER measures require thrid party verification including data collection/gathering in full compliance with POE requirements  
2. Program design includes Direct Install type of offering with Downstream incentive</t>
  </si>
  <si>
    <t xml:space="preserve">POE
Requirements </t>
  </si>
  <si>
    <t>1st Baseline (Pre)</t>
  </si>
  <si>
    <t>2nd Baseline (Std)</t>
  </si>
  <si>
    <t>Baseline  - 2 Speed</t>
  </si>
  <si>
    <t>1st Baseline Saving</t>
  </si>
  <si>
    <t>2nd Baseline Saving</t>
  </si>
  <si>
    <t>1st Baseline Peak Demand Reduction</t>
  </si>
  <si>
    <t>2nd Baseline Peak Demand Reduction</t>
  </si>
  <si>
    <t>Uses Equation 1 from WP as noted in Disposition, and values noted in disposition. Assumes 1 speed baseline 1st baseline and 2-speed 2nd baseline. Uses 1 and 2 speed EFF for baselines and Variable speed EFF for measure. See section 2.1.2 in workpaper.</t>
  </si>
  <si>
    <t>2nd Baseline  - 2 Speed</t>
  </si>
  <si>
    <t>1st Baseline: Single Speed Pump  
2nd Baseline: 100% Two Speed Pool Pumps</t>
  </si>
  <si>
    <t xml:space="preserve">1st Baseline: 100% Single Speed Pool Pumps 
(Approved by CS in disposition)
2nd Baseline: 100% Two Speed Pool Pump
</t>
  </si>
  <si>
    <t xml:space="preserve">Uses Equation 1 from WP as noted in Disposition, and turnover noted in disposition. Volume taken as the weighted average of pools from SCE's Metering and Measuring of Multi-Family Pool Pumps – Phase 2 (Attachment 12).   Assumes 1 speed  1st baseline and 2-speed 2nd baseline. Uses 1 and 2 speed EFF for baselines and Variable speed EFF for measure. See section 2.1.2 in workpaper.
Note: Pool volume deviates from disposition because a SCE's 2016 report, Metering and Measuring of Multi-Family Pool Pumps report was available and showed a more conservative value for pool volumes. </t>
  </si>
  <si>
    <t>Energy usage is calculated using Eqn 1 from workpaper. Pool volume, turnover rate, pump size, efficiency and operating paramters were obtained from multiple database sources (InDEE). Measure is assumed to not be programmed, but operate with the same modes (filtering only vs filtering + sweeping) as assumed in Measures A and C. Variable speed EF values are taken from Curves A and B from CEC applicance database for pumps. 
Savings approved by CPUC in 2017 Disposition.</t>
  </si>
  <si>
    <t xml:space="preserve">Input parameters and measure savings approved per Dispositon 
FOR WORKPAPERS COVERING RESIDENTIAL VARIABLE SPEED POOL PUMPS
CPUC, ED, March 1, 2017
</t>
  </si>
  <si>
    <t xml:space="preserve">Estimated </t>
  </si>
  <si>
    <t>Disposition</t>
  </si>
  <si>
    <t>Disposition from Measure A</t>
  </si>
  <si>
    <t>Measure - Weighted</t>
  </si>
  <si>
    <t>Filter Volume</t>
  </si>
  <si>
    <t>Sweep Volume</t>
  </si>
  <si>
    <t>Wtd Sweep %</t>
  </si>
  <si>
    <t>Wtd Filter only %</t>
  </si>
  <si>
    <t>Filter Only Turnovers</t>
  </si>
  <si>
    <t>Filter Turnovers</t>
  </si>
  <si>
    <t>Sweep Turnover</t>
  </si>
  <si>
    <t>Turnover</t>
  </si>
  <si>
    <t>EF</t>
  </si>
  <si>
    <t>kWh</t>
  </si>
  <si>
    <t>Peak kW</t>
  </si>
  <si>
    <t>Pool Type</t>
  </si>
  <si>
    <t>Swimming</t>
  </si>
  <si>
    <t>Case</t>
  </si>
  <si>
    <t>GPM</t>
  </si>
  <si>
    <t>Single Speed Pump (Filter only)</t>
  </si>
  <si>
    <t>Mode 1</t>
  </si>
  <si>
    <t>Mode 2A</t>
  </si>
  <si>
    <t>Mode 2B</t>
  </si>
  <si>
    <t>Filter Only Pumps</t>
  </si>
  <si>
    <t>Filter + Sweep Operation Pumps. Filter Mode</t>
  </si>
  <si>
    <t>Filter + Sweep Operation Pumps. Sweep Mode</t>
  </si>
  <si>
    <t>EF (Gal/W*hr)</t>
  </si>
  <si>
    <t>Turnover (per day)</t>
  </si>
  <si>
    <t>Volume (gal)</t>
  </si>
  <si>
    <t>2-Speed Pump- Mode 1 (Filter only)</t>
  </si>
  <si>
    <t>VSD Pump- Mode 1 (Filter only)</t>
  </si>
  <si>
    <t>Percent of pools with Mode 1 operations, weighted by pool volume</t>
  </si>
  <si>
    <t>Percent of pools with Mode 2 operations, weighted by pool volume</t>
  </si>
  <si>
    <t>Market % (for multi speed systems)</t>
  </si>
  <si>
    <t>Not Applicable - Only 1 mode for single speed.</t>
  </si>
  <si>
    <t>2-Speed Pump - Mode 2A (Filter Mode)</t>
  </si>
  <si>
    <t>VSD Pump - Mode 2A (Filter Mode)</t>
  </si>
  <si>
    <t>2-speed Pump - Mode 2B (Sweep Mode)</t>
  </si>
  <si>
    <t>VSD Pump - Mode 2B (Sweep Mode)</t>
  </si>
  <si>
    <t>N/A</t>
  </si>
  <si>
    <t>MFM</t>
  </si>
  <si>
    <t>Single Speed Pump</t>
  </si>
  <si>
    <t>VSD Pump</t>
  </si>
  <si>
    <t>Spa</t>
  </si>
  <si>
    <t>Wading</t>
  </si>
  <si>
    <t>Wtd Average Vol from 2016 SCE MFm pool study (2016) Attachment 12.</t>
  </si>
  <si>
    <t>Average Turnover from 2016 SCE MFm pool study (2016) for single speed baseline and multispeed measure (Attachment 12.)</t>
  </si>
  <si>
    <t>Average GPM from 2016 SCE MFm pool study (2016) Attachment 12.</t>
  </si>
  <si>
    <t>Pool volume provided by CPUC Dispositon FOR WORKPAPERS COVERING RESIDENTIAL VARIABLE SPEED POOL PUMPS CPUC, ED, March 1, 2017</t>
  </si>
  <si>
    <t>Turnovers per day provided by CPUC Dispositon FOR WORKPAPERS COVERING RESIDENTIAL VARIABLE SPEED POOL PUMPS CPUC, ED, March 1, 2017</t>
  </si>
  <si>
    <t>Average GPM based on pool volume and turnovers provided by CPUC Dispositon FOR WORKPAPERS COVERING RESIDENTIAL VARIABLE SPEED POOL PUMPS CPUC, ED, March 1, 2017</t>
  </si>
  <si>
    <t>Base Demand</t>
  </si>
  <si>
    <t>Coincident Base Demand</t>
  </si>
  <si>
    <t>Measure Demand</t>
  </si>
  <si>
    <t>Coincident Measure Demand</t>
  </si>
  <si>
    <t>Coincident Demand Reduction</t>
  </si>
  <si>
    <t>1-speed</t>
  </si>
  <si>
    <t>2-speed</t>
  </si>
  <si>
    <t>Multi Family</t>
  </si>
  <si>
    <t>NEW</t>
  </si>
  <si>
    <t xml:space="preserve">EF based on  EF vs GPM correlation of 2018 CEC database of variable speed pumps  (1-3 HP). Curve A is used because it is representative of new construction T24 pools.  GPM of Average Filter only flow is used to find EF. </t>
  </si>
  <si>
    <t xml:space="preserve">EF based on  EF vs GPM correlation of 2018 CEC database of variable speed pumps  (1-3 HP). Curve B is used because it best matches installed data at low speeds. See Analysis 2 tab for more details.  GPM of Average Mode 2A operation is used to find EF. </t>
  </si>
  <si>
    <t xml:space="preserve">EF based on  EF vs GPM correlation of 2018 CEC database of variable speed pumps (1-3 HP). Curve A is used because it best matches installed data at High speeds. See Analysis 2 tab for more details.  GPM of Average Mode 2B operation is used to find EF. </t>
  </si>
  <si>
    <t>1st Baseline Savings</t>
  </si>
  <si>
    <t>2nd Baseline Savings</t>
  </si>
  <si>
    <t xml:space="preserve"> Savings</t>
  </si>
  <si>
    <t xml:space="preserve"> Peak Demand Reduction</t>
  </si>
  <si>
    <t>(Same as Measure A, measure Case</t>
  </si>
  <si>
    <t>MFm</t>
  </si>
  <si>
    <t>1-speed GPM--&gt;</t>
  </si>
  <si>
    <t>VS GPM--&gt;</t>
  </si>
  <si>
    <t>Pump Type</t>
  </si>
  <si>
    <t>Curve</t>
  </si>
  <si>
    <t>Power vs GPM Curve</t>
  </si>
  <si>
    <t>Baseline (Watts)</t>
  </si>
  <si>
    <t>Mode 1 (Watts)</t>
  </si>
  <si>
    <t>Mode 2A (Watts)</t>
  </si>
  <si>
    <t>Mode 2B (Watts)</t>
  </si>
  <si>
    <t>Swimming (Watts)</t>
  </si>
  <si>
    <t>Spa (Watts)</t>
  </si>
  <si>
    <t>Wading (Watts)</t>
  </si>
  <si>
    <t>Single Speed</t>
  </si>
  <si>
    <t>Curve A</t>
  </si>
  <si>
    <t>y = 0.4821x2 - 1.4193x</t>
  </si>
  <si>
    <t>Curve B</t>
  </si>
  <si>
    <t>y = 0.9453x2 + 2.5415x</t>
  </si>
  <si>
    <t>y = 0.4933x2 - 2.6782x</t>
  </si>
  <si>
    <t>y = 1.0826x2 - 1.8467x</t>
  </si>
  <si>
    <t>Variable Speed</t>
  </si>
  <si>
    <t>y = 0.5618x2 - 9.4943x</t>
  </si>
  <si>
    <t>y = 1.4823x2 - 20.247</t>
  </si>
  <si>
    <t>GPM--&gt;</t>
  </si>
  <si>
    <t>1st Peak Demand Reduction</t>
  </si>
  <si>
    <t xml:space="preserve"> 2nd Peak Demand Reduction</t>
  </si>
  <si>
    <t>Energy Savings</t>
  </si>
  <si>
    <t>System/Mode</t>
  </si>
  <si>
    <t>2-Speed: Mode 1 (Filter Only)</t>
  </si>
  <si>
    <t>2-Speed: Mode 2A (Filter)</t>
  </si>
  <si>
    <t>2-Speed: Mode 2B (Sweeping)</t>
  </si>
  <si>
    <t>Variable Speed: Mode 2B (Sweeping)</t>
  </si>
  <si>
    <t>Turnover (/day), [T]</t>
  </si>
  <si>
    <t>Energy Factor (Gal/W-hr), [EF]</t>
  </si>
  <si>
    <t>Pool Volume (Gal), [V]</t>
  </si>
  <si>
    <t xml:space="preserve">
Average Volume from SCE SFm database (1-3 HP only)</t>
  </si>
  <si>
    <t>Average of baseline single speed turnovers from SCE SFm database (1-3Hp)</t>
  </si>
  <si>
    <t>Average of baseline single speed GPM from SCE SFm database (1-3Hp)</t>
  </si>
  <si>
    <t>22 gpm - Average of Filter only VS measure case gpm from SCE SFm database (1-3hp)</t>
  </si>
  <si>
    <t>17.8 - Average Filter from Mode 2A (Filter mode of Filter+ Sweep pumps) VS measure case gpm from SCE SFm database (1-3hp)</t>
  </si>
  <si>
    <t>Average Filter from Filter+ Sweep pumps VS measure case turnovers from SCE SFm database (1-3hp)</t>
  </si>
  <si>
    <t>47.6 gpm - Average Filter from Mode 2B (Sweep mode of Filter+ Sweep pumps) VS measure case gpm from SCE SFm database (1-3hp)</t>
  </si>
  <si>
    <t>C</t>
  </si>
  <si>
    <t>EU Name</t>
  </si>
  <si>
    <t>Building</t>
  </si>
  <si>
    <t>Multi-Family</t>
  </si>
  <si>
    <t xml:space="preserve">Energy Ussage (kWh/year) </t>
  </si>
  <si>
    <t>2-Speed: Mode 1 and 2 Weighted</t>
  </si>
  <si>
    <t>Market %, [W%]</t>
  </si>
  <si>
    <t>EU_SFm, 2-spd: Wtd</t>
  </si>
  <si>
    <t xml:space="preserve">Energy Usage (kWh/year) </t>
  </si>
  <si>
    <t>Baseline/ Measure Case</t>
  </si>
  <si>
    <t xml:space="preserve">Days </t>
  </si>
  <si>
    <t>Energy Usage ID</t>
  </si>
  <si>
    <t>EU_SFm, 1-spd</t>
  </si>
  <si>
    <t>EU_SFm, 2-spd: M1</t>
  </si>
  <si>
    <t>EU_SFm, 2-spd: M2A</t>
  </si>
  <si>
    <t>EU_SFm, 2-spd: M2B</t>
  </si>
  <si>
    <t>EU_SFm, VS: M2B</t>
  </si>
  <si>
    <t>EU_MFm, Swim, 1-spd</t>
  </si>
  <si>
    <t>EU_MFm, Spa, 1-spd</t>
  </si>
  <si>
    <t>EU_MFm, Spa, 2-spd</t>
  </si>
  <si>
    <t>EU_MFm, Spa, VS</t>
  </si>
  <si>
    <t>EU_MFm, Wade, 1-spd</t>
  </si>
  <si>
    <t>EU_MFm, Wade, 2-spd</t>
  </si>
  <si>
    <t>EU_MFm, Wade, VS</t>
  </si>
  <si>
    <t>RET</t>
  </si>
  <si>
    <t xml:space="preserve">SFm 2-speed Weighted </t>
  </si>
  <si>
    <t>Electrid Demand (kW)</t>
  </si>
  <si>
    <t>Coincident Demand</t>
  </si>
  <si>
    <t>Peak Electric Demand</t>
  </si>
  <si>
    <t>Energy</t>
  </si>
  <si>
    <t xml:space="preserve">Average of Mode 1 (Filter only) VS measure case turnovers from SCE SFm database (1-3hp). Assumes Programmed not to operate 12-6pm. Applies to both 2-speed and VS pumps. </t>
  </si>
  <si>
    <t xml:space="preserve">Average Filter (Mode 2) Filter+ Sweep pumps VS measure case turnovers from SCE SFm database (1-3hp). Assumes Programmed not to operate 12-6pm.  Applies to both 2-speed and VS pumps. </t>
  </si>
  <si>
    <t xml:space="preserve">Non-Programmed pump assumed to operate an additional 3 hours per day between 12-6pm, but not 2-5pm because of T24. Applies to just measure case VS pumps. </t>
  </si>
  <si>
    <t>EU_SFm, VS: M1, Pr</t>
  </si>
  <si>
    <t>EU_SFm, VS: M1, NPr</t>
  </si>
  <si>
    <t>EU_SFm, VS: M2A, Pr</t>
  </si>
  <si>
    <t>EU_SFm, VS: M2A, NPr</t>
  </si>
  <si>
    <t>EU_SFm, VS: Wtd, Pr</t>
  </si>
  <si>
    <t>EU_SFm, VS: Wtd, NPr</t>
  </si>
  <si>
    <t>Variable Speed: Mode 1 (Filter Only), Commissioned</t>
  </si>
  <si>
    <t>SFm Variable speed Weighted, Commissioned</t>
  </si>
  <si>
    <t>Variable Speed: Mode 1 (Filter Only), Non-Commissioned</t>
  </si>
  <si>
    <t>Variable Speed: Mode 2A (Filter), Commissioned</t>
  </si>
  <si>
    <t>Variable Speed: Mode 2A (Filter), Non-Commissioned</t>
  </si>
  <si>
    <t>Variable Speed: Mode 1 and 2 Weighted, Commissioned</t>
  </si>
  <si>
    <t>Variable Speed: Mode 1 and 2 Weighted, Non-Commissioned</t>
  </si>
  <si>
    <t>Minimum of 15GPM used to estimate Energy Factor, based on observation that EF become independent of flow under 15GPM. Average GPM based on pool volume and turnovers provided by CPUC Disposition FOR WORKPAPERS COVERING RESIDENTIAL VARIABLE SPEED POOL PUMPS CPUC, ED, March 1, 2017 was only 12 GPM, thus 15 GPM was chosen.</t>
  </si>
  <si>
    <t>2-Speed Pump (High Speed)</t>
  </si>
  <si>
    <t>VSD Pump (High Speed)</t>
  </si>
  <si>
    <t>2-Speed Pump (Low Speed)</t>
  </si>
  <si>
    <t>VSD Pump (Low Speed)</t>
  </si>
  <si>
    <t>1st Baseline  - 1 Speed</t>
  </si>
  <si>
    <t>2nd Baseline  - 2 Speed (Low Speed)</t>
  </si>
  <si>
    <t>2nd Baseline  - 2 Speed (High Speed)</t>
  </si>
  <si>
    <t>Baseline  - 2 Speed Total</t>
  </si>
  <si>
    <t>Measure - Variable Speed Total</t>
  </si>
  <si>
    <t>Measure - Variable Speed (High Speed)</t>
  </si>
  <si>
    <t>Measure - Variable Speed (Low Speed)</t>
  </si>
  <si>
    <t>2-Speed (High Speed)</t>
  </si>
  <si>
    <t>Variable Speed (High Speed)</t>
  </si>
  <si>
    <t>2-Speed (Low Speed)</t>
  </si>
  <si>
    <t>Variable Speed (Low Speed)</t>
  </si>
  <si>
    <t>EU_MFm, Swim, 2-spd High</t>
  </si>
  <si>
    <t>EU_MFm, Swim, VS High</t>
  </si>
  <si>
    <t>EU_MFm, Swim, 2-spd Low</t>
  </si>
  <si>
    <t>EU_MFm, Swim, VS Low</t>
  </si>
  <si>
    <t>EU_MFm, Swim, 2-spd High + EU_MFm, Swim, 2-spd Low</t>
  </si>
  <si>
    <t>EU_MFm, Swim, VS High+EU_MFm, Swim, VS Low</t>
  </si>
  <si>
    <r>
      <t xml:space="preserve">EF Based on Average EF of 1-speed 2008 CEC database Curve A values at 1.5 HP. This horsepower was chosen because it is within 5% of the average horsepower found in the SCE MFm study (see MFm Report Values tab). Curve A is used because it is more representative of pumps at higher speeds. 
</t>
    </r>
    <r>
      <rPr>
        <b/>
        <sz val="9"/>
        <color rgb="FFFF0000"/>
        <rFont val="Calibri"/>
        <family val="2"/>
        <scheme val="minor"/>
      </rPr>
      <t>Function (1.5hp, Curve A)</t>
    </r>
  </si>
  <si>
    <r>
      <t xml:space="preserve">EF Based on Average EF of 1-speed 2008 CEC database Curve A values at 1.5 HP. This horsepower was chosen because it is within 5% of the average horsepower found in the SCE MFm study (see MFm Report Values tab). Curve A is used because it is more representative of pumps at higher speeds. 
</t>
    </r>
    <r>
      <rPr>
        <b/>
        <sz val="9"/>
        <color rgb="FFFF0000"/>
        <rFont val="Calibri"/>
        <family val="2"/>
        <scheme val="minor"/>
      </rPr>
      <t>Function(1.5hp, CurveA)</t>
    </r>
  </si>
  <si>
    <r>
      <t xml:space="preserve">EF based on  EF vs GPM correlation of 2018 CEC database of 2-speed pumps (1-3 HP). Curve A is used because it is representative of new construction T24 pools.  Average GPM based on pool volume and turnovers provided by CPUC Disposition 
FOR WORKPAPERS COVERING RESIDENTIAL VARIABLE SPEED POOL PUMPS
CPUC, ED, March 1, 2017
</t>
    </r>
    <r>
      <rPr>
        <b/>
        <sz val="9"/>
        <color rgb="FFFF0000"/>
        <rFont val="Calibri"/>
        <family val="2"/>
        <scheme val="minor"/>
      </rPr>
      <t xml:space="preserve">Function(Disp_Turnover, CurveA_2sp)
</t>
    </r>
  </si>
  <si>
    <r>
      <t xml:space="preserve">EF based on  EF vs GPM correlation of 2018 CEC database of variable speed pumps (1-3 HP). Curve A is used because it is representative of new construction T24 pools.  Average GPM based on pool volume and turnovers provided by CPUC Disposition 
FOR WORKPAPERS COVERING RESIDENTIAL VARIABLE SPEED POOL PUMPS
CPUC, ED, March 1, 2017
</t>
    </r>
    <r>
      <rPr>
        <b/>
        <sz val="9"/>
        <color rgb="FFFF0000"/>
        <rFont val="Calibri"/>
        <family val="2"/>
        <scheme val="minor"/>
      </rPr>
      <t>Function (Disp_Turnover, CurveA_VSD)</t>
    </r>
    <r>
      <rPr>
        <sz val="9"/>
        <color theme="1"/>
        <rFont val="Calibri"/>
        <family val="2"/>
        <scheme val="minor"/>
      </rPr>
      <t xml:space="preserve">
</t>
    </r>
  </si>
  <si>
    <r>
      <t xml:space="preserve">EF based on  EF vs GPM correlation of 2018 CEC database of variable speed pumps (1-3 HP). Curve B is used because it is representative of multispeed pumps at lower speeds.  Average GPM based on pool volume and turnovers provided by CPUC Disposition FOR WORKPAPERS COVERING RESIDENTIAL VARIABLE SPEED POOL PUMPS CPUC, ED, March 1, 2017
</t>
    </r>
    <r>
      <rPr>
        <b/>
        <sz val="9"/>
        <color rgb="FFFF0000"/>
        <rFont val="Calibri"/>
        <family val="2"/>
        <scheme val="minor"/>
      </rPr>
      <t>Function (Disp_Turnover, CurveB_VSD)</t>
    </r>
  </si>
  <si>
    <r>
      <t xml:space="preserve">EF based on  EF vs GPM correlation of 2018 CEC database of 2-speed pumps (1-3 HP). Curve B is used because it is representative of multispeed pumps at lower speeds.  Average GPM based on pool volume and turnovers provided by CPUC Disposition FOR WORKPAPERS COVERING RESIDENTIAL VARIABLE SPEED POOL PUMPS CPUC, ED, March 1, 2017.
</t>
    </r>
    <r>
      <rPr>
        <b/>
        <sz val="9"/>
        <color rgb="FFFF0000"/>
        <rFont val="Calibri"/>
        <family val="2"/>
        <scheme val="minor"/>
      </rPr>
      <t>Function (Disp_Turnover, CurveB_VSD)</t>
    </r>
  </si>
  <si>
    <r>
      <t xml:space="preserve">EF Based on Average EF of 1-speed 2008 CEC database Curve A values at 1.5 HP. This horsepower was chosen because it is within 5% of the average horsepower found in the SCE SFm installed data (see Analysis tab). Curve A is used because it is more representative of pumps at higher speeds. 
</t>
    </r>
    <r>
      <rPr>
        <b/>
        <sz val="9"/>
        <color rgb="FFFF0000"/>
        <rFont val="Calibri"/>
        <family val="2"/>
        <scheme val="minor"/>
      </rPr>
      <t>Function(1.5hp, Curve A)</t>
    </r>
  </si>
  <si>
    <r>
      <t xml:space="preserve">EF based on  EF vs GPM correlation of 2018 CEC database of 2-speed pumps  (1-3 HP). Curve B is used because it best matches installed data at low speeds. See Analysis 2 tab for more details. GPM of Average Mode 2A operation is used to find EF. 
</t>
    </r>
    <r>
      <rPr>
        <b/>
        <sz val="9"/>
        <color rgb="FFFF0000"/>
        <rFont val="Calibri"/>
        <family val="2"/>
        <scheme val="minor"/>
      </rPr>
      <t>Function(1.5hp, Curve B, GPM)</t>
    </r>
  </si>
  <si>
    <r>
      <t xml:space="preserve">EF based on  EF vs GPM correlation of 2018 CEC database of 2-speed pumps  (1-3 HP). Curve B is used because it best matches installed data at low speeds. See Analysis 2 tab for more details. GPM of Average Mode 1 operation is used to find EF. 
</t>
    </r>
    <r>
      <rPr>
        <b/>
        <sz val="9"/>
        <color rgb="FFFF0000"/>
        <rFont val="Calibri"/>
        <family val="2"/>
        <scheme val="minor"/>
      </rPr>
      <t>Function(1.5hp, Curve B, GPM)</t>
    </r>
  </si>
  <si>
    <r>
      <t xml:space="preserve">EF based on  EF vs GPM correlation of 2018 CEC database of 2-speed pumps (1-3 HP). Curve A is used because it is representative of new construction T24 pools.  GPM of Average Mode 2A operation is used to find EF. 
</t>
    </r>
    <r>
      <rPr>
        <b/>
        <sz val="9"/>
        <color rgb="FFFF0000"/>
        <rFont val="Calibri"/>
        <family val="2"/>
        <scheme val="minor"/>
      </rPr>
      <t>Function(1.5hp, Curve A, GPM)</t>
    </r>
  </si>
  <si>
    <r>
      <t xml:space="preserve">EF based on  EF vs GPM correlation of 2018 CEC database of 2-speed pumps (1-3 HP). Curve A is used because it is representative of new construction T24 pools.  High Speed average GPM of variable speed pool from SCE MFm pool study (2016) is used. 
</t>
    </r>
    <r>
      <rPr>
        <b/>
        <sz val="9"/>
        <color rgb="FFFF0000"/>
        <rFont val="Calibri"/>
        <family val="2"/>
        <scheme val="minor"/>
      </rPr>
      <t>Function(highGPM, CurveA_2sp)</t>
    </r>
  </si>
  <si>
    <r>
      <t xml:space="preserve">EF based on  EF vs GPM correlation of 2018 CEC database of variable pumps (1-3 HP). Curve A is used because it is representative of new construction T24 pools.  High Speed average GPM of variable speed pool from SCE MFm pool study (2016) is used. 
</t>
    </r>
    <r>
      <rPr>
        <b/>
        <sz val="9"/>
        <color rgb="FFFF0000"/>
        <rFont val="Calibri"/>
        <family val="2"/>
        <scheme val="minor"/>
      </rPr>
      <t>Function(highGPM, CurveA_VSD)</t>
    </r>
  </si>
  <si>
    <r>
      <t xml:space="preserve">EF based on  EF vs GPM correlation of 2018 CEC database of 2-speed pumps (1-3 HP). Curve A is used because it is representative of new construction T24 pools.  Low speed average GPM of variable speed pool from SCE MFm pool study (2016) is used. 
</t>
    </r>
    <r>
      <rPr>
        <b/>
        <sz val="9"/>
        <color rgb="FFFF0000"/>
        <rFont val="Calibri"/>
        <family val="2"/>
        <scheme val="minor"/>
      </rPr>
      <t>Function(lowGPM, CurveA_2-sp)</t>
    </r>
  </si>
  <si>
    <r>
      <t xml:space="preserve">EF based on  EF vs GPM correlation of 2018 CEC database of variable pumps (1-3 HP). Curve A is used because it is representative of new construction T24 pools.  Low speed average GPM of variable speed pool from SCE MFm pool study (2016) is used. 
</t>
    </r>
    <r>
      <rPr>
        <b/>
        <sz val="9"/>
        <color rgb="FFFF0000"/>
        <rFont val="Calibri"/>
        <family val="2"/>
        <scheme val="minor"/>
      </rPr>
      <t>Function(lowGPM, CurveA_VSD)</t>
    </r>
  </si>
  <si>
    <t>2-Speed
Sum of High and Low Speed Operations</t>
  </si>
  <si>
    <t>Variable Speed
Sum of High and Low Speed Operations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</si>
</sst>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000"/>
    <numFmt numFmtId="166" formatCode="0.000"/>
    <numFmt numFmtId="167" formatCode="#,##0.000"/>
    <numFmt numFmtId="168" formatCode="#,##0.000000000000"/>
    <numFmt numFmtId="169" formatCode="0.0"/>
    <numFmt numFmtId="170" formatCode="_(* #,##0_);_(* \(#,##0\);_(* &quot;-&quot;??_);_(@_)"/>
  </numFmts>
  <fonts count="30" x14ac:knownFonts="1">
    <font>
      <sz val="11"/>
      <color theme="1"/>
      <name val="Calibri"/>
      <family val="2"/>
      <scheme val="minor"/>
    </font>
    <font>
      <b/>
      <sz val="10"/>
      <color theme="1"/>
      <name val="Calibri"/>
      <family val="2"/>
      <scheme val="minor"/>
    </font>
    <font>
      <sz val="11"/>
      <color theme="1"/>
      <name val="Calibri"/>
      <family val="2"/>
      <scheme val="minor"/>
    </font>
    <font>
      <b/>
      <sz val="11"/>
      <color theme="1"/>
      <name val="Calibri"/>
      <family val="2"/>
      <scheme val="minor"/>
    </font>
    <font>
      <b/>
      <sz val="9"/>
      <color theme="1"/>
      <name val="Calibri"/>
      <family val="2"/>
    </font>
    <font>
      <sz val="9"/>
      <color theme="1"/>
      <name val="Calibri"/>
      <family val="2"/>
    </font>
    <font>
      <sz val="8"/>
      <color rgb="FF000000"/>
      <name val="Calibri"/>
      <family val="2"/>
    </font>
    <font>
      <sz val="9"/>
      <color rgb="FF000000"/>
      <name val="Calibri"/>
      <family val="2"/>
    </font>
    <font>
      <sz val="8"/>
      <color theme="1"/>
      <name val="Calibri"/>
      <family val="2"/>
    </font>
    <font>
      <sz val="9"/>
      <name val="Arial"/>
      <family val="2"/>
    </font>
    <font>
      <b/>
      <sz val="9"/>
      <name val="Arial"/>
      <family val="2"/>
    </font>
    <font>
      <sz val="10"/>
      <color indexed="8"/>
      <name val="Arial"/>
      <family val="2"/>
    </font>
    <font>
      <i/>
      <sz val="9"/>
      <name val="Arial"/>
      <family val="2"/>
    </font>
    <font>
      <b/>
      <sz val="10"/>
      <name val="Arial"/>
      <family val="2"/>
    </font>
    <font>
      <b/>
      <sz val="8"/>
      <color indexed="81"/>
      <name val="Tahoma"/>
      <family val="2"/>
    </font>
    <font>
      <sz val="8"/>
      <color indexed="81"/>
      <name val="Tahoma"/>
      <family val="2"/>
    </font>
    <font>
      <sz val="10"/>
      <color theme="1"/>
      <name val="Calibri"/>
      <family val="2"/>
      <scheme val="minor"/>
    </font>
    <font>
      <sz val="10"/>
      <color rgb="FF000000"/>
      <name val="Calibri"/>
      <family val="2"/>
      <scheme val="minor"/>
    </font>
    <font>
      <sz val="9"/>
      <color indexed="81"/>
      <name val="Tahoma"/>
      <family val="2"/>
    </font>
    <font>
      <b/>
      <sz val="9"/>
      <color indexed="81"/>
      <name val="Tahoma"/>
      <family val="2"/>
    </font>
    <font>
      <sz val="8"/>
      <color theme="1"/>
      <name val="Calibri"/>
      <family val="2"/>
      <scheme val="minor"/>
    </font>
    <font>
      <b/>
      <sz val="9"/>
      <color rgb="FFFF0000"/>
      <name val="Calibri"/>
      <family val="2"/>
    </font>
    <font>
      <b/>
      <sz val="11"/>
      <color rgb="FFFF0000"/>
      <name val="Calibri"/>
      <family val="2"/>
      <scheme val="minor"/>
    </font>
    <font>
      <sz val="11"/>
      <color rgb="FFFF0000"/>
      <name val="Calibri"/>
      <family val="2"/>
      <scheme val="minor"/>
    </font>
    <font>
      <sz val="10"/>
      <name val="Arial"/>
      <family val="2"/>
    </font>
    <font>
      <sz val="9"/>
      <color theme="1"/>
      <name val="Calibri"/>
      <family val="2"/>
      <scheme val="minor"/>
    </font>
    <font>
      <i/>
      <sz val="10"/>
      <name val="Arial"/>
      <family val="2"/>
    </font>
    <font>
      <b/>
      <sz val="10"/>
      <name val="Calibri"/>
      <family val="2"/>
    </font>
    <font>
      <i/>
      <sz val="9"/>
      <color theme="1"/>
      <name val="Calibri"/>
      <family val="2"/>
      <scheme val="minor"/>
    </font>
    <font>
      <b/>
      <sz val="9"/>
      <color rgb="FFFF0000"/>
      <name val="Calibri"/>
      <family val="2"/>
      <scheme val="minor"/>
    </font>
  </fonts>
  <fills count="11">
    <fill>
      <patternFill patternType="none"/>
    </fill>
    <fill>
      <patternFill patternType="gray125"/>
    </fill>
    <fill>
      <patternFill patternType="solid">
        <fgColor rgb="FFD9D9D9"/>
        <bgColor indexed="64"/>
      </patternFill>
    </fill>
    <fill>
      <patternFill patternType="solid">
        <fgColor rgb="FFFFFF00"/>
        <bgColor indexed="64"/>
      </patternFill>
    </fill>
    <fill>
      <patternFill patternType="solid">
        <fgColor indexed="22"/>
        <bgColor indexed="0"/>
      </patternFill>
    </fill>
    <fill>
      <patternFill patternType="solid">
        <fgColor indexed="13"/>
        <bgColor indexed="64"/>
      </patternFill>
    </fill>
    <fill>
      <patternFill patternType="solid">
        <fgColor theme="7"/>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61">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8"/>
      </right>
      <top style="thin">
        <color indexed="8"/>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3">
    <xf numFmtId="0" fontId="0" fillId="0" borderId="0"/>
    <xf numFmtId="9" fontId="2" fillId="0" borderId="0" applyFont="0" applyFill="0" applyBorder="0" applyAlignment="0" applyProtection="0"/>
    <xf numFmtId="0" fontId="11" fillId="0" borderId="0"/>
  </cellStyleXfs>
  <cellXfs count="325">
    <xf numFmtId="0" fontId="0" fillId="0" borderId="0" xfId="0"/>
    <xf numFmtId="0" fontId="1" fillId="2" borderId="4" xfId="0" applyFont="1" applyFill="1" applyBorder="1" applyAlignment="1">
      <alignment vertical="center" wrapText="1"/>
    </xf>
    <xf numFmtId="0" fontId="0" fillId="0" borderId="6" xfId="0" applyBorder="1"/>
    <xf numFmtId="0" fontId="0" fillId="3" borderId="6" xfId="0" applyFill="1" applyBorder="1"/>
    <xf numFmtId="0" fontId="0" fillId="0" borderId="9" xfId="0" applyBorder="1"/>
    <xf numFmtId="0" fontId="0" fillId="0" borderId="10" xfId="0" applyBorder="1"/>
    <xf numFmtId="0" fontId="0" fillId="0" borderId="11" xfId="0" applyBorder="1"/>
    <xf numFmtId="0" fontId="0" fillId="0" borderId="0" xfId="0" applyBorder="1"/>
    <xf numFmtId="0" fontId="0" fillId="0" borderId="12" xfId="0" applyBorder="1"/>
    <xf numFmtId="0" fontId="0" fillId="0" borderId="6" xfId="0" applyBorder="1" applyAlignment="1">
      <alignment horizontal="center" vertical="center"/>
    </xf>
    <xf numFmtId="164" fontId="0" fillId="0" borderId="6" xfId="1" applyNumberFormat="1" applyFont="1" applyBorder="1" applyAlignment="1">
      <alignment horizontal="center" vertical="center"/>
    </xf>
    <xf numFmtId="0" fontId="0" fillId="0" borderId="13" xfId="0" applyBorder="1" applyAlignment="1">
      <alignment horizontal="center" vertical="center"/>
    </xf>
    <xf numFmtId="0" fontId="0" fillId="0" borderId="13" xfId="0" applyBorder="1"/>
    <xf numFmtId="0" fontId="0" fillId="0" borderId="14" xfId="0" applyBorder="1"/>
    <xf numFmtId="0" fontId="0" fillId="0" borderId="6" xfId="0" applyBorder="1" applyAlignment="1">
      <alignment horizontal="center"/>
    </xf>
    <xf numFmtId="166" fontId="0" fillId="0" borderId="6" xfId="0" applyNumberFormat="1" applyBorder="1" applyAlignment="1">
      <alignment horizontal="center"/>
    </xf>
    <xf numFmtId="0" fontId="0" fillId="0" borderId="0" xfId="0" applyAlignment="1">
      <alignment horizontal="center"/>
    </xf>
    <xf numFmtId="0" fontId="0" fillId="0" borderId="0" xfId="0" applyBorder="1" applyAlignment="1">
      <alignment horizontal="center"/>
    </xf>
    <xf numFmtId="0" fontId="0" fillId="0" borderId="9" xfId="0" applyBorder="1" applyAlignment="1">
      <alignment horizontal="center"/>
    </xf>
    <xf numFmtId="0" fontId="0" fillId="0" borderId="6" xfId="0" applyFill="1" applyBorder="1" applyAlignment="1">
      <alignment horizontal="center"/>
    </xf>
    <xf numFmtId="164" fontId="0" fillId="0" borderId="6" xfId="1" applyNumberFormat="1" applyFont="1" applyBorder="1" applyAlignment="1">
      <alignment horizontal="center"/>
    </xf>
    <xf numFmtId="0" fontId="3" fillId="0" borderId="6" xfId="0" applyFont="1" applyBorder="1" applyAlignment="1">
      <alignment horizontal="center"/>
    </xf>
    <xf numFmtId="166" fontId="0" fillId="0" borderId="15" xfId="0" applyNumberFormat="1" applyBorder="1" applyAlignment="1">
      <alignment horizontal="center"/>
    </xf>
    <xf numFmtId="166" fontId="3" fillId="0" borderId="15" xfId="0" applyNumberFormat="1" applyFont="1" applyFill="1" applyBorder="1" applyAlignment="1">
      <alignment horizontal="center"/>
    </xf>
    <xf numFmtId="0" fontId="11" fillId="4" borderId="17" xfId="2" applyFont="1" applyFill="1" applyBorder="1" applyAlignment="1">
      <alignment horizontal="center" vertical="center" wrapText="1"/>
    </xf>
    <xf numFmtId="0" fontId="11" fillId="4" borderId="18" xfId="2" applyFont="1" applyFill="1" applyBorder="1" applyAlignment="1">
      <alignment horizontal="center" vertical="center" wrapText="1"/>
    </xf>
    <xf numFmtId="0" fontId="11" fillId="4" borderId="19" xfId="2" applyFont="1" applyFill="1" applyBorder="1" applyAlignment="1">
      <alignment horizontal="center" vertical="center" wrapText="1"/>
    </xf>
    <xf numFmtId="0" fontId="11" fillId="4" borderId="20" xfId="2" applyFont="1" applyFill="1" applyBorder="1" applyAlignment="1">
      <alignment horizontal="center" vertical="center" wrapText="1"/>
    </xf>
    <xf numFmtId="0" fontId="11" fillId="0" borderId="6" xfId="2" applyFont="1" applyFill="1" applyBorder="1" applyAlignment="1">
      <alignment horizontal="center" wrapText="1"/>
    </xf>
    <xf numFmtId="2" fontId="11" fillId="0" borderId="6" xfId="2" applyNumberFormat="1" applyFont="1" applyFill="1" applyBorder="1" applyAlignment="1">
      <alignment horizontal="center" wrapText="1"/>
    </xf>
    <xf numFmtId="166" fontId="0" fillId="0" borderId="0" xfId="0" applyNumberFormat="1" applyAlignment="1">
      <alignment horizontal="center"/>
    </xf>
    <xf numFmtId="0" fontId="0" fillId="0" borderId="1" xfId="0" applyBorder="1" applyAlignment="1"/>
    <xf numFmtId="0" fontId="0" fillId="0" borderId="21" xfId="0" applyBorder="1" applyAlignment="1">
      <alignment horizontal="center"/>
    </xf>
    <xf numFmtId="0" fontId="11" fillId="4" borderId="6" xfId="2" applyFont="1" applyFill="1" applyBorder="1" applyAlignment="1">
      <alignment horizontal="center" vertical="center" wrapText="1"/>
    </xf>
    <xf numFmtId="0" fontId="11" fillId="4" borderId="22" xfId="2" applyFont="1" applyFill="1" applyBorder="1" applyAlignment="1">
      <alignment horizontal="center" vertical="center" wrapText="1"/>
    </xf>
    <xf numFmtId="9" fontId="2" fillId="0" borderId="6" xfId="1" applyBorder="1" applyAlignment="1">
      <alignment horizontal="center"/>
    </xf>
    <xf numFmtId="0" fontId="13" fillId="0" borderId="0" xfId="0" applyFont="1"/>
    <xf numFmtId="9" fontId="2" fillId="0" borderId="0" xfId="1" applyBorder="1" applyAlignment="1">
      <alignment horizontal="center"/>
    </xf>
    <xf numFmtId="166" fontId="3" fillId="0" borderId="6" xfId="0" applyNumberFormat="1" applyFont="1" applyFill="1" applyBorder="1" applyAlignment="1">
      <alignment horizontal="center"/>
    </xf>
    <xf numFmtId="1" fontId="0" fillId="0" borderId="6" xfId="0" applyNumberFormat="1" applyBorder="1" applyAlignment="1">
      <alignment horizontal="center"/>
    </xf>
    <xf numFmtId="0" fontId="0" fillId="0" borderId="13" xfId="0" applyBorder="1" applyAlignment="1">
      <alignment horizontal="left" vertical="center"/>
    </xf>
    <xf numFmtId="0" fontId="0" fillId="3" borderId="6" xfId="0" applyFill="1" applyBorder="1" applyAlignment="1">
      <alignment horizontal="center"/>
    </xf>
    <xf numFmtId="0" fontId="1" fillId="2" borderId="6" xfId="0" applyFont="1" applyFill="1" applyBorder="1" applyAlignment="1">
      <alignment horizontal="center" vertical="center" wrapText="1"/>
    </xf>
    <xf numFmtId="0" fontId="16" fillId="0" borderId="6"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 fillId="2" borderId="6" xfId="0" applyFont="1" applyFill="1" applyBorder="1" applyAlignment="1">
      <alignment horizontal="center" vertical="center" wrapText="1"/>
    </xf>
    <xf numFmtId="4" fontId="16" fillId="0" borderId="6" xfId="0" applyNumberFormat="1" applyFont="1" applyBorder="1" applyAlignment="1">
      <alignment horizontal="center" vertical="center" wrapText="1"/>
    </xf>
    <xf numFmtId="0" fontId="0" fillId="0" borderId="0" xfId="0" applyAlignment="1">
      <alignment wrapText="1"/>
    </xf>
    <xf numFmtId="0" fontId="3" fillId="9" borderId="13"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6" xfId="0" applyFont="1" applyFill="1" applyBorder="1" applyAlignment="1">
      <alignment horizontal="center" vertical="center" wrapText="1"/>
    </xf>
    <xf numFmtId="0" fontId="0" fillId="0" borderId="6" xfId="0" applyBorder="1" applyAlignment="1">
      <alignment horizontal="center" vertical="center" wrapText="1"/>
    </xf>
    <xf numFmtId="0" fontId="3" fillId="0" borderId="6" xfId="0" applyFont="1" applyFill="1" applyBorder="1" applyAlignment="1">
      <alignment horizontal="center" vertical="center" wrapText="1"/>
    </xf>
    <xf numFmtId="0" fontId="3" fillId="0" borderId="13" xfId="0" applyFont="1" applyFill="1" applyBorder="1" applyAlignment="1">
      <alignment horizontal="center" vertical="center" wrapText="1"/>
    </xf>
    <xf numFmtId="166" fontId="0" fillId="0" borderId="0" xfId="0" applyNumberFormat="1"/>
    <xf numFmtId="2" fontId="0" fillId="0" borderId="0" xfId="0" applyNumberFormat="1"/>
    <xf numFmtId="166" fontId="11" fillId="0" borderId="6" xfId="2" applyNumberFormat="1" applyFont="1" applyFill="1" applyBorder="1" applyAlignment="1">
      <alignment horizontal="center" wrapText="1"/>
    </xf>
    <xf numFmtId="0" fontId="0" fillId="0" borderId="13" xfId="0" applyBorder="1" applyAlignment="1">
      <alignment horizontal="left" vertical="center" wrapText="1"/>
    </xf>
    <xf numFmtId="4" fontId="0" fillId="0" borderId="6" xfId="0" applyNumberFormat="1" applyBorder="1" applyAlignment="1">
      <alignment horizontal="center"/>
    </xf>
    <xf numFmtId="4" fontId="3" fillId="0" borderId="6" xfId="0" applyNumberFormat="1" applyFont="1" applyBorder="1" applyAlignment="1">
      <alignment horizontal="center"/>
    </xf>
    <xf numFmtId="166" fontId="16" fillId="0" borderId="6" xfId="0" applyNumberFormat="1" applyFont="1" applyBorder="1" applyAlignment="1">
      <alignment horizontal="center" vertical="center" wrapText="1"/>
    </xf>
    <xf numFmtId="166" fontId="16" fillId="0" borderId="15" xfId="0" applyNumberFormat="1" applyFont="1" applyBorder="1" applyAlignment="1">
      <alignment horizontal="center" vertical="center" wrapText="1"/>
    </xf>
    <xf numFmtId="0" fontId="3" fillId="9" borderId="6" xfId="0" applyFont="1" applyFill="1" applyBorder="1" applyAlignment="1">
      <alignment horizontal="center" vertical="center" wrapText="1"/>
    </xf>
    <xf numFmtId="0" fontId="3" fillId="0" borderId="6" xfId="0" applyFont="1" applyFill="1" applyBorder="1" applyAlignment="1">
      <alignment horizontal="center" vertical="center" wrapText="1"/>
    </xf>
    <xf numFmtId="2" fontId="16" fillId="0" borderId="6" xfId="0" applyNumberFormat="1" applyFont="1" applyBorder="1" applyAlignment="1">
      <alignment horizontal="center" vertical="center" wrapText="1"/>
    </xf>
    <xf numFmtId="166" fontId="0" fillId="0" borderId="6" xfId="0" applyNumberFormat="1" applyBorder="1" applyAlignment="1">
      <alignment horizontal="center" vertical="center" wrapText="1"/>
    </xf>
    <xf numFmtId="0" fontId="1" fillId="2" borderId="2" xfId="0" applyFont="1" applyFill="1" applyBorder="1" applyAlignment="1">
      <alignment horizontal="center" vertical="center" wrapText="1"/>
    </xf>
    <xf numFmtId="0" fontId="1" fillId="2" borderId="33" xfId="0" applyFont="1" applyFill="1" applyBorder="1" applyAlignment="1">
      <alignment vertical="center" wrapText="1"/>
    </xf>
    <xf numFmtId="0" fontId="16" fillId="0" borderId="16" xfId="0" applyFont="1" applyBorder="1" applyAlignment="1">
      <alignment vertical="center" wrapText="1"/>
    </xf>
    <xf numFmtId="3" fontId="16" fillId="0" borderId="34" xfId="0" applyNumberFormat="1" applyFont="1" applyBorder="1" applyAlignment="1">
      <alignment horizontal="center" vertical="center" wrapText="1"/>
    </xf>
    <xf numFmtId="0" fontId="20" fillId="0" borderId="0" xfId="0" applyFont="1" applyAlignment="1">
      <alignment vertical="center"/>
    </xf>
    <xf numFmtId="0" fontId="1" fillId="0" borderId="16" xfId="0" applyFont="1" applyBorder="1" applyAlignment="1">
      <alignment vertical="center" wrapText="1"/>
    </xf>
    <xf numFmtId="3" fontId="1" fillId="0" borderId="34" xfId="0" applyNumberFormat="1" applyFont="1" applyBorder="1" applyAlignment="1">
      <alignment horizontal="center" vertical="center" wrapText="1"/>
    </xf>
    <xf numFmtId="3" fontId="0" fillId="0" borderId="6" xfId="0" applyNumberFormat="1" applyBorder="1" applyAlignment="1">
      <alignment horizontal="center"/>
    </xf>
    <xf numFmtId="0" fontId="4" fillId="9" borderId="6" xfId="0" applyFont="1" applyFill="1" applyBorder="1" applyAlignment="1">
      <alignment vertical="center" wrapText="1"/>
    </xf>
    <xf numFmtId="0" fontId="4" fillId="7" borderId="6" xfId="0" applyFont="1" applyFill="1" applyBorder="1" applyAlignment="1">
      <alignment vertical="center" wrapText="1"/>
    </xf>
    <xf numFmtId="0" fontId="5" fillId="10" borderId="6" xfId="0" applyFont="1" applyFill="1" applyBorder="1" applyAlignment="1">
      <alignment vertical="center" wrapText="1"/>
    </xf>
    <xf numFmtId="0" fontId="6" fillId="10" borderId="6" xfId="0" applyFont="1" applyFill="1" applyBorder="1" applyAlignment="1">
      <alignment vertical="center" wrapText="1"/>
    </xf>
    <xf numFmtId="0" fontId="21" fillId="10" borderId="6" xfId="0" applyFont="1" applyFill="1" applyBorder="1" applyAlignment="1">
      <alignment vertical="center" wrapText="1"/>
    </xf>
    <xf numFmtId="0" fontId="7" fillId="10" borderId="6" xfId="0" applyFont="1" applyFill="1" applyBorder="1" applyAlignment="1">
      <alignment vertical="center" wrapText="1"/>
    </xf>
    <xf numFmtId="4" fontId="5" fillId="10" borderId="6" xfId="0" applyNumberFormat="1" applyFont="1" applyFill="1" applyBorder="1" applyAlignment="1">
      <alignment vertical="center" wrapText="1"/>
    </xf>
    <xf numFmtId="0" fontId="3" fillId="8"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9" borderId="21"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4" fillId="0" borderId="0" xfId="0" applyFont="1" applyFill="1" applyBorder="1" applyAlignment="1">
      <alignment vertical="center" wrapText="1"/>
    </xf>
    <xf numFmtId="0" fontId="0" fillId="0" borderId="0" xfId="0" applyFill="1"/>
    <xf numFmtId="0" fontId="4" fillId="9" borderId="6" xfId="0" applyFont="1" applyFill="1" applyBorder="1" applyAlignment="1">
      <alignment horizontal="center" vertical="center" wrapText="1"/>
    </xf>
    <xf numFmtId="0" fontId="0" fillId="0" borderId="0" xfId="0" applyFill="1" applyAlignment="1">
      <alignment horizontal="center"/>
    </xf>
    <xf numFmtId="0" fontId="5" fillId="0" borderId="0" xfId="0" applyFont="1" applyFill="1" applyBorder="1" applyAlignment="1">
      <alignment horizontal="center" vertical="center" wrapText="1"/>
    </xf>
    <xf numFmtId="0" fontId="5" fillId="10" borderId="6" xfId="0" applyFont="1" applyFill="1" applyBorder="1" applyAlignment="1">
      <alignment horizontal="center" vertical="center" wrapText="1"/>
    </xf>
    <xf numFmtId="4" fontId="3" fillId="3" borderId="6" xfId="0" applyNumberFormat="1" applyFont="1" applyFill="1" applyBorder="1" applyAlignment="1">
      <alignment horizontal="center"/>
    </xf>
    <xf numFmtId="166" fontId="0" fillId="3" borderId="6" xfId="0" applyNumberFormat="1" applyFill="1" applyBorder="1" applyAlignment="1">
      <alignment horizontal="center"/>
    </xf>
    <xf numFmtId="166" fontId="3" fillId="3" borderId="6" xfId="0" applyNumberFormat="1" applyFont="1" applyFill="1" applyBorder="1" applyAlignment="1">
      <alignment horizontal="center"/>
    </xf>
    <xf numFmtId="167" fontId="5" fillId="10" borderId="6" xfId="0" applyNumberFormat="1" applyFont="1" applyFill="1" applyBorder="1" applyAlignment="1">
      <alignment vertical="center" wrapText="1"/>
    </xf>
    <xf numFmtId="3" fontId="3" fillId="0" borderId="6" xfId="0" applyNumberFormat="1" applyFont="1" applyBorder="1" applyAlignment="1">
      <alignment horizontal="center"/>
    </xf>
    <xf numFmtId="167" fontId="0" fillId="0" borderId="6" xfId="0" applyNumberFormat="1" applyFill="1" applyBorder="1" applyAlignment="1">
      <alignment horizontal="center"/>
    </xf>
    <xf numFmtId="0" fontId="0" fillId="0" borderId="0" xfId="0" applyFill="1" applyBorder="1" applyAlignment="1">
      <alignment horizontal="center"/>
    </xf>
    <xf numFmtId="0" fontId="5" fillId="8" borderId="6" xfId="0" applyFont="1" applyFill="1" applyBorder="1" applyAlignment="1">
      <alignment vertical="center" wrapText="1"/>
    </xf>
    <xf numFmtId="0" fontId="6" fillId="8" borderId="6" xfId="0" applyFont="1" applyFill="1" applyBorder="1" applyAlignment="1">
      <alignment vertical="center" wrapText="1"/>
    </xf>
    <xf numFmtId="0" fontId="21" fillId="8" borderId="6" xfId="0" applyFont="1" applyFill="1" applyBorder="1" applyAlignment="1">
      <alignment vertical="center" wrapText="1"/>
    </xf>
    <xf numFmtId="0" fontId="7" fillId="8" borderId="6" xfId="0" applyFont="1" applyFill="1" applyBorder="1" applyAlignment="1">
      <alignment vertical="center" wrapText="1"/>
    </xf>
    <xf numFmtId="0" fontId="5" fillId="8" borderId="6" xfId="0" applyFont="1" applyFill="1" applyBorder="1" applyAlignment="1">
      <alignment horizontal="center" vertical="center" wrapText="1"/>
    </xf>
    <xf numFmtId="4" fontId="5" fillId="8" borderId="6" xfId="0" applyNumberFormat="1" applyFont="1" applyFill="1" applyBorder="1" applyAlignment="1">
      <alignment vertical="center" wrapText="1"/>
    </xf>
    <xf numFmtId="166" fontId="5" fillId="8" borderId="6" xfId="0" applyNumberFormat="1" applyFont="1" applyFill="1" applyBorder="1" applyAlignment="1">
      <alignment vertical="center" wrapText="1"/>
    </xf>
    <xf numFmtId="0" fontId="8" fillId="8" borderId="6" xfId="0" applyFont="1" applyFill="1" applyBorder="1" applyAlignment="1">
      <alignment vertical="center" wrapText="1"/>
    </xf>
    <xf numFmtId="0" fontId="3" fillId="9" borderId="6" xfId="0" applyFont="1" applyFill="1" applyBorder="1" applyAlignment="1">
      <alignment horizontal="center" vertical="center" wrapText="1"/>
    </xf>
    <xf numFmtId="0" fontId="23" fillId="0" borderId="6" xfId="0" applyFont="1" applyBorder="1" applyAlignment="1">
      <alignment horizontal="center" vertical="center"/>
    </xf>
    <xf numFmtId="168" fontId="0" fillId="0" borderId="0" xfId="0" applyNumberFormat="1" applyBorder="1" applyAlignment="1">
      <alignment horizontal="center"/>
    </xf>
    <xf numFmtId="0" fontId="22" fillId="0" borderId="6" xfId="0" applyFont="1" applyBorder="1" applyAlignment="1">
      <alignment horizontal="center"/>
    </xf>
    <xf numFmtId="0" fontId="3" fillId="8"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0" xfId="0" applyFont="1" applyFill="1" applyBorder="1" applyAlignment="1">
      <alignment horizontal="center" vertical="center" wrapText="1"/>
    </xf>
    <xf numFmtId="0" fontId="0" fillId="0" borderId="0" xfId="0" applyBorder="1" applyAlignment="1">
      <alignment horizontal="center" vertical="center" wrapText="1"/>
    </xf>
    <xf numFmtId="4" fontId="0" fillId="0" borderId="6" xfId="0" applyNumberFormat="1" applyFill="1" applyBorder="1" applyAlignment="1">
      <alignment horizontal="center" vertical="center"/>
    </xf>
    <xf numFmtId="0" fontId="3" fillId="9" borderId="6" xfId="0" applyFont="1" applyFill="1" applyBorder="1" applyAlignment="1">
      <alignment horizontal="center" vertical="center" wrapText="1"/>
    </xf>
    <xf numFmtId="166" fontId="0" fillId="0" borderId="6" xfId="0" applyNumberFormat="1" applyBorder="1" applyAlignment="1">
      <alignment horizontal="center" vertical="center"/>
    </xf>
    <xf numFmtId="169" fontId="24" fillId="0" borderId="6" xfId="1" applyNumberFormat="1" applyFont="1" applyBorder="1"/>
    <xf numFmtId="170" fontId="0" fillId="0" borderId="6" xfId="0" applyNumberFormat="1" applyBorder="1"/>
    <xf numFmtId="9" fontId="0" fillId="0" borderId="6" xfId="1" applyFont="1" applyBorder="1"/>
    <xf numFmtId="166" fontId="0" fillId="0" borderId="6" xfId="0" applyNumberFormat="1" applyBorder="1"/>
    <xf numFmtId="0" fontId="3" fillId="8"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0" fillId="0" borderId="29" xfId="0" applyBorder="1"/>
    <xf numFmtId="0" fontId="25" fillId="0" borderId="27" xfId="0" applyFont="1" applyBorder="1" applyAlignment="1">
      <alignment horizontal="center" vertical="top" wrapText="1"/>
    </xf>
    <xf numFmtId="0" fontId="0" fillId="0" borderId="21" xfId="0" applyBorder="1"/>
    <xf numFmtId="1" fontId="25" fillId="0" borderId="39" xfId="0" applyNumberFormat="1" applyFont="1" applyBorder="1" applyAlignment="1">
      <alignment horizontal="center" vertical="center"/>
    </xf>
    <xf numFmtId="0" fontId="25" fillId="0" borderId="27" xfId="0" applyFont="1" applyBorder="1" applyAlignment="1">
      <alignment vertical="top" wrapText="1"/>
    </xf>
    <xf numFmtId="0" fontId="25" fillId="0" borderId="43" xfId="0" applyFont="1" applyBorder="1" applyAlignment="1">
      <alignment vertical="top" wrapText="1"/>
    </xf>
    <xf numFmtId="0" fontId="3" fillId="0" borderId="25" xfId="0" applyFont="1" applyBorder="1"/>
    <xf numFmtId="0" fontId="3" fillId="0" borderId="26" xfId="0" applyFont="1" applyBorder="1"/>
    <xf numFmtId="0" fontId="3" fillId="0" borderId="48" xfId="0" applyFont="1" applyBorder="1"/>
    <xf numFmtId="0" fontId="0" fillId="0" borderId="50" xfId="0" applyBorder="1"/>
    <xf numFmtId="0" fontId="3" fillId="9" borderId="6" xfId="0" applyFont="1" applyFill="1" applyBorder="1" applyAlignment="1">
      <alignment horizontal="center" vertical="center" wrapText="1"/>
    </xf>
    <xf numFmtId="2" fontId="25" fillId="0" borderId="13" xfId="0" applyNumberFormat="1" applyFont="1" applyBorder="1" applyAlignment="1">
      <alignment horizontal="center" vertical="center" wrapText="1"/>
    </xf>
    <xf numFmtId="2" fontId="25" fillId="0" borderId="14" xfId="0" applyNumberFormat="1" applyFont="1" applyBorder="1" applyAlignment="1">
      <alignment horizontal="center" vertical="center" wrapText="1"/>
    </xf>
    <xf numFmtId="2" fontId="0" fillId="0" borderId="6" xfId="0" applyNumberFormat="1" applyBorder="1" applyAlignment="1">
      <alignment horizontal="center" vertical="center"/>
    </xf>
    <xf numFmtId="2" fontId="0" fillId="0" borderId="6" xfId="0" applyNumberFormat="1" applyBorder="1" applyAlignment="1">
      <alignment horizontal="center"/>
    </xf>
    <xf numFmtId="0" fontId="3" fillId="9"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2" fontId="0" fillId="0" borderId="6" xfId="0" applyNumberFormat="1" applyFill="1" applyBorder="1" applyAlignment="1">
      <alignment horizontal="center"/>
    </xf>
    <xf numFmtId="169" fontId="25" fillId="0" borderId="39" xfId="0" applyNumberFormat="1" applyFont="1" applyBorder="1" applyAlignment="1">
      <alignment horizontal="center" vertical="center"/>
    </xf>
    <xf numFmtId="0" fontId="0" fillId="0" borderId="6" xfId="0" applyBorder="1" applyAlignment="1">
      <alignment horizontal="center" wrapText="1"/>
    </xf>
    <xf numFmtId="0" fontId="3" fillId="0" borderId="48" xfId="0" applyFont="1" applyBorder="1" applyAlignment="1">
      <alignment horizontal="center" vertical="center"/>
    </xf>
    <xf numFmtId="0" fontId="25" fillId="0" borderId="27" xfId="0" applyFont="1" applyBorder="1" applyAlignment="1">
      <alignment horizontal="center" vertical="center" wrapText="1"/>
    </xf>
    <xf numFmtId="2" fontId="25" fillId="0" borderId="27" xfId="0" applyNumberFormat="1" applyFont="1" applyBorder="1" applyAlignment="1">
      <alignment horizontal="center" vertical="center" wrapText="1"/>
    </xf>
    <xf numFmtId="0" fontId="25" fillId="0" borderId="43" xfId="0" applyFont="1" applyBorder="1" applyAlignment="1">
      <alignment horizontal="center" vertical="center" wrapText="1"/>
    </xf>
    <xf numFmtId="2" fontId="25" fillId="0" borderId="43" xfId="0" applyNumberFormat="1" applyFont="1" applyBorder="1" applyAlignment="1">
      <alignment horizontal="center" vertical="center" wrapText="1"/>
    </xf>
    <xf numFmtId="2" fontId="0" fillId="0" borderId="6" xfId="0" applyNumberFormat="1" applyBorder="1" applyAlignment="1">
      <alignment horizontal="center" vertical="center" wrapText="1"/>
    </xf>
    <xf numFmtId="0" fontId="3" fillId="0" borderId="6" xfId="0" applyFont="1" applyFill="1" applyBorder="1" applyAlignment="1">
      <alignment horizontal="center"/>
    </xf>
    <xf numFmtId="4" fontId="0" fillId="0" borderId="6" xfId="0" applyNumberFormat="1" applyFill="1" applyBorder="1" applyAlignment="1">
      <alignment horizontal="center"/>
    </xf>
    <xf numFmtId="4" fontId="3" fillId="0" borderId="6" xfId="0" applyNumberFormat="1" applyFont="1" applyFill="1" applyBorder="1" applyAlignment="1">
      <alignment horizontal="center"/>
    </xf>
    <xf numFmtId="3" fontId="0" fillId="0" borderId="6" xfId="0" applyNumberFormat="1" applyFill="1" applyBorder="1" applyAlignment="1">
      <alignment horizontal="center"/>
    </xf>
    <xf numFmtId="166" fontId="0" fillId="0" borderId="6" xfId="0" applyNumberFormat="1" applyFill="1" applyBorder="1" applyAlignment="1">
      <alignment horizontal="center"/>
    </xf>
    <xf numFmtId="0" fontId="13" fillId="0" borderId="6" xfId="0" applyFont="1" applyBorder="1"/>
    <xf numFmtId="0" fontId="24" fillId="0" borderId="6" xfId="0" applyFont="1" applyBorder="1"/>
    <xf numFmtId="1" fontId="26" fillId="0" borderId="6" xfId="0" applyNumberFormat="1" applyFont="1" applyBorder="1"/>
    <xf numFmtId="3" fontId="0" fillId="0" borderId="6" xfId="0" applyNumberFormat="1" applyFill="1" applyBorder="1"/>
    <xf numFmtId="167" fontId="0" fillId="0" borderId="6" xfId="0" applyNumberFormat="1" applyFill="1" applyBorder="1"/>
    <xf numFmtId="3" fontId="0" fillId="8" borderId="6" xfId="0" applyNumberFormat="1" applyFill="1" applyBorder="1"/>
    <xf numFmtId="3" fontId="0" fillId="0" borderId="6" xfId="0" applyNumberFormat="1" applyBorder="1"/>
    <xf numFmtId="4" fontId="24" fillId="0" borderId="6" xfId="0" applyNumberFormat="1" applyFont="1" applyBorder="1"/>
    <xf numFmtId="0" fontId="0" fillId="0" borderId="6" xfId="0" applyBorder="1" applyAlignment="1">
      <alignment horizontal="center" vertical="center" wrapText="1"/>
    </xf>
    <xf numFmtId="169" fontId="0" fillId="0" borderId="6" xfId="0" applyNumberFormat="1" applyBorder="1" applyAlignment="1">
      <alignment horizontal="center" vertical="center"/>
    </xf>
    <xf numFmtId="0" fontId="3" fillId="10" borderId="6" xfId="0" applyFont="1" applyFill="1" applyBorder="1" applyAlignment="1">
      <alignment horizontal="center" vertical="center" wrapText="1"/>
    </xf>
    <xf numFmtId="166" fontId="25" fillId="0" borderId="39" xfId="0" applyNumberFormat="1" applyFont="1" applyBorder="1" applyAlignment="1">
      <alignment horizontal="center" vertical="center"/>
    </xf>
    <xf numFmtId="3" fontId="0" fillId="0" borderId="6" xfId="0" applyNumberFormat="1" applyBorder="1" applyAlignment="1">
      <alignment horizontal="center" vertical="center"/>
    </xf>
    <xf numFmtId="0" fontId="0" fillId="0" borderId="6" xfId="0" applyBorder="1" applyAlignment="1">
      <alignment wrapText="1"/>
    </xf>
    <xf numFmtId="4" fontId="0" fillId="0" borderId="6" xfId="0" applyNumberFormat="1" applyBorder="1" applyAlignment="1">
      <alignment horizontal="center" vertical="center"/>
    </xf>
    <xf numFmtId="0" fontId="3" fillId="0" borderId="6" xfId="0" applyFont="1" applyBorder="1"/>
    <xf numFmtId="3" fontId="0" fillId="0" borderId="6" xfId="0" applyNumberFormat="1" applyBorder="1" applyAlignment="1">
      <alignment vertical="center" wrapText="1"/>
    </xf>
    <xf numFmtId="4" fontId="0" fillId="0" borderId="6" xfId="0" applyNumberFormat="1" applyBorder="1" applyAlignment="1">
      <alignment horizontal="center" vertical="center" wrapText="1"/>
    </xf>
    <xf numFmtId="4" fontId="0" fillId="0" borderId="6" xfId="0" applyNumberFormat="1" applyBorder="1" applyAlignment="1">
      <alignment horizontal="center" vertical="center" wrapText="1"/>
    </xf>
    <xf numFmtId="3" fontId="24" fillId="0" borderId="6" xfId="0" applyNumberFormat="1" applyFont="1" applyBorder="1"/>
    <xf numFmtId="0" fontId="27" fillId="2" borderId="6" xfId="0" applyFont="1" applyFill="1" applyBorder="1" applyAlignment="1">
      <alignment horizontal="center" vertical="center" wrapText="1"/>
    </xf>
    <xf numFmtId="166" fontId="28" fillId="0" borderId="39" xfId="0" applyNumberFormat="1" applyFont="1" applyBorder="1" applyAlignment="1">
      <alignment horizontal="center" vertical="center"/>
    </xf>
    <xf numFmtId="4" fontId="0" fillId="0" borderId="0" xfId="0" applyNumberFormat="1" applyBorder="1" applyAlignment="1">
      <alignment horizontal="center" vertical="center"/>
    </xf>
    <xf numFmtId="1" fontId="25" fillId="0" borderId="39" xfId="0" applyNumberFormat="1" applyFont="1" applyBorder="1" applyAlignment="1">
      <alignment horizontal="center" vertical="center"/>
    </xf>
    <xf numFmtId="0" fontId="25" fillId="0" borderId="27" xfId="0" applyFont="1" applyBorder="1" applyAlignment="1">
      <alignment horizontal="center" vertical="center" wrapText="1"/>
    </xf>
    <xf numFmtId="0" fontId="3" fillId="9" borderId="6"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xf numFmtId="4" fontId="3" fillId="0" borderId="0" xfId="0" applyNumberFormat="1" applyFont="1" applyBorder="1" applyAlignment="1">
      <alignment horizontal="center" vertical="center"/>
    </xf>
    <xf numFmtId="3" fontId="0" fillId="3" borderId="6" xfId="0" applyNumberFormat="1" applyFill="1" applyBorder="1" applyAlignment="1">
      <alignment horizontal="center" vertical="center"/>
    </xf>
    <xf numFmtId="169" fontId="0" fillId="3" borderId="6" xfId="0" applyNumberFormat="1" applyFill="1" applyBorder="1" applyAlignment="1">
      <alignment horizontal="center" vertical="center"/>
    </xf>
    <xf numFmtId="2" fontId="0" fillId="3" borderId="6" xfId="0" applyNumberFormat="1" applyFill="1" applyBorder="1" applyAlignment="1">
      <alignment horizontal="center" vertical="center"/>
    </xf>
    <xf numFmtId="4" fontId="0" fillId="3" borderId="6" xfId="0" applyNumberFormat="1" applyFill="1" applyBorder="1" applyAlignment="1">
      <alignment horizontal="center" vertical="center"/>
    </xf>
    <xf numFmtId="0" fontId="0" fillId="3" borderId="6" xfId="0" applyFill="1" applyBorder="1" applyAlignment="1">
      <alignment horizontal="center" vertical="center" wrapText="1"/>
    </xf>
    <xf numFmtId="0" fontId="0" fillId="3" borderId="6" xfId="0" applyFill="1" applyBorder="1" applyAlignment="1">
      <alignment wrapText="1"/>
    </xf>
    <xf numFmtId="3" fontId="0" fillId="3" borderId="6" xfId="0" applyNumberFormat="1" applyFill="1" applyBorder="1" applyAlignment="1">
      <alignment vertical="center" wrapText="1"/>
    </xf>
    <xf numFmtId="4" fontId="0" fillId="3" borderId="6" xfId="0" applyNumberFormat="1" applyFill="1" applyBorder="1" applyAlignment="1">
      <alignment horizontal="center" vertical="center" wrapText="1"/>
    </xf>
    <xf numFmtId="0" fontId="25" fillId="0" borderId="27" xfId="0" applyFont="1" applyFill="1" applyBorder="1" applyAlignment="1">
      <alignment vertical="top" wrapText="1"/>
    </xf>
    <xf numFmtId="0" fontId="0" fillId="0" borderId="6" xfId="0" applyFill="1" applyBorder="1" applyAlignment="1">
      <alignment horizontal="center" vertical="center" wrapText="1"/>
    </xf>
    <xf numFmtId="0" fontId="0" fillId="0" borderId="6" xfId="0" applyFill="1" applyBorder="1" applyAlignment="1">
      <alignment wrapText="1"/>
    </xf>
    <xf numFmtId="4" fontId="0" fillId="0" borderId="6" xfId="0" applyNumberForma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3" fillId="6" borderId="8" xfId="0" applyFont="1" applyFill="1" applyBorder="1" applyAlignment="1">
      <alignment horizontal="center"/>
    </xf>
    <xf numFmtId="0" fontId="3" fillId="6" borderId="9" xfId="0" applyFont="1" applyFill="1" applyBorder="1" applyAlignment="1">
      <alignment horizontal="center"/>
    </xf>
    <xf numFmtId="0" fontId="3" fillId="6" borderId="10" xfId="0" applyFont="1" applyFill="1" applyBorder="1" applyAlignment="1">
      <alignment horizontal="center"/>
    </xf>
    <xf numFmtId="0" fontId="5" fillId="0" borderId="0" xfId="0" applyFont="1" applyFill="1" applyBorder="1" applyAlignment="1">
      <alignment horizontal="left" vertical="center" wrapText="1"/>
    </xf>
    <xf numFmtId="0" fontId="1" fillId="2" borderId="26"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60"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59"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1" fillId="2" borderId="48" xfId="0" applyFont="1" applyFill="1" applyBorder="1" applyAlignment="1">
      <alignment horizontal="center" vertical="center" wrapText="1"/>
    </xf>
    <xf numFmtId="0" fontId="1" fillId="2" borderId="58" xfId="0" applyFont="1" applyFill="1" applyBorder="1" applyAlignment="1">
      <alignment horizontal="center" vertical="center" wrapText="1"/>
    </xf>
    <xf numFmtId="166" fontId="25" fillId="0" borderId="39" xfId="0" applyNumberFormat="1" applyFont="1" applyBorder="1" applyAlignment="1">
      <alignment horizontal="center" vertical="center"/>
    </xf>
    <xf numFmtId="166" fontId="25" fillId="0" borderId="40" xfId="0" applyNumberFormat="1" applyFont="1" applyBorder="1" applyAlignment="1">
      <alignment horizontal="center" vertical="center"/>
    </xf>
    <xf numFmtId="0" fontId="25" fillId="0" borderId="44"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45" xfId="0" applyFont="1" applyBorder="1" applyAlignment="1">
      <alignment horizontal="center" vertical="center" wrapText="1"/>
    </xf>
    <xf numFmtId="1" fontId="25" fillId="0" borderId="39" xfId="0" applyNumberFormat="1" applyFont="1" applyBorder="1" applyAlignment="1">
      <alignment horizontal="center" vertical="center"/>
    </xf>
    <xf numFmtId="1" fontId="25" fillId="0" borderId="40" xfId="0" applyNumberFormat="1" applyFont="1" applyBorder="1" applyAlignment="1">
      <alignment horizontal="center" vertical="center"/>
    </xf>
    <xf numFmtId="1" fontId="25" fillId="0" borderId="41" xfId="0" applyNumberFormat="1" applyFont="1" applyBorder="1" applyAlignment="1">
      <alignment horizontal="center" vertical="center"/>
    </xf>
    <xf numFmtId="169" fontId="25" fillId="0" borderId="39" xfId="0" applyNumberFormat="1" applyFont="1" applyBorder="1" applyAlignment="1">
      <alignment horizontal="center" vertical="center"/>
    </xf>
    <xf numFmtId="169" fontId="25" fillId="0" borderId="40" xfId="0" applyNumberFormat="1" applyFont="1" applyBorder="1" applyAlignment="1">
      <alignment horizontal="center" vertical="center"/>
    </xf>
    <xf numFmtId="169" fontId="25" fillId="0" borderId="41" xfId="0" applyNumberFormat="1" applyFont="1" applyBorder="1" applyAlignment="1">
      <alignment horizontal="center" vertical="center"/>
    </xf>
    <xf numFmtId="169" fontId="25" fillId="0" borderId="42" xfId="0" applyNumberFormat="1" applyFont="1" applyBorder="1" applyAlignment="1">
      <alignment horizontal="center" vertical="center"/>
    </xf>
    <xf numFmtId="1" fontId="25" fillId="0" borderId="42" xfId="0" applyNumberFormat="1" applyFont="1" applyBorder="1" applyAlignment="1">
      <alignment horizontal="center" vertical="center"/>
    </xf>
    <xf numFmtId="0" fontId="24" fillId="0" borderId="53" xfId="0" applyFont="1" applyBorder="1" applyAlignment="1">
      <alignment horizontal="center" vertical="center"/>
    </xf>
    <xf numFmtId="0" fontId="24" fillId="0" borderId="4" xfId="0" applyFont="1" applyBorder="1" applyAlignment="1">
      <alignment horizontal="center" vertical="center"/>
    </xf>
    <xf numFmtId="0" fontId="24" fillId="0" borderId="16" xfId="0" applyFont="1" applyBorder="1" applyAlignment="1">
      <alignment horizontal="center" vertical="center"/>
    </xf>
    <xf numFmtId="0" fontId="0" fillId="0" borderId="54" xfId="0" applyBorder="1" applyAlignment="1">
      <alignment horizontal="center" vertical="center" wrapText="1"/>
    </xf>
    <xf numFmtId="0" fontId="0" fillId="0" borderId="5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5" xfId="0" applyBorder="1" applyAlignment="1">
      <alignment horizontal="center" vertical="center" wrapText="1"/>
    </xf>
    <xf numFmtId="0" fontId="0" fillId="0" borderId="34" xfId="0" applyBorder="1" applyAlignment="1">
      <alignment horizontal="center" vertical="center" wrapText="1"/>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7" xfId="0" applyFont="1" applyBorder="1" applyAlignment="1">
      <alignment horizontal="center"/>
    </xf>
    <xf numFmtId="0" fontId="3" fillId="0" borderId="38" xfId="0" applyFont="1" applyBorder="1" applyAlignment="1">
      <alignment horizontal="center"/>
    </xf>
    <xf numFmtId="0" fontId="25" fillId="0" borderId="27" xfId="0" applyFont="1" applyBorder="1" applyAlignment="1">
      <alignment horizontal="center" vertical="top" wrapText="1"/>
    </xf>
    <xf numFmtId="0" fontId="25" fillId="0" borderId="43" xfId="0" applyFont="1" applyBorder="1" applyAlignment="1">
      <alignment horizontal="center" vertical="top" wrapText="1"/>
    </xf>
    <xf numFmtId="0" fontId="25" fillId="0" borderId="47" xfId="0" applyFont="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2" xfId="0" applyBorder="1" applyAlignment="1">
      <alignment horizontal="center" vertical="center"/>
    </xf>
    <xf numFmtId="0" fontId="25" fillId="0" borderId="44" xfId="0" applyFont="1" applyBorder="1" applyAlignment="1">
      <alignment horizontal="center" vertical="top" wrapText="1"/>
    </xf>
    <xf numFmtId="0" fontId="25" fillId="0" borderId="45" xfId="0" applyFont="1" applyBorder="1" applyAlignment="1">
      <alignment horizontal="center" vertical="top" wrapText="1"/>
    </xf>
    <xf numFmtId="166" fontId="25" fillId="0" borderId="42" xfId="0" applyNumberFormat="1" applyFont="1" applyBorder="1" applyAlignment="1">
      <alignment horizontal="center" vertical="center"/>
    </xf>
    <xf numFmtId="0" fontId="25" fillId="0" borderId="27" xfId="0" applyFont="1" applyBorder="1" applyAlignment="1">
      <alignment horizontal="center" vertical="center" wrapText="1"/>
    </xf>
    <xf numFmtId="0" fontId="25" fillId="0" borderId="43" xfId="0" applyFont="1" applyBorder="1" applyAlignment="1">
      <alignment horizontal="center" vertical="center" wrapText="1"/>
    </xf>
    <xf numFmtId="164" fontId="25" fillId="0" borderId="39" xfId="1" applyNumberFormat="1" applyFont="1" applyBorder="1" applyAlignment="1">
      <alignment horizontal="center" vertical="center" wrapText="1"/>
    </xf>
    <xf numFmtId="164" fontId="25" fillId="0" borderId="41" xfId="1" applyNumberFormat="1" applyFont="1" applyBorder="1" applyAlignment="1">
      <alignment horizontal="center" vertical="center" wrapText="1"/>
    </xf>
    <xf numFmtId="164" fontId="25" fillId="0" borderId="40" xfId="1" applyNumberFormat="1" applyFont="1" applyBorder="1" applyAlignment="1">
      <alignment horizontal="center" vertical="center" wrapText="1"/>
    </xf>
    <xf numFmtId="164" fontId="25" fillId="0" borderId="42" xfId="1" applyNumberFormat="1" applyFont="1" applyBorder="1" applyAlignment="1">
      <alignment horizontal="center" vertical="center" wrapText="1"/>
    </xf>
    <xf numFmtId="9" fontId="25" fillId="0" borderId="44" xfId="0" applyNumberFormat="1" applyFont="1" applyBorder="1" applyAlignment="1">
      <alignment horizontal="center" vertical="center" wrapText="1"/>
    </xf>
    <xf numFmtId="9" fontId="25" fillId="0" borderId="45" xfId="0" applyNumberFormat="1" applyFont="1" applyBorder="1" applyAlignment="1">
      <alignment horizontal="center" vertical="center" wrapText="1"/>
    </xf>
    <xf numFmtId="9" fontId="25" fillId="0" borderId="51" xfId="0" applyNumberFormat="1" applyFont="1" applyBorder="1" applyAlignment="1">
      <alignment horizontal="center" wrapText="1"/>
    </xf>
    <xf numFmtId="9" fontId="25" fillId="0" borderId="52" xfId="0" applyNumberFormat="1" applyFont="1" applyBorder="1" applyAlignment="1">
      <alignment horizontal="center" wrapText="1"/>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49" xfId="0" applyBorder="1" applyAlignment="1">
      <alignment horizontal="center" vertical="center"/>
    </xf>
    <xf numFmtId="4" fontId="0" fillId="0" borderId="20" xfId="0" applyNumberFormat="1" applyBorder="1" applyAlignment="1">
      <alignment horizontal="center" vertical="center" wrapText="1"/>
    </xf>
    <xf numFmtId="4" fontId="0" fillId="0" borderId="28" xfId="0" applyNumberFormat="1" applyBorder="1" applyAlignment="1">
      <alignment horizontal="center" vertical="center" wrapText="1"/>
    </xf>
    <xf numFmtId="4" fontId="0" fillId="0" borderId="29" xfId="0" applyNumberFormat="1" applyBorder="1" applyAlignment="1">
      <alignment horizontal="center" vertical="center" wrapText="1"/>
    </xf>
    <xf numFmtId="0" fontId="0" fillId="0" borderId="6" xfId="0" applyBorder="1" applyAlignment="1">
      <alignment horizontal="center" vertical="center" wrapText="1"/>
    </xf>
    <xf numFmtId="0" fontId="0" fillId="0" borderId="6" xfId="0" applyFill="1" applyBorder="1" applyAlignment="1">
      <alignment horizontal="center" vertical="center" wrapText="1"/>
    </xf>
    <xf numFmtId="4" fontId="0" fillId="0" borderId="20" xfId="0" applyNumberFormat="1" applyFill="1" applyBorder="1" applyAlignment="1">
      <alignment horizontal="center" vertical="center" wrapText="1"/>
    </xf>
    <xf numFmtId="4" fontId="0" fillId="0" borderId="28" xfId="0" applyNumberFormat="1" applyFill="1" applyBorder="1" applyAlignment="1">
      <alignment horizontal="center" vertical="center" wrapText="1"/>
    </xf>
    <xf numFmtId="4" fontId="0" fillId="0" borderId="29" xfId="0" applyNumberFormat="1" applyFill="1" applyBorder="1" applyAlignment="1">
      <alignment horizontal="center" vertical="center" wrapText="1"/>
    </xf>
    <xf numFmtId="4" fontId="0" fillId="0" borderId="6" xfId="0" applyNumberFormat="1" applyBorder="1" applyAlignment="1">
      <alignment horizontal="center" vertical="center" wrapText="1"/>
    </xf>
    <xf numFmtId="0" fontId="0" fillId="3" borderId="6" xfId="0" applyFill="1" applyBorder="1" applyAlignment="1">
      <alignment horizontal="center" vertical="center" wrapText="1"/>
    </xf>
    <xf numFmtId="164" fontId="0" fillId="0" borderId="20" xfId="1" applyNumberFormat="1" applyFont="1" applyBorder="1" applyAlignment="1">
      <alignment horizontal="center" vertical="center"/>
    </xf>
    <xf numFmtId="164" fontId="0" fillId="0" borderId="29" xfId="1" applyNumberFormat="1" applyFont="1" applyBorder="1" applyAlignment="1">
      <alignment horizontal="center" vertical="center"/>
    </xf>
    <xf numFmtId="0" fontId="3" fillId="0" borderId="20"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4" fontId="0" fillId="3" borderId="20" xfId="0" applyNumberFormat="1" applyFill="1" applyBorder="1" applyAlignment="1">
      <alignment horizontal="center" vertical="center" wrapText="1"/>
    </xf>
    <xf numFmtId="4" fontId="0" fillId="3" borderId="28" xfId="0" applyNumberFormat="1" applyFill="1" applyBorder="1" applyAlignment="1">
      <alignment horizontal="center" vertical="center" wrapText="1"/>
    </xf>
    <xf numFmtId="4" fontId="0" fillId="3" borderId="29" xfId="0" applyNumberFormat="1" applyFill="1" applyBorder="1" applyAlignment="1">
      <alignment horizontal="center" vertical="center" wrapText="1"/>
    </xf>
    <xf numFmtId="4" fontId="3" fillId="0" borderId="21" xfId="0" applyNumberFormat="1" applyFont="1" applyBorder="1" applyAlignment="1">
      <alignment horizontal="center" vertical="center"/>
    </xf>
    <xf numFmtId="4" fontId="3" fillId="0" borderId="56" xfId="0" applyNumberFormat="1" applyFont="1" applyBorder="1" applyAlignment="1">
      <alignment horizontal="center" vertical="center"/>
    </xf>
    <xf numFmtId="0" fontId="3" fillId="8" borderId="6" xfId="0" applyFont="1" applyFill="1" applyBorder="1" applyAlignment="1">
      <alignment horizontal="center" vertical="center" wrapText="1"/>
    </xf>
    <xf numFmtId="0" fontId="0" fillId="0" borderId="6" xfId="0" applyBorder="1" applyAlignment="1">
      <alignment horizontal="left" vertical="center" wrapText="1"/>
    </xf>
    <xf numFmtId="0" fontId="0" fillId="0" borderId="20"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0" xfId="0" applyFont="1" applyBorder="1" applyAlignment="1">
      <alignment horizontal="center" vertical="center"/>
    </xf>
    <xf numFmtId="0" fontId="22" fillId="0" borderId="12" xfId="0" applyFont="1" applyBorder="1" applyAlignment="1">
      <alignment horizontal="center" vertical="center"/>
    </xf>
    <xf numFmtId="0" fontId="22" fillId="0" borderId="35" xfId="0" applyFont="1" applyBorder="1" applyAlignment="1">
      <alignment horizontal="center" vertical="center"/>
    </xf>
    <xf numFmtId="0" fontId="22" fillId="0" borderId="36" xfId="0" applyFont="1" applyBorder="1" applyAlignment="1">
      <alignment horizontal="center" vertical="center"/>
    </xf>
    <xf numFmtId="0" fontId="22" fillId="0" borderId="34" xfId="0" applyFont="1" applyBorder="1" applyAlignment="1">
      <alignment horizontal="center" vertical="center"/>
    </xf>
    <xf numFmtId="0" fontId="3" fillId="9" borderId="6" xfId="0" applyFont="1" applyFill="1" applyBorder="1" applyAlignment="1">
      <alignment horizontal="center" vertical="center" wrapText="1"/>
    </xf>
    <xf numFmtId="0" fontId="0" fillId="3" borderId="20" xfId="0" applyFill="1" applyBorder="1" applyAlignment="1">
      <alignment horizontal="left" vertical="top" wrapText="1"/>
    </xf>
    <xf numFmtId="0" fontId="0" fillId="3" borderId="28" xfId="0" applyFill="1" applyBorder="1" applyAlignment="1">
      <alignment horizontal="left" vertical="top" wrapText="1"/>
    </xf>
    <xf numFmtId="0" fontId="0" fillId="3" borderId="29" xfId="0" applyFill="1" applyBorder="1" applyAlignment="1">
      <alignment horizontal="left" vertical="top" wrapText="1"/>
    </xf>
    <xf numFmtId="0" fontId="0" fillId="0" borderId="20" xfId="0"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3" fillId="9" borderId="51" xfId="0" applyFont="1" applyFill="1" applyBorder="1" applyAlignment="1">
      <alignment horizontal="center" vertical="center" wrapText="1"/>
    </xf>
    <xf numFmtId="0" fontId="3" fillId="9" borderId="57" xfId="0" applyFont="1" applyFill="1" applyBorder="1" applyAlignment="1">
      <alignment horizontal="center" vertical="center" wrapText="1"/>
    </xf>
    <xf numFmtId="0" fontId="3" fillId="9" borderId="56" xfId="0" applyFont="1" applyFill="1" applyBorder="1" applyAlignment="1">
      <alignment horizontal="center" vertical="center" wrapText="1"/>
    </xf>
    <xf numFmtId="0" fontId="3" fillId="9" borderId="52" xfId="0" applyFont="1" applyFill="1" applyBorder="1" applyAlignment="1">
      <alignment horizontal="center" vertical="center" wrapText="1"/>
    </xf>
    <xf numFmtId="1" fontId="0" fillId="5" borderId="6" xfId="0" applyNumberFormat="1" applyFill="1" applyBorder="1" applyAlignment="1">
      <alignment horizontal="center" vertical="center" wrapText="1"/>
    </xf>
    <xf numFmtId="165" fontId="0" fillId="5" borderId="23" xfId="0" applyNumberFormat="1" applyFill="1" applyBorder="1" applyAlignment="1">
      <alignment horizontal="center" vertical="center" wrapText="1"/>
    </xf>
    <xf numFmtId="165" fontId="0" fillId="5" borderId="24" xfId="0" applyNumberFormat="1" applyFill="1" applyBorder="1" applyAlignment="1">
      <alignment horizontal="center" vertical="center" wrapText="1"/>
    </xf>
    <xf numFmtId="0" fontId="0" fillId="0" borderId="6" xfId="0" applyBorder="1" applyAlignment="1">
      <alignment horizontal="center" wrapText="1"/>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2" xfId="0" applyFont="1" applyBorder="1" applyAlignment="1">
      <alignment horizontal="center" vertical="center" wrapText="1"/>
    </xf>
    <xf numFmtId="166" fontId="0" fillId="5" borderId="23" xfId="0" applyNumberFormat="1" applyFill="1" applyBorder="1" applyAlignment="1">
      <alignment horizontal="center" vertical="center" wrapText="1"/>
    </xf>
    <xf numFmtId="166" fontId="0" fillId="5" borderId="24" xfId="0" applyNumberFormat="1" applyFill="1" applyBorder="1" applyAlignment="1">
      <alignment horizontal="center" vertical="center" wrapText="1"/>
    </xf>
  </cellXfs>
  <cellStyles count="3">
    <cellStyle name="Normal" xfId="0" builtinId="0"/>
    <cellStyle name="Normal_Sheet1"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542495</xdr:colOff>
      <xdr:row>12</xdr:row>
      <xdr:rowOff>82112</xdr:rowOff>
    </xdr:from>
    <xdr:to>
      <xdr:col>8</xdr:col>
      <xdr:colOff>1562902</xdr:colOff>
      <xdr:row>27</xdr:row>
      <xdr:rowOff>20296</xdr:rowOff>
    </xdr:to>
    <xdr:sp macro="" textlink="">
      <xdr:nvSpPr>
        <xdr:cNvPr id="2" name="TextBox 1">
          <a:extLst>
            <a:ext uri="{FF2B5EF4-FFF2-40B4-BE49-F238E27FC236}">
              <a16:creationId xmlns:a16="http://schemas.microsoft.com/office/drawing/2014/main" xmlns="" id="{3CD7550F-E5B9-4EF8-8FCD-8239A757CC75}"/>
            </a:ext>
          </a:extLst>
        </xdr:cNvPr>
        <xdr:cNvSpPr txBox="1"/>
      </xdr:nvSpPr>
      <xdr:spPr>
        <a:xfrm>
          <a:off x="7971361" y="2862863"/>
          <a:ext cx="7860647" cy="26783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-Based on SFm database, 71.7% of 2-speed pumps filter pools only, for 1.045 turnovers per day. 28.3% pools also have pool sweeps at high power, for more turnovers per day. Weighted baselines were calculated on aforementioned percentages.</a:t>
          </a:r>
        </a:p>
        <a:p>
          <a:endParaRPr lang="en-US" sz="1100"/>
        </a:p>
        <a:p>
          <a:r>
            <a:rPr lang="en-US" sz="1100"/>
            <a:t>-Energy</a:t>
          </a:r>
          <a:r>
            <a:rPr lang="en-US" sz="1100" baseline="0"/>
            <a:t> Factors obtained from CEC Database for 2-speed and VS pool pumps using flows from SFm Database. </a:t>
          </a:r>
        </a:p>
        <a:p>
          <a:endParaRPr lang="en-US" sz="1100" baseline="0"/>
        </a:p>
        <a:p>
          <a:r>
            <a:rPr lang="en-US" sz="1100" baseline="0"/>
            <a:t>-Pool volume is average from SFm database. </a:t>
          </a:r>
        </a:p>
        <a:p>
          <a:endParaRPr lang="en-US" sz="1100" baseline="0"/>
        </a:p>
        <a:p>
          <a:r>
            <a:rPr lang="en-US" sz="1100" b="1"/>
            <a:t>Peak Demand Calculations:</a:t>
          </a:r>
          <a:r>
            <a:rPr lang="en-US" sz="1100" b="1" baseline="0"/>
            <a:t> </a:t>
          </a:r>
        </a:p>
        <a:p>
          <a:r>
            <a:rPr lang="en-US" sz="1100" b="0"/>
            <a:t>-2016 T24 requires that residential pumps be controlled to not</a:t>
          </a:r>
          <a:r>
            <a:rPr lang="en-US" sz="1100" b="0" baseline="0"/>
            <a:t> operate during peak periods, thus no coincident demand is calculatioed. </a:t>
          </a:r>
        </a:p>
        <a:p>
          <a:endParaRPr lang="en-US" sz="1100" b="0" baseline="0"/>
        </a:p>
        <a:p>
          <a:r>
            <a:rPr lang="en-US" sz="1100" b="0" baseline="0"/>
            <a:t>See Energy Factors Tables tab for more details on values.</a:t>
          </a:r>
          <a:endParaRPr lang="en-US" sz="1100" b="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329371</xdr:colOff>
      <xdr:row>12</xdr:row>
      <xdr:rowOff>62738</xdr:rowOff>
    </xdr:from>
    <xdr:to>
      <xdr:col>8</xdr:col>
      <xdr:colOff>141159</xdr:colOff>
      <xdr:row>28</xdr:row>
      <xdr:rowOff>47052</xdr:rowOff>
    </xdr:to>
    <xdr:sp macro="" textlink="">
      <xdr:nvSpPr>
        <xdr:cNvPr id="2" name="TextBox 1">
          <a:extLst>
            <a:ext uri="{FF2B5EF4-FFF2-40B4-BE49-F238E27FC236}">
              <a16:creationId xmlns:a16="http://schemas.microsoft.com/office/drawing/2014/main" xmlns="" id="{2F438764-2BEB-4491-ADED-5CEAF475014A}"/>
            </a:ext>
          </a:extLst>
        </xdr:cNvPr>
        <xdr:cNvSpPr txBox="1"/>
      </xdr:nvSpPr>
      <xdr:spPr>
        <a:xfrm>
          <a:off x="8642098" y="2666347"/>
          <a:ext cx="8516625" cy="299571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-Based on SFm database, 71.7% of 2-speed pumps filter pools only, for 1.045 turnovers per day. 28.3% pools also have pool sweeps at high power, for more turnovers per day. Weighted baselines were calculated on aforementioned percentages.</a:t>
          </a:r>
        </a:p>
        <a:p>
          <a:endParaRPr lang="en-US" sz="1100"/>
        </a:p>
        <a:p>
          <a:r>
            <a:rPr lang="en-US" sz="1100"/>
            <a:t>-Energy</a:t>
          </a:r>
          <a:r>
            <a:rPr lang="en-US" sz="1100" baseline="0"/>
            <a:t> Factors obtained from CEC Database for 2-speed and VS pool pumps using flows from SFm Database. </a:t>
          </a:r>
        </a:p>
        <a:p>
          <a:endParaRPr lang="en-US" sz="1100" baseline="0"/>
        </a:p>
        <a:p>
          <a:r>
            <a:rPr lang="en-US" sz="1100" baseline="0"/>
            <a:t>-Pool volume is average from SFm database. </a:t>
          </a:r>
        </a:p>
        <a:p>
          <a:endParaRPr lang="en-US" sz="1100" baseline="0"/>
        </a:p>
        <a:p>
          <a:r>
            <a:rPr lang="en-US" sz="1100" b="1"/>
            <a:t>Peak Demand Calculations:</a:t>
          </a:r>
          <a:r>
            <a:rPr lang="en-US" sz="1100" b="1" baseline="0"/>
            <a:t> </a:t>
          </a:r>
        </a:p>
        <a:p>
          <a:r>
            <a:rPr lang="en-US" sz="1100" b="0"/>
            <a:t>-2016 T24 requires that residential pumps be controlled to not</a:t>
          </a:r>
          <a:r>
            <a:rPr lang="en-US" sz="1100" b="0" baseline="0"/>
            <a:t> operate during peak periods, thus no coincident demand is calculatioed. </a:t>
          </a:r>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endParaRPr lang="en-US" sz="1100" b="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533269</xdr:colOff>
      <xdr:row>18</xdr:row>
      <xdr:rowOff>62739</xdr:rowOff>
    </xdr:from>
    <xdr:to>
      <xdr:col>5</xdr:col>
      <xdr:colOff>3089825</xdr:colOff>
      <xdr:row>38</xdr:row>
      <xdr:rowOff>162379</xdr:rowOff>
    </xdr:to>
    <xdr:sp macro="" textlink="">
      <xdr:nvSpPr>
        <xdr:cNvPr id="2" name="TextBox 1">
          <a:extLst>
            <a:ext uri="{FF2B5EF4-FFF2-40B4-BE49-F238E27FC236}">
              <a16:creationId xmlns:a16="http://schemas.microsoft.com/office/drawing/2014/main" xmlns="" id="{53695EAE-5CFD-4E11-B59B-713130C2AA0D}"/>
            </a:ext>
          </a:extLst>
        </xdr:cNvPr>
        <xdr:cNvSpPr txBox="1"/>
      </xdr:nvSpPr>
      <xdr:spPr>
        <a:xfrm>
          <a:off x="7089344" y="3736577"/>
          <a:ext cx="7113334" cy="377347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-2-speed</a:t>
          </a:r>
          <a:r>
            <a:rPr lang="en-US" sz="1100" baseline="0"/>
            <a:t> baseline and variable speed measure case are the same was as for Measure A and B. </a:t>
          </a:r>
          <a:endParaRPr lang="en-US" sz="1100"/>
        </a:p>
        <a:p>
          <a:endParaRPr lang="en-US" sz="1100"/>
        </a:p>
        <a:p>
          <a:r>
            <a:rPr lang="en-US" sz="1100"/>
            <a:t>-Energy</a:t>
          </a:r>
          <a:r>
            <a:rPr lang="en-US" sz="1100" baseline="0"/>
            <a:t> Factors obtained from CEC Database for 2-speed and VS pool pumps using flows from SFm Database. Energy Factor for 1-speed baseline obtained using average HP from SFm database and 2008 1-speed CEC database average EFs. </a:t>
          </a:r>
        </a:p>
        <a:p>
          <a:endParaRPr lang="en-US" sz="1100" baseline="0"/>
        </a:p>
        <a:p>
          <a:r>
            <a:rPr lang="en-US" sz="1100" baseline="0"/>
            <a:t>-Pool volume is average from SFm database. </a:t>
          </a:r>
        </a:p>
        <a:p>
          <a:endParaRPr lang="en-US" sz="1100" baseline="0"/>
        </a:p>
        <a:p>
          <a:r>
            <a:rPr lang="en-US" sz="1100" b="1"/>
            <a:t>Peak Demand Calculations:</a:t>
          </a:r>
          <a:r>
            <a:rPr lang="en-US" sz="1100" b="1" baseline="0"/>
            <a:t> </a:t>
          </a:r>
        </a:p>
        <a:p>
          <a:r>
            <a:rPr lang="en-US" sz="1100" b="0"/>
            <a:t>-Non-coincident baseline</a:t>
          </a:r>
          <a:r>
            <a:rPr lang="en-US" sz="1100" b="0" baseline="0"/>
            <a:t> demand found from Flow vs Power correlation from CEC database, using baseline flow from SFm Database. </a:t>
          </a:r>
          <a:endParaRPr lang="en-US" sz="1100" b="0"/>
        </a:p>
        <a:p>
          <a:endParaRPr lang="en-US" sz="1100" b="0"/>
        </a:p>
        <a:p>
          <a:r>
            <a:rPr lang="en-US" sz="1100" b="0"/>
            <a:t>-2016 T24 requires that residential pumps be controlled to not</a:t>
          </a:r>
          <a:r>
            <a:rPr lang="en-US" sz="1100" b="0" baseline="0"/>
            <a:t> operate during peak periods, thus no coincident demand is calculated for 2-speed and variable speed baselines. It is assumed that 1-speed pumps were installed prior to outside peak time control requirement. </a:t>
          </a:r>
        </a:p>
        <a:p>
          <a:endParaRPr lang="en-US" sz="1100" b="0" baseline="0"/>
        </a:p>
        <a:p>
          <a:r>
            <a:rPr lang="en-US" sz="1100" b="0" baseline="0"/>
            <a:t>See Peak Demand tab for mor details on CDF and demand. </a:t>
          </a:r>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endParaRPr lang="en-US" sz="1100" b="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2051058</xdr:colOff>
      <xdr:row>9</xdr:row>
      <xdr:rowOff>32621</xdr:rowOff>
    </xdr:from>
    <xdr:to>
      <xdr:col>14</xdr:col>
      <xdr:colOff>517584</xdr:colOff>
      <xdr:row>34</xdr:row>
      <xdr:rowOff>35859</xdr:rowOff>
    </xdr:to>
    <xdr:sp macro="" textlink="">
      <xdr:nvSpPr>
        <xdr:cNvPr id="2" name="TextBox 1">
          <a:extLst>
            <a:ext uri="{FF2B5EF4-FFF2-40B4-BE49-F238E27FC236}">
              <a16:creationId xmlns:a16="http://schemas.microsoft.com/office/drawing/2014/main" xmlns="" id="{61E78BCC-DC20-4759-BC6D-4C5EC75EEE0C}"/>
            </a:ext>
          </a:extLst>
        </xdr:cNvPr>
        <xdr:cNvSpPr txBox="1"/>
      </xdr:nvSpPr>
      <xdr:spPr>
        <a:xfrm>
          <a:off x="11858446" y="2228974"/>
          <a:ext cx="6705091" cy="46828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a:t>
          </a:r>
          <a:r>
            <a:rPr lang="en-US" sz="1100" baseline="0"/>
            <a:t> Pool </a:t>
          </a:r>
          <a:r>
            <a:rPr lang="en-US" sz="1100"/>
            <a:t>Volume</a:t>
          </a:r>
          <a:r>
            <a:rPr lang="en-US" sz="1100" baseline="0"/>
            <a:t>, flow, turnover are from Metering and Measuring of Multi-Family Pool Pumps – Phase 2 (Attachment 12) and MFm Report Values tab of Attachment 2. </a:t>
          </a:r>
        </a:p>
        <a:p>
          <a:endParaRPr lang="en-US" sz="1100" baseline="0"/>
        </a:p>
        <a:p>
          <a:r>
            <a:rPr lang="en-US" sz="1100" baseline="0"/>
            <a:t>-</a:t>
          </a:r>
          <a:r>
            <a:rPr lang="en-US" sz="1100"/>
            <a:t>Assumes 1 speed  1st baseline and 2-speed 2nd baseline. </a:t>
          </a:r>
        </a:p>
        <a:p>
          <a:endParaRPr lang="en-US" sz="1100"/>
        </a:p>
        <a:p>
          <a:r>
            <a:rPr lang="en-US" sz="1100">
              <a:solidFill>
                <a:schemeClr val="dk1"/>
              </a:solidFill>
              <a:effectLst/>
              <a:latin typeface="+mn-lt"/>
              <a:ea typeface="+mn-ea"/>
              <a:cs typeface="+mn-cs"/>
            </a:rPr>
            <a:t>-Energy</a:t>
          </a:r>
          <a:r>
            <a:rPr lang="en-US" sz="1100" baseline="0">
              <a:solidFill>
                <a:schemeClr val="dk1"/>
              </a:solidFill>
              <a:effectLst/>
              <a:latin typeface="+mn-lt"/>
              <a:ea typeface="+mn-ea"/>
              <a:cs typeface="+mn-cs"/>
            </a:rPr>
            <a:t> Factors obtained from CEC Database for 1-speed, 2-speed and VS pool pumps. 2-speed and VS pump EF calculated using flows from SCE MFm study. 1-speed EF calculated using average HP from SCE's MFm study. </a:t>
          </a:r>
        </a:p>
        <a:p>
          <a:endParaRPr lang="en-US" sz="1100"/>
        </a:p>
        <a:p>
          <a:r>
            <a:rPr lang="en-US" sz="1100"/>
            <a:t>Note: Pool volume and turnover deviates from disposition because a SCE's 2016 report, Metering and Measuring of Multi-Family Pool Pumps report was available and showed a more conservative value for pool volumes. Turnover rates were calculated based on average high and low speed</a:t>
          </a:r>
          <a:r>
            <a:rPr lang="en-US" sz="1100" baseline="0"/>
            <a:t> GPMs provided within SCE's report. </a:t>
          </a:r>
        </a:p>
        <a:p>
          <a:endParaRPr lang="en-US" sz="1100" baseline="0"/>
        </a:p>
        <a:p>
          <a:r>
            <a:rPr lang="en-US" sz="1100" b="1"/>
            <a:t>Peak Demand Calculations:</a:t>
          </a:r>
          <a:r>
            <a:rPr lang="en-US" sz="1100" b="1" baseline="0"/>
            <a:t> </a:t>
          </a:r>
        </a:p>
        <a:p>
          <a:r>
            <a:rPr lang="en-US" sz="1100" baseline="0">
              <a:solidFill>
                <a:schemeClr val="dk1"/>
              </a:solidFill>
              <a:effectLst/>
              <a:latin typeface="+mn-lt"/>
              <a:ea typeface="+mn-ea"/>
              <a:cs typeface="+mn-cs"/>
            </a:rPr>
            <a:t>-For health code and safety reason MFm pumps must operating when occupied. Based on the SCE MFm Study (2016), MFm swimming pools operate conisistently at full speed during peak hours.  Thus, CDF for MFm pools are assumed to be 1. </a:t>
          </a:r>
        </a:p>
        <a:p>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a:solidFill>
                <a:schemeClr val="dk1"/>
              </a:solidFill>
              <a:effectLst/>
              <a:latin typeface="+mn-lt"/>
              <a:ea typeface="+mn-ea"/>
              <a:cs typeface="+mn-cs"/>
            </a:rPr>
            <a:t>-Non-coincident baseline</a:t>
          </a:r>
          <a:r>
            <a:rPr lang="en-US" sz="1100" b="0" baseline="0">
              <a:solidFill>
                <a:schemeClr val="dk1"/>
              </a:solidFill>
              <a:effectLst/>
              <a:latin typeface="+mn-lt"/>
              <a:ea typeface="+mn-ea"/>
              <a:cs typeface="+mn-cs"/>
            </a:rPr>
            <a:t> demand found from Flow vs Power correlation from CEC database, using baseline flow from SCE's MFm Study.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-See Peak Demand tab for more details on CDF and demand. </a:t>
          </a:r>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a:p>
          <a:endParaRPr lang="en-US">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32</xdr:row>
      <xdr:rowOff>68864</xdr:rowOff>
    </xdr:from>
    <xdr:to>
      <xdr:col>6</xdr:col>
      <xdr:colOff>3684712</xdr:colOff>
      <xdr:row>50</xdr:row>
      <xdr:rowOff>110910</xdr:rowOff>
    </xdr:to>
    <xdr:sp macro="" textlink="">
      <xdr:nvSpPr>
        <xdr:cNvPr id="2" name="TextBox 1">
          <a:extLst>
            <a:ext uri="{FF2B5EF4-FFF2-40B4-BE49-F238E27FC236}">
              <a16:creationId xmlns:a16="http://schemas.microsoft.com/office/drawing/2014/main" xmlns="" id="{2CE6A21B-0C0D-4354-AD56-CE46032A33BD}"/>
            </a:ext>
          </a:extLst>
        </xdr:cNvPr>
        <xdr:cNvSpPr txBox="1"/>
      </xdr:nvSpPr>
      <xdr:spPr>
        <a:xfrm>
          <a:off x="0" y="6329177"/>
          <a:ext cx="15453606" cy="33693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a:t>
          </a:r>
          <a:r>
            <a:rPr lang="en-US" sz="1100" baseline="0"/>
            <a:t> Pool </a:t>
          </a:r>
          <a:r>
            <a:rPr lang="en-US" sz="1100"/>
            <a:t>Volume</a:t>
          </a:r>
          <a:r>
            <a:rPr lang="en-US" sz="1100" baseline="0"/>
            <a:t> and turnover are from CPUC Dispositon FOR WORKPAPERS COVERING RESIDENTIAL VARIABLE SPEED POOL PUMPS CPUC, ED, March 1, 2017. Flow (GPM) estimated as the average flow based on provided volume and turnover.</a:t>
          </a:r>
        </a:p>
        <a:p>
          <a:endParaRPr lang="en-US" sz="1100" baseline="0"/>
        </a:p>
        <a:p>
          <a:r>
            <a:rPr lang="en-US" sz="1100" baseline="0"/>
            <a:t>-</a:t>
          </a:r>
          <a:r>
            <a:rPr lang="en-US" sz="1100"/>
            <a:t>Assumes 1 speed  1st baseline and 2-speed 2nd baseline. </a:t>
          </a:r>
        </a:p>
        <a:p>
          <a:endParaRPr lang="en-US" sz="1100"/>
        </a:p>
        <a:p>
          <a:r>
            <a:rPr lang="en-US" sz="1100">
              <a:solidFill>
                <a:schemeClr val="dk1"/>
              </a:solidFill>
              <a:effectLst/>
              <a:latin typeface="+mn-lt"/>
              <a:ea typeface="+mn-ea"/>
              <a:cs typeface="+mn-cs"/>
            </a:rPr>
            <a:t>-Energy</a:t>
          </a:r>
          <a:r>
            <a:rPr lang="en-US" sz="1100" baseline="0">
              <a:solidFill>
                <a:schemeClr val="dk1"/>
              </a:solidFill>
              <a:effectLst/>
              <a:latin typeface="+mn-lt"/>
              <a:ea typeface="+mn-ea"/>
              <a:cs typeface="+mn-cs"/>
            </a:rPr>
            <a:t> Factors obtained from CEC Database for 1-speed, 2-speed and VS pool pumps. 2-speed and VS pump EF calculated using flows calculated from turnover and volume. 1-speed EF calculated using average HP from SCE's MFm study. </a:t>
          </a:r>
        </a:p>
        <a:p>
          <a:endParaRPr lang="en-US" sz="1100"/>
        </a:p>
        <a:p>
          <a:r>
            <a:rPr lang="en-US" sz="1100" b="1"/>
            <a:t>Peak Demand Calculations:</a:t>
          </a:r>
          <a:r>
            <a:rPr lang="en-US" sz="1100" b="1" baseline="0"/>
            <a:t> </a:t>
          </a:r>
        </a:p>
        <a:p>
          <a:r>
            <a:rPr lang="en-US" sz="1100" baseline="0">
              <a:solidFill>
                <a:schemeClr val="dk1"/>
              </a:solidFill>
              <a:effectLst/>
              <a:latin typeface="+mn-lt"/>
              <a:ea typeface="+mn-ea"/>
              <a:cs typeface="+mn-cs"/>
            </a:rPr>
            <a:t>-For health code and safety reason MFm pumps must operating when occupied. Based on the SCE MFm Study (2016), MFm swimming pools operate conisistently at full speed during peak hours.  Thus, CDF for MFm pools are assumed to be 1. </a:t>
          </a:r>
        </a:p>
        <a:p>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a:solidFill>
                <a:schemeClr val="dk1"/>
              </a:solidFill>
              <a:effectLst/>
              <a:latin typeface="+mn-lt"/>
              <a:ea typeface="+mn-ea"/>
              <a:cs typeface="+mn-cs"/>
            </a:rPr>
            <a:t>-Non-coincident baseline</a:t>
          </a:r>
          <a:r>
            <a:rPr lang="en-US" sz="1100" b="0" baseline="0">
              <a:solidFill>
                <a:schemeClr val="dk1"/>
              </a:solidFill>
              <a:effectLst/>
              <a:latin typeface="+mn-lt"/>
              <a:ea typeface="+mn-ea"/>
              <a:cs typeface="+mn-cs"/>
            </a:rPr>
            <a:t> demand found from Flow vs Power correlation from CEC database, using baseline flow calculated from disposition volume and turnover.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-See Peak Demand tab for mor details on CDF and demand.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dk1"/>
            </a:solidFill>
            <a:effectLst/>
            <a:latin typeface="+mn-lt"/>
            <a:ea typeface="+mn-ea"/>
            <a:cs typeface="+mn-cs"/>
          </a:endParaRPr>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a:p>
          <a:endParaRPr lang="en-US">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75006</xdr:colOff>
      <xdr:row>25</xdr:row>
      <xdr:rowOff>50561</xdr:rowOff>
    </xdr:from>
    <xdr:to>
      <xdr:col>12</xdr:col>
      <xdr:colOff>933683</xdr:colOff>
      <xdr:row>54</xdr:row>
      <xdr:rowOff>147881</xdr:rowOff>
    </xdr:to>
    <xdr:sp macro="" textlink="">
      <xdr:nvSpPr>
        <xdr:cNvPr id="2" name="TextBox 1">
          <a:extLst>
            <a:ext uri="{FF2B5EF4-FFF2-40B4-BE49-F238E27FC236}">
              <a16:creationId xmlns:a16="http://schemas.microsoft.com/office/drawing/2014/main" xmlns="" id="{B4E67903-EE6C-4965-8C2F-94968289034E}"/>
            </a:ext>
          </a:extLst>
        </xdr:cNvPr>
        <xdr:cNvSpPr txBox="1"/>
      </xdr:nvSpPr>
      <xdr:spPr>
        <a:xfrm>
          <a:off x="10254176" y="5201764"/>
          <a:ext cx="5245826" cy="54580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For full calculations see Attachment 2 (Database Analysis, Peak Demand tab)</a:t>
          </a:r>
        </a:p>
        <a:p>
          <a:endParaRPr lang="en-US" sz="1100"/>
        </a:p>
        <a:p>
          <a:pPr eaLnBrk="1" fontAlgn="auto" latinLnBrk="0" hangingPunct="1"/>
          <a:r>
            <a:rPr lang="en-US" sz="1100" b="1">
              <a:solidFill>
                <a:schemeClr val="dk1"/>
              </a:solidFill>
              <a:effectLst/>
              <a:latin typeface="+mn-lt"/>
              <a:ea typeface="+mn-ea"/>
              <a:cs typeface="+mn-cs"/>
            </a:rPr>
            <a:t>Power (Watts)</a:t>
          </a:r>
          <a:endParaRPr lang="en-US">
            <a:effectLst/>
          </a:endParaRPr>
        </a:p>
        <a:p>
          <a:pPr eaLnBrk="1" fontAlgn="auto" latinLnBrk="0" hangingPunct="1"/>
          <a:r>
            <a:rPr lang="en-US" sz="1100">
              <a:solidFill>
                <a:schemeClr val="dk1"/>
              </a:solidFill>
              <a:effectLst/>
              <a:latin typeface="+mn-lt"/>
              <a:ea typeface="+mn-ea"/>
              <a:cs typeface="+mn-cs"/>
            </a:rPr>
            <a:t>-Average</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Power vs Flow from the</a:t>
          </a:r>
          <a:r>
            <a:rPr lang="en-US" sz="1100" baseline="0">
              <a:solidFill>
                <a:schemeClr val="dk1"/>
              </a:solidFill>
              <a:effectLst/>
              <a:latin typeface="+mn-lt"/>
              <a:ea typeface="+mn-ea"/>
              <a:cs typeface="+mn-cs"/>
            </a:rPr>
            <a:t> CEC pump database are plotted to the left. These values represent the average power (Watts) of each of the corresponding curves for several GPM. Only averages with 6 or more data points were used for the CEC curves A, B and C.  The best fit lines are used in the table to the left to to estimate the non-coincident power (demand) associated at relevant flows for each curve. See Energy Factors Table tab for details on the GPMs used for each. </a:t>
          </a:r>
        </a:p>
        <a:p>
          <a:pPr eaLnBrk="1" fontAlgn="auto" latinLnBrk="0" hangingPunct="1"/>
          <a:endParaRPr lang="en-US">
            <a:effectLst/>
          </a:endParaRPr>
        </a:p>
        <a:p>
          <a:pPr eaLnBrk="1" fontAlgn="auto" latinLnBrk="0" hangingPunct="1"/>
          <a:r>
            <a:rPr lang="en-US" sz="1100" baseline="0">
              <a:solidFill>
                <a:schemeClr val="dk1"/>
              </a:solidFill>
              <a:effectLst/>
              <a:latin typeface="+mn-lt"/>
              <a:ea typeface="+mn-ea"/>
              <a:cs typeface="+mn-cs"/>
            </a:rPr>
            <a:t>-Curve A is used  to estimate power for both SFm and MFm peak hours because it is assumed that during peak times, if the pumps are operating, they operate at full speed (see MFm Report Values tab)  . Curve A better represents pumps at higher speeds/flows. </a:t>
          </a:r>
        </a:p>
        <a:p>
          <a:pPr eaLnBrk="1" fontAlgn="auto" latinLnBrk="0" hangingPunct="1"/>
          <a:endParaRPr lang="en-US">
            <a:effectLst/>
          </a:endParaRPr>
        </a:p>
        <a:p>
          <a:r>
            <a:rPr lang="en-US" sz="1100" b="1">
              <a:solidFill>
                <a:schemeClr val="dk1"/>
              </a:solidFill>
              <a:effectLst/>
              <a:latin typeface="+mn-lt"/>
              <a:ea typeface="+mn-ea"/>
              <a:cs typeface="+mn-cs"/>
            </a:rPr>
            <a:t>Coincidence</a:t>
          </a:r>
          <a:r>
            <a:rPr lang="en-US" sz="1100" b="1" baseline="0">
              <a:solidFill>
                <a:schemeClr val="dk1"/>
              </a:solidFill>
              <a:effectLst/>
              <a:latin typeface="+mn-lt"/>
              <a:ea typeface="+mn-ea"/>
              <a:cs typeface="+mn-cs"/>
            </a:rPr>
            <a:t> Demand Factor (CDF)</a:t>
          </a:r>
          <a:endParaRPr lang="en-US">
            <a:effectLst/>
          </a:endParaRPr>
        </a:p>
        <a:p>
          <a:r>
            <a:rPr lang="en-US" sz="1100">
              <a:solidFill>
                <a:schemeClr val="dk1"/>
              </a:solidFill>
              <a:effectLst/>
              <a:latin typeface="+mn-lt"/>
              <a:ea typeface="+mn-ea"/>
              <a:cs typeface="+mn-cs"/>
            </a:rPr>
            <a:t>-2016 T24</a:t>
          </a:r>
          <a:r>
            <a:rPr lang="en-US" sz="1100" baseline="0">
              <a:solidFill>
                <a:schemeClr val="dk1"/>
              </a:solidFill>
              <a:effectLst/>
              <a:latin typeface="+mn-lt"/>
              <a:ea typeface="+mn-ea"/>
              <a:cs typeface="+mn-cs"/>
            </a:rPr>
            <a:t> requires that residential (SFm) pool pumps not operate during peak hours. Thus, 2-speed and VS pool pumps have a CDF =0. </a:t>
          </a:r>
        </a:p>
        <a:p>
          <a:endParaRPr lang="en-US">
            <a:effectLst/>
          </a:endParaRPr>
        </a:p>
        <a:p>
          <a:r>
            <a:rPr lang="en-US" sz="1100" baseline="0">
              <a:solidFill>
                <a:schemeClr val="dk1"/>
              </a:solidFill>
              <a:effectLst/>
              <a:latin typeface="+mn-lt"/>
              <a:ea typeface="+mn-ea"/>
              <a:cs typeface="+mn-cs"/>
            </a:rPr>
            <a:t>-Single speed pumps are assumed to continue to operate during peak times. CDF for 1-speed pump comes from SCE's "Pool pump demand response potential demand adn run-time monitored data" study (2008). </a:t>
          </a:r>
        </a:p>
        <a:p>
          <a:endParaRPr lang="en-US">
            <a:effectLst/>
          </a:endParaRPr>
        </a:p>
        <a:p>
          <a:r>
            <a:rPr lang="en-US" sz="1100" baseline="0">
              <a:solidFill>
                <a:schemeClr val="dk1"/>
              </a:solidFill>
              <a:effectLst/>
              <a:latin typeface="+mn-lt"/>
              <a:ea typeface="+mn-ea"/>
              <a:cs typeface="+mn-cs"/>
            </a:rPr>
            <a:t>-For health code and safety reason MFm pumps must operating when occupied. Based on the SCE MFm Study (2016), MFm swimming pools operate conisistently at full speed during peak hours (see MFm Report Values tab).  Thus, CDF for MFm pools are assumed to be 1. </a:t>
          </a:r>
        </a:p>
        <a:p>
          <a:endParaRPr lang="en-US">
            <a:effectLst/>
          </a:endParaRPr>
        </a:p>
        <a:p>
          <a:pPr eaLnBrk="1" fontAlgn="auto" latinLnBrk="0" hangingPunct="1"/>
          <a:r>
            <a:rPr lang="en-US" sz="1100" baseline="0">
              <a:solidFill>
                <a:schemeClr val="dk1"/>
              </a:solidFill>
              <a:effectLst/>
              <a:latin typeface="+mn-lt"/>
              <a:ea typeface="+mn-ea"/>
              <a:cs typeface="+mn-cs"/>
            </a:rPr>
            <a:t>-</a:t>
          </a:r>
          <a:r>
            <a:rPr lang="en-US" sz="1100">
              <a:solidFill>
                <a:schemeClr val="dk1"/>
              </a:solidFill>
              <a:effectLst/>
              <a:latin typeface="+mn-lt"/>
              <a:ea typeface="+mn-ea"/>
              <a:cs typeface="+mn-cs"/>
            </a:rPr>
            <a:t>Rows highlighted Green are those selected for the analysis. </a:t>
          </a:r>
          <a:endParaRPr lang="en-US">
            <a:effectLst/>
          </a:endParaRPr>
        </a:p>
        <a:p>
          <a:endParaRPr lang="en-US" sz="1100"/>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endParaRPr lang="en-US" sz="1100"/>
        </a:p>
      </xdr:txBody>
    </xdr:sp>
    <xdr:clientData/>
  </xdr:twoCellAnchor>
  <xdr:twoCellAnchor editAs="oneCell">
    <xdr:from>
      <xdr:col>0</xdr:col>
      <xdr:colOff>0</xdr:colOff>
      <xdr:row>27</xdr:row>
      <xdr:rowOff>0</xdr:rowOff>
    </xdr:from>
    <xdr:to>
      <xdr:col>7</xdr:col>
      <xdr:colOff>961444</xdr:colOff>
      <xdr:row>67</xdr:row>
      <xdr:rowOff>157932</xdr:rowOff>
    </xdr:to>
    <xdr:pic>
      <xdr:nvPicPr>
        <xdr:cNvPr id="4" name="Picture 3">
          <a:extLst>
            <a:ext uri="{FF2B5EF4-FFF2-40B4-BE49-F238E27FC236}">
              <a16:creationId xmlns:a16="http://schemas.microsoft.com/office/drawing/2014/main" xmlns="" id="{9F559DA3-65BC-4AEF-B690-BF5603252AE2}"/>
            </a:ext>
          </a:extLst>
        </xdr:cNvPr>
        <xdr:cNvPicPr>
          <a:picLocks noChangeAspect="1"/>
        </xdr:cNvPicPr>
      </xdr:nvPicPr>
      <xdr:blipFill>
        <a:blip xmlns:r="http://schemas.openxmlformats.org/officeDocument/2006/relationships" r:embed="rId1"/>
        <a:stretch>
          <a:fillRect/>
        </a:stretch>
      </xdr:blipFill>
      <xdr:spPr>
        <a:xfrm>
          <a:off x="0" y="5520906"/>
          <a:ext cx="9982210" cy="755200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14"/>
  <sheetViews>
    <sheetView workbookViewId="0"/>
  </sheetViews>
  <sheetFormatPr defaultRowHeight="14.4" x14ac:dyDescent="0.3"/>
  <cols>
    <col min="1" max="1" width="16.6640625" customWidth="1"/>
    <col min="2" max="2" width="12.6640625" bestFit="1" customWidth="1"/>
    <col min="5" max="5" width="77" bestFit="1" customWidth="1"/>
    <col min="7" max="7" width="12.33203125" bestFit="1" customWidth="1"/>
    <col min="8" max="8" width="12.33203125" customWidth="1"/>
    <col min="9" max="9" width="19.33203125" customWidth="1"/>
    <col min="10" max="10" width="17.6640625" customWidth="1"/>
    <col min="11" max="11" width="19.44140625" bestFit="1" customWidth="1"/>
    <col min="12" max="12" width="16.88671875" customWidth="1"/>
    <col min="13" max="13" width="19.44140625" bestFit="1" customWidth="1"/>
    <col min="14" max="14" width="16.88671875" customWidth="1"/>
  </cols>
  <sheetData>
    <row r="1" spans="1:14" ht="15" thickBot="1" x14ac:dyDescent="0.35"/>
    <row r="2" spans="1:14" ht="27" customHeight="1" thickBot="1" x14ac:dyDescent="0.35">
      <c r="A2" s="201" t="s">
        <v>0</v>
      </c>
      <c r="B2" s="199" t="s">
        <v>11</v>
      </c>
      <c r="C2" s="203"/>
      <c r="D2" s="200"/>
      <c r="E2" s="201" t="s">
        <v>19</v>
      </c>
      <c r="F2" s="201" t="s">
        <v>12</v>
      </c>
      <c r="G2" s="201" t="s">
        <v>9</v>
      </c>
      <c r="H2" s="201" t="s">
        <v>24</v>
      </c>
      <c r="I2" s="201" t="s">
        <v>10</v>
      </c>
      <c r="J2" s="201" t="s">
        <v>1</v>
      </c>
      <c r="K2" s="199" t="s">
        <v>28</v>
      </c>
      <c r="L2" s="200"/>
      <c r="M2" s="199" t="s">
        <v>29</v>
      </c>
      <c r="N2" s="200"/>
    </row>
    <row r="3" spans="1:14" ht="15" customHeight="1" x14ac:dyDescent="0.3">
      <c r="A3" s="202"/>
      <c r="B3" s="1" t="s">
        <v>7</v>
      </c>
      <c r="C3" s="1" t="s">
        <v>2</v>
      </c>
      <c r="D3" s="1" t="s">
        <v>8</v>
      </c>
      <c r="E3" s="202"/>
      <c r="F3" s="204"/>
      <c r="G3" s="202"/>
      <c r="H3" s="202"/>
      <c r="I3" s="202"/>
      <c r="J3" s="202"/>
      <c r="K3" s="1" t="s">
        <v>3</v>
      </c>
      <c r="L3" s="1" t="s">
        <v>4</v>
      </c>
      <c r="M3" s="1" t="s">
        <v>3</v>
      </c>
      <c r="N3" s="1" t="s">
        <v>4</v>
      </c>
    </row>
    <row r="4" spans="1:14" x14ac:dyDescent="0.3">
      <c r="A4" s="2" t="s">
        <v>13</v>
      </c>
      <c r="B4" s="2" t="s">
        <v>14</v>
      </c>
      <c r="C4" s="2">
        <v>463003</v>
      </c>
      <c r="D4" s="2"/>
      <c r="E4" s="2" t="s">
        <v>25</v>
      </c>
      <c r="F4" s="2" t="s">
        <v>20</v>
      </c>
      <c r="G4" s="2" t="s">
        <v>21</v>
      </c>
      <c r="H4" s="2" t="s">
        <v>22</v>
      </c>
      <c r="I4" s="2"/>
      <c r="J4" s="2"/>
      <c r="K4" s="2">
        <v>695</v>
      </c>
      <c r="L4" s="2">
        <v>0.19600000000000001</v>
      </c>
      <c r="M4" s="2">
        <v>677</v>
      </c>
      <c r="N4" s="2">
        <v>0.19600000000000001</v>
      </c>
    </row>
    <row r="5" spans="1:14" x14ac:dyDescent="0.3">
      <c r="A5" s="2" t="s">
        <v>15</v>
      </c>
      <c r="B5" s="2" t="s">
        <v>26</v>
      </c>
      <c r="C5" s="2"/>
      <c r="D5" s="2"/>
      <c r="E5" s="2" t="s">
        <v>30</v>
      </c>
      <c r="F5" s="2" t="s">
        <v>20</v>
      </c>
      <c r="G5" s="2" t="s">
        <v>21</v>
      </c>
      <c r="H5" s="2" t="s">
        <v>23</v>
      </c>
      <c r="I5" s="2"/>
      <c r="J5" s="2"/>
      <c r="K5" s="2">
        <v>506</v>
      </c>
      <c r="L5" s="2">
        <v>3.4000000000000002E-2</v>
      </c>
      <c r="M5" s="2">
        <v>506</v>
      </c>
      <c r="N5" s="2">
        <v>3.4000000000000002E-2</v>
      </c>
    </row>
    <row r="6" spans="1:14" x14ac:dyDescent="0.3">
      <c r="A6" s="2" t="s">
        <v>16</v>
      </c>
      <c r="B6" s="2" t="s">
        <v>18</v>
      </c>
      <c r="C6" s="2"/>
      <c r="D6" s="2"/>
      <c r="E6" s="2" t="s">
        <v>31</v>
      </c>
      <c r="F6" s="2" t="s">
        <v>20</v>
      </c>
      <c r="G6" s="2" t="s">
        <v>21</v>
      </c>
      <c r="H6" s="2" t="s">
        <v>22</v>
      </c>
      <c r="I6" s="2"/>
      <c r="J6" s="2"/>
      <c r="K6" s="2"/>
      <c r="L6" s="2"/>
      <c r="M6" s="2"/>
      <c r="N6" s="2"/>
    </row>
    <row r="7" spans="1:14" x14ac:dyDescent="0.3">
      <c r="A7" s="2" t="s">
        <v>27</v>
      </c>
      <c r="B7" s="2" t="s">
        <v>17</v>
      </c>
      <c r="C7" s="2"/>
      <c r="D7" s="2"/>
      <c r="E7" s="2" t="s">
        <v>32</v>
      </c>
      <c r="F7" s="2"/>
      <c r="G7" s="2"/>
      <c r="H7" s="2"/>
      <c r="I7" s="2"/>
      <c r="J7" s="2"/>
      <c r="K7" s="2">
        <v>1757</v>
      </c>
      <c r="L7" s="2">
        <v>0.54300000000000004</v>
      </c>
      <c r="M7" s="2">
        <v>1742</v>
      </c>
      <c r="N7" s="2">
        <v>0.54300000000000004</v>
      </c>
    </row>
    <row r="8" spans="1:14" x14ac:dyDescent="0.3">
      <c r="A8" s="2"/>
      <c r="B8" s="3" t="s">
        <v>5</v>
      </c>
      <c r="C8" s="3"/>
      <c r="D8" s="3"/>
      <c r="E8" s="3" t="s">
        <v>6</v>
      </c>
      <c r="F8" s="3"/>
      <c r="G8" s="3"/>
      <c r="H8" s="3"/>
      <c r="I8" s="2"/>
      <c r="J8" s="2"/>
      <c r="K8" s="2"/>
      <c r="L8" s="2"/>
      <c r="M8" s="2"/>
      <c r="N8" s="2"/>
    </row>
    <row r="9" spans="1:14" x14ac:dyDescent="0.3">
      <c r="A9" s="2"/>
      <c r="B9" s="2"/>
      <c r="C9" s="2"/>
      <c r="D9" s="2"/>
      <c r="E9" s="2"/>
      <c r="F9" s="2"/>
      <c r="G9" s="2"/>
      <c r="H9" s="2"/>
      <c r="I9" s="2"/>
      <c r="J9" s="2"/>
      <c r="K9" s="2"/>
      <c r="L9" s="2"/>
      <c r="M9" s="2"/>
      <c r="N9" s="2"/>
    </row>
    <row r="10" spans="1:14" x14ac:dyDescent="0.3">
      <c r="A10" s="2"/>
      <c r="B10" s="2"/>
      <c r="C10" s="2"/>
      <c r="D10" s="2"/>
      <c r="E10" s="2"/>
      <c r="F10" s="2"/>
      <c r="G10" s="2"/>
      <c r="H10" s="2"/>
      <c r="I10" s="2"/>
      <c r="J10" s="2"/>
      <c r="K10" s="2"/>
      <c r="L10" s="2"/>
      <c r="M10" s="2"/>
      <c r="N10" s="2"/>
    </row>
    <row r="11" spans="1:14" x14ac:dyDescent="0.3">
      <c r="A11" s="2"/>
      <c r="B11" s="2"/>
      <c r="C11" s="2"/>
      <c r="D11" s="2"/>
      <c r="E11" s="2"/>
      <c r="F11" s="2"/>
      <c r="G11" s="2"/>
      <c r="H11" s="2"/>
      <c r="I11" s="2"/>
      <c r="J11" s="2"/>
      <c r="K11" s="2"/>
      <c r="L11" s="2"/>
      <c r="M11" s="2"/>
      <c r="N11" s="2"/>
    </row>
    <row r="12" spans="1:14" x14ac:dyDescent="0.3">
      <c r="A12" s="2"/>
      <c r="B12" s="2"/>
      <c r="C12" s="2"/>
      <c r="D12" s="2"/>
      <c r="E12" s="2"/>
      <c r="F12" s="2"/>
      <c r="G12" s="2"/>
      <c r="H12" s="2"/>
      <c r="I12" s="2"/>
      <c r="J12" s="2"/>
      <c r="K12" s="2"/>
      <c r="L12" s="2"/>
      <c r="M12" s="2"/>
      <c r="N12" s="2"/>
    </row>
    <row r="13" spans="1:14" x14ac:dyDescent="0.3">
      <c r="A13" s="2"/>
      <c r="B13" s="2"/>
      <c r="C13" s="2"/>
      <c r="D13" s="2"/>
      <c r="E13" s="2"/>
      <c r="F13" s="2"/>
      <c r="G13" s="2"/>
      <c r="H13" s="2"/>
      <c r="I13" s="2"/>
      <c r="J13" s="2"/>
      <c r="K13" s="2"/>
      <c r="L13" s="2"/>
      <c r="M13" s="2"/>
      <c r="N13" s="2"/>
    </row>
    <row r="14" spans="1:14" x14ac:dyDescent="0.3">
      <c r="A14" s="2"/>
      <c r="B14" s="2"/>
      <c r="C14" s="2"/>
      <c r="D14" s="2"/>
      <c r="E14" s="2"/>
      <c r="F14" s="2"/>
      <c r="G14" s="2"/>
      <c r="H14" s="2"/>
      <c r="I14" s="2"/>
      <c r="J14" s="2"/>
      <c r="K14" s="2"/>
      <c r="L14" s="2"/>
      <c r="M14" s="2"/>
      <c r="N14" s="2"/>
    </row>
  </sheetData>
  <mergeCells count="10">
    <mergeCell ref="M2:N2"/>
    <mergeCell ref="A2:A3"/>
    <mergeCell ref="B2:D2"/>
    <mergeCell ref="E2:E3"/>
    <mergeCell ref="G2:G3"/>
    <mergeCell ref="F2:F3"/>
    <mergeCell ref="J2:J3"/>
    <mergeCell ref="H2:H3"/>
    <mergeCell ref="K2:L2"/>
    <mergeCell ref="I2:I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3:M18"/>
  <sheetViews>
    <sheetView workbookViewId="0"/>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6" width="45.44140625" customWidth="1"/>
    <col min="7" max="7" width="20.44140625" customWidth="1"/>
    <col min="8" max="8" width="29.88671875" customWidth="1"/>
    <col min="9" max="9" width="26.6640625" bestFit="1" customWidth="1"/>
    <col min="10" max="10" width="51.88671875" customWidth="1"/>
    <col min="11" max="11" width="27.88671875" customWidth="1"/>
    <col min="12" max="12" width="11.6640625" customWidth="1"/>
    <col min="13" max="13" width="76.44140625" customWidth="1"/>
  </cols>
  <sheetData>
    <row r="3" spans="1:13" ht="15" thickBot="1" x14ac:dyDescent="0.35"/>
    <row r="4" spans="1:13" x14ac:dyDescent="0.3">
      <c r="A4" s="50" t="s">
        <v>153</v>
      </c>
      <c r="B4" s="51" t="s">
        <v>82</v>
      </c>
      <c r="C4" s="51" t="s">
        <v>9</v>
      </c>
      <c r="D4" s="51" t="s">
        <v>36</v>
      </c>
      <c r="E4" s="53" t="s">
        <v>125</v>
      </c>
      <c r="F4" s="17"/>
      <c r="G4" s="17"/>
      <c r="H4" s="17"/>
      <c r="I4" s="17"/>
      <c r="J4" s="7"/>
      <c r="K4" s="7"/>
      <c r="L4" s="7"/>
      <c r="M4" s="7"/>
    </row>
    <row r="5" spans="1:13" ht="28.8" x14ac:dyDescent="0.3">
      <c r="A5" s="55" t="s">
        <v>155</v>
      </c>
      <c r="B5" s="55" t="s">
        <v>83</v>
      </c>
      <c r="C5" s="55" t="s">
        <v>21</v>
      </c>
      <c r="D5" s="55" t="s">
        <v>88</v>
      </c>
      <c r="E5" s="55" t="s">
        <v>26</v>
      </c>
      <c r="F5" s="17"/>
      <c r="G5" s="17"/>
      <c r="H5" s="17"/>
      <c r="I5" s="17"/>
      <c r="J5" s="7"/>
      <c r="K5" s="7"/>
      <c r="L5" s="7"/>
      <c r="M5" s="7"/>
    </row>
    <row r="6" spans="1:13" ht="28.8" x14ac:dyDescent="0.3">
      <c r="A6" s="50" t="s">
        <v>34</v>
      </c>
      <c r="B6" s="51" t="s">
        <v>56</v>
      </c>
      <c r="C6" s="51" t="s">
        <v>57</v>
      </c>
      <c r="D6" s="51" t="s">
        <v>58</v>
      </c>
      <c r="E6" s="51" t="s">
        <v>59</v>
      </c>
      <c r="F6" s="51" t="s">
        <v>65</v>
      </c>
      <c r="G6" s="51" t="s">
        <v>60</v>
      </c>
      <c r="H6" s="51" t="s">
        <v>61</v>
      </c>
      <c r="I6" s="51" t="s">
        <v>62</v>
      </c>
      <c r="J6" s="51" t="s">
        <v>63</v>
      </c>
      <c r="K6" s="51" t="s">
        <v>64</v>
      </c>
      <c r="L6" s="51" t="s">
        <v>53</v>
      </c>
      <c r="M6" s="51" t="s">
        <v>81</v>
      </c>
    </row>
    <row r="7" spans="1:13" x14ac:dyDescent="0.3">
      <c r="A7" s="11" t="s">
        <v>54</v>
      </c>
      <c r="B7" s="10">
        <v>0.94399999999999995</v>
      </c>
      <c r="C7" s="10"/>
      <c r="D7" s="10"/>
      <c r="E7" s="10">
        <v>5.6000000000000001E-2</v>
      </c>
      <c r="F7" s="9"/>
      <c r="G7" s="10">
        <v>0.94399999999999995</v>
      </c>
      <c r="H7" s="10"/>
      <c r="I7" s="10"/>
      <c r="J7" s="10">
        <v>5.6000000000000001E-2</v>
      </c>
      <c r="K7" s="9"/>
      <c r="L7" s="9"/>
      <c r="M7" s="289" t="s">
        <v>210</v>
      </c>
    </row>
    <row r="8" spans="1:13" x14ac:dyDescent="0.3">
      <c r="A8" s="11" t="s">
        <v>47</v>
      </c>
      <c r="B8" s="9">
        <v>15700</v>
      </c>
      <c r="C8" s="9">
        <v>15700</v>
      </c>
      <c r="D8" s="9">
        <v>15700</v>
      </c>
      <c r="E8" s="9"/>
      <c r="F8" s="9"/>
      <c r="G8" s="9">
        <f>B8</f>
        <v>15700</v>
      </c>
      <c r="H8" s="9">
        <f>G8</f>
        <v>15700</v>
      </c>
      <c r="I8" s="9">
        <f>H8</f>
        <v>15700</v>
      </c>
      <c r="J8" s="9"/>
      <c r="K8" s="9"/>
      <c r="L8" s="9"/>
      <c r="M8" s="290"/>
    </row>
    <row r="9" spans="1:13" x14ac:dyDescent="0.3">
      <c r="A9" s="11" t="s">
        <v>48</v>
      </c>
      <c r="B9" s="9">
        <v>0.98</v>
      </c>
      <c r="C9" s="9">
        <v>0.86</v>
      </c>
      <c r="D9" s="9">
        <v>0.37</v>
      </c>
      <c r="E9" s="9"/>
      <c r="F9" s="9"/>
      <c r="G9" s="9">
        <v>0.98</v>
      </c>
      <c r="H9" s="9">
        <v>0.86</v>
      </c>
      <c r="I9" s="9">
        <v>0.37</v>
      </c>
      <c r="J9" s="9"/>
      <c r="K9" s="9"/>
      <c r="L9" s="9"/>
      <c r="M9" s="290"/>
    </row>
    <row r="10" spans="1:13" x14ac:dyDescent="0.3">
      <c r="A10" s="11" t="s">
        <v>49</v>
      </c>
      <c r="B10" s="9">
        <v>365.25</v>
      </c>
      <c r="C10" s="9">
        <v>365.25</v>
      </c>
      <c r="D10" s="9">
        <v>365.25</v>
      </c>
      <c r="E10" s="9"/>
      <c r="F10" s="9"/>
      <c r="G10" s="9">
        <v>365.25</v>
      </c>
      <c r="H10" s="9">
        <v>365.25</v>
      </c>
      <c r="I10" s="9">
        <v>365.25</v>
      </c>
      <c r="J10" s="9"/>
      <c r="K10" s="9"/>
      <c r="L10" s="9"/>
      <c r="M10" s="290"/>
    </row>
    <row r="11" spans="1:13" x14ac:dyDescent="0.3">
      <c r="A11" s="11" t="s">
        <v>50</v>
      </c>
      <c r="B11" s="9">
        <v>3.39</v>
      </c>
      <c r="C11" s="9">
        <v>3.39</v>
      </c>
      <c r="D11" s="9">
        <v>2.06</v>
      </c>
      <c r="E11" s="9"/>
      <c r="F11" s="9"/>
      <c r="G11" s="9">
        <v>4.37</v>
      </c>
      <c r="H11" s="9">
        <v>4.6100000000000003</v>
      </c>
      <c r="I11" s="9">
        <v>3</v>
      </c>
      <c r="J11" s="9"/>
      <c r="K11" s="9"/>
      <c r="L11" s="9"/>
      <c r="M11" s="290"/>
    </row>
    <row r="12" spans="1:13" x14ac:dyDescent="0.3">
      <c r="A12" s="12" t="s">
        <v>66</v>
      </c>
      <c r="B12" s="61">
        <f>(B8*B9*B10)/(B11*1000)</f>
        <v>1657.7393805309734</v>
      </c>
      <c r="C12" s="61">
        <f>ROUND((C8*C9*C10)/(C11*1000),2)</f>
        <v>1454.75</v>
      </c>
      <c r="D12" s="61">
        <f>ROUND((D8*D9*D10)/(D11*1000),2)</f>
        <v>1029.97</v>
      </c>
      <c r="E12" s="61">
        <f>C12+D12</f>
        <v>2484.7200000000003</v>
      </c>
      <c r="F12" s="61">
        <f>(B7*B12)+(E7*E12)</f>
        <v>1704.0502952212389</v>
      </c>
      <c r="G12" s="61">
        <f>(G8*G9*G10)/(G11*1000)</f>
        <v>1285.9808924485126</v>
      </c>
      <c r="H12" s="61">
        <f>(H8*H9*H10)/(H11*1000)</f>
        <v>1069.7625813449024</v>
      </c>
      <c r="I12" s="61">
        <f>(I8*I9*I10)/(I11*1000)</f>
        <v>707.24575000000004</v>
      </c>
      <c r="J12" s="61">
        <f>H12+I12</f>
        <v>1777.0083313449024</v>
      </c>
      <c r="K12" s="61">
        <f>(G7*G12)+(J7*J12)</f>
        <v>1313.4784290267105</v>
      </c>
      <c r="L12" s="62">
        <f>ROUND(F12-K12,2)</f>
        <v>390.57</v>
      </c>
      <c r="M12" s="291"/>
    </row>
    <row r="13" spans="1:13" x14ac:dyDescent="0.3">
      <c r="A13" s="6"/>
      <c r="B13" s="17"/>
      <c r="C13" s="17"/>
      <c r="D13" s="17"/>
      <c r="E13" s="17"/>
      <c r="F13" s="17"/>
      <c r="G13" s="17"/>
      <c r="H13" s="17"/>
      <c r="I13" s="17"/>
      <c r="J13" s="7"/>
      <c r="K13" s="7"/>
      <c r="L13" s="7"/>
      <c r="M13" s="7"/>
    </row>
    <row r="14" spans="1:13" x14ac:dyDescent="0.3">
      <c r="A14" s="51" t="s">
        <v>72</v>
      </c>
      <c r="B14" s="17"/>
      <c r="C14" s="17"/>
      <c r="D14" s="17"/>
      <c r="E14" s="17"/>
      <c r="F14" s="17"/>
      <c r="G14" s="17"/>
      <c r="H14" s="17"/>
      <c r="I14" s="17"/>
      <c r="J14" s="7"/>
      <c r="K14" s="7"/>
      <c r="L14" s="7"/>
      <c r="M14" s="7"/>
    </row>
    <row r="15" spans="1:13" x14ac:dyDescent="0.3">
      <c r="A15" s="51" t="s">
        <v>34</v>
      </c>
      <c r="B15" s="51" t="s">
        <v>76</v>
      </c>
      <c r="C15" s="51" t="s">
        <v>70</v>
      </c>
      <c r="D15" s="51" t="s">
        <v>77</v>
      </c>
      <c r="E15" s="51" t="s">
        <v>81</v>
      </c>
      <c r="F15" s="17"/>
      <c r="G15" s="17"/>
      <c r="H15" s="17"/>
      <c r="I15" s="17"/>
      <c r="J15" s="7"/>
      <c r="K15" s="7"/>
      <c r="L15" s="7"/>
      <c r="M15" s="7"/>
    </row>
    <row r="16" spans="1:13" x14ac:dyDescent="0.3">
      <c r="A16" s="12" t="s">
        <v>73</v>
      </c>
      <c r="B16" s="14">
        <f>'Peak Demand Calculations'!$B$3</f>
        <v>0.376</v>
      </c>
      <c r="C16" s="14">
        <f>'Peak Demand Calculations'!$B$4</f>
        <v>0.41499999999999998</v>
      </c>
      <c r="D16" s="14"/>
      <c r="E16" s="289" t="s">
        <v>163</v>
      </c>
      <c r="F16" s="17"/>
      <c r="G16" s="17"/>
      <c r="H16" s="17"/>
      <c r="I16" s="17"/>
      <c r="J16" s="7"/>
      <c r="K16" s="7"/>
      <c r="L16" s="7"/>
      <c r="M16" s="7"/>
    </row>
    <row r="17" spans="1:13" x14ac:dyDescent="0.3">
      <c r="A17" s="12" t="s">
        <v>74</v>
      </c>
      <c r="B17" s="14">
        <f>'Peak Demand Calculations'!$D$3</f>
        <v>0.52200000000000002</v>
      </c>
      <c r="C17" s="14">
        <f>'Peak Demand Calculations'!$D$4</f>
        <v>0.39</v>
      </c>
      <c r="D17" s="19"/>
      <c r="E17" s="290"/>
      <c r="F17" s="17"/>
      <c r="G17" s="17"/>
      <c r="H17" s="17"/>
      <c r="I17" s="17"/>
      <c r="J17" s="7"/>
      <c r="K17" s="7"/>
      <c r="L17" s="7"/>
      <c r="M17" s="7"/>
    </row>
    <row r="18" spans="1:13" x14ac:dyDescent="0.3">
      <c r="A18" s="12" t="s">
        <v>75</v>
      </c>
      <c r="B18" s="15">
        <f>B17*B16</f>
        <v>0.196272</v>
      </c>
      <c r="C18" s="15">
        <f>C17*C16</f>
        <v>0.16184999999999999</v>
      </c>
      <c r="D18" s="38">
        <f>ROUND(B18-C18,5)</f>
        <v>3.4419999999999999E-2</v>
      </c>
      <c r="E18" s="291"/>
      <c r="F18" s="17"/>
      <c r="G18" s="17"/>
      <c r="H18" s="17"/>
      <c r="I18" s="17"/>
      <c r="J18" s="7"/>
      <c r="K18" s="7"/>
      <c r="L18" s="7"/>
      <c r="M18" s="7"/>
    </row>
  </sheetData>
  <mergeCells count="2">
    <mergeCell ref="E16:E18"/>
    <mergeCell ref="M7:M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F17"/>
  <sheetViews>
    <sheetView topLeftCell="D1" zoomScale="85" zoomScaleNormal="85" workbookViewId="0">
      <selection activeCell="F11" sqref="F11"/>
    </sheetView>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6" width="45.44140625" customWidth="1"/>
  </cols>
  <sheetData>
    <row r="2" spans="1:6" ht="15" thickBot="1" x14ac:dyDescent="0.35"/>
    <row r="3" spans="1:6" x14ac:dyDescent="0.3">
      <c r="A3" s="126" t="s">
        <v>152</v>
      </c>
      <c r="B3" s="126" t="s">
        <v>82</v>
      </c>
      <c r="C3" s="126" t="s">
        <v>9</v>
      </c>
      <c r="D3" s="126" t="s">
        <v>36</v>
      </c>
      <c r="E3" s="126" t="s">
        <v>125</v>
      </c>
      <c r="F3" s="18"/>
    </row>
    <row r="4" spans="1:6" x14ac:dyDescent="0.3">
      <c r="A4" s="56" t="s">
        <v>94</v>
      </c>
      <c r="B4" s="86" t="s">
        <v>84</v>
      </c>
      <c r="C4" s="86" t="s">
        <v>42</v>
      </c>
      <c r="D4" s="86" t="s">
        <v>88</v>
      </c>
      <c r="E4" s="86" t="s">
        <v>17</v>
      </c>
      <c r="F4" s="17"/>
    </row>
    <row r="5" spans="1:6" ht="28.8" x14ac:dyDescent="0.3">
      <c r="A5" s="126" t="s">
        <v>34</v>
      </c>
      <c r="B5" s="126" t="s">
        <v>67</v>
      </c>
      <c r="C5" s="126" t="s">
        <v>78</v>
      </c>
      <c r="D5" s="126" t="s">
        <v>52</v>
      </c>
      <c r="E5" s="126" t="s">
        <v>275</v>
      </c>
      <c r="F5" s="126" t="s">
        <v>276</v>
      </c>
    </row>
    <row r="6" spans="1:6" ht="28.8" x14ac:dyDescent="0.3">
      <c r="A6" s="12" t="s">
        <v>54</v>
      </c>
      <c r="B6" s="20" t="s">
        <v>251</v>
      </c>
      <c r="C6" s="146" t="s">
        <v>68</v>
      </c>
      <c r="D6" s="146" t="s">
        <v>279</v>
      </c>
      <c r="E6" s="14"/>
      <c r="F6" s="14"/>
    </row>
    <row r="7" spans="1:6" x14ac:dyDescent="0.3">
      <c r="A7" s="12" t="s">
        <v>47</v>
      </c>
      <c r="B7" s="9">
        <f>'Energy Factors Tables'!$E$5</f>
        <v>15700</v>
      </c>
      <c r="C7" s="14"/>
      <c r="D7" s="14"/>
      <c r="E7" s="14"/>
      <c r="F7" s="21"/>
    </row>
    <row r="8" spans="1:6" x14ac:dyDescent="0.3">
      <c r="A8" s="12" t="s">
        <v>48</v>
      </c>
      <c r="B8" s="19">
        <f>'Energy Factors Tables'!$I$5</f>
        <v>1.052</v>
      </c>
      <c r="C8" s="14"/>
      <c r="D8" s="14"/>
      <c r="E8" s="14"/>
      <c r="F8" s="62"/>
    </row>
    <row r="9" spans="1:6" x14ac:dyDescent="0.3">
      <c r="A9" s="12" t="s">
        <v>49</v>
      </c>
      <c r="B9" s="14">
        <v>365</v>
      </c>
      <c r="C9" s="14"/>
      <c r="D9" s="14"/>
      <c r="E9" s="14"/>
      <c r="F9" s="113"/>
    </row>
    <row r="10" spans="1:6" x14ac:dyDescent="0.3">
      <c r="A10" s="12" t="s">
        <v>50</v>
      </c>
      <c r="B10" s="141">
        <f>'Energy Factors Tables'!$M$5</f>
        <v>2.3817391304347821</v>
      </c>
      <c r="C10" s="14"/>
      <c r="D10" s="14"/>
      <c r="E10" s="21"/>
      <c r="F10" s="21" t="s">
        <v>212</v>
      </c>
    </row>
    <row r="11" spans="1:6" x14ac:dyDescent="0.3">
      <c r="A11" s="12" t="s">
        <v>46</v>
      </c>
      <c r="B11" s="61">
        <f>(B7*B8*B9)/(B10*1000)</f>
        <v>2531.1277473530495</v>
      </c>
      <c r="C11" s="61">
        <f>'Msr A -New'!$F$11</f>
        <v>2371.8648330749147</v>
      </c>
      <c r="D11" s="39">
        <f>'Msr A -New'!$K$11</f>
        <v>1278.9299856407488</v>
      </c>
      <c r="E11" s="62">
        <f>ROUND('Msr C -New'!B11-$D$11,3)</f>
        <v>1252.1980000000001</v>
      </c>
      <c r="F11" s="62">
        <f>ROUND('Msr C -New'!C11-$D$11,3)</f>
        <v>1092.9349999999999</v>
      </c>
    </row>
    <row r="12" spans="1:6" x14ac:dyDescent="0.3">
      <c r="A12" s="6"/>
      <c r="B12" s="17"/>
      <c r="C12" s="17"/>
      <c r="D12" s="17"/>
      <c r="E12" s="17"/>
      <c r="F12" s="17"/>
    </row>
    <row r="13" spans="1:6" x14ac:dyDescent="0.3">
      <c r="A13" s="126" t="s">
        <v>72</v>
      </c>
      <c r="B13" s="17"/>
      <c r="C13" s="17"/>
      <c r="D13" s="17"/>
      <c r="E13" s="17"/>
      <c r="F13" s="17"/>
    </row>
    <row r="14" spans="1:6" x14ac:dyDescent="0.3">
      <c r="A14" s="126" t="s">
        <v>34</v>
      </c>
      <c r="B14" s="126" t="s">
        <v>159</v>
      </c>
      <c r="C14" s="126" t="s">
        <v>160</v>
      </c>
      <c r="D14" s="126" t="s">
        <v>70</v>
      </c>
      <c r="E14" s="126" t="s">
        <v>304</v>
      </c>
      <c r="F14" s="126" t="s">
        <v>305</v>
      </c>
    </row>
    <row r="15" spans="1:6" ht="14.25" customHeight="1" x14ac:dyDescent="0.3">
      <c r="A15" s="12" t="s">
        <v>73</v>
      </c>
      <c r="B15" s="15">
        <f>'Peak Demand-New'!$E$17</f>
        <v>0.80561320000000003</v>
      </c>
      <c r="C15" s="14">
        <v>0</v>
      </c>
      <c r="D15" s="14">
        <v>0</v>
      </c>
      <c r="E15" s="14"/>
      <c r="F15" s="14"/>
    </row>
    <row r="16" spans="1:6" x14ac:dyDescent="0.3">
      <c r="A16" s="12" t="s">
        <v>74</v>
      </c>
      <c r="B16" s="15">
        <f>'Peak Demand-New'!$F$17</f>
        <v>0.307</v>
      </c>
      <c r="C16" s="14">
        <v>0</v>
      </c>
      <c r="D16" s="14">
        <v>0</v>
      </c>
      <c r="E16" s="19"/>
      <c r="F16" s="19"/>
    </row>
    <row r="17" spans="1:6" ht="15" thickBot="1" x14ac:dyDescent="0.35">
      <c r="A17" s="13" t="s">
        <v>75</v>
      </c>
      <c r="B17" s="22">
        <f>B16*B15</f>
        <v>0.2473232524</v>
      </c>
      <c r="C17" s="15">
        <f>C16*C15</f>
        <v>0</v>
      </c>
      <c r="D17" s="22">
        <f>D16*D15</f>
        <v>0</v>
      </c>
      <c r="E17" s="23">
        <f>ROUND('Msr C -New'!B17-D17,3)</f>
        <v>0.247</v>
      </c>
      <c r="F17" s="23">
        <f>ROUND('Msr C -New'!C17-D17,3)</f>
        <v>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2:J24"/>
  <sheetViews>
    <sheetView workbookViewId="0"/>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6" width="45.44140625" customWidth="1"/>
    <col min="7" max="7" width="20.44140625" customWidth="1"/>
    <col min="8" max="8" width="29.88671875" customWidth="1"/>
    <col min="9" max="9" width="26.6640625" bestFit="1" customWidth="1"/>
    <col min="10" max="10" width="51.88671875" customWidth="1"/>
  </cols>
  <sheetData>
    <row r="2" spans="1:10" ht="15" thickBot="1" x14ac:dyDescent="0.35"/>
    <row r="3" spans="1:10" x14ac:dyDescent="0.3">
      <c r="A3" s="51" t="s">
        <v>152</v>
      </c>
      <c r="B3" s="51" t="s">
        <v>82</v>
      </c>
      <c r="C3" s="51" t="s">
        <v>9</v>
      </c>
      <c r="D3" s="51" t="s">
        <v>36</v>
      </c>
      <c r="E3" s="51" t="s">
        <v>125</v>
      </c>
      <c r="F3" s="18"/>
      <c r="G3" s="18"/>
      <c r="H3" s="4"/>
      <c r="I3" s="4"/>
      <c r="J3" s="5"/>
    </row>
    <row r="4" spans="1:10" x14ac:dyDescent="0.3">
      <c r="A4" s="56" t="s">
        <v>94</v>
      </c>
      <c r="B4" s="55" t="s">
        <v>84</v>
      </c>
      <c r="C4" s="55" t="s">
        <v>42</v>
      </c>
      <c r="D4" s="55" t="s">
        <v>88</v>
      </c>
      <c r="E4" s="55" t="s">
        <v>17</v>
      </c>
      <c r="F4" s="17"/>
      <c r="G4" s="17"/>
      <c r="H4" s="7"/>
      <c r="I4" s="7"/>
      <c r="J4" s="8"/>
    </row>
    <row r="5" spans="1:10" ht="28.8" x14ac:dyDescent="0.3">
      <c r="A5" s="51" t="s">
        <v>34</v>
      </c>
      <c r="B5" s="51" t="s">
        <v>67</v>
      </c>
      <c r="C5" s="51" t="s">
        <v>78</v>
      </c>
      <c r="D5" s="51" t="s">
        <v>52</v>
      </c>
      <c r="E5" s="51" t="s">
        <v>120</v>
      </c>
      <c r="F5" s="51" t="s">
        <v>121</v>
      </c>
      <c r="G5" s="51" t="s">
        <v>122</v>
      </c>
      <c r="H5" s="51" t="s">
        <v>123</v>
      </c>
      <c r="I5" s="301" t="s">
        <v>80</v>
      </c>
      <c r="J5" s="301"/>
    </row>
    <row r="6" spans="1:10" x14ac:dyDescent="0.3">
      <c r="A6" s="12" t="s">
        <v>54</v>
      </c>
      <c r="B6" s="20"/>
      <c r="C6" s="14" t="s">
        <v>68</v>
      </c>
      <c r="D6" s="14"/>
      <c r="E6" s="14"/>
      <c r="F6" s="14"/>
      <c r="G6" s="14"/>
      <c r="H6" s="14"/>
      <c r="I6" s="270" t="s">
        <v>157</v>
      </c>
      <c r="J6" s="270"/>
    </row>
    <row r="7" spans="1:10" x14ac:dyDescent="0.3">
      <c r="A7" s="12" t="s">
        <v>47</v>
      </c>
      <c r="B7" s="9">
        <v>15700</v>
      </c>
      <c r="C7" s="14"/>
      <c r="D7" s="14"/>
      <c r="E7" s="14"/>
      <c r="F7" s="21" t="s">
        <v>212</v>
      </c>
      <c r="G7" s="14"/>
      <c r="H7" s="14"/>
      <c r="I7" s="270"/>
      <c r="J7" s="270"/>
    </row>
    <row r="8" spans="1:10" x14ac:dyDescent="0.3">
      <c r="A8" s="12" t="s">
        <v>48</v>
      </c>
      <c r="B8" s="19">
        <v>1</v>
      </c>
      <c r="C8" s="14"/>
      <c r="D8" s="14"/>
      <c r="E8" s="14"/>
      <c r="F8" s="62">
        <f>ROUND('Msr C'!C11-$D$11,3)</f>
        <v>675.84299999999996</v>
      </c>
      <c r="G8" s="14"/>
      <c r="H8" s="113" t="s">
        <v>214</v>
      </c>
      <c r="I8" s="270"/>
      <c r="J8" s="270"/>
    </row>
    <row r="9" spans="1:10" x14ac:dyDescent="0.3">
      <c r="A9" s="12" t="s">
        <v>49</v>
      </c>
      <c r="B9" s="14">
        <v>365</v>
      </c>
      <c r="C9" s="14"/>
      <c r="D9" s="14"/>
      <c r="E9" s="14"/>
      <c r="F9" s="113">
        <v>695</v>
      </c>
      <c r="G9" s="14"/>
      <c r="H9" s="113">
        <v>677</v>
      </c>
      <c r="I9" s="270"/>
      <c r="J9" s="270"/>
    </row>
    <row r="10" spans="1:10" x14ac:dyDescent="0.3">
      <c r="A10" s="12" t="s">
        <v>50</v>
      </c>
      <c r="B10" s="14">
        <v>2.1800000000000002</v>
      </c>
      <c r="C10" s="14"/>
      <c r="D10" s="14"/>
      <c r="E10" s="21"/>
      <c r="F10" s="113" t="s">
        <v>214</v>
      </c>
      <c r="G10" s="21"/>
      <c r="H10" s="21"/>
      <c r="I10" s="270"/>
      <c r="J10" s="270"/>
    </row>
    <row r="11" spans="1:10" x14ac:dyDescent="0.3">
      <c r="A11" s="12" t="s">
        <v>46</v>
      </c>
      <c r="B11" s="61">
        <f>(B7*B8*B9)/(B10*1000)</f>
        <v>2628.669724770642</v>
      </c>
      <c r="C11" s="61">
        <f>'Msr A'!$F$11</f>
        <v>1932.8428275505121</v>
      </c>
      <c r="D11" s="39">
        <v>1257</v>
      </c>
      <c r="E11" s="62">
        <f>ROUND('Msr C'!B11-$D$11,3)</f>
        <v>1371.67</v>
      </c>
      <c r="F11" s="113">
        <v>695</v>
      </c>
      <c r="G11" s="62">
        <f>E11</f>
        <v>1371.67</v>
      </c>
      <c r="H11" s="62">
        <f>'Meas. A &amp; C, CZ Adjustments'!$D$32</f>
        <v>677</v>
      </c>
      <c r="I11" s="270"/>
      <c r="J11" s="270"/>
    </row>
    <row r="12" spans="1:10" x14ac:dyDescent="0.3">
      <c r="A12" s="6"/>
      <c r="B12" s="17"/>
      <c r="C12" s="17"/>
      <c r="D12" s="17"/>
      <c r="E12" s="17"/>
      <c r="F12" s="17"/>
      <c r="G12" s="17"/>
      <c r="H12" s="7"/>
      <c r="I12" s="7"/>
      <c r="J12" s="8"/>
    </row>
    <row r="13" spans="1:10" x14ac:dyDescent="0.3">
      <c r="A13" s="51" t="s">
        <v>72</v>
      </c>
      <c r="B13" s="17"/>
      <c r="C13" s="17"/>
      <c r="D13" s="17"/>
      <c r="E13" s="17"/>
      <c r="F13" s="17"/>
      <c r="G13" s="17"/>
      <c r="H13" s="7"/>
      <c r="I13" s="7"/>
      <c r="J13" s="8"/>
    </row>
    <row r="14" spans="1:10" ht="28.8" x14ac:dyDescent="0.3">
      <c r="A14" s="51" t="s">
        <v>34</v>
      </c>
      <c r="B14" s="51" t="s">
        <v>159</v>
      </c>
      <c r="C14" s="51" t="s">
        <v>160</v>
      </c>
      <c r="D14" s="51" t="s">
        <v>70</v>
      </c>
      <c r="E14" s="51" t="s">
        <v>161</v>
      </c>
      <c r="F14" s="51" t="s">
        <v>162</v>
      </c>
      <c r="G14" s="51" t="s">
        <v>119</v>
      </c>
      <c r="H14" s="51" t="s">
        <v>119</v>
      </c>
      <c r="I14" s="301" t="s">
        <v>81</v>
      </c>
      <c r="J14" s="301"/>
    </row>
    <row r="15" spans="1:10" x14ac:dyDescent="0.3">
      <c r="A15" s="12" t="s">
        <v>73</v>
      </c>
      <c r="B15" s="14">
        <v>1.772</v>
      </c>
      <c r="C15" s="14">
        <f>'Peak Demand Calculations'!$B$3</f>
        <v>0.376</v>
      </c>
      <c r="D15" s="14">
        <v>0.41499999999999998</v>
      </c>
      <c r="E15" s="14"/>
      <c r="F15" s="14"/>
      <c r="G15" s="14"/>
      <c r="H15" s="14"/>
      <c r="I15" s="270" t="s">
        <v>158</v>
      </c>
      <c r="J15" s="270"/>
    </row>
    <row r="16" spans="1:10" x14ac:dyDescent="0.3">
      <c r="A16" s="12" t="s">
        <v>74</v>
      </c>
      <c r="B16" s="14">
        <v>0.309</v>
      </c>
      <c r="C16" s="14">
        <f>'Peak Demand Calculations'!$D$3</f>
        <v>0.52200000000000002</v>
      </c>
      <c r="D16" s="14">
        <v>0</v>
      </c>
      <c r="E16" s="19"/>
      <c r="F16" s="19"/>
      <c r="G16" s="19"/>
      <c r="H16" s="19"/>
      <c r="I16" s="270"/>
      <c r="J16" s="270"/>
    </row>
    <row r="17" spans="1:10" ht="15" thickBot="1" x14ac:dyDescent="0.35">
      <c r="A17" s="13" t="s">
        <v>75</v>
      </c>
      <c r="B17" s="22">
        <f>B16*B15</f>
        <v>0.54754800000000003</v>
      </c>
      <c r="C17" s="15">
        <f>C16*C15</f>
        <v>0.196272</v>
      </c>
      <c r="D17" s="22">
        <f>D16*D15</f>
        <v>0</v>
      </c>
      <c r="E17" s="23">
        <f>ROUND('Msr C'!B17-D17,3)</f>
        <v>0.54800000000000004</v>
      </c>
      <c r="F17" s="23">
        <f>ROUND('Msr C'!C17-D17,3)</f>
        <v>0.19600000000000001</v>
      </c>
      <c r="G17" s="23">
        <f>E17</f>
        <v>0.54800000000000004</v>
      </c>
      <c r="H17" s="23">
        <f>F17</f>
        <v>0.19600000000000001</v>
      </c>
      <c r="I17" s="270"/>
      <c r="J17" s="270"/>
    </row>
    <row r="19" spans="1:10" ht="15" thickBot="1" x14ac:dyDescent="0.35"/>
    <row r="20" spans="1:10" x14ac:dyDescent="0.3">
      <c r="A20" s="292" t="s">
        <v>211</v>
      </c>
      <c r="B20" s="293"/>
      <c r="C20" s="294"/>
    </row>
    <row r="21" spans="1:10" x14ac:dyDescent="0.3">
      <c r="A21" s="295"/>
      <c r="B21" s="296"/>
      <c r="C21" s="297"/>
    </row>
    <row r="22" spans="1:10" x14ac:dyDescent="0.3">
      <c r="A22" s="295"/>
      <c r="B22" s="296"/>
      <c r="C22" s="297"/>
    </row>
    <row r="23" spans="1:10" x14ac:dyDescent="0.3">
      <c r="A23" s="295"/>
      <c r="B23" s="296"/>
      <c r="C23" s="297"/>
    </row>
    <row r="24" spans="1:10" ht="15" thickBot="1" x14ac:dyDescent="0.35">
      <c r="A24" s="298"/>
      <c r="B24" s="299"/>
      <c r="C24" s="300"/>
    </row>
  </sheetData>
  <mergeCells count="5">
    <mergeCell ref="I5:J5"/>
    <mergeCell ref="I6:J11"/>
    <mergeCell ref="I15:J17"/>
    <mergeCell ref="I14:J14"/>
    <mergeCell ref="A20:C24"/>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2:J22"/>
  <sheetViews>
    <sheetView topLeftCell="B1" zoomScale="70" zoomScaleNormal="70" workbookViewId="0">
      <selection activeCell="D42" sqref="D42"/>
    </sheetView>
  </sheetViews>
  <sheetFormatPr defaultRowHeight="14.4" x14ac:dyDescent="0.3"/>
  <cols>
    <col min="1" max="1" width="27.88671875" bestFit="1" customWidth="1"/>
    <col min="2" max="2" width="27.44140625" bestFit="1" customWidth="1"/>
    <col min="3" max="3" width="30.88671875" customWidth="1"/>
    <col min="4" max="4" width="25.33203125" bestFit="1" customWidth="1"/>
    <col min="5" max="5" width="31.44140625" customWidth="1"/>
    <col min="6" max="6" width="29.88671875" customWidth="1"/>
    <col min="7" max="7" width="17.77734375" bestFit="1" customWidth="1"/>
    <col min="8" max="8" width="18.6640625" customWidth="1"/>
    <col min="9" max="9" width="9.33203125" bestFit="1" customWidth="1"/>
  </cols>
  <sheetData>
    <row r="2" spans="1:10" x14ac:dyDescent="0.3">
      <c r="A2" s="137" t="s">
        <v>151</v>
      </c>
      <c r="B2" s="137" t="s">
        <v>198</v>
      </c>
      <c r="C2" s="137" t="s">
        <v>199</v>
      </c>
      <c r="D2" s="137" t="s">
        <v>9</v>
      </c>
      <c r="E2" s="137" t="s">
        <v>36</v>
      </c>
      <c r="F2" s="137" t="s">
        <v>36</v>
      </c>
      <c r="G2" s="137" t="s">
        <v>125</v>
      </c>
    </row>
    <row r="3" spans="1:10" x14ac:dyDescent="0.3">
      <c r="A3" s="86" t="s">
        <v>93</v>
      </c>
      <c r="B3" s="86" t="s">
        <v>86</v>
      </c>
      <c r="C3" s="86" t="s">
        <v>83</v>
      </c>
      <c r="D3" s="86" t="s">
        <v>21</v>
      </c>
      <c r="E3" s="86" t="s">
        <v>87</v>
      </c>
      <c r="F3" s="86" t="s">
        <v>87</v>
      </c>
      <c r="G3" s="86" t="s">
        <v>90</v>
      </c>
    </row>
    <row r="4" spans="1:10" ht="43.2" x14ac:dyDescent="0.3">
      <c r="A4" s="137" t="s">
        <v>34</v>
      </c>
      <c r="B4" s="137" t="s">
        <v>373</v>
      </c>
      <c r="C4" s="137" t="s">
        <v>375</v>
      </c>
      <c r="D4" s="183" t="s">
        <v>374</v>
      </c>
      <c r="E4" s="183" t="s">
        <v>376</v>
      </c>
      <c r="F4" s="137" t="s">
        <v>378</v>
      </c>
      <c r="G4" s="183" t="s">
        <v>379</v>
      </c>
      <c r="H4" s="183" t="s">
        <v>377</v>
      </c>
      <c r="I4" s="137" t="s">
        <v>201</v>
      </c>
      <c r="J4" s="137" t="s">
        <v>202</v>
      </c>
    </row>
    <row r="5" spans="1:10" ht="15" customHeight="1" x14ac:dyDescent="0.3">
      <c r="A5" s="12" t="s">
        <v>47</v>
      </c>
      <c r="B5" s="76">
        <f>'Energy Factors Tables'!$E$16</f>
        <v>27527</v>
      </c>
      <c r="C5" s="156">
        <f>B5</f>
        <v>27527</v>
      </c>
      <c r="D5" s="156">
        <f>C5</f>
        <v>27527</v>
      </c>
      <c r="E5" s="156"/>
      <c r="F5" s="156">
        <f>B5</f>
        <v>27527</v>
      </c>
      <c r="G5" s="156">
        <f>F5</f>
        <v>27527</v>
      </c>
      <c r="H5" s="156"/>
      <c r="I5" s="19"/>
      <c r="J5" s="19"/>
    </row>
    <row r="6" spans="1:10" x14ac:dyDescent="0.3">
      <c r="A6" s="12" t="s">
        <v>48</v>
      </c>
      <c r="B6" s="14">
        <f>'Energy Factors Tables'!$I$16</f>
        <v>3.4</v>
      </c>
      <c r="C6" s="19">
        <f>'Energy Factors Tables'!$I$17</f>
        <v>1.855</v>
      </c>
      <c r="D6" s="19">
        <f>'Energy Factors Tables'!$I$19</f>
        <v>0.54100000000000004</v>
      </c>
      <c r="E6" s="19"/>
      <c r="F6" s="19">
        <f>'Energy Factors Tables'!$I$17</f>
        <v>1.855</v>
      </c>
      <c r="G6" s="19">
        <f>'Energy Factors Tables'!$I$19</f>
        <v>0.54100000000000004</v>
      </c>
      <c r="H6" s="19"/>
      <c r="I6" s="19"/>
      <c r="J6" s="19"/>
    </row>
    <row r="7" spans="1:10" x14ac:dyDescent="0.3">
      <c r="A7" s="12" t="s">
        <v>49</v>
      </c>
      <c r="B7" s="14">
        <v>365</v>
      </c>
      <c r="C7" s="19">
        <v>365</v>
      </c>
      <c r="D7" s="19">
        <v>365</v>
      </c>
      <c r="E7" s="19"/>
      <c r="F7" s="19">
        <v>365</v>
      </c>
      <c r="G7" s="19">
        <v>365</v>
      </c>
      <c r="H7" s="19"/>
      <c r="I7" s="19"/>
      <c r="J7" s="19"/>
    </row>
    <row r="8" spans="1:10" x14ac:dyDescent="0.3">
      <c r="A8" s="12" t="s">
        <v>50</v>
      </c>
      <c r="B8" s="144">
        <f>'Energy Factors Tables'!$M$16</f>
        <v>2.3817391304347821</v>
      </c>
      <c r="C8" s="144">
        <f>'Energy Factors Tables'!M17</f>
        <v>2.5008000000000008</v>
      </c>
      <c r="D8" s="144">
        <f>'Energy Factors Tables'!$M$19</f>
        <v>4.4963320000000007</v>
      </c>
      <c r="E8" s="144"/>
      <c r="F8" s="144">
        <f>'Energy Factors Tables'!$M$18</f>
        <v>3.3285444999999996</v>
      </c>
      <c r="G8" s="144">
        <f>'Energy Factors Tables'!$M$20</f>
        <v>8.4357566799999972</v>
      </c>
      <c r="H8" s="144"/>
      <c r="I8" s="19"/>
      <c r="J8" s="19"/>
    </row>
    <row r="9" spans="1:10" ht="30.3" customHeight="1" x14ac:dyDescent="0.3">
      <c r="A9" s="12" t="s">
        <v>66</v>
      </c>
      <c r="B9" s="61">
        <f>(B5*B6*B7)/(B8*1000)</f>
        <v>14342.883552391388</v>
      </c>
      <c r="C9" s="154">
        <f>(C5*C6*C7)/(C8*1000)</f>
        <v>7452.7525291906568</v>
      </c>
      <c r="D9" s="154">
        <f>(D5*D6*D7)/(D8*1000)</f>
        <v>1208.9007339760499</v>
      </c>
      <c r="E9" s="154">
        <f>C9+D9</f>
        <v>8661.6532631667069</v>
      </c>
      <c r="F9" s="154">
        <f>(F5*F6*F7)/(F8*1000)</f>
        <v>5599.3974318204255</v>
      </c>
      <c r="G9" s="154">
        <f>(G5*G6*G7)/(G8*1000)</f>
        <v>644.35465141936777</v>
      </c>
      <c r="H9" s="154">
        <f>F9+G9</f>
        <v>6243.7520832397931</v>
      </c>
      <c r="I9" s="155">
        <f>ROUND(B9-H9,3)</f>
        <v>8099.1310000000003</v>
      </c>
      <c r="J9" s="155">
        <f>ROUND(E9-H9,3)</f>
        <v>2417.9009999999998</v>
      </c>
    </row>
    <row r="10" spans="1:10" x14ac:dyDescent="0.3">
      <c r="A10" s="6"/>
      <c r="B10" s="17"/>
      <c r="C10" s="17"/>
      <c r="D10" s="17"/>
      <c r="E10" s="17"/>
      <c r="F10" s="17"/>
    </row>
    <row r="11" spans="1:10" x14ac:dyDescent="0.3">
      <c r="F11" s="17"/>
    </row>
    <row r="13" spans="1:10" ht="15" customHeight="1" x14ac:dyDescent="0.3"/>
    <row r="18" spans="1:6" x14ac:dyDescent="0.3">
      <c r="A18" s="137" t="s">
        <v>72</v>
      </c>
      <c r="B18" s="17"/>
      <c r="C18" s="17"/>
      <c r="D18" s="17"/>
      <c r="E18" s="17"/>
    </row>
    <row r="19" spans="1:6" ht="28.8" x14ac:dyDescent="0.3">
      <c r="A19" s="137" t="s">
        <v>34</v>
      </c>
      <c r="B19" s="137" t="s">
        <v>79</v>
      </c>
      <c r="C19" s="137" t="s">
        <v>200</v>
      </c>
      <c r="D19" s="137" t="s">
        <v>70</v>
      </c>
      <c r="E19" s="137" t="s">
        <v>203</v>
      </c>
      <c r="F19" s="137" t="s">
        <v>204</v>
      </c>
    </row>
    <row r="20" spans="1:6" ht="14.25" customHeight="1" x14ac:dyDescent="0.3">
      <c r="A20" s="12" t="s">
        <v>73</v>
      </c>
      <c r="B20" s="141">
        <f>'Peak Demand-New'!$E$19</f>
        <v>1.8224477079999997</v>
      </c>
      <c r="C20" s="144">
        <f>'Peak Demand-New'!$E$20</f>
        <v>1.3549399499999999</v>
      </c>
      <c r="D20" s="144">
        <f>'Peak Demand-New'!$H$19</f>
        <v>1.0631493999999997</v>
      </c>
      <c r="E20" s="19"/>
      <c r="F20" s="19"/>
    </row>
    <row r="21" spans="1:6" x14ac:dyDescent="0.3">
      <c r="A21" s="12" t="s">
        <v>74</v>
      </c>
      <c r="B21" s="141">
        <f>'Peak Demand-New'!$F$19</f>
        <v>1</v>
      </c>
      <c r="C21" s="144">
        <f>'Peak Demand-New'!$F$20</f>
        <v>1</v>
      </c>
      <c r="D21" s="144">
        <f>'Peak Demand-New'!$I$19</f>
        <v>1</v>
      </c>
      <c r="E21" s="19"/>
      <c r="F21" s="19"/>
    </row>
    <row r="22" spans="1:6" x14ac:dyDescent="0.3">
      <c r="A22" s="12" t="s">
        <v>75</v>
      </c>
      <c r="B22" s="15">
        <f>B21*B20</f>
        <v>1.8224477079999997</v>
      </c>
      <c r="C22" s="157">
        <f>C21*C20</f>
        <v>1.3549399499999999</v>
      </c>
      <c r="D22" s="157">
        <f>D21*D20</f>
        <v>1.0631493999999997</v>
      </c>
      <c r="E22" s="38">
        <f>ROUND(B22-D22,5)</f>
        <v>0.75929999999999997</v>
      </c>
      <c r="F22" s="38">
        <f>ROUND(C22-D22,5)</f>
        <v>0.29178999999999999</v>
      </c>
    </row>
  </sheetData>
  <pageMargins left="0.7" right="0.7" top="0.75" bottom="0.75" header="0.3" footer="0.3"/>
  <ignoredErrors>
    <ignoredError sqref="E9" formula="1"/>
  </ignoredErrors>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2"/>
  <sheetViews>
    <sheetView zoomScale="70" zoomScaleNormal="70" workbookViewId="0">
      <selection activeCell="B14" sqref="B14"/>
    </sheetView>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27.109375" customWidth="1"/>
    <col min="6" max="6" width="23.109375" customWidth="1"/>
    <col min="7" max="7" width="54.109375" customWidth="1"/>
  </cols>
  <sheetData>
    <row r="3" spans="1:7" x14ac:dyDescent="0.3">
      <c r="A3" s="142" t="s">
        <v>140</v>
      </c>
      <c r="B3" s="142" t="s">
        <v>198</v>
      </c>
      <c r="C3" s="142" t="s">
        <v>199</v>
      </c>
      <c r="D3" s="142" t="s">
        <v>9</v>
      </c>
      <c r="E3" s="142" t="s">
        <v>36</v>
      </c>
      <c r="F3" s="142" t="s">
        <v>36</v>
      </c>
      <c r="G3" s="87" t="s">
        <v>125</v>
      </c>
    </row>
    <row r="4" spans="1:7" x14ac:dyDescent="0.3">
      <c r="A4" s="86" t="s">
        <v>91</v>
      </c>
      <c r="B4" s="86" t="s">
        <v>86</v>
      </c>
      <c r="C4" s="86" t="s">
        <v>83</v>
      </c>
      <c r="D4" s="86" t="s">
        <v>21</v>
      </c>
      <c r="E4" s="86" t="s">
        <v>87</v>
      </c>
      <c r="F4" s="86"/>
      <c r="G4" s="88" t="s">
        <v>126</v>
      </c>
    </row>
    <row r="5" spans="1:7" x14ac:dyDescent="0.3">
      <c r="A5" s="142" t="s">
        <v>34</v>
      </c>
      <c r="B5" s="142" t="s">
        <v>69</v>
      </c>
      <c r="C5" s="142" t="s">
        <v>200</v>
      </c>
      <c r="D5" s="142" t="s">
        <v>70</v>
      </c>
      <c r="E5" s="142" t="s">
        <v>201</v>
      </c>
      <c r="F5" s="142" t="s">
        <v>202</v>
      </c>
      <c r="G5" s="87" t="s">
        <v>81</v>
      </c>
    </row>
    <row r="6" spans="1:7" ht="14.25" customHeight="1" x14ac:dyDescent="0.3">
      <c r="A6" s="12" t="s">
        <v>47</v>
      </c>
      <c r="B6" s="14">
        <v>1400</v>
      </c>
      <c r="C6" s="14">
        <v>1400</v>
      </c>
      <c r="D6" s="14">
        <f>B6</f>
        <v>1400</v>
      </c>
      <c r="E6" s="14"/>
      <c r="F6" s="14"/>
    </row>
    <row r="7" spans="1:7" x14ac:dyDescent="0.3">
      <c r="A7" s="12" t="s">
        <v>48</v>
      </c>
      <c r="B7" s="39">
        <f>'Energy Factors Tables'!$I$21</f>
        <v>48</v>
      </c>
      <c r="C7" s="39">
        <f>B7</f>
        <v>48</v>
      </c>
      <c r="D7" s="39">
        <f>B7</f>
        <v>48</v>
      </c>
      <c r="E7" s="14"/>
      <c r="F7" s="14"/>
    </row>
    <row r="8" spans="1:7" x14ac:dyDescent="0.3">
      <c r="A8" s="12" t="s">
        <v>49</v>
      </c>
      <c r="B8" s="14">
        <v>365</v>
      </c>
      <c r="C8" s="14">
        <v>365</v>
      </c>
      <c r="D8" s="14">
        <f>B8</f>
        <v>365</v>
      </c>
      <c r="E8" s="14"/>
      <c r="F8" s="14"/>
    </row>
    <row r="9" spans="1:7" x14ac:dyDescent="0.3">
      <c r="A9" s="12" t="s">
        <v>50</v>
      </c>
      <c r="B9" s="144">
        <f>'Energy Factors Tables'!$M$21</f>
        <v>2.3817391304347821</v>
      </c>
      <c r="C9" s="144">
        <f>'Energy Factors Tables'!$M$22</f>
        <v>2.9207000000000019</v>
      </c>
      <c r="D9" s="144">
        <f>'Energy Factors Tables'!$M$23</f>
        <v>4.4708609999999993</v>
      </c>
      <c r="E9" s="153"/>
      <c r="F9" s="153"/>
    </row>
    <row r="10" spans="1:7" x14ac:dyDescent="0.3">
      <c r="A10" s="12" t="s">
        <v>66</v>
      </c>
      <c r="B10" s="154">
        <f>(B6*B7*B8)/(B9*1000)</f>
        <v>10298.357064622127</v>
      </c>
      <c r="C10" s="154">
        <f>(C6*C7*C8)/(C9*1000)</f>
        <v>8397.9867839901344</v>
      </c>
      <c r="D10" s="154">
        <f>(D6*D7*D8)/(D9*1000)</f>
        <v>5486.1915859160026</v>
      </c>
      <c r="E10" s="155">
        <f>ROUND(B10-D10,3)</f>
        <v>4812.165</v>
      </c>
      <c r="F10" s="155">
        <f>ROUND(C10-D10,3)</f>
        <v>2911.7950000000001</v>
      </c>
    </row>
    <row r="11" spans="1:7" x14ac:dyDescent="0.3">
      <c r="A11" s="6"/>
      <c r="B11" s="17"/>
      <c r="C11" s="17"/>
      <c r="D11" s="17"/>
      <c r="E11" s="17"/>
      <c r="F11" s="17"/>
    </row>
    <row r="12" spans="1:7" x14ac:dyDescent="0.3">
      <c r="A12" s="143" t="s">
        <v>72</v>
      </c>
      <c r="C12" s="17"/>
      <c r="D12" s="17"/>
      <c r="E12" s="17"/>
      <c r="F12" s="17"/>
    </row>
    <row r="13" spans="1:7" ht="28.8" x14ac:dyDescent="0.3">
      <c r="A13" s="143" t="s">
        <v>34</v>
      </c>
      <c r="B13" s="143" t="s">
        <v>159</v>
      </c>
      <c r="C13" s="143" t="s">
        <v>206</v>
      </c>
      <c r="D13" s="143" t="s">
        <v>70</v>
      </c>
      <c r="E13" s="143" t="s">
        <v>203</v>
      </c>
      <c r="F13" s="143" t="s">
        <v>204</v>
      </c>
    </row>
    <row r="14" spans="1:7" x14ac:dyDescent="0.3">
      <c r="A14" s="12" t="s">
        <v>73</v>
      </c>
      <c r="B14" s="141">
        <f>'Peak Demand-New'!$E$21</f>
        <v>0.99145479999999997</v>
      </c>
      <c r="C14" s="141">
        <f>'Peak Demand-New'!$E$22</f>
        <v>1.0607947999999998</v>
      </c>
      <c r="D14" s="141">
        <f>'Peak Demand-New'!$H$21</f>
        <v>0.75463859999999994</v>
      </c>
      <c r="E14" s="14"/>
      <c r="F14" s="14"/>
    </row>
    <row r="15" spans="1:7" ht="14.25" customHeight="1" x14ac:dyDescent="0.3">
      <c r="A15" s="12" t="s">
        <v>74</v>
      </c>
      <c r="B15" s="141">
        <f>'Peak Demand-New'!$F$21</f>
        <v>1</v>
      </c>
      <c r="C15" s="141">
        <f>'Peak Demand-New'!$F$22</f>
        <v>1</v>
      </c>
      <c r="D15" s="141">
        <f>'Peak Demand-New'!$I$21</f>
        <v>1</v>
      </c>
      <c r="E15" s="19"/>
      <c r="F15" s="19"/>
    </row>
    <row r="16" spans="1:7" x14ac:dyDescent="0.3">
      <c r="A16" s="12" t="s">
        <v>75</v>
      </c>
      <c r="B16" s="15">
        <f>B15*B14</f>
        <v>0.99145479999999997</v>
      </c>
      <c r="C16" s="15">
        <f>C15*C14</f>
        <v>1.0607947999999998</v>
      </c>
      <c r="D16" s="15">
        <f>D15*D14</f>
        <v>0.75463859999999994</v>
      </c>
      <c r="E16" s="38">
        <f>ROUND(B16-D16,5)</f>
        <v>0.23682</v>
      </c>
      <c r="F16" s="38">
        <f>ROUND(C16-D16,5)</f>
        <v>0.30615999999999999</v>
      </c>
    </row>
    <row r="19" spans="1:7" x14ac:dyDescent="0.3">
      <c r="A19" s="142" t="s">
        <v>141</v>
      </c>
      <c r="B19" s="142" t="s">
        <v>198</v>
      </c>
      <c r="C19" s="142" t="s">
        <v>199</v>
      </c>
      <c r="D19" s="142" t="s">
        <v>9</v>
      </c>
      <c r="E19" s="142" t="s">
        <v>201</v>
      </c>
      <c r="F19" s="142" t="s">
        <v>202</v>
      </c>
      <c r="G19" s="142" t="s">
        <v>125</v>
      </c>
    </row>
    <row r="20" spans="1:7" ht="15" customHeight="1" x14ac:dyDescent="0.3">
      <c r="A20" s="86" t="s">
        <v>92</v>
      </c>
      <c r="B20" s="86" t="s">
        <v>86</v>
      </c>
      <c r="C20" s="86" t="s">
        <v>83</v>
      </c>
      <c r="D20" s="86" t="s">
        <v>21</v>
      </c>
      <c r="E20" s="86" t="s">
        <v>87</v>
      </c>
      <c r="F20" s="86"/>
      <c r="G20" s="86" t="s">
        <v>127</v>
      </c>
    </row>
    <row r="21" spans="1:7" x14ac:dyDescent="0.3">
      <c r="A21" s="142" t="s">
        <v>34</v>
      </c>
      <c r="B21" s="142" t="s">
        <v>69</v>
      </c>
      <c r="C21" s="142" t="s">
        <v>200</v>
      </c>
      <c r="D21" s="142" t="s">
        <v>70</v>
      </c>
      <c r="E21" s="142" t="s">
        <v>71</v>
      </c>
      <c r="F21" s="142" t="s">
        <v>71</v>
      </c>
      <c r="G21" s="142" t="s">
        <v>81</v>
      </c>
    </row>
    <row r="22" spans="1:7" x14ac:dyDescent="0.3">
      <c r="A22" s="12" t="s">
        <v>47</v>
      </c>
      <c r="B22" s="14">
        <v>720</v>
      </c>
      <c r="C22" s="14">
        <v>720</v>
      </c>
      <c r="D22" s="14">
        <f>B22</f>
        <v>720</v>
      </c>
      <c r="E22" s="14"/>
      <c r="F22" s="14"/>
    </row>
    <row r="23" spans="1:7" ht="14.25" customHeight="1" x14ac:dyDescent="0.3">
      <c r="A23" s="12" t="s">
        <v>48</v>
      </c>
      <c r="B23" s="39">
        <f>'Energy Factors Tables'!$I$24</f>
        <v>24</v>
      </c>
      <c r="C23" s="39">
        <f>B23</f>
        <v>24</v>
      </c>
      <c r="D23" s="39">
        <f>B23</f>
        <v>24</v>
      </c>
      <c r="E23" s="14"/>
      <c r="F23" s="14"/>
    </row>
    <row r="24" spans="1:7" x14ac:dyDescent="0.3">
      <c r="A24" s="12" t="s">
        <v>49</v>
      </c>
      <c r="B24" s="14">
        <v>365</v>
      </c>
      <c r="C24" s="14">
        <v>365</v>
      </c>
      <c r="D24" s="14">
        <f>B24</f>
        <v>365</v>
      </c>
      <c r="E24" s="14"/>
      <c r="F24" s="14"/>
    </row>
    <row r="25" spans="1:7" x14ac:dyDescent="0.3">
      <c r="A25" s="12" t="s">
        <v>50</v>
      </c>
      <c r="B25" s="144">
        <f>'Energy Factors Tables'!$M$24</f>
        <v>2.3817391304347821</v>
      </c>
      <c r="C25" s="144">
        <f>'Energy Factors Tables'!$M$25</f>
        <v>7.2055000000000007</v>
      </c>
      <c r="D25" s="144">
        <f>'Energy Factors Tables'!$M$26</f>
        <v>7.8646600000000007</v>
      </c>
      <c r="E25" s="19"/>
      <c r="F25" s="19"/>
    </row>
    <row r="26" spans="1:7" x14ac:dyDescent="0.3">
      <c r="A26" s="12" t="s">
        <v>66</v>
      </c>
      <c r="B26" s="154">
        <f>(B22*B23*B24)/(B25*1000)</f>
        <v>2648.1489594742611</v>
      </c>
      <c r="C26" s="154">
        <f>(C22*C23*C24)/(C25*1000)</f>
        <v>875.33134411213643</v>
      </c>
      <c r="D26" s="154">
        <f>(D22*D23*D24)/(D25*1000)</f>
        <v>801.96728148451416</v>
      </c>
      <c r="E26" s="155">
        <f>ROUND(B26-D26,3)</f>
        <v>1846.182</v>
      </c>
      <c r="F26" s="155">
        <f>ROUND(C26-D26,3)</f>
        <v>73.364000000000004</v>
      </c>
    </row>
    <row r="28" spans="1:7" x14ac:dyDescent="0.3">
      <c r="A28" s="143" t="s">
        <v>72</v>
      </c>
      <c r="C28" s="17"/>
      <c r="D28" s="17"/>
      <c r="E28" s="17"/>
      <c r="F28" s="17"/>
    </row>
    <row r="29" spans="1:7" ht="28.8" x14ac:dyDescent="0.3">
      <c r="A29" s="143" t="s">
        <v>34</v>
      </c>
      <c r="B29" s="143" t="s">
        <v>159</v>
      </c>
      <c r="C29" s="143" t="s">
        <v>206</v>
      </c>
      <c r="D29" s="143" t="s">
        <v>70</v>
      </c>
      <c r="E29" s="143" t="s">
        <v>203</v>
      </c>
      <c r="F29" s="143" t="s">
        <v>204</v>
      </c>
    </row>
    <row r="30" spans="1:7" x14ac:dyDescent="0.3">
      <c r="A30" s="12" t="s">
        <v>73</v>
      </c>
      <c r="B30" s="141">
        <f>'Peak Demand-New'!$E$23</f>
        <v>0.71481000000000017</v>
      </c>
      <c r="C30" s="141">
        <f>'Peak Demand-New'!$E$24</f>
        <v>0.21634999999999996</v>
      </c>
      <c r="D30" s="141">
        <f>'Peak Demand-New'!$H$23</f>
        <v>6.2757500000000049E-2</v>
      </c>
      <c r="E30" s="14"/>
      <c r="F30" s="14"/>
    </row>
    <row r="31" spans="1:7" x14ac:dyDescent="0.3">
      <c r="A31" s="12" t="s">
        <v>74</v>
      </c>
      <c r="B31" s="141">
        <f>'Peak Demand-New'!$F$23</f>
        <v>1</v>
      </c>
      <c r="C31" s="141">
        <f>'Peak Demand-New'!$F$24</f>
        <v>1</v>
      </c>
      <c r="D31" s="141">
        <f>'Peak Demand-New'!$I$23</f>
        <v>1</v>
      </c>
      <c r="E31" s="19"/>
      <c r="F31" s="19"/>
    </row>
    <row r="32" spans="1:7" x14ac:dyDescent="0.3">
      <c r="A32" s="12" t="s">
        <v>75</v>
      </c>
      <c r="B32" s="15">
        <f>B31*B30</f>
        <v>0.71481000000000017</v>
      </c>
      <c r="C32" s="15">
        <f>C31*C30</f>
        <v>0.21634999999999996</v>
      </c>
      <c r="D32" s="15">
        <f>D31*D30</f>
        <v>6.2757500000000049E-2</v>
      </c>
      <c r="E32" s="38">
        <f>ROUND(B32-D32,5)</f>
        <v>0.65205000000000002</v>
      </c>
      <c r="F32" s="38">
        <f>ROUND(C32-D32,5)</f>
        <v>0.15359</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G36"/>
  <sheetViews>
    <sheetView workbookViewId="0"/>
  </sheetViews>
  <sheetFormatPr defaultRowHeight="14.4" x14ac:dyDescent="0.3"/>
  <cols>
    <col min="1" max="1" width="27.88671875" bestFit="1" customWidth="1"/>
    <col min="2" max="2" width="27.44140625" bestFit="1" customWidth="1"/>
    <col min="3" max="3" width="30.88671875" customWidth="1"/>
    <col min="4" max="4" width="25.33203125" bestFit="1" customWidth="1"/>
    <col min="5" max="5" width="31.44140625" customWidth="1"/>
    <col min="6" max="6" width="29.88671875" customWidth="1"/>
    <col min="7" max="7" width="121.44140625" customWidth="1"/>
  </cols>
  <sheetData>
    <row r="2" spans="1:7" x14ac:dyDescent="0.3">
      <c r="A2" s="51" t="s">
        <v>151</v>
      </c>
      <c r="B2" s="51" t="s">
        <v>198</v>
      </c>
      <c r="C2" s="85" t="s">
        <v>199</v>
      </c>
      <c r="D2" s="51" t="s">
        <v>9</v>
      </c>
      <c r="E2" s="85" t="s">
        <v>36</v>
      </c>
      <c r="F2" s="85" t="s">
        <v>36</v>
      </c>
      <c r="G2" s="85" t="s">
        <v>125</v>
      </c>
    </row>
    <row r="3" spans="1:7" x14ac:dyDescent="0.3">
      <c r="A3" s="55" t="s">
        <v>93</v>
      </c>
      <c r="B3" s="55" t="s">
        <v>86</v>
      </c>
      <c r="C3" s="86" t="s">
        <v>83</v>
      </c>
      <c r="D3" s="55" t="s">
        <v>21</v>
      </c>
      <c r="E3" s="86" t="s">
        <v>87</v>
      </c>
      <c r="F3" s="86" t="s">
        <v>87</v>
      </c>
      <c r="G3" s="86" t="s">
        <v>90</v>
      </c>
    </row>
    <row r="4" spans="1:7" x14ac:dyDescent="0.3">
      <c r="A4" s="51" t="s">
        <v>34</v>
      </c>
      <c r="B4" s="51" t="s">
        <v>69</v>
      </c>
      <c r="C4" s="85" t="s">
        <v>200</v>
      </c>
      <c r="D4" s="51" t="s">
        <v>70</v>
      </c>
      <c r="E4" s="85" t="s">
        <v>201</v>
      </c>
      <c r="F4" s="85" t="s">
        <v>202</v>
      </c>
      <c r="G4" s="85" t="s">
        <v>81</v>
      </c>
    </row>
    <row r="5" spans="1:7" ht="15" customHeight="1" x14ac:dyDescent="0.3">
      <c r="A5" s="12" t="s">
        <v>47</v>
      </c>
      <c r="B5" s="76">
        <f>B34</f>
        <v>27527</v>
      </c>
      <c r="C5" s="76">
        <f>B34</f>
        <v>27527</v>
      </c>
      <c r="D5" s="76">
        <f>B5</f>
        <v>27527</v>
      </c>
      <c r="E5" s="14"/>
      <c r="F5" s="14"/>
      <c r="G5" s="302" t="s">
        <v>209</v>
      </c>
    </row>
    <row r="6" spans="1:7" x14ac:dyDescent="0.3">
      <c r="A6" s="12" t="s">
        <v>48</v>
      </c>
      <c r="B6" s="14">
        <v>4</v>
      </c>
      <c r="C6" s="14">
        <v>4</v>
      </c>
      <c r="D6" s="14">
        <v>4</v>
      </c>
      <c r="E6" s="14"/>
      <c r="F6" s="14"/>
      <c r="G6" s="303"/>
    </row>
    <row r="7" spans="1:7" x14ac:dyDescent="0.3">
      <c r="A7" s="12" t="s">
        <v>49</v>
      </c>
      <c r="B7" s="14">
        <v>365</v>
      </c>
      <c r="C7" s="14">
        <v>365</v>
      </c>
      <c r="D7" s="14">
        <v>365</v>
      </c>
      <c r="E7" s="14"/>
      <c r="F7" s="14"/>
      <c r="G7" s="303"/>
    </row>
    <row r="8" spans="1:7" x14ac:dyDescent="0.3">
      <c r="A8" s="12" t="s">
        <v>50</v>
      </c>
      <c r="B8" s="19">
        <v>2.1800000000000002</v>
      </c>
      <c r="C8" s="41">
        <v>3.39</v>
      </c>
      <c r="D8" s="14">
        <v>4.37</v>
      </c>
      <c r="E8" s="14"/>
      <c r="F8" s="14"/>
      <c r="G8" s="303"/>
    </row>
    <row r="9" spans="1:7" ht="30.3" customHeight="1" x14ac:dyDescent="0.3">
      <c r="A9" s="12" t="s">
        <v>66</v>
      </c>
      <c r="B9" s="61">
        <f>(B5*B6*B7)/(B8*1000)</f>
        <v>18435.51376146789</v>
      </c>
      <c r="C9" s="61">
        <f>(C5*C6*C7)/(C8*1000)</f>
        <v>11855.286135693215</v>
      </c>
      <c r="D9" s="61">
        <f>(D5*D6*D7)/(D8*1000)</f>
        <v>9196.6636155606411</v>
      </c>
      <c r="E9" s="62">
        <f>ROUND(B9-D9,3)</f>
        <v>9238.85</v>
      </c>
      <c r="F9" s="95">
        <f>ROUND(C9-D9,3)</f>
        <v>2658.623</v>
      </c>
      <c r="G9" s="304"/>
    </row>
    <row r="10" spans="1:7" x14ac:dyDescent="0.3">
      <c r="A10" s="6"/>
      <c r="B10" s="17"/>
      <c r="C10" s="17"/>
      <c r="D10" s="17"/>
      <c r="E10" s="17"/>
      <c r="F10" s="17"/>
    </row>
    <row r="11" spans="1:7" x14ac:dyDescent="0.3">
      <c r="F11" s="17"/>
    </row>
    <row r="13" spans="1:7" ht="15" customHeight="1" x14ac:dyDescent="0.3"/>
    <row r="18" spans="1:7" x14ac:dyDescent="0.3">
      <c r="A18" s="51" t="s">
        <v>72</v>
      </c>
      <c r="B18" s="17"/>
      <c r="C18" s="17"/>
      <c r="D18" s="17"/>
      <c r="E18" s="17"/>
    </row>
    <row r="19" spans="1:7" ht="28.8" x14ac:dyDescent="0.3">
      <c r="A19" s="51" t="s">
        <v>34</v>
      </c>
      <c r="B19" s="51" t="s">
        <v>79</v>
      </c>
      <c r="C19" s="85" t="s">
        <v>200</v>
      </c>
      <c r="D19" s="51" t="s">
        <v>70</v>
      </c>
      <c r="E19" s="85" t="s">
        <v>203</v>
      </c>
      <c r="F19" s="85" t="s">
        <v>204</v>
      </c>
      <c r="G19" s="85" t="s">
        <v>81</v>
      </c>
    </row>
    <row r="20" spans="1:7" ht="14.25" customHeight="1" x14ac:dyDescent="0.3">
      <c r="A20" s="12" t="s">
        <v>73</v>
      </c>
      <c r="B20" s="14">
        <f>'Peak Demand Calculations'!$B$2</f>
        <v>1.772</v>
      </c>
      <c r="C20" s="41">
        <f>'Peak Demand Calculations'!$B$3</f>
        <v>0.376</v>
      </c>
      <c r="D20" s="14">
        <f>'Peak Demand Calculations'!$B$4</f>
        <v>0.41499999999999998</v>
      </c>
      <c r="E20" s="14"/>
      <c r="F20" s="14"/>
      <c r="G20" s="305" t="s">
        <v>150</v>
      </c>
    </row>
    <row r="21" spans="1:7" x14ac:dyDescent="0.3">
      <c r="A21" s="12" t="s">
        <v>74</v>
      </c>
      <c r="B21" s="14">
        <f>'Peak Demand Calculations'!$D$2</f>
        <v>0.309</v>
      </c>
      <c r="C21" s="41">
        <f>'Peak Demand Calculations'!$D$3</f>
        <v>0.52200000000000002</v>
      </c>
      <c r="D21" s="14">
        <f>'Peak Demand Calculations'!$D$4</f>
        <v>0.39</v>
      </c>
      <c r="E21" s="19"/>
      <c r="F21" s="19"/>
      <c r="G21" s="306"/>
    </row>
    <row r="22" spans="1:7" x14ac:dyDescent="0.3">
      <c r="A22" s="12" t="s">
        <v>75</v>
      </c>
      <c r="B22" s="15">
        <f>B21*B20</f>
        <v>0.54754800000000003</v>
      </c>
      <c r="C22" s="96">
        <f>C21*C20</f>
        <v>0.196272</v>
      </c>
      <c r="D22" s="15">
        <f>D21*D20</f>
        <v>0.16184999999999999</v>
      </c>
      <c r="E22" s="38">
        <f>ROUND(B22-D22,5)</f>
        <v>0.38569999999999999</v>
      </c>
      <c r="F22" s="97">
        <f>ROUND(C22-D22,5)</f>
        <v>3.4419999999999999E-2</v>
      </c>
      <c r="G22" s="307"/>
    </row>
    <row r="25" spans="1:7" x14ac:dyDescent="0.3">
      <c r="E25">
        <f>E22*8760</f>
        <v>3378.732</v>
      </c>
    </row>
    <row r="27" spans="1:7" ht="15" thickBot="1" x14ac:dyDescent="0.35">
      <c r="A27" t="s">
        <v>182</v>
      </c>
    </row>
    <row r="28" spans="1:7" ht="15" thickBot="1" x14ac:dyDescent="0.35">
      <c r="A28" s="70"/>
      <c r="B28" s="69" t="s">
        <v>7</v>
      </c>
      <c r="C28" s="69" t="s">
        <v>2</v>
      </c>
      <c r="D28" s="69" t="s">
        <v>175</v>
      </c>
      <c r="E28" s="69" t="s">
        <v>8</v>
      </c>
    </row>
    <row r="29" spans="1:7" ht="15" thickBot="1" x14ac:dyDescent="0.35">
      <c r="A29" s="71" t="s">
        <v>176</v>
      </c>
      <c r="B29" s="72">
        <v>26256</v>
      </c>
      <c r="C29" s="72">
        <v>28218</v>
      </c>
      <c r="D29" s="72">
        <v>37200</v>
      </c>
      <c r="E29" s="72">
        <v>28467</v>
      </c>
    </row>
    <row r="30" spans="1:7" ht="15" thickBot="1" x14ac:dyDescent="0.35">
      <c r="A30" s="71" t="s">
        <v>177</v>
      </c>
      <c r="B30" s="72">
        <v>15067</v>
      </c>
      <c r="C30" s="72">
        <v>16116</v>
      </c>
      <c r="D30" s="72">
        <v>12518</v>
      </c>
      <c r="E30" s="72">
        <v>8231</v>
      </c>
    </row>
    <row r="31" spans="1:7" ht="15" thickBot="1" x14ac:dyDescent="0.35">
      <c r="A31" s="71" t="s">
        <v>178</v>
      </c>
      <c r="B31" s="72">
        <v>5900</v>
      </c>
      <c r="C31" s="72">
        <v>8000</v>
      </c>
      <c r="D31" s="72">
        <v>24000</v>
      </c>
      <c r="E31" s="72">
        <v>17213</v>
      </c>
    </row>
    <row r="32" spans="1:7" ht="15" thickBot="1" x14ac:dyDescent="0.35">
      <c r="A32" s="71" t="s">
        <v>179</v>
      </c>
      <c r="B32" s="72">
        <v>100000</v>
      </c>
      <c r="C32" s="72">
        <v>70000</v>
      </c>
      <c r="D32" s="72">
        <v>56000</v>
      </c>
      <c r="E32" s="72">
        <v>37000</v>
      </c>
    </row>
    <row r="33" spans="1:5" ht="15" thickBot="1" x14ac:dyDescent="0.35">
      <c r="A33" s="71" t="s">
        <v>180</v>
      </c>
      <c r="B33" s="72">
        <v>53</v>
      </c>
      <c r="C33" s="72">
        <v>22</v>
      </c>
      <c r="D33" s="72">
        <v>5</v>
      </c>
      <c r="E33" s="72">
        <v>4</v>
      </c>
    </row>
    <row r="34" spans="1:5" ht="15" thickBot="1" x14ac:dyDescent="0.35">
      <c r="A34" s="74" t="s">
        <v>181</v>
      </c>
      <c r="B34" s="75">
        <f>ROUND(SUMPRODUCT(B29:E29,B33:E33)/SUM(B33:E33),0)</f>
        <v>27527</v>
      </c>
    </row>
    <row r="35" spans="1:5" x14ac:dyDescent="0.3">
      <c r="A35" s="73"/>
    </row>
    <row r="36" spans="1:5" x14ac:dyDescent="0.3">
      <c r="A36" s="73"/>
    </row>
  </sheetData>
  <mergeCells count="2">
    <mergeCell ref="G5:G9"/>
    <mergeCell ref="G20:G2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3:G25"/>
  <sheetViews>
    <sheetView workbookViewId="0"/>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27.109375" customWidth="1"/>
    <col min="6" max="6" width="23.109375" customWidth="1"/>
    <col min="7" max="7" width="54.109375" customWidth="1"/>
  </cols>
  <sheetData>
    <row r="3" spans="1:7" x14ac:dyDescent="0.3">
      <c r="A3" s="65" t="s">
        <v>140</v>
      </c>
      <c r="B3" s="65" t="s">
        <v>198</v>
      </c>
      <c r="C3" s="85" t="s">
        <v>199</v>
      </c>
      <c r="D3" s="65" t="s">
        <v>9</v>
      </c>
      <c r="E3" s="85" t="s">
        <v>36</v>
      </c>
      <c r="F3" s="85" t="s">
        <v>36</v>
      </c>
      <c r="G3" s="87" t="s">
        <v>125</v>
      </c>
    </row>
    <row r="4" spans="1:7" x14ac:dyDescent="0.3">
      <c r="A4" s="66" t="s">
        <v>91</v>
      </c>
      <c r="B4" s="66" t="s">
        <v>86</v>
      </c>
      <c r="C4" s="86" t="s">
        <v>83</v>
      </c>
      <c r="D4" s="66" t="s">
        <v>21</v>
      </c>
      <c r="E4" s="86" t="s">
        <v>87</v>
      </c>
      <c r="F4" s="86"/>
      <c r="G4" s="88" t="s">
        <v>126</v>
      </c>
    </row>
    <row r="5" spans="1:7" x14ac:dyDescent="0.3">
      <c r="A5" s="65" t="s">
        <v>34</v>
      </c>
      <c r="B5" s="65" t="s">
        <v>69</v>
      </c>
      <c r="C5" s="85" t="s">
        <v>200</v>
      </c>
      <c r="D5" s="65" t="s">
        <v>70</v>
      </c>
      <c r="E5" s="85" t="s">
        <v>201</v>
      </c>
      <c r="F5" s="85" t="s">
        <v>202</v>
      </c>
      <c r="G5" s="87" t="s">
        <v>81</v>
      </c>
    </row>
    <row r="6" spans="1:7" ht="14.25" customHeight="1" x14ac:dyDescent="0.3">
      <c r="A6" s="12" t="s">
        <v>47</v>
      </c>
      <c r="B6" s="14">
        <v>1400</v>
      </c>
      <c r="C6" s="14">
        <v>1400</v>
      </c>
      <c r="D6" s="14">
        <f>B6</f>
        <v>1400</v>
      </c>
      <c r="E6" s="14"/>
      <c r="F6" s="14"/>
      <c r="G6" s="308" t="s">
        <v>205</v>
      </c>
    </row>
    <row r="7" spans="1:7" x14ac:dyDescent="0.3">
      <c r="A7" s="12" t="s">
        <v>48</v>
      </c>
      <c r="B7" s="14">
        <v>48</v>
      </c>
      <c r="C7" s="14">
        <v>48</v>
      </c>
      <c r="D7" s="14">
        <f>B7</f>
        <v>48</v>
      </c>
      <c r="E7" s="14"/>
      <c r="F7" s="14"/>
      <c r="G7" s="309"/>
    </row>
    <row r="8" spans="1:7" x14ac:dyDescent="0.3">
      <c r="A8" s="12" t="s">
        <v>49</v>
      </c>
      <c r="B8" s="14">
        <v>365</v>
      </c>
      <c r="C8" s="14">
        <v>365</v>
      </c>
      <c r="D8" s="14">
        <f>B8</f>
        <v>365</v>
      </c>
      <c r="E8" s="14"/>
      <c r="F8" s="14"/>
      <c r="G8" s="309"/>
    </row>
    <row r="9" spans="1:7" x14ac:dyDescent="0.3">
      <c r="A9" s="12" t="s">
        <v>50</v>
      </c>
      <c r="B9" s="41">
        <v>2.1800000000000002</v>
      </c>
      <c r="C9" s="41">
        <v>3.39</v>
      </c>
      <c r="D9" s="14">
        <v>4.37</v>
      </c>
      <c r="E9" s="21"/>
      <c r="F9" s="21"/>
      <c r="G9" s="309"/>
    </row>
    <row r="10" spans="1:7" x14ac:dyDescent="0.3">
      <c r="A10" s="12" t="s">
        <v>66</v>
      </c>
      <c r="B10" s="61">
        <f>(B6*B7*B8)/(B9*1000)</f>
        <v>11251.376146788991</v>
      </c>
      <c r="C10" s="61">
        <f>(C6*C7*C8)/(C9*1000)</f>
        <v>7235.3982300884954</v>
      </c>
      <c r="D10" s="61">
        <f>(D6*D7*D8)/(D9*1000)</f>
        <v>5612.8146453089248</v>
      </c>
      <c r="E10" s="62">
        <f>ROUND(B10-D10,3)</f>
        <v>5638.5619999999999</v>
      </c>
      <c r="F10" s="95">
        <f>ROUND(C10-D10,3)</f>
        <v>1622.5840000000001</v>
      </c>
      <c r="G10" s="310"/>
    </row>
    <row r="11" spans="1:7" x14ac:dyDescent="0.3">
      <c r="A11" s="6"/>
      <c r="B11" s="17"/>
      <c r="C11" s="17"/>
      <c r="D11" s="17"/>
      <c r="E11" s="17"/>
      <c r="F11" s="17"/>
      <c r="G11" s="17"/>
    </row>
    <row r="12" spans="1:7" x14ac:dyDescent="0.3">
      <c r="A12" s="51" t="s">
        <v>141</v>
      </c>
      <c r="B12" s="85" t="s">
        <v>198</v>
      </c>
      <c r="C12" s="85" t="s">
        <v>199</v>
      </c>
      <c r="D12" s="51" t="s">
        <v>9</v>
      </c>
      <c r="E12" s="85" t="s">
        <v>201</v>
      </c>
      <c r="F12" s="85" t="s">
        <v>202</v>
      </c>
      <c r="G12" s="85" t="s">
        <v>125</v>
      </c>
    </row>
    <row r="13" spans="1:7" x14ac:dyDescent="0.3">
      <c r="A13" s="55" t="s">
        <v>92</v>
      </c>
      <c r="B13" s="86" t="s">
        <v>86</v>
      </c>
      <c r="C13" s="86" t="s">
        <v>83</v>
      </c>
      <c r="D13" s="55" t="s">
        <v>21</v>
      </c>
      <c r="E13" s="86" t="s">
        <v>87</v>
      </c>
      <c r="F13" s="86"/>
      <c r="G13" s="86" t="s">
        <v>127</v>
      </c>
    </row>
    <row r="14" spans="1:7" x14ac:dyDescent="0.3">
      <c r="A14" s="51" t="s">
        <v>34</v>
      </c>
      <c r="B14" s="85" t="s">
        <v>69</v>
      </c>
      <c r="C14" s="85" t="s">
        <v>200</v>
      </c>
      <c r="D14" s="51" t="s">
        <v>70</v>
      </c>
      <c r="E14" s="85" t="s">
        <v>71</v>
      </c>
      <c r="F14" s="85" t="s">
        <v>71</v>
      </c>
      <c r="G14" s="85" t="s">
        <v>81</v>
      </c>
    </row>
    <row r="15" spans="1:7" ht="14.25" customHeight="1" x14ac:dyDescent="0.3">
      <c r="A15" s="12" t="s">
        <v>47</v>
      </c>
      <c r="B15" s="14">
        <v>720</v>
      </c>
      <c r="C15" s="14">
        <v>720</v>
      </c>
      <c r="D15" s="14">
        <f>B15</f>
        <v>720</v>
      </c>
      <c r="E15" s="14"/>
      <c r="F15" s="14"/>
      <c r="G15" s="308" t="s">
        <v>205</v>
      </c>
    </row>
    <row r="16" spans="1:7" x14ac:dyDescent="0.3">
      <c r="A16" s="12" t="s">
        <v>48</v>
      </c>
      <c r="B16" s="14">
        <v>24</v>
      </c>
      <c r="C16" s="14">
        <v>24</v>
      </c>
      <c r="D16" s="14">
        <f>B16</f>
        <v>24</v>
      </c>
      <c r="E16" s="14"/>
      <c r="F16" s="14"/>
      <c r="G16" s="309"/>
    </row>
    <row r="17" spans="1:7" x14ac:dyDescent="0.3">
      <c r="A17" s="12" t="s">
        <v>49</v>
      </c>
      <c r="B17" s="14">
        <v>365</v>
      </c>
      <c r="C17" s="14">
        <v>365</v>
      </c>
      <c r="D17" s="14">
        <f>B17</f>
        <v>365</v>
      </c>
      <c r="E17" s="14"/>
      <c r="F17" s="14"/>
      <c r="G17" s="309"/>
    </row>
    <row r="18" spans="1:7" x14ac:dyDescent="0.3">
      <c r="A18" s="12" t="s">
        <v>50</v>
      </c>
      <c r="B18" s="41">
        <v>2.1800000000000002</v>
      </c>
      <c r="C18" s="41">
        <v>3.39</v>
      </c>
      <c r="D18" s="14">
        <v>4.37</v>
      </c>
      <c r="E18" s="14"/>
      <c r="F18" s="14"/>
      <c r="G18" s="309"/>
    </row>
    <row r="19" spans="1:7" x14ac:dyDescent="0.3">
      <c r="A19" s="12" t="s">
        <v>66</v>
      </c>
      <c r="B19" s="61">
        <f>(B15*B16*B17)/(B18*1000)</f>
        <v>2893.211009174312</v>
      </c>
      <c r="C19" s="61">
        <f>(C15*C16*C17)/(C18*1000)</f>
        <v>1860.5309734513273</v>
      </c>
      <c r="D19" s="61">
        <f>(D15*D16*D17)/(D18*1000)</f>
        <v>1443.2951945080092</v>
      </c>
      <c r="E19" s="62">
        <f>ROUND(B19-D19,3)</f>
        <v>1449.9159999999999</v>
      </c>
      <c r="F19" s="95">
        <f>ROUND(C19-D19,3)</f>
        <v>417.23599999999999</v>
      </c>
      <c r="G19" s="310"/>
    </row>
    <row r="20" spans="1:7" ht="15" customHeight="1" x14ac:dyDescent="0.3">
      <c r="A20" s="6"/>
      <c r="C20" s="17"/>
      <c r="D20" s="17"/>
      <c r="E20" s="17"/>
      <c r="F20" s="17"/>
      <c r="G20" s="17"/>
    </row>
    <row r="21" spans="1:7" x14ac:dyDescent="0.3">
      <c r="A21" s="51" t="s">
        <v>72</v>
      </c>
      <c r="C21" s="17"/>
      <c r="D21" s="17"/>
      <c r="E21" s="17"/>
      <c r="F21" s="17"/>
      <c r="G21" s="17"/>
    </row>
    <row r="22" spans="1:7" ht="28.8" x14ac:dyDescent="0.3">
      <c r="A22" s="51" t="s">
        <v>34</v>
      </c>
      <c r="B22" s="51" t="s">
        <v>159</v>
      </c>
      <c r="C22" s="85" t="s">
        <v>206</v>
      </c>
      <c r="D22" s="51" t="s">
        <v>70</v>
      </c>
      <c r="E22" s="85" t="s">
        <v>203</v>
      </c>
      <c r="F22" s="85" t="s">
        <v>204</v>
      </c>
      <c r="G22" s="85" t="s">
        <v>81</v>
      </c>
    </row>
    <row r="23" spans="1:7" ht="14.25" customHeight="1" x14ac:dyDescent="0.3">
      <c r="A23" s="12" t="s">
        <v>73</v>
      </c>
      <c r="B23" s="14">
        <f>'Peak Demand Calculations'!$B$2</f>
        <v>1.772</v>
      </c>
      <c r="C23" s="14">
        <f>'Peak Demand Calculations'!$B$3</f>
        <v>0.376</v>
      </c>
      <c r="D23" s="14">
        <f>'Peak Demand Calculations'!$B$4</f>
        <v>0.41499999999999998</v>
      </c>
      <c r="E23" s="14"/>
      <c r="F23" s="14"/>
      <c r="G23" s="305" t="s">
        <v>150</v>
      </c>
    </row>
    <row r="24" spans="1:7" x14ac:dyDescent="0.3">
      <c r="A24" s="12" t="s">
        <v>74</v>
      </c>
      <c r="B24" s="14">
        <f>'Peak Demand Calculations'!$D$2</f>
        <v>0.309</v>
      </c>
      <c r="C24" s="14">
        <f>'Peak Demand Calculations'!$D$3</f>
        <v>0.52200000000000002</v>
      </c>
      <c r="D24" s="14">
        <f>'Peak Demand Calculations'!$D$4</f>
        <v>0.39</v>
      </c>
      <c r="E24" s="19"/>
      <c r="F24" s="19"/>
      <c r="G24" s="306"/>
    </row>
    <row r="25" spans="1:7" x14ac:dyDescent="0.3">
      <c r="A25" s="12" t="s">
        <v>75</v>
      </c>
      <c r="B25" s="15">
        <f>B24*B23</f>
        <v>0.54754800000000003</v>
      </c>
      <c r="C25" s="15">
        <f>C24*C23</f>
        <v>0.196272</v>
      </c>
      <c r="D25" s="15">
        <f>D24*D23</f>
        <v>0.16184999999999999</v>
      </c>
      <c r="E25" s="38">
        <f>ROUND(B25-D25,5)</f>
        <v>0.38569999999999999</v>
      </c>
      <c r="F25" s="38">
        <f>ROUND(C25-D25,5)</f>
        <v>3.4419999999999999E-2</v>
      </c>
      <c r="G25" s="307"/>
    </row>
  </sheetData>
  <mergeCells count="3">
    <mergeCell ref="G6:G10"/>
    <mergeCell ref="G15:G19"/>
    <mergeCell ref="G23:G2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G19"/>
  <sheetViews>
    <sheetView workbookViewId="0"/>
  </sheetViews>
  <sheetFormatPr defaultRowHeight="14.4" x14ac:dyDescent="0.3"/>
  <cols>
    <col min="1" max="1" width="20.33203125" bestFit="1" customWidth="1"/>
    <col min="2" max="2" width="27.88671875" bestFit="1" customWidth="1"/>
    <col min="3" max="3" width="36.44140625" customWidth="1"/>
    <col min="4" max="4" width="26.44140625" bestFit="1" customWidth="1"/>
    <col min="5" max="5" width="36.44140625" customWidth="1"/>
    <col min="6" max="6" width="31.44140625" bestFit="1" customWidth="1"/>
    <col min="7" max="7" width="19.44140625" customWidth="1"/>
    <col min="9" max="9" width="18" customWidth="1"/>
    <col min="10" max="10" width="18.6640625" customWidth="1"/>
  </cols>
  <sheetData>
    <row r="1" spans="1:7" ht="28.8" x14ac:dyDescent="0.3">
      <c r="A1" s="50" t="s">
        <v>147</v>
      </c>
      <c r="B1" s="50" t="s">
        <v>147</v>
      </c>
      <c r="C1" s="50" t="s">
        <v>144</v>
      </c>
      <c r="D1" s="50" t="s">
        <v>148</v>
      </c>
      <c r="E1" s="50" t="s">
        <v>144</v>
      </c>
      <c r="F1" s="50" t="s">
        <v>149</v>
      </c>
    </row>
    <row r="2" spans="1:7" ht="57.6" x14ac:dyDescent="0.3">
      <c r="A2" s="60" t="s">
        <v>143</v>
      </c>
      <c r="B2" s="54">
        <v>1.772</v>
      </c>
      <c r="C2" s="60" t="s">
        <v>165</v>
      </c>
      <c r="D2" s="54">
        <v>0.309</v>
      </c>
      <c r="E2" s="60" t="s">
        <v>168</v>
      </c>
      <c r="F2" s="68">
        <f>B2*D2</f>
        <v>0.54754800000000003</v>
      </c>
      <c r="G2" s="49"/>
    </row>
    <row r="3" spans="1:7" ht="43.2" x14ac:dyDescent="0.3">
      <c r="A3" s="60" t="s">
        <v>145</v>
      </c>
      <c r="B3" s="54">
        <v>0.376</v>
      </c>
      <c r="C3" s="60" t="s">
        <v>166</v>
      </c>
      <c r="D3" s="54">
        <v>0.52200000000000002</v>
      </c>
      <c r="E3" s="60" t="s">
        <v>170</v>
      </c>
      <c r="F3" s="68">
        <f>B3*D3</f>
        <v>0.196272</v>
      </c>
      <c r="G3" s="49"/>
    </row>
    <row r="4" spans="1:7" ht="28.8" x14ac:dyDescent="0.3">
      <c r="A4" s="60" t="s">
        <v>146</v>
      </c>
      <c r="B4" s="54">
        <v>0.41499999999999998</v>
      </c>
      <c r="C4" s="60" t="s">
        <v>167</v>
      </c>
      <c r="D4" s="54">
        <v>0.39</v>
      </c>
      <c r="E4" s="60" t="s">
        <v>169</v>
      </c>
      <c r="F4" s="68">
        <f>B4*D4</f>
        <v>0.16184999999999999</v>
      </c>
      <c r="G4" s="49"/>
    </row>
    <row r="5" spans="1:7" x14ac:dyDescent="0.3">
      <c r="A5" s="49"/>
      <c r="B5" s="49"/>
      <c r="C5" s="49"/>
      <c r="D5" s="49"/>
      <c r="E5" s="49"/>
      <c r="F5" s="49"/>
      <c r="G5" s="49"/>
    </row>
    <row r="6" spans="1:7" x14ac:dyDescent="0.3">
      <c r="A6" s="49"/>
      <c r="B6" s="49"/>
      <c r="C6" s="49"/>
      <c r="D6" s="49"/>
      <c r="E6" s="49"/>
      <c r="F6" s="49"/>
      <c r="G6" s="49"/>
    </row>
    <row r="7" spans="1:7" x14ac:dyDescent="0.3">
      <c r="A7" s="49"/>
      <c r="B7" s="49"/>
      <c r="C7" s="49"/>
      <c r="D7" s="49"/>
      <c r="E7" s="49"/>
      <c r="F7" s="49"/>
      <c r="G7" s="49"/>
    </row>
    <row r="8" spans="1:7" x14ac:dyDescent="0.3">
      <c r="A8" s="49"/>
      <c r="B8" s="49"/>
      <c r="C8" s="49"/>
      <c r="D8" s="49"/>
      <c r="E8" s="49"/>
      <c r="F8" s="49"/>
      <c r="G8" s="49"/>
    </row>
    <row r="9" spans="1:7" x14ac:dyDescent="0.3">
      <c r="A9" s="49" t="s">
        <v>271</v>
      </c>
      <c r="B9" s="49"/>
      <c r="C9" s="49"/>
      <c r="D9" s="49"/>
      <c r="E9" s="49"/>
      <c r="F9" s="49"/>
      <c r="G9" s="49"/>
    </row>
    <row r="11" spans="1:7" x14ac:dyDescent="0.3">
      <c r="A11" s="50" t="s">
        <v>36</v>
      </c>
    </row>
    <row r="12" spans="1:7" x14ac:dyDescent="0.3">
      <c r="A12" s="60" t="s">
        <v>88</v>
      </c>
    </row>
    <row r="13" spans="1:7" x14ac:dyDescent="0.3">
      <c r="A13" s="60" t="s">
        <v>88</v>
      </c>
    </row>
    <row r="14" spans="1:7" x14ac:dyDescent="0.3">
      <c r="A14" s="60" t="s">
        <v>270</v>
      </c>
    </row>
    <row r="15" spans="1:7" x14ac:dyDescent="0.3">
      <c r="A15" s="60" t="s">
        <v>270</v>
      </c>
    </row>
    <row r="16" spans="1:7" x14ac:dyDescent="0.3">
      <c r="A16" s="60" t="s">
        <v>270</v>
      </c>
    </row>
    <row r="17" spans="1:1" x14ac:dyDescent="0.3">
      <c r="A17" s="60" t="s">
        <v>270</v>
      </c>
    </row>
    <row r="18" spans="1:1" x14ac:dyDescent="0.3">
      <c r="A18" s="60" t="s">
        <v>270</v>
      </c>
    </row>
    <row r="19" spans="1:1" x14ac:dyDescent="0.3">
      <c r="A19" s="60" t="s">
        <v>270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T38"/>
  <sheetViews>
    <sheetView topLeftCell="C1" zoomScale="70" zoomScaleNormal="70" workbookViewId="0">
      <selection activeCell="E9" sqref="E9"/>
    </sheetView>
  </sheetViews>
  <sheetFormatPr defaultColWidth="14.21875" defaultRowHeight="14.4" x14ac:dyDescent="0.3"/>
  <cols>
    <col min="1" max="1" width="9.6640625" customWidth="1"/>
    <col min="2" max="2" width="29.6640625" bestFit="1" customWidth="1"/>
    <col min="3" max="3" width="12.33203125" bestFit="1" customWidth="1"/>
    <col min="4" max="4" width="24" bestFit="1" customWidth="1"/>
    <col min="5" max="5" width="17.77734375" customWidth="1"/>
    <col min="6" max="6" width="14.77734375" customWidth="1"/>
    <col min="7" max="7" width="22.6640625" customWidth="1"/>
    <col min="8" max="8" width="16.77734375" customWidth="1"/>
    <col min="9" max="9" width="20.6640625" customWidth="1"/>
  </cols>
  <sheetData>
    <row r="4" spans="2:13" x14ac:dyDescent="0.3">
      <c r="E4" s="311" t="s">
        <v>20</v>
      </c>
      <c r="F4" s="312"/>
      <c r="G4" s="312"/>
      <c r="H4" s="312"/>
      <c r="I4" s="314"/>
      <c r="J4" s="311" t="s">
        <v>280</v>
      </c>
      <c r="K4" s="312"/>
      <c r="L4" s="312"/>
      <c r="M4" s="313"/>
    </row>
    <row r="5" spans="2:13" x14ac:dyDescent="0.3">
      <c r="D5" s="158"/>
      <c r="E5" s="159"/>
      <c r="F5" s="2"/>
      <c r="G5" s="2"/>
      <c r="H5" s="2"/>
      <c r="I5" s="50" t="s">
        <v>281</v>
      </c>
      <c r="J5" s="160">
        <v>63.3</v>
      </c>
      <c r="K5" s="160" t="s">
        <v>251</v>
      </c>
      <c r="L5" s="160" t="s">
        <v>251</v>
      </c>
      <c r="M5" s="160" t="s">
        <v>251</v>
      </c>
    </row>
    <row r="6" spans="2:13" x14ac:dyDescent="0.3">
      <c r="D6" s="50" t="s">
        <v>303</v>
      </c>
      <c r="E6" s="160">
        <v>41</v>
      </c>
      <c r="F6" s="160">
        <v>22</v>
      </c>
      <c r="G6" s="160">
        <v>18</v>
      </c>
      <c r="H6" s="160">
        <v>48</v>
      </c>
      <c r="I6" s="50" t="s">
        <v>282</v>
      </c>
      <c r="J6" s="160">
        <v>53.5</v>
      </c>
      <c r="K6" s="160">
        <v>47</v>
      </c>
      <c r="L6" s="160">
        <v>15</v>
      </c>
      <c r="M6" s="160"/>
    </row>
    <row r="7" spans="2:13" ht="28.8" x14ac:dyDescent="0.3">
      <c r="B7" s="50" t="s">
        <v>283</v>
      </c>
      <c r="C7" s="50" t="s">
        <v>284</v>
      </c>
      <c r="D7" s="50" t="s">
        <v>285</v>
      </c>
      <c r="E7" s="50" t="s">
        <v>286</v>
      </c>
      <c r="F7" s="50" t="s">
        <v>287</v>
      </c>
      <c r="G7" s="50" t="s">
        <v>288</v>
      </c>
      <c r="H7" s="50" t="s">
        <v>289</v>
      </c>
      <c r="I7" s="50" t="s">
        <v>74</v>
      </c>
      <c r="J7" s="50" t="s">
        <v>290</v>
      </c>
      <c r="K7" s="50" t="s">
        <v>291</v>
      </c>
      <c r="L7" s="50" t="s">
        <v>292</v>
      </c>
      <c r="M7" s="50" t="s">
        <v>74</v>
      </c>
    </row>
    <row r="8" spans="2:13" x14ac:dyDescent="0.3">
      <c r="B8" s="2" t="s">
        <v>293</v>
      </c>
      <c r="C8" s="159" t="s">
        <v>294</v>
      </c>
      <c r="D8" s="2" t="s">
        <v>295</v>
      </c>
      <c r="E8" s="163">
        <f>0.8972*POWER(E$6,2)-47.98*E$6+1264.6</f>
        <v>805.61320000000001</v>
      </c>
      <c r="F8" s="161" t="s">
        <v>251</v>
      </c>
      <c r="G8" s="161" t="s">
        <v>251</v>
      </c>
      <c r="H8" s="161" t="s">
        <v>251</v>
      </c>
      <c r="I8" s="162">
        <v>0.307</v>
      </c>
      <c r="J8" s="163">
        <f>0.8972*POWER(J$5,2)-47.98*J$5+1264.6</f>
        <v>1822.4477079999997</v>
      </c>
      <c r="K8" s="163">
        <f t="shared" ref="K8" si="0">0.8972*POWER(K$6,2)-47.98*K$6+1264.6</f>
        <v>991.45479999999998</v>
      </c>
      <c r="L8" s="177" t="s">
        <v>251</v>
      </c>
      <c r="M8" s="165">
        <v>1</v>
      </c>
    </row>
    <row r="9" spans="2:13" x14ac:dyDescent="0.3">
      <c r="B9" s="2" t="s">
        <v>293</v>
      </c>
      <c r="C9" s="2" t="s">
        <v>296</v>
      </c>
      <c r="D9" s="2" t="s">
        <v>297</v>
      </c>
      <c r="E9" s="163">
        <f>1.9596*POWER(E$6,2)-68.9*E$6+1307.4</f>
        <v>1776.5875999999998</v>
      </c>
      <c r="F9" s="161" t="s">
        <v>251</v>
      </c>
      <c r="G9" s="161" t="s">
        <v>251</v>
      </c>
      <c r="H9" s="161" t="s">
        <v>251</v>
      </c>
      <c r="I9" s="162">
        <f>$AA$40</f>
        <v>0</v>
      </c>
      <c r="J9" s="177" t="s">
        <v>251</v>
      </c>
      <c r="K9" s="177" t="s">
        <v>251</v>
      </c>
      <c r="L9" s="163">
        <f>1.9596*POWER(L$6,2)-68.9*L$6+1307.4</f>
        <v>714.81000000000017</v>
      </c>
      <c r="M9" s="165">
        <v>1</v>
      </c>
    </row>
    <row r="10" spans="2:13" x14ac:dyDescent="0.3">
      <c r="B10" s="2" t="s">
        <v>83</v>
      </c>
      <c r="C10" s="159" t="s">
        <v>294</v>
      </c>
      <c r="D10" s="2" t="s">
        <v>298</v>
      </c>
      <c r="E10" s="164" t="s">
        <v>251</v>
      </c>
      <c r="F10" s="164" t="s">
        <v>251</v>
      </c>
      <c r="G10" s="164" t="s">
        <v>251</v>
      </c>
      <c r="H10" s="161" t="s">
        <v>251</v>
      </c>
      <c r="I10" s="163">
        <v>0</v>
      </c>
      <c r="J10" s="163">
        <f>0.1642*POWER(J$6,2)+28.751*J$6-653.22</f>
        <v>1354.93995</v>
      </c>
      <c r="K10" s="163">
        <f>0.1642*POWER(K$6,2)+28.751*K$6-653.22</f>
        <v>1060.7947999999999</v>
      </c>
      <c r="L10" s="177" t="s">
        <v>251</v>
      </c>
      <c r="M10" s="165">
        <v>1</v>
      </c>
    </row>
    <row r="11" spans="2:13" x14ac:dyDescent="0.3">
      <c r="B11" s="2" t="s">
        <v>83</v>
      </c>
      <c r="C11" s="2" t="s">
        <v>296</v>
      </c>
      <c r="D11" s="2" t="s">
        <v>299</v>
      </c>
      <c r="E11" s="161" t="s">
        <v>251</v>
      </c>
      <c r="F11" s="163" t="s">
        <v>251</v>
      </c>
      <c r="G11" s="163" t="s">
        <v>251</v>
      </c>
      <c r="H11" s="161" t="s">
        <v>251</v>
      </c>
      <c r="I11" s="164">
        <v>0</v>
      </c>
      <c r="J11" s="177" t="s">
        <v>251</v>
      </c>
      <c r="K11" s="177" t="s">
        <v>251</v>
      </c>
      <c r="L11" s="163">
        <f>0.5246*POWER(L$6,2)+28.425*L$6-328.06</f>
        <v>216.34999999999997</v>
      </c>
      <c r="M11" s="165">
        <v>1</v>
      </c>
    </row>
    <row r="12" spans="2:13" x14ac:dyDescent="0.3">
      <c r="B12" s="2" t="s">
        <v>300</v>
      </c>
      <c r="C12" s="159" t="s">
        <v>294</v>
      </c>
      <c r="D12" s="2" t="s">
        <v>301</v>
      </c>
      <c r="E12" s="161" t="s">
        <v>251</v>
      </c>
      <c r="F12" s="164" t="s">
        <v>251</v>
      </c>
      <c r="G12" s="164" t="s">
        <v>251</v>
      </c>
      <c r="H12" s="161" t="s">
        <v>251</v>
      </c>
      <c r="I12" s="163">
        <v>0</v>
      </c>
      <c r="J12" s="163">
        <f>0.6484*POWER(J$6,2)-17.701*J$6+154.27</f>
        <v>1063.1493999999998</v>
      </c>
      <c r="K12" s="163">
        <f>0.6484*POWER(K$6,2)-17.701*K$6+154.27</f>
        <v>754.63859999999988</v>
      </c>
      <c r="L12" s="177" t="s">
        <v>251</v>
      </c>
      <c r="M12" s="165">
        <v>1</v>
      </c>
    </row>
    <row r="13" spans="2:13" x14ac:dyDescent="0.3">
      <c r="B13" s="2" t="s">
        <v>300</v>
      </c>
      <c r="C13" s="2" t="s">
        <v>296</v>
      </c>
      <c r="D13" s="2" t="s">
        <v>302</v>
      </c>
      <c r="E13" s="161" t="s">
        <v>251</v>
      </c>
      <c r="F13" s="163" t="s">
        <v>251</v>
      </c>
      <c r="G13" s="163" t="s">
        <v>251</v>
      </c>
      <c r="H13" s="164" t="s">
        <v>251</v>
      </c>
      <c r="I13" s="164">
        <v>0</v>
      </c>
      <c r="J13" s="177" t="s">
        <v>251</v>
      </c>
      <c r="K13" s="177" t="s">
        <v>251</v>
      </c>
      <c r="L13" s="163">
        <f>1.9469*POWER(L$6,2)-47.287*L$6+334.01</f>
        <v>62.75750000000005</v>
      </c>
      <c r="M13" s="165">
        <v>1</v>
      </c>
    </row>
    <row r="16" spans="2:13" ht="43.2" x14ac:dyDescent="0.3">
      <c r="B16" s="50" t="s">
        <v>36</v>
      </c>
      <c r="C16" s="50" t="s">
        <v>227</v>
      </c>
      <c r="D16" s="50" t="s">
        <v>35</v>
      </c>
      <c r="E16" s="50" t="s">
        <v>263</v>
      </c>
      <c r="F16" s="50" t="s">
        <v>74</v>
      </c>
      <c r="G16" s="50" t="s">
        <v>264</v>
      </c>
      <c r="H16" s="50" t="s">
        <v>265</v>
      </c>
      <c r="I16" s="50" t="s">
        <v>74</v>
      </c>
      <c r="J16" s="50" t="s">
        <v>266</v>
      </c>
      <c r="K16" s="50" t="s">
        <v>267</v>
      </c>
    </row>
    <row r="17" spans="2:20" x14ac:dyDescent="0.3">
      <c r="B17" s="60" t="s">
        <v>88</v>
      </c>
      <c r="C17" s="60" t="s">
        <v>228</v>
      </c>
      <c r="D17" s="60" t="s">
        <v>268</v>
      </c>
      <c r="E17" s="152">
        <f>$E$8/1000</f>
        <v>0.80561320000000003</v>
      </c>
      <c r="F17" s="152">
        <f>$I$8</f>
        <v>0.307</v>
      </c>
      <c r="G17" s="152">
        <f t="shared" ref="G17" si="1">IFERROR(F17*E17,0)</f>
        <v>0.2473232524</v>
      </c>
      <c r="H17" s="152" t="str">
        <f>F13</f>
        <v>N/A</v>
      </c>
      <c r="I17" s="152">
        <v>0</v>
      </c>
      <c r="J17" s="152">
        <f t="shared" ref="J17" si="2">IFERROR(I17*H17,0)</f>
        <v>0</v>
      </c>
      <c r="K17" s="152">
        <f>G17-J17</f>
        <v>0.2473232524</v>
      </c>
    </row>
    <row r="18" spans="2:20" x14ac:dyDescent="0.3">
      <c r="B18" s="60" t="s">
        <v>88</v>
      </c>
      <c r="C18" s="60" t="s">
        <v>228</v>
      </c>
      <c r="D18" s="60" t="s">
        <v>269</v>
      </c>
      <c r="E18" s="152" t="str">
        <f>E11</f>
        <v>N/A</v>
      </c>
      <c r="F18" s="152">
        <v>0</v>
      </c>
      <c r="G18" s="152">
        <f>IFERROR(F18*E18,0)</f>
        <v>0</v>
      </c>
      <c r="H18" s="152">
        <f>E14</f>
        <v>0</v>
      </c>
      <c r="I18" s="152">
        <v>0</v>
      </c>
      <c r="J18" s="152">
        <f>IFERROR(I18*H18,0)</f>
        <v>0</v>
      </c>
      <c r="K18" s="152">
        <f t="shared" ref="K18:K24" si="3">G18-J18</f>
        <v>0</v>
      </c>
    </row>
    <row r="19" spans="2:20" x14ac:dyDescent="0.3">
      <c r="B19" s="60" t="s">
        <v>270</v>
      </c>
      <c r="C19" s="60" t="s">
        <v>228</v>
      </c>
      <c r="D19" s="60" t="s">
        <v>268</v>
      </c>
      <c r="E19" s="152">
        <f>($J$8)/1000</f>
        <v>1.8224477079999997</v>
      </c>
      <c r="F19" s="152">
        <f>$M$8</f>
        <v>1</v>
      </c>
      <c r="G19" s="152">
        <f t="shared" ref="G19:G24" si="4">IFERROR(F19*E19,0)</f>
        <v>1.8224477079999997</v>
      </c>
      <c r="H19" s="152">
        <f>($J$12)/1000</f>
        <v>1.0631493999999997</v>
      </c>
      <c r="I19" s="152">
        <f>$M$12</f>
        <v>1</v>
      </c>
      <c r="J19" s="152">
        <f t="shared" ref="J19:J24" si="5">IFERROR(I19*H19,0)</f>
        <v>1.0631493999999997</v>
      </c>
      <c r="K19" s="152">
        <f t="shared" si="3"/>
        <v>0.75929830799999998</v>
      </c>
    </row>
    <row r="20" spans="2:20" x14ac:dyDescent="0.3">
      <c r="B20" s="60" t="s">
        <v>270</v>
      </c>
      <c r="C20" s="60" t="s">
        <v>228</v>
      </c>
      <c r="D20" s="60" t="s">
        <v>269</v>
      </c>
      <c r="E20" s="152">
        <f>($J$10)/1000</f>
        <v>1.3549399499999999</v>
      </c>
      <c r="F20" s="152">
        <f>$M$10</f>
        <v>1</v>
      </c>
      <c r="G20" s="152">
        <f t="shared" si="4"/>
        <v>1.3549399499999999</v>
      </c>
      <c r="H20" s="152">
        <f>($J$12)/1000</f>
        <v>1.0631493999999997</v>
      </c>
      <c r="I20" s="152">
        <f t="shared" ref="I20:I24" si="6">$M$12</f>
        <v>1</v>
      </c>
      <c r="J20" s="152">
        <f t="shared" si="5"/>
        <v>1.0631493999999997</v>
      </c>
      <c r="K20" s="152">
        <f t="shared" si="3"/>
        <v>0.2917905500000002</v>
      </c>
    </row>
    <row r="21" spans="2:20" x14ac:dyDescent="0.3">
      <c r="B21" s="60" t="s">
        <v>270</v>
      </c>
      <c r="C21" s="60" t="s">
        <v>255</v>
      </c>
      <c r="D21" s="60" t="s">
        <v>268</v>
      </c>
      <c r="E21" s="152">
        <f>($K$8)/1000</f>
        <v>0.99145479999999997</v>
      </c>
      <c r="F21" s="152">
        <f>$M$8</f>
        <v>1</v>
      </c>
      <c r="G21" s="152">
        <f t="shared" si="4"/>
        <v>0.99145479999999997</v>
      </c>
      <c r="H21" s="152">
        <f>($K$12)/1000</f>
        <v>0.75463859999999994</v>
      </c>
      <c r="I21" s="152">
        <f t="shared" si="6"/>
        <v>1</v>
      </c>
      <c r="J21" s="152">
        <f t="shared" si="5"/>
        <v>0.75463859999999994</v>
      </c>
      <c r="K21" s="152">
        <f t="shared" si="3"/>
        <v>0.23681620000000003</v>
      </c>
    </row>
    <row r="22" spans="2:20" x14ac:dyDescent="0.3">
      <c r="B22" s="60" t="s">
        <v>270</v>
      </c>
      <c r="C22" s="60" t="s">
        <v>255</v>
      </c>
      <c r="D22" s="60" t="s">
        <v>269</v>
      </c>
      <c r="E22" s="152">
        <f>($K$10)/1000</f>
        <v>1.0607947999999998</v>
      </c>
      <c r="F22" s="152">
        <f>$M$10</f>
        <v>1</v>
      </c>
      <c r="G22" s="152">
        <f t="shared" si="4"/>
        <v>1.0607947999999998</v>
      </c>
      <c r="H22" s="152">
        <f>($K$12)/1000</f>
        <v>0.75463859999999994</v>
      </c>
      <c r="I22" s="152">
        <f t="shared" si="6"/>
        <v>1</v>
      </c>
      <c r="J22" s="152">
        <f t="shared" si="5"/>
        <v>0.75463859999999994</v>
      </c>
      <c r="K22" s="152">
        <f t="shared" si="3"/>
        <v>0.30615619999999988</v>
      </c>
    </row>
    <row r="23" spans="2:20" x14ac:dyDescent="0.3">
      <c r="B23" s="60" t="s">
        <v>270</v>
      </c>
      <c r="C23" s="60" t="s">
        <v>256</v>
      </c>
      <c r="D23" s="60" t="s">
        <v>268</v>
      </c>
      <c r="E23" s="152">
        <f>($L$9)/1000</f>
        <v>0.71481000000000017</v>
      </c>
      <c r="F23" s="152">
        <f>$M$8</f>
        <v>1</v>
      </c>
      <c r="G23" s="152">
        <f t="shared" si="4"/>
        <v>0.71481000000000017</v>
      </c>
      <c r="H23" s="152">
        <f>($L$13)/1000</f>
        <v>6.2757500000000049E-2</v>
      </c>
      <c r="I23" s="152">
        <f t="shared" si="6"/>
        <v>1</v>
      </c>
      <c r="J23" s="152">
        <f t="shared" si="5"/>
        <v>6.2757500000000049E-2</v>
      </c>
      <c r="K23" s="152">
        <f t="shared" si="3"/>
        <v>0.65205250000000015</v>
      </c>
    </row>
    <row r="24" spans="2:20" x14ac:dyDescent="0.3">
      <c r="B24" s="60" t="s">
        <v>270</v>
      </c>
      <c r="C24" s="60" t="s">
        <v>256</v>
      </c>
      <c r="D24" s="60" t="s">
        <v>269</v>
      </c>
      <c r="E24" s="152">
        <f>($L$11)/1000</f>
        <v>0.21634999999999996</v>
      </c>
      <c r="F24" s="152">
        <f>$M$10</f>
        <v>1</v>
      </c>
      <c r="G24" s="152">
        <f t="shared" si="4"/>
        <v>0.21634999999999996</v>
      </c>
      <c r="H24" s="152">
        <f>($L$13)/1000</f>
        <v>6.2757500000000049E-2</v>
      </c>
      <c r="I24" s="152">
        <f t="shared" si="6"/>
        <v>1</v>
      </c>
      <c r="J24" s="152">
        <f t="shared" si="5"/>
        <v>6.2757500000000049E-2</v>
      </c>
      <c r="K24" s="68">
        <f t="shared" si="3"/>
        <v>0.15359249999999991</v>
      </c>
    </row>
    <row r="26" spans="2:20" ht="27.6" x14ac:dyDescent="0.3">
      <c r="O26" s="178" t="s">
        <v>36</v>
      </c>
      <c r="P26" s="178" t="s">
        <v>227</v>
      </c>
      <c r="Q26" s="178" t="s">
        <v>283</v>
      </c>
      <c r="R26" s="178" t="s">
        <v>148</v>
      </c>
      <c r="S26" s="178" t="s">
        <v>348</v>
      </c>
      <c r="T26" s="178" t="s">
        <v>349</v>
      </c>
    </row>
    <row r="27" spans="2:20" x14ac:dyDescent="0.3">
      <c r="O27" s="2" t="s">
        <v>88</v>
      </c>
      <c r="P27" s="2" t="s">
        <v>228</v>
      </c>
      <c r="Q27" s="2" t="s">
        <v>268</v>
      </c>
      <c r="R27" s="120">
        <f>$I$8</f>
        <v>0.307</v>
      </c>
      <c r="S27" s="120">
        <f>$E$8/1000</f>
        <v>0.80561320000000003</v>
      </c>
      <c r="T27" s="120">
        <f>R27*S27</f>
        <v>0.2473232524</v>
      </c>
    </row>
    <row r="28" spans="2:20" x14ac:dyDescent="0.3">
      <c r="O28" s="2" t="s">
        <v>88</v>
      </c>
      <c r="P28" s="2" t="s">
        <v>228</v>
      </c>
      <c r="Q28" s="2" t="s">
        <v>269</v>
      </c>
      <c r="R28" s="120">
        <f>$Y$49</f>
        <v>0</v>
      </c>
      <c r="S28" s="120" t="s">
        <v>251</v>
      </c>
      <c r="T28" s="120">
        <v>0</v>
      </c>
    </row>
    <row r="29" spans="2:20" x14ac:dyDescent="0.3">
      <c r="O29" s="2" t="s">
        <v>88</v>
      </c>
      <c r="P29" s="2" t="s">
        <v>228</v>
      </c>
      <c r="Q29" s="159" t="s">
        <v>300</v>
      </c>
      <c r="R29" s="120">
        <f>$Y$50</f>
        <v>0</v>
      </c>
      <c r="S29" s="120" t="s">
        <v>251</v>
      </c>
      <c r="T29" s="120">
        <v>0</v>
      </c>
    </row>
    <row r="30" spans="2:20" x14ac:dyDescent="0.3">
      <c r="O30" s="2" t="s">
        <v>270</v>
      </c>
      <c r="P30" s="2" t="s">
        <v>228</v>
      </c>
      <c r="Q30" s="2" t="s">
        <v>268</v>
      </c>
      <c r="R30" s="120">
        <v>1</v>
      </c>
      <c r="S30" s="120">
        <f>J8/1000</f>
        <v>1.8224477079999997</v>
      </c>
      <c r="T30" s="120">
        <f t="shared" ref="T30:T38" si="7">R30*S30</f>
        <v>1.8224477079999997</v>
      </c>
    </row>
    <row r="31" spans="2:20" x14ac:dyDescent="0.3">
      <c r="O31" s="2" t="s">
        <v>270</v>
      </c>
      <c r="P31" s="2" t="s">
        <v>228</v>
      </c>
      <c r="Q31" s="2" t="s">
        <v>269</v>
      </c>
      <c r="R31" s="120">
        <v>1</v>
      </c>
      <c r="S31" s="120">
        <f>J10/1000</f>
        <v>1.3549399499999999</v>
      </c>
      <c r="T31" s="120">
        <f t="shared" si="7"/>
        <v>1.3549399499999999</v>
      </c>
    </row>
    <row r="32" spans="2:20" x14ac:dyDescent="0.3">
      <c r="O32" s="2" t="s">
        <v>270</v>
      </c>
      <c r="P32" s="2" t="s">
        <v>228</v>
      </c>
      <c r="Q32" s="159" t="s">
        <v>300</v>
      </c>
      <c r="R32" s="120">
        <v>1</v>
      </c>
      <c r="S32" s="120">
        <f>J12/1000</f>
        <v>1.0631493999999997</v>
      </c>
      <c r="T32" s="120">
        <f t="shared" si="7"/>
        <v>1.0631493999999997</v>
      </c>
    </row>
    <row r="33" spans="15:20" x14ac:dyDescent="0.3">
      <c r="O33" s="2" t="s">
        <v>270</v>
      </c>
      <c r="P33" s="2" t="s">
        <v>255</v>
      </c>
      <c r="Q33" s="2" t="s">
        <v>268</v>
      </c>
      <c r="R33" s="120">
        <v>1</v>
      </c>
      <c r="S33" s="120">
        <f>K8/1000</f>
        <v>0.99145479999999997</v>
      </c>
      <c r="T33" s="120">
        <f t="shared" si="7"/>
        <v>0.99145479999999997</v>
      </c>
    </row>
    <row r="34" spans="15:20" x14ac:dyDescent="0.3">
      <c r="O34" s="2" t="s">
        <v>270</v>
      </c>
      <c r="P34" s="2" t="s">
        <v>255</v>
      </c>
      <c r="Q34" s="2" t="s">
        <v>269</v>
      </c>
      <c r="R34" s="120">
        <v>1</v>
      </c>
      <c r="S34" s="120">
        <f>K10/1000</f>
        <v>1.0607947999999998</v>
      </c>
      <c r="T34" s="120">
        <f t="shared" si="7"/>
        <v>1.0607947999999998</v>
      </c>
    </row>
    <row r="35" spans="15:20" x14ac:dyDescent="0.3">
      <c r="O35" s="2" t="s">
        <v>270</v>
      </c>
      <c r="P35" s="2" t="s">
        <v>255</v>
      </c>
      <c r="Q35" s="159" t="s">
        <v>300</v>
      </c>
      <c r="R35" s="120">
        <v>1</v>
      </c>
      <c r="S35" s="120">
        <f>K12/1000</f>
        <v>0.75463859999999994</v>
      </c>
      <c r="T35" s="120">
        <f t="shared" si="7"/>
        <v>0.75463859999999994</v>
      </c>
    </row>
    <row r="36" spans="15:20" x14ac:dyDescent="0.3">
      <c r="O36" s="2" t="s">
        <v>270</v>
      </c>
      <c r="P36" s="2" t="s">
        <v>256</v>
      </c>
      <c r="Q36" s="2" t="s">
        <v>268</v>
      </c>
      <c r="R36" s="120">
        <v>1</v>
      </c>
      <c r="S36" s="120">
        <f>L9/1000</f>
        <v>0.71481000000000017</v>
      </c>
      <c r="T36" s="120">
        <f t="shared" si="7"/>
        <v>0.71481000000000017</v>
      </c>
    </row>
    <row r="37" spans="15:20" x14ac:dyDescent="0.3">
      <c r="O37" s="2" t="s">
        <v>270</v>
      </c>
      <c r="P37" s="2" t="s">
        <v>256</v>
      </c>
      <c r="Q37" s="2" t="s">
        <v>269</v>
      </c>
      <c r="R37" s="120">
        <v>1</v>
      </c>
      <c r="S37" s="120">
        <f>L11/1000</f>
        <v>0.21634999999999996</v>
      </c>
      <c r="T37" s="120">
        <f t="shared" si="7"/>
        <v>0.21634999999999996</v>
      </c>
    </row>
    <row r="38" spans="15:20" x14ac:dyDescent="0.3">
      <c r="O38" s="2" t="s">
        <v>270</v>
      </c>
      <c r="P38" s="2" t="s">
        <v>256</v>
      </c>
      <c r="Q38" s="159" t="s">
        <v>300</v>
      </c>
      <c r="R38" s="120">
        <v>1</v>
      </c>
      <c r="S38" s="120">
        <f>L13/1000</f>
        <v>6.2757500000000049E-2</v>
      </c>
      <c r="T38" s="120">
        <f t="shared" si="7"/>
        <v>6.2757500000000049E-2</v>
      </c>
    </row>
  </sheetData>
  <mergeCells count="2">
    <mergeCell ref="J4:M4"/>
    <mergeCell ref="E4:I4"/>
  </mergeCells>
  <pageMargins left="0.7" right="0.7" top="0.75" bottom="0.75" header="0.3" footer="0.3"/>
  <ignoredErrors>
    <ignoredError sqref="F20:F22" formula="1"/>
  </ignoredErrors>
  <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F43"/>
  <sheetViews>
    <sheetView workbookViewId="0"/>
  </sheetViews>
  <sheetFormatPr defaultRowHeight="14.4" x14ac:dyDescent="0.3"/>
  <cols>
    <col min="2" max="2" width="30.44140625" customWidth="1"/>
    <col min="3" max="3" width="28" style="16" customWidth="1"/>
    <col min="4" max="4" width="23.44140625" customWidth="1"/>
    <col min="5" max="5" width="25.109375" customWidth="1"/>
    <col min="6" max="6" width="12.109375" customWidth="1"/>
    <col min="258" max="258" width="30.44140625" customWidth="1"/>
    <col min="259" max="259" width="22.6640625" customWidth="1"/>
    <col min="260" max="260" width="23.44140625" customWidth="1"/>
    <col min="261" max="261" width="25.109375" customWidth="1"/>
    <col min="262" max="262" width="12.109375" customWidth="1"/>
    <col min="514" max="514" width="30.44140625" customWidth="1"/>
    <col min="515" max="515" width="22.6640625" customWidth="1"/>
    <col min="516" max="516" width="23.44140625" customWidth="1"/>
    <col min="517" max="517" width="25.109375" customWidth="1"/>
    <col min="518" max="518" width="12.109375" customWidth="1"/>
    <col min="770" max="770" width="30.44140625" customWidth="1"/>
    <col min="771" max="771" width="22.6640625" customWidth="1"/>
    <col min="772" max="772" width="23.44140625" customWidth="1"/>
    <col min="773" max="773" width="25.109375" customWidth="1"/>
    <col min="774" max="774" width="12.109375" customWidth="1"/>
    <col min="1026" max="1026" width="30.44140625" customWidth="1"/>
    <col min="1027" max="1027" width="22.6640625" customWidth="1"/>
    <col min="1028" max="1028" width="23.44140625" customWidth="1"/>
    <col min="1029" max="1029" width="25.109375" customWidth="1"/>
    <col min="1030" max="1030" width="12.109375" customWidth="1"/>
    <col min="1282" max="1282" width="30.44140625" customWidth="1"/>
    <col min="1283" max="1283" width="22.6640625" customWidth="1"/>
    <col min="1284" max="1284" width="23.44140625" customWidth="1"/>
    <col min="1285" max="1285" width="25.109375" customWidth="1"/>
    <col min="1286" max="1286" width="12.109375" customWidth="1"/>
    <col min="1538" max="1538" width="30.44140625" customWidth="1"/>
    <col min="1539" max="1539" width="22.6640625" customWidth="1"/>
    <col min="1540" max="1540" width="23.44140625" customWidth="1"/>
    <col min="1541" max="1541" width="25.109375" customWidth="1"/>
    <col min="1542" max="1542" width="12.109375" customWidth="1"/>
    <col min="1794" max="1794" width="30.44140625" customWidth="1"/>
    <col min="1795" max="1795" width="22.6640625" customWidth="1"/>
    <col min="1796" max="1796" width="23.44140625" customWidth="1"/>
    <col min="1797" max="1797" width="25.109375" customWidth="1"/>
    <col min="1798" max="1798" width="12.109375" customWidth="1"/>
    <col min="2050" max="2050" width="30.44140625" customWidth="1"/>
    <col min="2051" max="2051" width="22.6640625" customWidth="1"/>
    <col min="2052" max="2052" width="23.44140625" customWidth="1"/>
    <col min="2053" max="2053" width="25.109375" customWidth="1"/>
    <col min="2054" max="2054" width="12.109375" customWidth="1"/>
    <col min="2306" max="2306" width="30.44140625" customWidth="1"/>
    <col min="2307" max="2307" width="22.6640625" customWidth="1"/>
    <col min="2308" max="2308" width="23.44140625" customWidth="1"/>
    <col min="2309" max="2309" width="25.109375" customWidth="1"/>
    <col min="2310" max="2310" width="12.109375" customWidth="1"/>
    <col min="2562" max="2562" width="30.44140625" customWidth="1"/>
    <col min="2563" max="2563" width="22.6640625" customWidth="1"/>
    <col min="2564" max="2564" width="23.44140625" customWidth="1"/>
    <col min="2565" max="2565" width="25.109375" customWidth="1"/>
    <col min="2566" max="2566" width="12.109375" customWidth="1"/>
    <col min="2818" max="2818" width="30.44140625" customWidth="1"/>
    <col min="2819" max="2819" width="22.6640625" customWidth="1"/>
    <col min="2820" max="2820" width="23.44140625" customWidth="1"/>
    <col min="2821" max="2821" width="25.109375" customWidth="1"/>
    <col min="2822" max="2822" width="12.109375" customWidth="1"/>
    <col min="3074" max="3074" width="30.44140625" customWidth="1"/>
    <col min="3075" max="3075" width="22.6640625" customWidth="1"/>
    <col min="3076" max="3076" width="23.44140625" customWidth="1"/>
    <col min="3077" max="3077" width="25.109375" customWidth="1"/>
    <col min="3078" max="3078" width="12.109375" customWidth="1"/>
    <col min="3330" max="3330" width="30.44140625" customWidth="1"/>
    <col min="3331" max="3331" width="22.6640625" customWidth="1"/>
    <col min="3332" max="3332" width="23.44140625" customWidth="1"/>
    <col min="3333" max="3333" width="25.109375" customWidth="1"/>
    <col min="3334" max="3334" width="12.109375" customWidth="1"/>
    <col min="3586" max="3586" width="30.44140625" customWidth="1"/>
    <col min="3587" max="3587" width="22.6640625" customWidth="1"/>
    <col min="3588" max="3588" width="23.44140625" customWidth="1"/>
    <col min="3589" max="3589" width="25.109375" customWidth="1"/>
    <col min="3590" max="3590" width="12.109375" customWidth="1"/>
    <col min="3842" max="3842" width="30.44140625" customWidth="1"/>
    <col min="3843" max="3843" width="22.6640625" customWidth="1"/>
    <col min="3844" max="3844" width="23.44140625" customWidth="1"/>
    <col min="3845" max="3845" width="25.109375" customWidth="1"/>
    <col min="3846" max="3846" width="12.109375" customWidth="1"/>
    <col min="4098" max="4098" width="30.44140625" customWidth="1"/>
    <col min="4099" max="4099" width="22.6640625" customWidth="1"/>
    <col min="4100" max="4100" width="23.44140625" customWidth="1"/>
    <col min="4101" max="4101" width="25.109375" customWidth="1"/>
    <col min="4102" max="4102" width="12.109375" customWidth="1"/>
    <col min="4354" max="4354" width="30.44140625" customWidth="1"/>
    <col min="4355" max="4355" width="22.6640625" customWidth="1"/>
    <col min="4356" max="4356" width="23.44140625" customWidth="1"/>
    <col min="4357" max="4357" width="25.109375" customWidth="1"/>
    <col min="4358" max="4358" width="12.109375" customWidth="1"/>
    <col min="4610" max="4610" width="30.44140625" customWidth="1"/>
    <col min="4611" max="4611" width="22.6640625" customWidth="1"/>
    <col min="4612" max="4612" width="23.44140625" customWidth="1"/>
    <col min="4613" max="4613" width="25.109375" customWidth="1"/>
    <col min="4614" max="4614" width="12.109375" customWidth="1"/>
    <col min="4866" max="4866" width="30.44140625" customWidth="1"/>
    <col min="4867" max="4867" width="22.6640625" customWidth="1"/>
    <col min="4868" max="4868" width="23.44140625" customWidth="1"/>
    <col min="4869" max="4869" width="25.109375" customWidth="1"/>
    <col min="4870" max="4870" width="12.109375" customWidth="1"/>
    <col min="5122" max="5122" width="30.44140625" customWidth="1"/>
    <col min="5123" max="5123" width="22.6640625" customWidth="1"/>
    <col min="5124" max="5124" width="23.44140625" customWidth="1"/>
    <col min="5125" max="5125" width="25.109375" customWidth="1"/>
    <col min="5126" max="5126" width="12.109375" customWidth="1"/>
    <col min="5378" max="5378" width="30.44140625" customWidth="1"/>
    <col min="5379" max="5379" width="22.6640625" customWidth="1"/>
    <col min="5380" max="5380" width="23.44140625" customWidth="1"/>
    <col min="5381" max="5381" width="25.109375" customWidth="1"/>
    <col min="5382" max="5382" width="12.109375" customWidth="1"/>
    <col min="5634" max="5634" width="30.44140625" customWidth="1"/>
    <col min="5635" max="5635" width="22.6640625" customWidth="1"/>
    <col min="5636" max="5636" width="23.44140625" customWidth="1"/>
    <col min="5637" max="5637" width="25.109375" customWidth="1"/>
    <col min="5638" max="5638" width="12.109375" customWidth="1"/>
    <col min="5890" max="5890" width="30.44140625" customWidth="1"/>
    <col min="5891" max="5891" width="22.6640625" customWidth="1"/>
    <col min="5892" max="5892" width="23.44140625" customWidth="1"/>
    <col min="5893" max="5893" width="25.109375" customWidth="1"/>
    <col min="5894" max="5894" width="12.109375" customWidth="1"/>
    <col min="6146" max="6146" width="30.44140625" customWidth="1"/>
    <col min="6147" max="6147" width="22.6640625" customWidth="1"/>
    <col min="6148" max="6148" width="23.44140625" customWidth="1"/>
    <col min="6149" max="6149" width="25.109375" customWidth="1"/>
    <col min="6150" max="6150" width="12.109375" customWidth="1"/>
    <col min="6402" max="6402" width="30.44140625" customWidth="1"/>
    <col min="6403" max="6403" width="22.6640625" customWidth="1"/>
    <col min="6404" max="6404" width="23.44140625" customWidth="1"/>
    <col min="6405" max="6405" width="25.109375" customWidth="1"/>
    <col min="6406" max="6406" width="12.109375" customWidth="1"/>
    <col min="6658" max="6658" width="30.44140625" customWidth="1"/>
    <col min="6659" max="6659" width="22.6640625" customWidth="1"/>
    <col min="6660" max="6660" width="23.44140625" customWidth="1"/>
    <col min="6661" max="6661" width="25.109375" customWidth="1"/>
    <col min="6662" max="6662" width="12.109375" customWidth="1"/>
    <col min="6914" max="6914" width="30.44140625" customWidth="1"/>
    <col min="6915" max="6915" width="22.6640625" customWidth="1"/>
    <col min="6916" max="6916" width="23.44140625" customWidth="1"/>
    <col min="6917" max="6917" width="25.109375" customWidth="1"/>
    <col min="6918" max="6918" width="12.109375" customWidth="1"/>
    <col min="7170" max="7170" width="30.44140625" customWidth="1"/>
    <col min="7171" max="7171" width="22.6640625" customWidth="1"/>
    <col min="7172" max="7172" width="23.44140625" customWidth="1"/>
    <col min="7173" max="7173" width="25.109375" customWidth="1"/>
    <col min="7174" max="7174" width="12.109375" customWidth="1"/>
    <col min="7426" max="7426" width="30.44140625" customWidth="1"/>
    <col min="7427" max="7427" width="22.6640625" customWidth="1"/>
    <col min="7428" max="7428" width="23.44140625" customWidth="1"/>
    <col min="7429" max="7429" width="25.109375" customWidth="1"/>
    <col min="7430" max="7430" width="12.109375" customWidth="1"/>
    <col min="7682" max="7682" width="30.44140625" customWidth="1"/>
    <col min="7683" max="7683" width="22.6640625" customWidth="1"/>
    <col min="7684" max="7684" width="23.44140625" customWidth="1"/>
    <col min="7685" max="7685" width="25.109375" customWidth="1"/>
    <col min="7686" max="7686" width="12.109375" customWidth="1"/>
    <col min="7938" max="7938" width="30.44140625" customWidth="1"/>
    <col min="7939" max="7939" width="22.6640625" customWidth="1"/>
    <col min="7940" max="7940" width="23.44140625" customWidth="1"/>
    <col min="7941" max="7941" width="25.109375" customWidth="1"/>
    <col min="7942" max="7942" width="12.109375" customWidth="1"/>
    <col min="8194" max="8194" width="30.44140625" customWidth="1"/>
    <col min="8195" max="8195" width="22.6640625" customWidth="1"/>
    <col min="8196" max="8196" width="23.44140625" customWidth="1"/>
    <col min="8197" max="8197" width="25.109375" customWidth="1"/>
    <col min="8198" max="8198" width="12.109375" customWidth="1"/>
    <col min="8450" max="8450" width="30.44140625" customWidth="1"/>
    <col min="8451" max="8451" width="22.6640625" customWidth="1"/>
    <col min="8452" max="8452" width="23.44140625" customWidth="1"/>
    <col min="8453" max="8453" width="25.109375" customWidth="1"/>
    <col min="8454" max="8454" width="12.109375" customWidth="1"/>
    <col min="8706" max="8706" width="30.44140625" customWidth="1"/>
    <col min="8707" max="8707" width="22.6640625" customWidth="1"/>
    <col min="8708" max="8708" width="23.44140625" customWidth="1"/>
    <col min="8709" max="8709" width="25.109375" customWidth="1"/>
    <col min="8710" max="8710" width="12.109375" customWidth="1"/>
    <col min="8962" max="8962" width="30.44140625" customWidth="1"/>
    <col min="8963" max="8963" width="22.6640625" customWidth="1"/>
    <col min="8964" max="8964" width="23.44140625" customWidth="1"/>
    <col min="8965" max="8965" width="25.109375" customWidth="1"/>
    <col min="8966" max="8966" width="12.109375" customWidth="1"/>
    <col min="9218" max="9218" width="30.44140625" customWidth="1"/>
    <col min="9219" max="9219" width="22.6640625" customWidth="1"/>
    <col min="9220" max="9220" width="23.44140625" customWidth="1"/>
    <col min="9221" max="9221" width="25.109375" customWidth="1"/>
    <col min="9222" max="9222" width="12.109375" customWidth="1"/>
    <col min="9474" max="9474" width="30.44140625" customWidth="1"/>
    <col min="9475" max="9475" width="22.6640625" customWidth="1"/>
    <col min="9476" max="9476" width="23.44140625" customWidth="1"/>
    <col min="9477" max="9477" width="25.109375" customWidth="1"/>
    <col min="9478" max="9478" width="12.109375" customWidth="1"/>
    <col min="9730" max="9730" width="30.44140625" customWidth="1"/>
    <col min="9731" max="9731" width="22.6640625" customWidth="1"/>
    <col min="9732" max="9732" width="23.44140625" customWidth="1"/>
    <col min="9733" max="9733" width="25.109375" customWidth="1"/>
    <col min="9734" max="9734" width="12.109375" customWidth="1"/>
    <col min="9986" max="9986" width="30.44140625" customWidth="1"/>
    <col min="9987" max="9987" width="22.6640625" customWidth="1"/>
    <col min="9988" max="9988" width="23.44140625" customWidth="1"/>
    <col min="9989" max="9989" width="25.109375" customWidth="1"/>
    <col min="9990" max="9990" width="12.109375" customWidth="1"/>
    <col min="10242" max="10242" width="30.44140625" customWidth="1"/>
    <col min="10243" max="10243" width="22.6640625" customWidth="1"/>
    <col min="10244" max="10244" width="23.44140625" customWidth="1"/>
    <col min="10245" max="10245" width="25.109375" customWidth="1"/>
    <col min="10246" max="10246" width="12.109375" customWidth="1"/>
    <col min="10498" max="10498" width="30.44140625" customWidth="1"/>
    <col min="10499" max="10499" width="22.6640625" customWidth="1"/>
    <col min="10500" max="10500" width="23.44140625" customWidth="1"/>
    <col min="10501" max="10501" width="25.109375" customWidth="1"/>
    <col min="10502" max="10502" width="12.109375" customWidth="1"/>
    <col min="10754" max="10754" width="30.44140625" customWidth="1"/>
    <col min="10755" max="10755" width="22.6640625" customWidth="1"/>
    <col min="10756" max="10756" width="23.44140625" customWidth="1"/>
    <col min="10757" max="10757" width="25.109375" customWidth="1"/>
    <col min="10758" max="10758" width="12.109375" customWidth="1"/>
    <col min="11010" max="11010" width="30.44140625" customWidth="1"/>
    <col min="11011" max="11011" width="22.6640625" customWidth="1"/>
    <col min="11012" max="11012" width="23.44140625" customWidth="1"/>
    <col min="11013" max="11013" width="25.109375" customWidth="1"/>
    <col min="11014" max="11014" width="12.109375" customWidth="1"/>
    <col min="11266" max="11266" width="30.44140625" customWidth="1"/>
    <col min="11267" max="11267" width="22.6640625" customWidth="1"/>
    <col min="11268" max="11268" width="23.44140625" customWidth="1"/>
    <col min="11269" max="11269" width="25.109375" customWidth="1"/>
    <col min="11270" max="11270" width="12.109375" customWidth="1"/>
    <col min="11522" max="11522" width="30.44140625" customWidth="1"/>
    <col min="11523" max="11523" width="22.6640625" customWidth="1"/>
    <col min="11524" max="11524" width="23.44140625" customWidth="1"/>
    <col min="11525" max="11525" width="25.109375" customWidth="1"/>
    <col min="11526" max="11526" width="12.109375" customWidth="1"/>
    <col min="11778" max="11778" width="30.44140625" customWidth="1"/>
    <col min="11779" max="11779" width="22.6640625" customWidth="1"/>
    <col min="11780" max="11780" width="23.44140625" customWidth="1"/>
    <col min="11781" max="11781" width="25.109375" customWidth="1"/>
    <col min="11782" max="11782" width="12.109375" customWidth="1"/>
    <col min="12034" max="12034" width="30.44140625" customWidth="1"/>
    <col min="12035" max="12035" width="22.6640625" customWidth="1"/>
    <col min="12036" max="12036" width="23.44140625" customWidth="1"/>
    <col min="12037" max="12037" width="25.109375" customWidth="1"/>
    <col min="12038" max="12038" width="12.109375" customWidth="1"/>
    <col min="12290" max="12290" width="30.44140625" customWidth="1"/>
    <col min="12291" max="12291" width="22.6640625" customWidth="1"/>
    <col min="12292" max="12292" width="23.44140625" customWidth="1"/>
    <col min="12293" max="12293" width="25.109375" customWidth="1"/>
    <col min="12294" max="12294" width="12.109375" customWidth="1"/>
    <col min="12546" max="12546" width="30.44140625" customWidth="1"/>
    <col min="12547" max="12547" width="22.6640625" customWidth="1"/>
    <col min="12548" max="12548" width="23.44140625" customWidth="1"/>
    <col min="12549" max="12549" width="25.109375" customWidth="1"/>
    <col min="12550" max="12550" width="12.109375" customWidth="1"/>
    <col min="12802" max="12802" width="30.44140625" customWidth="1"/>
    <col min="12803" max="12803" width="22.6640625" customWidth="1"/>
    <col min="12804" max="12804" width="23.44140625" customWidth="1"/>
    <col min="12805" max="12805" width="25.109375" customWidth="1"/>
    <col min="12806" max="12806" width="12.109375" customWidth="1"/>
    <col min="13058" max="13058" width="30.44140625" customWidth="1"/>
    <col min="13059" max="13059" width="22.6640625" customWidth="1"/>
    <col min="13060" max="13060" width="23.44140625" customWidth="1"/>
    <col min="13061" max="13061" width="25.109375" customWidth="1"/>
    <col min="13062" max="13062" width="12.109375" customWidth="1"/>
    <col min="13314" max="13314" width="30.44140625" customWidth="1"/>
    <col min="13315" max="13315" width="22.6640625" customWidth="1"/>
    <col min="13316" max="13316" width="23.44140625" customWidth="1"/>
    <col min="13317" max="13317" width="25.109375" customWidth="1"/>
    <col min="13318" max="13318" width="12.109375" customWidth="1"/>
    <col min="13570" max="13570" width="30.44140625" customWidth="1"/>
    <col min="13571" max="13571" width="22.6640625" customWidth="1"/>
    <col min="13572" max="13572" width="23.44140625" customWidth="1"/>
    <col min="13573" max="13573" width="25.109375" customWidth="1"/>
    <col min="13574" max="13574" width="12.109375" customWidth="1"/>
    <col min="13826" max="13826" width="30.44140625" customWidth="1"/>
    <col min="13827" max="13827" width="22.6640625" customWidth="1"/>
    <col min="13828" max="13828" width="23.44140625" customWidth="1"/>
    <col min="13829" max="13829" width="25.109375" customWidth="1"/>
    <col min="13830" max="13830" width="12.109375" customWidth="1"/>
    <col min="14082" max="14082" width="30.44140625" customWidth="1"/>
    <col min="14083" max="14083" width="22.6640625" customWidth="1"/>
    <col min="14084" max="14084" width="23.44140625" customWidth="1"/>
    <col min="14085" max="14085" width="25.109375" customWidth="1"/>
    <col min="14086" max="14086" width="12.109375" customWidth="1"/>
    <col min="14338" max="14338" width="30.44140625" customWidth="1"/>
    <col min="14339" max="14339" width="22.6640625" customWidth="1"/>
    <col min="14340" max="14340" width="23.44140625" customWidth="1"/>
    <col min="14341" max="14341" width="25.109375" customWidth="1"/>
    <col min="14342" max="14342" width="12.109375" customWidth="1"/>
    <col min="14594" max="14594" width="30.44140625" customWidth="1"/>
    <col min="14595" max="14595" width="22.6640625" customWidth="1"/>
    <col min="14596" max="14596" width="23.44140625" customWidth="1"/>
    <col min="14597" max="14597" width="25.109375" customWidth="1"/>
    <col min="14598" max="14598" width="12.109375" customWidth="1"/>
    <col min="14850" max="14850" width="30.44140625" customWidth="1"/>
    <col min="14851" max="14851" width="22.6640625" customWidth="1"/>
    <col min="14852" max="14852" width="23.44140625" customWidth="1"/>
    <col min="14853" max="14853" width="25.109375" customWidth="1"/>
    <col min="14854" max="14854" width="12.109375" customWidth="1"/>
    <col min="15106" max="15106" width="30.44140625" customWidth="1"/>
    <col min="15107" max="15107" width="22.6640625" customWidth="1"/>
    <col min="15108" max="15108" width="23.44140625" customWidth="1"/>
    <col min="15109" max="15109" width="25.109375" customWidth="1"/>
    <col min="15110" max="15110" width="12.109375" customWidth="1"/>
    <col min="15362" max="15362" width="30.44140625" customWidth="1"/>
    <col min="15363" max="15363" width="22.6640625" customWidth="1"/>
    <col min="15364" max="15364" width="23.44140625" customWidth="1"/>
    <col min="15365" max="15365" width="25.109375" customWidth="1"/>
    <col min="15366" max="15366" width="12.109375" customWidth="1"/>
    <col min="15618" max="15618" width="30.44140625" customWidth="1"/>
    <col min="15619" max="15619" width="22.6640625" customWidth="1"/>
    <col min="15620" max="15620" width="23.44140625" customWidth="1"/>
    <col min="15621" max="15621" width="25.109375" customWidth="1"/>
    <col min="15622" max="15622" width="12.109375" customWidth="1"/>
    <col min="15874" max="15874" width="30.44140625" customWidth="1"/>
    <col min="15875" max="15875" width="22.6640625" customWidth="1"/>
    <col min="15876" max="15876" width="23.44140625" customWidth="1"/>
    <col min="15877" max="15877" width="25.109375" customWidth="1"/>
    <col min="15878" max="15878" width="12.109375" customWidth="1"/>
    <col min="16130" max="16130" width="30.44140625" customWidth="1"/>
    <col min="16131" max="16131" width="22.6640625" customWidth="1"/>
    <col min="16132" max="16132" width="23.44140625" customWidth="1"/>
    <col min="16133" max="16133" width="25.109375" customWidth="1"/>
    <col min="16134" max="16134" width="12.109375" customWidth="1"/>
  </cols>
  <sheetData>
    <row r="1" spans="3:6" ht="15" thickBot="1" x14ac:dyDescent="0.35"/>
    <row r="2" spans="3:6" ht="12.75" customHeight="1" x14ac:dyDescent="0.3">
      <c r="D2" s="319" t="s">
        <v>95</v>
      </c>
      <c r="E2" s="319" t="s">
        <v>96</v>
      </c>
    </row>
    <row r="3" spans="3:6" ht="51" customHeight="1" thickBot="1" x14ac:dyDescent="0.35">
      <c r="D3" s="320"/>
      <c r="E3" s="320"/>
    </row>
    <row r="4" spans="3:6" ht="34.5" customHeight="1" x14ac:dyDescent="0.3">
      <c r="C4" s="24" t="s">
        <v>97</v>
      </c>
      <c r="D4" s="25" t="s">
        <v>98</v>
      </c>
      <c r="E4" s="26" t="s">
        <v>98</v>
      </c>
      <c r="F4" s="27" t="s">
        <v>99</v>
      </c>
    </row>
    <row r="5" spans="3:6" x14ac:dyDescent="0.3">
      <c r="C5" s="14" t="s">
        <v>100</v>
      </c>
      <c r="D5" s="28">
        <f>D38-D37</f>
        <v>1371.669724770642</v>
      </c>
      <c r="E5" s="29">
        <f>D42-D41</f>
        <v>2094.5715709732895</v>
      </c>
      <c r="F5" s="29">
        <f>D5-E5</f>
        <v>-722.90184620264745</v>
      </c>
    </row>
    <row r="6" spans="3:6" x14ac:dyDescent="0.3">
      <c r="C6" s="14" t="s">
        <v>101</v>
      </c>
      <c r="D6" s="28">
        <f>D39-D37</f>
        <v>675.84282755051208</v>
      </c>
      <c r="E6" s="28">
        <f>D43-D41</f>
        <v>390.57186619452841</v>
      </c>
      <c r="F6" s="59">
        <f>D6-E6</f>
        <v>285.27096135598367</v>
      </c>
    </row>
    <row r="9" spans="3:6" ht="15" thickBot="1" x14ac:dyDescent="0.35">
      <c r="D9" s="30"/>
    </row>
    <row r="10" spans="3:6" ht="26.4" customHeight="1" x14ac:dyDescent="0.3">
      <c r="D10" s="319" t="s">
        <v>95</v>
      </c>
      <c r="E10" s="319" t="s">
        <v>102</v>
      </c>
    </row>
    <row r="11" spans="3:6" ht="38.25" customHeight="1" thickBot="1" x14ac:dyDescent="0.35">
      <c r="D11" s="320"/>
      <c r="E11" s="320"/>
    </row>
    <row r="12" spans="3:6" ht="39.6" x14ac:dyDescent="0.3">
      <c r="C12" s="24" t="s">
        <v>97</v>
      </c>
      <c r="D12" s="24" t="s">
        <v>103</v>
      </c>
      <c r="E12" s="24" t="s">
        <v>103</v>
      </c>
      <c r="F12" s="27" t="s">
        <v>104</v>
      </c>
    </row>
    <row r="13" spans="3:6" x14ac:dyDescent="0.3">
      <c r="C13" s="14" t="s">
        <v>100</v>
      </c>
      <c r="D13" s="28">
        <f>E38-E37</f>
        <v>0.54754800000000003</v>
      </c>
      <c r="E13" s="14">
        <f>E42-E41</f>
        <v>0.38569800000000004</v>
      </c>
      <c r="F13" s="59">
        <f>D13-E13</f>
        <v>0.16184999999999999</v>
      </c>
    </row>
    <row r="14" spans="3:6" x14ac:dyDescent="0.3">
      <c r="C14" s="14" t="s">
        <v>101</v>
      </c>
      <c r="D14" s="14">
        <f>E39-E37</f>
        <v>0.196272</v>
      </c>
      <c r="E14" s="14">
        <f>E43-E41</f>
        <v>3.4422000000000008E-2</v>
      </c>
      <c r="F14" s="59">
        <f>D14-E14</f>
        <v>0.16184999999999999</v>
      </c>
    </row>
    <row r="15" spans="3:6" x14ac:dyDescent="0.3">
      <c r="D15" s="30"/>
    </row>
    <row r="16" spans="3:6" x14ac:dyDescent="0.3">
      <c r="D16" s="30"/>
    </row>
    <row r="17" spans="1:5" ht="15" thickBot="1" x14ac:dyDescent="0.35">
      <c r="D17" s="30"/>
    </row>
    <row r="18" spans="1:5" ht="15" thickBot="1" x14ac:dyDescent="0.35">
      <c r="C18" s="31" t="s">
        <v>105</v>
      </c>
      <c r="D18" s="32">
        <v>6.5</v>
      </c>
      <c r="E18" s="14">
        <v>4.5</v>
      </c>
    </row>
    <row r="19" spans="1:5" ht="15" thickBot="1" x14ac:dyDescent="0.35"/>
    <row r="20" spans="1:5" ht="15" thickBot="1" x14ac:dyDescent="0.35">
      <c r="C20" s="31" t="s">
        <v>106</v>
      </c>
      <c r="D20" s="15">
        <f>E18/D18</f>
        <v>0.69230769230769229</v>
      </c>
      <c r="E20">
        <f>1/D20</f>
        <v>1.4444444444444444</v>
      </c>
    </row>
    <row r="21" spans="1:5" x14ac:dyDescent="0.3">
      <c r="D21" s="30"/>
    </row>
    <row r="22" spans="1:5" ht="15" thickBot="1" x14ac:dyDescent="0.35">
      <c r="D22" s="30"/>
    </row>
    <row r="23" spans="1:5" ht="39.75" customHeight="1" thickBot="1" x14ac:dyDescent="0.35">
      <c r="B23" t="s">
        <v>13</v>
      </c>
      <c r="D23" s="321" t="s">
        <v>171</v>
      </c>
      <c r="E23" s="322"/>
    </row>
    <row r="24" spans="1:5" ht="31.65" customHeight="1" x14ac:dyDescent="0.3">
      <c r="B24" s="24" t="s">
        <v>97</v>
      </c>
      <c r="C24" s="24" t="s">
        <v>107</v>
      </c>
      <c r="D24" s="33" t="s">
        <v>108</v>
      </c>
      <c r="E24" s="34" t="s">
        <v>109</v>
      </c>
    </row>
    <row r="25" spans="1:5" x14ac:dyDescent="0.3">
      <c r="B25" s="14" t="s">
        <v>100</v>
      </c>
      <c r="C25" s="35">
        <v>0</v>
      </c>
      <c r="D25" s="315">
        <v>677</v>
      </c>
      <c r="E25" s="316">
        <f>ROUND((E13+F13)*(C25)+(E14+F14)*(C26),5)</f>
        <v>0.19627</v>
      </c>
    </row>
    <row r="26" spans="1:5" x14ac:dyDescent="0.3">
      <c r="B26" s="14" t="s">
        <v>101</v>
      </c>
      <c r="C26" s="35">
        <v>1</v>
      </c>
      <c r="D26" s="315"/>
      <c r="E26" s="317"/>
    </row>
    <row r="27" spans="1:5" ht="15" thickBot="1" x14ac:dyDescent="0.35">
      <c r="B27" s="16"/>
    </row>
    <row r="28" spans="1:5" ht="39.299999999999997" customHeight="1" thickBot="1" x14ac:dyDescent="0.35">
      <c r="B28" t="s">
        <v>27</v>
      </c>
      <c r="D28" s="321" t="s">
        <v>172</v>
      </c>
      <c r="E28" s="322"/>
    </row>
    <row r="29" spans="1:5" ht="26.4" x14ac:dyDescent="0.3">
      <c r="B29" s="24" t="s">
        <v>97</v>
      </c>
      <c r="C29" s="24" t="s">
        <v>107</v>
      </c>
      <c r="D29" s="33" t="s">
        <v>108</v>
      </c>
      <c r="E29" s="34" t="s">
        <v>109</v>
      </c>
    </row>
    <row r="30" spans="1:5" x14ac:dyDescent="0.3">
      <c r="A30" s="318" t="s">
        <v>124</v>
      </c>
      <c r="B30" s="14" t="s">
        <v>100</v>
      </c>
      <c r="C30" s="35">
        <v>1</v>
      </c>
      <c r="D30" s="315">
        <f>ROUND((E5+$D$20*F5)*(C30)+(E6+$D$20*F6)*(C31),2)</f>
        <v>1594.1</v>
      </c>
      <c r="E30" s="323">
        <f>ROUND((E13+F13)*(C30)+(E14+F14)*(C31),5)</f>
        <v>0.54754999999999998</v>
      </c>
    </row>
    <row r="31" spans="1:5" x14ac:dyDescent="0.3">
      <c r="A31" s="318"/>
      <c r="B31" s="14" t="s">
        <v>101</v>
      </c>
      <c r="C31" s="35">
        <v>0</v>
      </c>
      <c r="D31" s="315"/>
      <c r="E31" s="324"/>
    </row>
    <row r="32" spans="1:5" x14ac:dyDescent="0.3">
      <c r="A32" s="318" t="s">
        <v>78</v>
      </c>
      <c r="B32" s="14" t="s">
        <v>100</v>
      </c>
      <c r="C32" s="35">
        <v>0</v>
      </c>
      <c r="D32" s="315">
        <v>677</v>
      </c>
      <c r="E32" s="323">
        <f>ROUND((E13+F13)*(C32)+(E14+F14)*(C33),5)</f>
        <v>0.19627</v>
      </c>
    </row>
    <row r="33" spans="1:5" x14ac:dyDescent="0.3">
      <c r="A33" s="318"/>
      <c r="B33" s="14" t="s">
        <v>101</v>
      </c>
      <c r="C33" s="35">
        <v>1</v>
      </c>
      <c r="D33" s="315"/>
      <c r="E33" s="324"/>
    </row>
    <row r="34" spans="1:5" x14ac:dyDescent="0.3">
      <c r="B34" s="17"/>
      <c r="C34" s="37"/>
    </row>
    <row r="35" spans="1:5" x14ac:dyDescent="0.3">
      <c r="B35" s="36" t="s">
        <v>173</v>
      </c>
    </row>
    <row r="36" spans="1:5" x14ac:dyDescent="0.3">
      <c r="D36" s="16" t="s">
        <v>110</v>
      </c>
      <c r="E36" s="16" t="s">
        <v>111</v>
      </c>
    </row>
    <row r="37" spans="1:5" x14ac:dyDescent="0.3">
      <c r="B37" t="s">
        <v>112</v>
      </c>
      <c r="D37">
        <f>'Msr A'!$H$11</f>
        <v>1257</v>
      </c>
      <c r="E37">
        <v>0</v>
      </c>
    </row>
    <row r="38" spans="1:5" x14ac:dyDescent="0.3">
      <c r="B38" t="s">
        <v>113</v>
      </c>
      <c r="D38" s="58">
        <f>'Msr C'!$B$11</f>
        <v>2628.669724770642</v>
      </c>
      <c r="E38" s="57">
        <f>'Peak Demand Calculations'!$F$2</f>
        <v>0.54754800000000003</v>
      </c>
    </row>
    <row r="39" spans="1:5" x14ac:dyDescent="0.3">
      <c r="B39" t="s">
        <v>114</v>
      </c>
      <c r="D39" s="58">
        <f>'Msr A'!F11</f>
        <v>1932.8428275505121</v>
      </c>
      <c r="E39" s="57">
        <f>'Peak Demand Calculations'!$F$3</f>
        <v>0.196272</v>
      </c>
    </row>
    <row r="41" spans="1:5" x14ac:dyDescent="0.3">
      <c r="B41" t="s">
        <v>174</v>
      </c>
      <c r="D41" s="58">
        <f>'Msr B'!$K$12</f>
        <v>1313.4784290267105</v>
      </c>
      <c r="E41" s="57">
        <f>'Peak Demand Calculations'!$F$4</f>
        <v>0.16184999999999999</v>
      </c>
    </row>
    <row r="42" spans="1:5" x14ac:dyDescent="0.3">
      <c r="B42" t="s">
        <v>115</v>
      </c>
      <c r="D42">
        <f>ROUND(20341*1*365.25/(2.18*1000),2)</f>
        <v>3408.05</v>
      </c>
      <c r="E42" s="57">
        <f>'Peak Demand Calculations'!$F$2</f>
        <v>0.54754800000000003</v>
      </c>
    </row>
    <row r="43" spans="1:5" x14ac:dyDescent="0.3">
      <c r="B43" t="s">
        <v>156</v>
      </c>
      <c r="D43" s="58">
        <f>'Msr B'!$F$12</f>
        <v>1704.0502952212389</v>
      </c>
      <c r="E43" s="57">
        <f>'Peak Demand Calculations'!$F$3</f>
        <v>0.196272</v>
      </c>
    </row>
  </sheetData>
  <mergeCells count="14">
    <mergeCell ref="D25:D26"/>
    <mergeCell ref="E25:E26"/>
    <mergeCell ref="A30:A31"/>
    <mergeCell ref="A32:A33"/>
    <mergeCell ref="D2:D3"/>
    <mergeCell ref="E2:E3"/>
    <mergeCell ref="D10:D11"/>
    <mergeCell ref="E10:E11"/>
    <mergeCell ref="D23:E23"/>
    <mergeCell ref="D32:D33"/>
    <mergeCell ref="E32:E33"/>
    <mergeCell ref="D28:E28"/>
    <mergeCell ref="D30:D31"/>
    <mergeCell ref="E30:E31"/>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X18"/>
  <sheetViews>
    <sheetView tabSelected="1" zoomScale="55" zoomScaleNormal="55" workbookViewId="0">
      <selection activeCell="K6" sqref="K6"/>
    </sheetView>
  </sheetViews>
  <sheetFormatPr defaultRowHeight="14.4" x14ac:dyDescent="0.3"/>
  <cols>
    <col min="1" max="1" width="16.33203125" customWidth="1"/>
    <col min="2" max="2" width="18.109375" customWidth="1"/>
    <col min="3" max="3" width="32" customWidth="1"/>
    <col min="4" max="4" width="37.6640625" customWidth="1"/>
    <col min="5" max="5" width="26.33203125" customWidth="1"/>
    <col min="6" max="6" width="16" customWidth="1"/>
    <col min="7" max="7" width="9.109375" customWidth="1"/>
    <col min="8" max="8" width="12.44140625" customWidth="1"/>
    <col min="9" max="9" width="13.6640625" style="16" customWidth="1"/>
    <col min="10" max="10" width="11.44140625" customWidth="1"/>
    <col min="11" max="11" width="10.33203125" customWidth="1"/>
    <col min="12" max="12" width="10" customWidth="1"/>
    <col min="13" max="13" width="10.109375" customWidth="1"/>
    <col min="14" max="14" width="9.88671875" customWidth="1"/>
    <col min="15" max="15" width="10.44140625" customWidth="1"/>
    <col min="16" max="16" width="10.33203125" customWidth="1"/>
    <col min="17" max="17" width="9.88671875" customWidth="1"/>
  </cols>
  <sheetData>
    <row r="1" spans="1:24" x14ac:dyDescent="0.3">
      <c r="J1" s="205" t="s">
        <v>53</v>
      </c>
      <c r="K1" s="206"/>
      <c r="L1" s="206"/>
      <c r="M1" s="207"/>
    </row>
    <row r="2" spans="1:24" ht="61.8" customHeight="1" x14ac:dyDescent="0.3">
      <c r="A2" s="77" t="s">
        <v>33</v>
      </c>
      <c r="B2" s="77" t="s">
        <v>89</v>
      </c>
      <c r="C2" s="77" t="s">
        <v>19</v>
      </c>
      <c r="D2" s="77" t="s">
        <v>35</v>
      </c>
      <c r="E2" s="77" t="s">
        <v>1</v>
      </c>
      <c r="F2" s="77" t="s">
        <v>36</v>
      </c>
      <c r="G2" s="77" t="s">
        <v>41</v>
      </c>
      <c r="H2" s="77" t="s">
        <v>43</v>
      </c>
      <c r="I2" s="91" t="s">
        <v>197</v>
      </c>
      <c r="J2" s="78" t="s">
        <v>134</v>
      </c>
      <c r="K2" s="78" t="s">
        <v>135</v>
      </c>
      <c r="L2" s="78" t="s">
        <v>132</v>
      </c>
      <c r="M2" s="78" t="s">
        <v>133</v>
      </c>
    </row>
    <row r="3" spans="1:24" s="90" customFormat="1" ht="41.4" customHeight="1" x14ac:dyDescent="0.3">
      <c r="A3" s="102" t="s">
        <v>13</v>
      </c>
      <c r="B3" s="102" t="s">
        <v>14</v>
      </c>
      <c r="C3" s="103" t="s">
        <v>25</v>
      </c>
      <c r="D3" s="104" t="s">
        <v>191</v>
      </c>
      <c r="E3" s="103" t="s">
        <v>183</v>
      </c>
      <c r="F3" s="105" t="s">
        <v>37</v>
      </c>
      <c r="G3" s="102" t="s">
        <v>21</v>
      </c>
      <c r="H3" s="102" t="s">
        <v>44</v>
      </c>
      <c r="I3" s="106" t="s">
        <v>194</v>
      </c>
      <c r="J3" s="107">
        <f>'Msr A -New'!$L$11</f>
        <v>1092.93</v>
      </c>
      <c r="K3" s="107">
        <v>0</v>
      </c>
      <c r="L3" s="108">
        <f>'Msr A -New'!$D$17</f>
        <v>0</v>
      </c>
      <c r="M3" s="108">
        <v>0</v>
      </c>
      <c r="N3"/>
      <c r="O3"/>
      <c r="P3"/>
      <c r="Q3"/>
      <c r="R3"/>
      <c r="S3"/>
      <c r="T3"/>
      <c r="U3"/>
      <c r="V3"/>
      <c r="W3"/>
      <c r="X3"/>
    </row>
    <row r="4" spans="1:24" s="90" customFormat="1" ht="41.4" customHeight="1" x14ac:dyDescent="0.3">
      <c r="A4" s="102" t="s">
        <v>15</v>
      </c>
      <c r="B4" s="102" t="s">
        <v>26</v>
      </c>
      <c r="C4" s="103" t="s">
        <v>128</v>
      </c>
      <c r="D4" s="105" t="s">
        <v>139</v>
      </c>
      <c r="E4" s="109" t="s">
        <v>129</v>
      </c>
      <c r="F4" s="105" t="s">
        <v>37</v>
      </c>
      <c r="G4" s="102" t="s">
        <v>21</v>
      </c>
      <c r="H4" s="102" t="s">
        <v>45</v>
      </c>
      <c r="I4" s="106" t="s">
        <v>194</v>
      </c>
      <c r="J4" s="107">
        <f>'Msr B -New'!L$11</f>
        <v>959.81</v>
      </c>
      <c r="K4" s="107">
        <v>0</v>
      </c>
      <c r="L4" s="108">
        <f>'Msr B -New'!$D$17</f>
        <v>0</v>
      </c>
      <c r="M4" s="108">
        <v>0</v>
      </c>
      <c r="N4"/>
      <c r="O4"/>
      <c r="P4"/>
      <c r="Q4"/>
      <c r="R4"/>
      <c r="S4"/>
      <c r="T4"/>
      <c r="U4"/>
      <c r="V4"/>
      <c r="W4"/>
      <c r="X4"/>
    </row>
    <row r="5" spans="1:24" s="90" customFormat="1" ht="48" x14ac:dyDescent="0.3">
      <c r="A5" s="102" t="s">
        <v>27</v>
      </c>
      <c r="B5" s="102" t="s">
        <v>17</v>
      </c>
      <c r="C5" s="103" t="s">
        <v>32</v>
      </c>
      <c r="D5" s="104" t="s">
        <v>208</v>
      </c>
      <c r="E5" s="103" t="s">
        <v>183</v>
      </c>
      <c r="F5" s="105" t="s">
        <v>37</v>
      </c>
      <c r="G5" s="102" t="s">
        <v>42</v>
      </c>
      <c r="H5" s="102" t="s">
        <v>142</v>
      </c>
      <c r="I5" s="106" t="s">
        <v>195</v>
      </c>
      <c r="J5" s="107">
        <f>'Msr C -New'!$E$11</f>
        <v>1252.1980000000001</v>
      </c>
      <c r="K5" s="107">
        <f>'Msr C -New'!F11</f>
        <v>1092.9349999999999</v>
      </c>
      <c r="L5" s="108">
        <f>'Msr C -New'!$E$17</f>
        <v>0.247</v>
      </c>
      <c r="M5" s="108">
        <f>'Msr C -New'!$F$17</f>
        <v>0</v>
      </c>
      <c r="N5"/>
      <c r="O5"/>
      <c r="P5"/>
      <c r="Q5"/>
      <c r="R5"/>
      <c r="S5"/>
      <c r="T5"/>
      <c r="U5"/>
      <c r="V5"/>
      <c r="W5"/>
      <c r="X5"/>
    </row>
    <row r="6" spans="1:24" ht="41.4" customHeight="1" x14ac:dyDescent="0.3">
      <c r="A6" s="79" t="s">
        <v>39</v>
      </c>
      <c r="B6" s="79" t="s">
        <v>90</v>
      </c>
      <c r="C6" s="80" t="s">
        <v>40</v>
      </c>
      <c r="D6" s="81" t="s">
        <v>207</v>
      </c>
      <c r="E6" s="80" t="s">
        <v>184</v>
      </c>
      <c r="F6" s="82" t="s">
        <v>38</v>
      </c>
      <c r="G6" s="79" t="s">
        <v>42</v>
      </c>
      <c r="H6" s="79" t="s">
        <v>44</v>
      </c>
      <c r="I6" s="94" t="s">
        <v>195</v>
      </c>
      <c r="J6" s="83">
        <f>'Msr D-New'!I$9</f>
        <v>8099.1310000000003</v>
      </c>
      <c r="K6" s="83">
        <f>'Msr D-New'!$J$9</f>
        <v>2417.9009999999998</v>
      </c>
      <c r="L6" s="98">
        <f>'Msr D-New'!$E$22</f>
        <v>0.75929999999999997</v>
      </c>
      <c r="M6" s="98">
        <f>'Msr D-New'!$F$22</f>
        <v>0.29178999999999999</v>
      </c>
    </row>
    <row r="7" spans="1:24" ht="41.4" customHeight="1" x14ac:dyDescent="0.3">
      <c r="A7" s="79" t="s">
        <v>140</v>
      </c>
      <c r="B7" s="79" t="s">
        <v>126</v>
      </c>
      <c r="C7" s="80" t="s">
        <v>130</v>
      </c>
      <c r="D7" s="81" t="s">
        <v>207</v>
      </c>
      <c r="E7" s="80" t="s">
        <v>184</v>
      </c>
      <c r="F7" s="82" t="s">
        <v>38</v>
      </c>
      <c r="G7" s="79" t="s">
        <v>42</v>
      </c>
      <c r="H7" s="79" t="s">
        <v>44</v>
      </c>
      <c r="I7" s="94" t="s">
        <v>195</v>
      </c>
      <c r="J7" s="83">
        <f>'Msr F &amp; G-New'!$E$10</f>
        <v>4812.165</v>
      </c>
      <c r="K7" s="83">
        <f>'Msr F &amp; G-New'!$F$10</f>
        <v>2911.7950000000001</v>
      </c>
      <c r="L7" s="98">
        <f>'Msr F &amp; G-New'!$E$16</f>
        <v>0.23682</v>
      </c>
      <c r="M7" s="98">
        <f>'Msr F &amp; G-New'!$F$16</f>
        <v>0.30615999999999999</v>
      </c>
    </row>
    <row r="8" spans="1:24" ht="41.4" customHeight="1" x14ac:dyDescent="0.3">
      <c r="A8" s="79" t="s">
        <v>141</v>
      </c>
      <c r="B8" s="79" t="s">
        <v>127</v>
      </c>
      <c r="C8" s="80" t="s">
        <v>131</v>
      </c>
      <c r="D8" s="81" t="s">
        <v>207</v>
      </c>
      <c r="E8" s="80" t="s">
        <v>184</v>
      </c>
      <c r="F8" s="82" t="s">
        <v>38</v>
      </c>
      <c r="G8" s="79" t="s">
        <v>42</v>
      </c>
      <c r="H8" s="79" t="s">
        <v>44</v>
      </c>
      <c r="I8" s="94" t="s">
        <v>195</v>
      </c>
      <c r="J8" s="83">
        <f>'Msr F &amp; G-New'!$E$26</f>
        <v>1846.182</v>
      </c>
      <c r="K8" s="83">
        <f>'Msr F &amp; G-New'!$F$26</f>
        <v>73.364000000000004</v>
      </c>
      <c r="L8" s="98">
        <f>'Msr F &amp; G-New'!$E$32</f>
        <v>0.65205000000000002</v>
      </c>
      <c r="M8" s="98">
        <f>'Msr F &amp; G-New'!$F$32</f>
        <v>0.15359</v>
      </c>
    </row>
    <row r="10" spans="1:24" s="90" customFormat="1" x14ac:dyDescent="0.3">
      <c r="A10" s="89" t="s">
        <v>193</v>
      </c>
      <c r="I10" s="92"/>
      <c r="N10"/>
      <c r="O10"/>
      <c r="P10"/>
      <c r="Q10"/>
      <c r="R10"/>
      <c r="S10"/>
      <c r="T10"/>
      <c r="U10"/>
      <c r="V10"/>
      <c r="W10"/>
      <c r="X10"/>
    </row>
    <row r="11" spans="1:24" s="90" customFormat="1" ht="25.8" customHeight="1" x14ac:dyDescent="0.3">
      <c r="A11" s="208" t="s">
        <v>196</v>
      </c>
      <c r="B11" s="208"/>
      <c r="C11" s="208"/>
      <c r="D11" s="208"/>
      <c r="E11" s="208"/>
      <c r="F11" s="208"/>
      <c r="G11" s="208"/>
      <c r="H11" s="208"/>
      <c r="I11" s="93"/>
      <c r="N11"/>
      <c r="O11"/>
      <c r="P11"/>
      <c r="Q11"/>
      <c r="R11"/>
      <c r="S11"/>
      <c r="T11"/>
      <c r="U11"/>
      <c r="V11"/>
      <c r="W11"/>
      <c r="X11"/>
    </row>
    <row r="12" spans="1:24" s="90" customFormat="1" x14ac:dyDescent="0.3">
      <c r="I12" s="92"/>
      <c r="N12"/>
      <c r="O12"/>
      <c r="P12"/>
      <c r="Q12"/>
      <c r="R12"/>
      <c r="S12"/>
      <c r="T12"/>
      <c r="U12"/>
      <c r="V12"/>
      <c r="W12"/>
      <c r="X12"/>
    </row>
    <row r="13" spans="1:24" s="90" customFormat="1" x14ac:dyDescent="0.3">
      <c r="I13" s="92"/>
      <c r="N13"/>
      <c r="O13"/>
      <c r="P13"/>
      <c r="Q13"/>
      <c r="R13"/>
      <c r="S13"/>
      <c r="T13"/>
      <c r="U13"/>
      <c r="V13"/>
      <c r="W13"/>
      <c r="X13"/>
    </row>
    <row r="14" spans="1:24" s="90" customFormat="1" x14ac:dyDescent="0.3">
      <c r="I14" s="92"/>
      <c r="N14"/>
      <c r="O14"/>
      <c r="P14"/>
      <c r="Q14"/>
      <c r="R14"/>
      <c r="S14"/>
      <c r="T14"/>
      <c r="U14"/>
      <c r="V14"/>
      <c r="W14"/>
      <c r="X14"/>
    </row>
    <row r="15" spans="1:24" s="90" customFormat="1" x14ac:dyDescent="0.3">
      <c r="I15" s="92"/>
      <c r="N15"/>
      <c r="O15"/>
      <c r="P15"/>
      <c r="Q15"/>
      <c r="R15"/>
      <c r="S15"/>
      <c r="T15"/>
      <c r="U15"/>
      <c r="V15"/>
      <c r="W15"/>
      <c r="X15"/>
    </row>
    <row r="16" spans="1:24" s="90" customFormat="1" x14ac:dyDescent="0.3">
      <c r="I16" s="92"/>
      <c r="N16"/>
      <c r="O16"/>
      <c r="P16"/>
      <c r="Q16"/>
      <c r="R16"/>
      <c r="S16"/>
      <c r="T16"/>
      <c r="U16"/>
      <c r="V16"/>
      <c r="W16"/>
      <c r="X16"/>
    </row>
    <row r="17" spans="9:24" s="90" customFormat="1" x14ac:dyDescent="0.3">
      <c r="I17" s="92"/>
      <c r="N17"/>
      <c r="O17"/>
      <c r="P17"/>
      <c r="Q17"/>
      <c r="R17"/>
      <c r="S17"/>
      <c r="T17"/>
      <c r="U17"/>
      <c r="V17"/>
      <c r="W17"/>
      <c r="X17"/>
    </row>
    <row r="18" spans="9:24" s="90" customFormat="1" x14ac:dyDescent="0.3">
      <c r="I18" s="92"/>
      <c r="N18"/>
      <c r="O18"/>
      <c r="P18"/>
      <c r="Q18"/>
      <c r="R18"/>
      <c r="S18"/>
      <c r="T18"/>
      <c r="U18"/>
      <c r="V18"/>
      <c r="W18"/>
      <c r="X18"/>
    </row>
  </sheetData>
  <mergeCells count="2">
    <mergeCell ref="J1:M1"/>
    <mergeCell ref="A11:H1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19"/>
  <sheetViews>
    <sheetView workbookViewId="0">
      <selection sqref="A1:A2"/>
    </sheetView>
  </sheetViews>
  <sheetFormatPr defaultColWidth="19.109375" defaultRowHeight="14.4" x14ac:dyDescent="0.3"/>
  <cols>
    <col min="1" max="1" width="19.33203125" customWidth="1"/>
    <col min="2" max="2" width="20.77734375" customWidth="1"/>
    <col min="3" max="3" width="28.6640625" customWidth="1"/>
    <col min="4" max="4" width="13.44140625" bestFit="1" customWidth="1"/>
    <col min="5" max="5" width="14" bestFit="1" customWidth="1"/>
  </cols>
  <sheetData>
    <row r="1" spans="1:5" ht="14.25" customHeight="1" x14ac:dyDescent="0.3">
      <c r="A1" s="210" t="s">
        <v>136</v>
      </c>
      <c r="B1" s="209" t="s">
        <v>35</v>
      </c>
      <c r="C1" s="209" t="s">
        <v>1</v>
      </c>
      <c r="D1" s="209" t="s">
        <v>77</v>
      </c>
      <c r="E1" s="209"/>
    </row>
    <row r="2" spans="1:5" ht="27.6" x14ac:dyDescent="0.3">
      <c r="A2" s="211"/>
      <c r="B2" s="212"/>
      <c r="C2" s="212"/>
      <c r="D2" s="42" t="s">
        <v>137</v>
      </c>
      <c r="E2" s="42" t="s">
        <v>138</v>
      </c>
    </row>
    <row r="3" spans="1:5" ht="41.4" x14ac:dyDescent="0.3">
      <c r="A3" s="44" t="s">
        <v>185</v>
      </c>
      <c r="B3" s="43" t="str">
        <f>'Summary Table'!D3</f>
        <v>100% Two Speed Pool Pumps (Required 2 speed in disposion)</v>
      </c>
      <c r="C3" s="43" t="str">
        <f>'Summary Table'!E3</f>
        <v>Commissioned variable-speed pumps</v>
      </c>
      <c r="D3" s="63">
        <f>'Summary Table'!L3</f>
        <v>0</v>
      </c>
      <c r="E3" s="67">
        <f>'Summary Table'!M3</f>
        <v>0</v>
      </c>
    </row>
    <row r="4" spans="1:5" ht="27.6" x14ac:dyDescent="0.3">
      <c r="A4" s="44" t="s">
        <v>186</v>
      </c>
      <c r="B4" s="43" t="str">
        <f>'Summary Table'!D4</f>
        <v>100% Two Speed Pool Pumps</v>
      </c>
      <c r="C4" s="43" t="str">
        <f>'Summary Table'!E4</f>
        <v>Variable-speed pumps (Self Installed)</v>
      </c>
      <c r="D4" s="63">
        <f>'Summary Table'!L4</f>
        <v>0</v>
      </c>
      <c r="E4" s="67">
        <f>'Summary Table'!M4</f>
        <v>0</v>
      </c>
    </row>
    <row r="5" spans="1:5" ht="96.6" x14ac:dyDescent="0.3">
      <c r="A5" s="44" t="s">
        <v>187</v>
      </c>
      <c r="B5" s="43" t="str">
        <f>'Summary Table'!D5</f>
        <v xml:space="preserve">1st Baseline: 100% Single Speed Pool Pumps 
(Approved by CS in disposition)
2nd Baseline: 100% Two Speed Pool Pump
</v>
      </c>
      <c r="C5" s="43" t="str">
        <f>'Summary Table'!E5</f>
        <v>Commissioned variable-speed pumps</v>
      </c>
      <c r="D5" s="63">
        <f>'Summary Table'!L5</f>
        <v>0.247</v>
      </c>
      <c r="E5" s="63">
        <f>'Summary Table'!M5</f>
        <v>0</v>
      </c>
    </row>
    <row r="6" spans="1:5" ht="55.2" x14ac:dyDescent="0.3">
      <c r="A6" s="44" t="s">
        <v>188</v>
      </c>
      <c r="B6" s="43" t="str">
        <f>'Summary Table'!D6</f>
        <v>1st Baseline: Single Speed Pump  
2nd Baseline: 100% Two Speed Pool Pumps</v>
      </c>
      <c r="C6" s="43" t="str">
        <f>'Summary Table'!E6</f>
        <v>Programmed variable-speed pumps</v>
      </c>
      <c r="D6" s="63">
        <f>'Summary Table'!L6</f>
        <v>0.75929999999999997</v>
      </c>
      <c r="E6" s="63">
        <f>'Summary Table'!M6</f>
        <v>0.29178999999999999</v>
      </c>
    </row>
    <row r="7" spans="1:5" ht="55.2" x14ac:dyDescent="0.3">
      <c r="A7" s="44" t="s">
        <v>189</v>
      </c>
      <c r="B7" s="43" t="str">
        <f>'Summary Table'!D7</f>
        <v>1st Baseline: Single Speed Pump  
2nd Baseline: 100% Two Speed Pool Pumps</v>
      </c>
      <c r="C7" s="43" t="str">
        <f>'Summary Table'!E7</f>
        <v>Programmed variable-speed pumps</v>
      </c>
      <c r="D7" s="63">
        <f>'Summary Table'!L7</f>
        <v>0.23682</v>
      </c>
      <c r="E7" s="63">
        <f>'Summary Table'!M7</f>
        <v>0.30615999999999999</v>
      </c>
    </row>
    <row r="8" spans="1:5" ht="55.8" thickBot="1" x14ac:dyDescent="0.35">
      <c r="A8" s="45" t="s">
        <v>190</v>
      </c>
      <c r="B8" s="46" t="str">
        <f>'Summary Table'!D8</f>
        <v>1st Baseline: Single Speed Pump  
2nd Baseline: 100% Two Speed Pool Pumps</v>
      </c>
      <c r="C8" s="46" t="str">
        <f>'Summary Table'!E8</f>
        <v>Programmed variable-speed pumps</v>
      </c>
      <c r="D8" s="64">
        <f>'Summary Table'!L8</f>
        <v>0.65205000000000002</v>
      </c>
      <c r="E8" s="64">
        <f>'Summary Table'!M8</f>
        <v>0.15359</v>
      </c>
    </row>
    <row r="11" spans="1:5" ht="15" thickBot="1" x14ac:dyDescent="0.35"/>
    <row r="12" spans="1:5" ht="14.25" customHeight="1" x14ac:dyDescent="0.3">
      <c r="A12" s="213" t="s">
        <v>136</v>
      </c>
      <c r="B12" s="215" t="s">
        <v>35</v>
      </c>
      <c r="C12" s="215" t="s">
        <v>1</v>
      </c>
      <c r="D12" s="217" t="s">
        <v>306</v>
      </c>
      <c r="E12" s="218"/>
    </row>
    <row r="13" spans="1:5" ht="27.6" x14ac:dyDescent="0.3">
      <c r="A13" s="214"/>
      <c r="B13" s="216"/>
      <c r="C13" s="216"/>
      <c r="D13" s="47" t="s">
        <v>134</v>
      </c>
      <c r="E13" s="47" t="s">
        <v>135</v>
      </c>
    </row>
    <row r="14" spans="1:5" ht="25.5" customHeight="1" x14ac:dyDescent="0.3">
      <c r="A14" s="44" t="s">
        <v>185</v>
      </c>
      <c r="B14" s="43" t="str">
        <f>'Summary Table'!D3</f>
        <v>100% Two Speed Pool Pumps (Required 2 speed in disposion)</v>
      </c>
      <c r="C14" s="43" t="str">
        <f>'Summary Table'!E3</f>
        <v>Commissioned variable-speed pumps</v>
      </c>
      <c r="D14" s="48">
        <f>'Summary Table'!J3</f>
        <v>1092.93</v>
      </c>
      <c r="E14" s="48">
        <f>'Summary Table'!K3</f>
        <v>0</v>
      </c>
    </row>
    <row r="15" spans="1:5" ht="27.6" x14ac:dyDescent="0.3">
      <c r="A15" s="44" t="s">
        <v>186</v>
      </c>
      <c r="B15" s="43" t="str">
        <f>'Summary Table'!D4</f>
        <v>100% Two Speed Pool Pumps</v>
      </c>
      <c r="C15" s="43" t="str">
        <f>'Summary Table'!E4</f>
        <v>Variable-speed pumps (Self Installed)</v>
      </c>
      <c r="D15" s="48">
        <f>'Summary Table'!J4</f>
        <v>959.81</v>
      </c>
      <c r="E15" s="48">
        <f>'Summary Table'!K4</f>
        <v>0</v>
      </c>
    </row>
    <row r="16" spans="1:5" ht="96.6" x14ac:dyDescent="0.3">
      <c r="A16" s="44" t="s">
        <v>187</v>
      </c>
      <c r="B16" s="43" t="str">
        <f>'Summary Table'!D5</f>
        <v xml:space="preserve">1st Baseline: 100% Single Speed Pool Pumps 
(Approved by CS in disposition)
2nd Baseline: 100% Two Speed Pool Pump
</v>
      </c>
      <c r="C16" s="43" t="str">
        <f>'Summary Table'!E5</f>
        <v>Commissioned variable-speed pumps</v>
      </c>
      <c r="D16" s="48">
        <f>'Summary Table'!J5</f>
        <v>1252.1980000000001</v>
      </c>
      <c r="E16" s="48">
        <f>'Summary Table'!K5</f>
        <v>1092.9349999999999</v>
      </c>
    </row>
    <row r="17" spans="1:5" ht="55.2" x14ac:dyDescent="0.3">
      <c r="A17" s="44" t="s">
        <v>188</v>
      </c>
      <c r="B17" s="43" t="str">
        <f>'Summary Table'!D6</f>
        <v>1st Baseline: Single Speed Pump  
2nd Baseline: 100% Two Speed Pool Pumps</v>
      </c>
      <c r="C17" s="43" t="str">
        <f>'Summary Table'!E6</f>
        <v>Programmed variable-speed pumps</v>
      </c>
      <c r="D17" s="48">
        <f>'Summary Table'!J6</f>
        <v>8099.1310000000003</v>
      </c>
      <c r="E17" s="48">
        <f>'Summary Table'!K6</f>
        <v>2417.9009999999998</v>
      </c>
    </row>
    <row r="18" spans="1:5" ht="55.2" x14ac:dyDescent="0.3">
      <c r="A18" s="44" t="s">
        <v>189</v>
      </c>
      <c r="B18" s="43" t="str">
        <f>'Summary Table'!D7</f>
        <v>1st Baseline: Single Speed Pump  
2nd Baseline: 100% Two Speed Pool Pumps</v>
      </c>
      <c r="C18" s="43" t="str">
        <f>'Summary Table'!E7</f>
        <v>Programmed variable-speed pumps</v>
      </c>
      <c r="D18" s="48">
        <f>'Summary Table'!J7</f>
        <v>4812.165</v>
      </c>
      <c r="E18" s="48">
        <f>'Summary Table'!K7</f>
        <v>2911.7950000000001</v>
      </c>
    </row>
    <row r="19" spans="1:5" ht="75.45" customHeight="1" thickBot="1" x14ac:dyDescent="0.35">
      <c r="A19" s="45" t="s">
        <v>190</v>
      </c>
      <c r="B19" s="43" t="str">
        <f>'Summary Table'!D8</f>
        <v>1st Baseline: Single Speed Pump  
2nd Baseline: 100% Two Speed Pool Pumps</v>
      </c>
      <c r="C19" s="43" t="str">
        <f>'Summary Table'!E8</f>
        <v>Programmed variable-speed pumps</v>
      </c>
      <c r="D19" s="48">
        <f>'Summary Table'!J8</f>
        <v>1846.182</v>
      </c>
      <c r="E19" s="48">
        <f>'Summary Table'!K8</f>
        <v>73.364000000000004</v>
      </c>
    </row>
  </sheetData>
  <mergeCells count="8">
    <mergeCell ref="D1:E1"/>
    <mergeCell ref="A1:A2"/>
    <mergeCell ref="B1:B2"/>
    <mergeCell ref="C1:C2"/>
    <mergeCell ref="A12:A13"/>
    <mergeCell ref="B12:B13"/>
    <mergeCell ref="C12:C13"/>
    <mergeCell ref="D12:E1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B3:S26"/>
  <sheetViews>
    <sheetView topLeftCell="F20" workbookViewId="0">
      <selection activeCell="M17" sqref="M17"/>
    </sheetView>
  </sheetViews>
  <sheetFormatPr defaultRowHeight="14.4" x14ac:dyDescent="0.3"/>
  <cols>
    <col min="2" max="2" width="17.44140625" bestFit="1" customWidth="1"/>
    <col min="3" max="3" width="24.88671875" bestFit="1" customWidth="1"/>
    <col min="4" max="4" width="41.21875" customWidth="1"/>
    <col min="5" max="5" width="9.109375" customWidth="1"/>
    <col min="6" max="6" width="21.109375" customWidth="1"/>
    <col min="7" max="7" width="12.88671875" customWidth="1"/>
    <col min="8" max="8" width="28" customWidth="1"/>
    <col min="9" max="9" width="9.21875" customWidth="1"/>
    <col min="10" max="10" width="18" customWidth="1"/>
    <col min="11" max="11" width="10.33203125" customWidth="1"/>
    <col min="12" max="12" width="34.44140625" customWidth="1"/>
    <col min="13" max="13" width="18.109375" customWidth="1"/>
    <col min="14" max="14" width="76.33203125" customWidth="1"/>
  </cols>
  <sheetData>
    <row r="3" spans="2:19" ht="15" thickBot="1" x14ac:dyDescent="0.35">
      <c r="D3" t="s">
        <v>34</v>
      </c>
    </row>
    <row r="4" spans="2:19" x14ac:dyDescent="0.3">
      <c r="B4" s="133" t="s">
        <v>36</v>
      </c>
      <c r="C4" s="134" t="s">
        <v>227</v>
      </c>
      <c r="D4" s="135" t="s">
        <v>229</v>
      </c>
      <c r="E4" s="243" t="s">
        <v>240</v>
      </c>
      <c r="F4" s="244"/>
      <c r="G4" s="243" t="s">
        <v>245</v>
      </c>
      <c r="H4" s="244"/>
      <c r="I4" s="243" t="s">
        <v>239</v>
      </c>
      <c r="J4" s="244"/>
      <c r="K4" s="243" t="s">
        <v>230</v>
      </c>
      <c r="L4" s="244"/>
      <c r="M4" s="243" t="s">
        <v>238</v>
      </c>
      <c r="N4" s="244"/>
    </row>
    <row r="5" spans="2:19" ht="54" customHeight="1" x14ac:dyDescent="0.3">
      <c r="B5" s="248" t="s">
        <v>20</v>
      </c>
      <c r="C5" s="264" t="s">
        <v>228</v>
      </c>
      <c r="D5" s="129" t="s">
        <v>231</v>
      </c>
      <c r="E5" s="248">
        <v>15700</v>
      </c>
      <c r="F5" s="221" t="s">
        <v>315</v>
      </c>
      <c r="G5" s="262" t="s">
        <v>246</v>
      </c>
      <c r="H5" s="263"/>
      <c r="I5" s="169">
        <v>1.052</v>
      </c>
      <c r="J5" s="148" t="s">
        <v>316</v>
      </c>
      <c r="K5" s="130">
        <v>41</v>
      </c>
      <c r="L5" s="128" t="s">
        <v>317</v>
      </c>
      <c r="M5" s="138">
        <v>2.3817391304347821</v>
      </c>
      <c r="N5" s="131" t="s">
        <v>396</v>
      </c>
      <c r="R5" s="2" t="s">
        <v>232</v>
      </c>
      <c r="S5" s="2" t="s">
        <v>235</v>
      </c>
    </row>
    <row r="6" spans="2:19" ht="51.6" customHeight="1" x14ac:dyDescent="0.3">
      <c r="B6" s="249" t="s">
        <v>20</v>
      </c>
      <c r="C6" s="265"/>
      <c r="D6" s="129" t="s">
        <v>241</v>
      </c>
      <c r="E6" s="249"/>
      <c r="F6" s="222"/>
      <c r="G6" s="256">
        <v>0.71685004683141718</v>
      </c>
      <c r="H6" s="260" t="s">
        <v>243</v>
      </c>
      <c r="I6" s="179">
        <v>1.0449999999999999</v>
      </c>
      <c r="J6" s="148" t="s">
        <v>352</v>
      </c>
      <c r="K6" s="224">
        <v>22</v>
      </c>
      <c r="L6" s="251" t="s">
        <v>318</v>
      </c>
      <c r="M6" s="138">
        <v>2.6978</v>
      </c>
      <c r="N6" s="131" t="s">
        <v>398</v>
      </c>
      <c r="R6" s="2" t="s">
        <v>233</v>
      </c>
      <c r="S6" s="2" t="s">
        <v>236</v>
      </c>
    </row>
    <row r="7" spans="2:19" ht="39.15" customHeight="1" x14ac:dyDescent="0.3">
      <c r="B7" s="249" t="s">
        <v>20</v>
      </c>
      <c r="C7" s="265"/>
      <c r="D7" s="129" t="s">
        <v>242</v>
      </c>
      <c r="E7" s="249"/>
      <c r="F7" s="222"/>
      <c r="G7" s="257"/>
      <c r="H7" s="261"/>
      <c r="I7" s="179">
        <v>1.1702786506873917</v>
      </c>
      <c r="J7" s="148" t="s">
        <v>354</v>
      </c>
      <c r="K7" s="226"/>
      <c r="L7" s="252"/>
      <c r="M7" s="138">
        <v>5.0389419999999987</v>
      </c>
      <c r="N7" s="131" t="s">
        <v>272</v>
      </c>
      <c r="R7" s="2" t="s">
        <v>234</v>
      </c>
      <c r="S7" s="2" t="s">
        <v>237</v>
      </c>
    </row>
    <row r="8" spans="2:19" ht="52.2" customHeight="1" x14ac:dyDescent="0.3">
      <c r="B8" s="249" t="s">
        <v>20</v>
      </c>
      <c r="C8" s="265"/>
      <c r="D8" s="129" t="s">
        <v>247</v>
      </c>
      <c r="E8" s="249"/>
      <c r="F8" s="222"/>
      <c r="G8" s="256">
        <v>0.28314995316858282</v>
      </c>
      <c r="H8" s="221" t="s">
        <v>244</v>
      </c>
      <c r="I8" s="179">
        <v>1.0409999999999999</v>
      </c>
      <c r="J8" s="148" t="s">
        <v>353</v>
      </c>
      <c r="K8" s="224">
        <v>18</v>
      </c>
      <c r="L8" s="245" t="s">
        <v>319</v>
      </c>
      <c r="M8" s="138">
        <v>3.2086000000000001</v>
      </c>
      <c r="N8" s="131" t="s">
        <v>397</v>
      </c>
    </row>
    <row r="9" spans="2:19" ht="38.1" customHeight="1" x14ac:dyDescent="0.3">
      <c r="B9" s="249" t="s">
        <v>20</v>
      </c>
      <c r="C9" s="265"/>
      <c r="D9" s="129" t="s">
        <v>248</v>
      </c>
      <c r="E9" s="249"/>
      <c r="F9" s="222"/>
      <c r="G9" s="258"/>
      <c r="H9" s="222"/>
      <c r="I9" s="179">
        <v>1.1661950807825834</v>
      </c>
      <c r="J9" s="148" t="s">
        <v>354</v>
      </c>
      <c r="K9" s="226"/>
      <c r="L9" s="245"/>
      <c r="M9" s="138">
        <v>6.5545899999999993</v>
      </c>
      <c r="N9" s="131" t="s">
        <v>273</v>
      </c>
    </row>
    <row r="10" spans="2:19" ht="42.6" customHeight="1" x14ac:dyDescent="0.3">
      <c r="B10" s="249" t="s">
        <v>20</v>
      </c>
      <c r="C10" s="265"/>
      <c r="D10" s="129" t="s">
        <v>249</v>
      </c>
      <c r="E10" s="249"/>
      <c r="F10" s="222"/>
      <c r="G10" s="258"/>
      <c r="H10" s="222"/>
      <c r="I10" s="219">
        <v>0.44593118291120465</v>
      </c>
      <c r="J10" s="254" t="s">
        <v>320</v>
      </c>
      <c r="K10" s="224">
        <v>48</v>
      </c>
      <c r="L10" s="245" t="s">
        <v>321</v>
      </c>
      <c r="M10" s="138">
        <v>2.8462000000000014</v>
      </c>
      <c r="N10" s="131" t="s">
        <v>399</v>
      </c>
    </row>
    <row r="11" spans="2:19" ht="36.6" thickBot="1" x14ac:dyDescent="0.35">
      <c r="B11" s="250" t="s">
        <v>20</v>
      </c>
      <c r="C11" s="266"/>
      <c r="D11" s="136" t="s">
        <v>250</v>
      </c>
      <c r="E11" s="250"/>
      <c r="F11" s="247"/>
      <c r="G11" s="259"/>
      <c r="H11" s="247"/>
      <c r="I11" s="253"/>
      <c r="J11" s="255"/>
      <c r="K11" s="231"/>
      <c r="L11" s="246"/>
      <c r="M11" s="139">
        <v>4.2735489999999956</v>
      </c>
      <c r="N11" s="132" t="s">
        <v>274</v>
      </c>
    </row>
    <row r="12" spans="2:19" x14ac:dyDescent="0.3">
      <c r="B12" s="127"/>
      <c r="C12" s="127"/>
      <c r="D12" s="127"/>
      <c r="E12" s="127"/>
      <c r="F12" s="127"/>
      <c r="G12" s="127"/>
      <c r="H12" s="127"/>
      <c r="I12" s="127"/>
      <c r="J12" s="127"/>
      <c r="K12" s="127"/>
      <c r="L12" s="127"/>
      <c r="M12" s="127"/>
      <c r="N12" s="127"/>
    </row>
    <row r="14" spans="2:19" ht="15" thickBot="1" x14ac:dyDescent="0.35"/>
    <row r="15" spans="2:19" x14ac:dyDescent="0.3">
      <c r="B15" s="133" t="s">
        <v>36</v>
      </c>
      <c r="C15" s="134" t="s">
        <v>227</v>
      </c>
      <c r="D15" s="147" t="s">
        <v>229</v>
      </c>
      <c r="E15" s="241" t="s">
        <v>240</v>
      </c>
      <c r="F15" s="242"/>
      <c r="G15" s="241" t="s">
        <v>251</v>
      </c>
      <c r="H15" s="242"/>
      <c r="I15" s="241" t="s">
        <v>239</v>
      </c>
      <c r="J15" s="242"/>
      <c r="K15" s="241" t="s">
        <v>230</v>
      </c>
      <c r="L15" s="242"/>
      <c r="M15" s="243" t="s">
        <v>238</v>
      </c>
      <c r="N15" s="244"/>
    </row>
    <row r="16" spans="2:19" ht="53.4" customHeight="1" x14ac:dyDescent="0.3">
      <c r="B16" s="232" t="s">
        <v>252</v>
      </c>
      <c r="C16" s="224" t="s">
        <v>228</v>
      </c>
      <c r="D16" s="148" t="s">
        <v>253</v>
      </c>
      <c r="E16" s="224">
        <v>27527</v>
      </c>
      <c r="F16" s="221" t="s">
        <v>257</v>
      </c>
      <c r="G16" s="235" t="s">
        <v>251</v>
      </c>
      <c r="H16" s="236"/>
      <c r="I16" s="145">
        <v>3.4</v>
      </c>
      <c r="J16" s="221" t="s">
        <v>258</v>
      </c>
      <c r="K16" s="181">
        <v>63.3</v>
      </c>
      <c r="L16" s="221" t="s">
        <v>259</v>
      </c>
      <c r="M16" s="149">
        <v>2.3817391304347821</v>
      </c>
      <c r="N16" s="131" t="s">
        <v>390</v>
      </c>
    </row>
    <row r="17" spans="2:14" ht="48" x14ac:dyDescent="0.3">
      <c r="B17" s="233"/>
      <c r="C17" s="225"/>
      <c r="D17" s="148" t="s">
        <v>369</v>
      </c>
      <c r="E17" s="225"/>
      <c r="F17" s="222"/>
      <c r="G17" s="237"/>
      <c r="H17" s="238"/>
      <c r="I17" s="219">
        <v>1.855</v>
      </c>
      <c r="J17" s="222"/>
      <c r="K17" s="224">
        <v>53.5</v>
      </c>
      <c r="L17" s="222"/>
      <c r="M17" s="149">
        <v>2.5008000000000008</v>
      </c>
      <c r="N17" s="131" t="s">
        <v>400</v>
      </c>
    </row>
    <row r="18" spans="2:14" ht="48" x14ac:dyDescent="0.3">
      <c r="B18" s="233"/>
      <c r="C18" s="225"/>
      <c r="D18" s="182" t="s">
        <v>370</v>
      </c>
      <c r="E18" s="225"/>
      <c r="F18" s="222"/>
      <c r="G18" s="237"/>
      <c r="H18" s="238"/>
      <c r="I18" s="220"/>
      <c r="J18" s="222"/>
      <c r="K18" s="225"/>
      <c r="L18" s="222"/>
      <c r="M18" s="149">
        <v>3.3285444999999996</v>
      </c>
      <c r="N18" s="131" t="s">
        <v>401</v>
      </c>
    </row>
    <row r="19" spans="2:14" ht="48" x14ac:dyDescent="0.3">
      <c r="B19" s="233"/>
      <c r="C19" s="225"/>
      <c r="D19" s="182" t="s">
        <v>371</v>
      </c>
      <c r="E19" s="225"/>
      <c r="F19" s="222"/>
      <c r="G19" s="237"/>
      <c r="H19" s="238"/>
      <c r="I19" s="219">
        <v>0.54100000000000004</v>
      </c>
      <c r="J19" s="222"/>
      <c r="K19" s="224">
        <v>31.8</v>
      </c>
      <c r="L19" s="222"/>
      <c r="M19" s="149">
        <v>4.4963320000000007</v>
      </c>
      <c r="N19" s="131" t="s">
        <v>402</v>
      </c>
    </row>
    <row r="20" spans="2:14" ht="48" x14ac:dyDescent="0.3">
      <c r="B20" s="233"/>
      <c r="C20" s="226"/>
      <c r="D20" s="148" t="s">
        <v>372</v>
      </c>
      <c r="E20" s="226"/>
      <c r="F20" s="223"/>
      <c r="G20" s="237"/>
      <c r="H20" s="238"/>
      <c r="I20" s="220"/>
      <c r="J20" s="223"/>
      <c r="K20" s="225"/>
      <c r="L20" s="223"/>
      <c r="M20" s="149">
        <v>8.4357566799999972</v>
      </c>
      <c r="N20" s="131" t="s">
        <v>403</v>
      </c>
    </row>
    <row r="21" spans="2:14" ht="54" customHeight="1" x14ac:dyDescent="0.3">
      <c r="B21" s="233"/>
      <c r="C21" s="224" t="s">
        <v>255</v>
      </c>
      <c r="D21" s="148" t="s">
        <v>253</v>
      </c>
      <c r="E21" s="224">
        <v>1400</v>
      </c>
      <c r="F21" s="221" t="s">
        <v>260</v>
      </c>
      <c r="G21" s="237"/>
      <c r="H21" s="238"/>
      <c r="I21" s="227">
        <v>48</v>
      </c>
      <c r="J21" s="221" t="s">
        <v>261</v>
      </c>
      <c r="K21" s="224">
        <v>47</v>
      </c>
      <c r="L21" s="221" t="s">
        <v>262</v>
      </c>
      <c r="M21" s="149">
        <v>2.3817391304347821</v>
      </c>
      <c r="N21" s="195" t="s">
        <v>391</v>
      </c>
    </row>
    <row r="22" spans="2:14" ht="76.8" customHeight="1" x14ac:dyDescent="0.3">
      <c r="B22" s="233"/>
      <c r="C22" s="225"/>
      <c r="D22" s="148" t="s">
        <v>145</v>
      </c>
      <c r="E22" s="225"/>
      <c r="F22" s="222"/>
      <c r="G22" s="237"/>
      <c r="H22" s="238"/>
      <c r="I22" s="228"/>
      <c r="J22" s="222"/>
      <c r="K22" s="225"/>
      <c r="L22" s="222"/>
      <c r="M22" s="149">
        <v>2.9207000000000019</v>
      </c>
      <c r="N22" s="131" t="s">
        <v>392</v>
      </c>
    </row>
    <row r="23" spans="2:14" ht="84" x14ac:dyDescent="0.3">
      <c r="B23" s="233"/>
      <c r="C23" s="226"/>
      <c r="D23" s="148" t="s">
        <v>254</v>
      </c>
      <c r="E23" s="226"/>
      <c r="F23" s="223"/>
      <c r="G23" s="237"/>
      <c r="H23" s="238"/>
      <c r="I23" s="229"/>
      <c r="J23" s="223"/>
      <c r="K23" s="226"/>
      <c r="L23" s="223"/>
      <c r="M23" s="149">
        <v>4.4708609999999993</v>
      </c>
      <c r="N23" s="131" t="s">
        <v>393</v>
      </c>
    </row>
    <row r="24" spans="2:14" ht="53.4" customHeight="1" x14ac:dyDescent="0.3">
      <c r="B24" s="233"/>
      <c r="C24" s="224" t="s">
        <v>256</v>
      </c>
      <c r="D24" s="148" t="s">
        <v>253</v>
      </c>
      <c r="E24" s="224">
        <v>720</v>
      </c>
      <c r="F24" s="221" t="s">
        <v>260</v>
      </c>
      <c r="G24" s="237"/>
      <c r="H24" s="238"/>
      <c r="I24" s="227">
        <v>24</v>
      </c>
      <c r="J24" s="221" t="s">
        <v>261</v>
      </c>
      <c r="K24" s="224">
        <v>15</v>
      </c>
      <c r="L24" s="221" t="s">
        <v>368</v>
      </c>
      <c r="M24" s="149">
        <v>2.3817391304347821</v>
      </c>
      <c r="N24" s="131" t="s">
        <v>391</v>
      </c>
    </row>
    <row r="25" spans="2:14" ht="60" x14ac:dyDescent="0.3">
      <c r="B25" s="233"/>
      <c r="C25" s="225"/>
      <c r="D25" s="148" t="s">
        <v>145</v>
      </c>
      <c r="E25" s="225"/>
      <c r="F25" s="222"/>
      <c r="G25" s="237"/>
      <c r="H25" s="238"/>
      <c r="I25" s="228"/>
      <c r="J25" s="222"/>
      <c r="K25" s="225"/>
      <c r="L25" s="222"/>
      <c r="M25" s="149">
        <v>7.2055000000000007</v>
      </c>
      <c r="N25" s="131" t="s">
        <v>395</v>
      </c>
    </row>
    <row r="26" spans="2:14" ht="60.6" thickBot="1" x14ac:dyDescent="0.35">
      <c r="B26" s="234"/>
      <c r="C26" s="231"/>
      <c r="D26" s="150" t="s">
        <v>254</v>
      </c>
      <c r="E26" s="231"/>
      <c r="F26" s="223"/>
      <c r="G26" s="239"/>
      <c r="H26" s="240"/>
      <c r="I26" s="230"/>
      <c r="J26" s="223"/>
      <c r="K26" s="231"/>
      <c r="L26" s="223"/>
      <c r="M26" s="151">
        <v>7.8646600000000007</v>
      </c>
      <c r="N26" s="131" t="s">
        <v>394</v>
      </c>
    </row>
  </sheetData>
  <mergeCells count="52">
    <mergeCell ref="B5:B11"/>
    <mergeCell ref="G6:G7"/>
    <mergeCell ref="G8:G11"/>
    <mergeCell ref="H6:H7"/>
    <mergeCell ref="H8:H11"/>
    <mergeCell ref="G5:H5"/>
    <mergeCell ref="C5:C11"/>
    <mergeCell ref="E4:F4"/>
    <mergeCell ref="G4:H4"/>
    <mergeCell ref="I4:J4"/>
    <mergeCell ref="K4:L4"/>
    <mergeCell ref="M4:N4"/>
    <mergeCell ref="L8:L9"/>
    <mergeCell ref="L10:L11"/>
    <mergeCell ref="F5:F11"/>
    <mergeCell ref="E5:E11"/>
    <mergeCell ref="K6:K7"/>
    <mergeCell ref="L6:L7"/>
    <mergeCell ref="I10:I11"/>
    <mergeCell ref="K8:K9"/>
    <mergeCell ref="K10:K11"/>
    <mergeCell ref="J10:J11"/>
    <mergeCell ref="E15:F15"/>
    <mergeCell ref="G15:H15"/>
    <mergeCell ref="I15:J15"/>
    <mergeCell ref="K15:L15"/>
    <mergeCell ref="M15:N15"/>
    <mergeCell ref="B16:B26"/>
    <mergeCell ref="C16:C20"/>
    <mergeCell ref="E16:E20"/>
    <mergeCell ref="F16:F20"/>
    <mergeCell ref="G16:H26"/>
    <mergeCell ref="C24:C26"/>
    <mergeCell ref="E24:E26"/>
    <mergeCell ref="F24:F26"/>
    <mergeCell ref="C21:C23"/>
    <mergeCell ref="E21:E23"/>
    <mergeCell ref="F21:F23"/>
    <mergeCell ref="I19:I20"/>
    <mergeCell ref="L24:L26"/>
    <mergeCell ref="J16:J20"/>
    <mergeCell ref="L16:L20"/>
    <mergeCell ref="K21:K23"/>
    <mergeCell ref="L21:L23"/>
    <mergeCell ref="I21:I23"/>
    <mergeCell ref="J21:J23"/>
    <mergeCell ref="I24:I26"/>
    <mergeCell ref="J24:J26"/>
    <mergeCell ref="K24:K26"/>
    <mergeCell ref="K17:K18"/>
    <mergeCell ref="K19:K20"/>
    <mergeCell ref="I17:I18"/>
  </mergeCells>
  <pageMargins left="0.7" right="0.7" top="0.75" bottom="0.75" header="0.3" footer="0.3"/>
  <pageSetup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0"/>
  <sheetViews>
    <sheetView zoomScale="85" zoomScaleNormal="85" workbookViewId="0">
      <selection activeCell="G38" sqref="G38"/>
    </sheetView>
  </sheetViews>
  <sheetFormatPr defaultRowHeight="14.4" x14ac:dyDescent="0.3"/>
  <cols>
    <col min="2" max="2" width="11.33203125" bestFit="1" customWidth="1"/>
    <col min="3" max="4" width="12.33203125" bestFit="1" customWidth="1"/>
    <col min="5" max="5" width="49" bestFit="1" customWidth="1"/>
    <col min="6" max="6" width="11.109375" customWidth="1"/>
    <col min="7" max="7" width="18" customWidth="1"/>
    <col min="8" max="8" width="20.21875" customWidth="1"/>
    <col min="9" max="9" width="24.77734375" bestFit="1" customWidth="1"/>
    <col min="10" max="10" width="20.21875" bestFit="1" customWidth="1"/>
    <col min="11" max="11" width="25.21875" bestFit="1" customWidth="1"/>
    <col min="12" max="12" width="18.33203125" customWidth="1"/>
    <col min="13" max="13" width="25.109375" bestFit="1" customWidth="1"/>
    <col min="14" max="14" width="11" bestFit="1" customWidth="1"/>
    <col min="15" max="15" width="17.88671875" bestFit="1" customWidth="1"/>
    <col min="16" max="16" width="11" bestFit="1" customWidth="1"/>
    <col min="17" max="17" width="9.88671875" bestFit="1" customWidth="1"/>
  </cols>
  <sheetData>
    <row r="1" spans="2:20" x14ac:dyDescent="0.3">
      <c r="B1" t="s">
        <v>306</v>
      </c>
    </row>
    <row r="2" spans="2:20" s="49" customFormat="1" x14ac:dyDescent="0.3">
      <c r="B2"/>
      <c r="C2"/>
      <c r="D2"/>
      <c r="E2"/>
      <c r="F2"/>
      <c r="G2"/>
      <c r="H2"/>
      <c r="I2"/>
      <c r="J2"/>
      <c r="K2"/>
      <c r="L2"/>
      <c r="M2"/>
      <c r="N2"/>
      <c r="O2"/>
      <c r="P2"/>
      <c r="Q2"/>
      <c r="R2"/>
      <c r="S2" s="168" t="s">
        <v>332</v>
      </c>
      <c r="T2" s="171">
        <v>365</v>
      </c>
    </row>
    <row r="3" spans="2:20" ht="43.2" x14ac:dyDescent="0.3">
      <c r="C3" s="168" t="s">
        <v>324</v>
      </c>
      <c r="D3" s="168" t="s">
        <v>227</v>
      </c>
      <c r="E3" s="168" t="s">
        <v>307</v>
      </c>
      <c r="F3" s="168" t="s">
        <v>314</v>
      </c>
      <c r="G3" s="168" t="s">
        <v>312</v>
      </c>
      <c r="H3" s="168" t="s">
        <v>313</v>
      </c>
      <c r="I3" s="168" t="s">
        <v>333</v>
      </c>
      <c r="J3" s="168" t="s">
        <v>330</v>
      </c>
      <c r="L3" s="168" t="s">
        <v>307</v>
      </c>
      <c r="M3" s="168" t="s">
        <v>323</v>
      </c>
      <c r="N3" s="168" t="s">
        <v>326</v>
      </c>
      <c r="O3" s="168" t="s">
        <v>328</v>
      </c>
      <c r="S3" s="168" t="s">
        <v>322</v>
      </c>
      <c r="T3" s="2">
        <v>1000</v>
      </c>
    </row>
    <row r="4" spans="2:20" x14ac:dyDescent="0.3">
      <c r="C4" s="2" t="s">
        <v>88</v>
      </c>
      <c r="D4" s="2" t="s">
        <v>228</v>
      </c>
      <c r="E4" s="2" t="s">
        <v>86</v>
      </c>
      <c r="F4" s="170">
        <f>'Energy Factors Tables'!$E$5</f>
        <v>15700</v>
      </c>
      <c r="G4" s="120">
        <f>'Energy Factors Tables'!$I$5</f>
        <v>1.052</v>
      </c>
      <c r="H4" s="140">
        <f>'Energy Factors Tables'!$M$5</f>
        <v>2.3817391304347821</v>
      </c>
      <c r="I4" s="2" t="s">
        <v>334</v>
      </c>
      <c r="J4" s="172">
        <f t="shared" ref="J4:J8" si="0">F4*G4*$T$2/(H4*$T$3)</f>
        <v>2531.1277473530495</v>
      </c>
      <c r="L4" s="279" t="s">
        <v>347</v>
      </c>
      <c r="M4" s="2" t="str">
        <f t="shared" ref="M4:N6" si="1">I5</f>
        <v>EU_SFm, 2-spd: M1</v>
      </c>
      <c r="N4" s="172">
        <f t="shared" si="1"/>
        <v>2219.7244050707982</v>
      </c>
      <c r="O4" s="10">
        <f>'Energy Factors Tables'!$G$6</f>
        <v>0.71685004683141718</v>
      </c>
    </row>
    <row r="5" spans="2:20" x14ac:dyDescent="0.3">
      <c r="C5" s="2" t="s">
        <v>88</v>
      </c>
      <c r="D5" s="2" t="s">
        <v>228</v>
      </c>
      <c r="E5" s="2" t="s">
        <v>308</v>
      </c>
      <c r="F5" s="170">
        <f>'Energy Factors Tables'!$E$5</f>
        <v>15700</v>
      </c>
      <c r="G5" s="120">
        <f>'Energy Factors Tables'!$I$6</f>
        <v>1.0449999999999999</v>
      </c>
      <c r="H5" s="140">
        <f>'Energy Factors Tables'!$M$6</f>
        <v>2.6978</v>
      </c>
      <c r="I5" s="2" t="s">
        <v>335</v>
      </c>
      <c r="J5" s="172">
        <f t="shared" si="0"/>
        <v>2219.7244050707982</v>
      </c>
      <c r="L5" s="280"/>
      <c r="M5" s="2" t="str">
        <f t="shared" si="1"/>
        <v>EU_SFm, 2-spd: M2A</v>
      </c>
      <c r="N5" s="172">
        <f t="shared" si="1"/>
        <v>1859.2066633422678</v>
      </c>
      <c r="O5" s="277">
        <f>'Energy Factors Tables'!$G$8</f>
        <v>0.28314995316858282</v>
      </c>
    </row>
    <row r="6" spans="2:20" x14ac:dyDescent="0.3">
      <c r="C6" s="2" t="s">
        <v>88</v>
      </c>
      <c r="D6" s="2" t="s">
        <v>228</v>
      </c>
      <c r="E6" s="2" t="s">
        <v>309</v>
      </c>
      <c r="F6" s="170">
        <f>'Energy Factors Tables'!$E$5</f>
        <v>15700</v>
      </c>
      <c r="G6" s="120">
        <f>'Energy Factors Tables'!$I$8</f>
        <v>1.0409999999999999</v>
      </c>
      <c r="H6" s="140">
        <f>'Energy Factors Tables'!$M$8</f>
        <v>3.2086000000000001</v>
      </c>
      <c r="I6" s="2" t="s">
        <v>336</v>
      </c>
      <c r="J6" s="172">
        <f t="shared" si="0"/>
        <v>1859.2066633422678</v>
      </c>
      <c r="L6" s="280"/>
      <c r="M6" s="2" t="str">
        <f t="shared" si="1"/>
        <v>EU_SFm, 2-spd: M2B</v>
      </c>
      <c r="N6" s="172">
        <f t="shared" si="1"/>
        <v>897.83172077600204</v>
      </c>
      <c r="O6" s="278"/>
    </row>
    <row r="7" spans="2:20" x14ac:dyDescent="0.3">
      <c r="C7" s="2" t="s">
        <v>88</v>
      </c>
      <c r="D7" s="2" t="s">
        <v>228</v>
      </c>
      <c r="E7" s="2" t="s">
        <v>310</v>
      </c>
      <c r="F7" s="170">
        <f>'Energy Factors Tables'!$E$5</f>
        <v>15700</v>
      </c>
      <c r="G7" s="120">
        <f>'Energy Factors Tables'!$I$10</f>
        <v>0.44593118291120465</v>
      </c>
      <c r="H7" s="140">
        <f>'Energy Factors Tables'!$M$10</f>
        <v>2.8462000000000014</v>
      </c>
      <c r="I7" s="2" t="s">
        <v>337</v>
      </c>
      <c r="J7" s="172">
        <f t="shared" si="0"/>
        <v>897.83172077600204</v>
      </c>
      <c r="L7" s="281"/>
      <c r="M7" s="173" t="s">
        <v>329</v>
      </c>
      <c r="N7" s="285">
        <f>(N4*O4)+((N5+N6)*O5)</f>
        <v>2371.8648330749147</v>
      </c>
      <c r="O7" s="286"/>
    </row>
    <row r="8" spans="2:20" x14ac:dyDescent="0.3">
      <c r="C8" s="2" t="s">
        <v>88</v>
      </c>
      <c r="D8" s="2" t="s">
        <v>228</v>
      </c>
      <c r="E8" s="2" t="s">
        <v>361</v>
      </c>
      <c r="F8" s="170">
        <f>'Energy Factors Tables'!$E$5</f>
        <v>15700</v>
      </c>
      <c r="G8" s="120">
        <f>'Energy Factors Tables'!$I$6</f>
        <v>1.0449999999999999</v>
      </c>
      <c r="H8" s="140">
        <f>'Energy Factors Tables'!$M$7</f>
        <v>5.0389419999999987</v>
      </c>
      <c r="I8" s="2" t="s">
        <v>355</v>
      </c>
      <c r="J8" s="172">
        <f t="shared" si="0"/>
        <v>1188.4186204167465</v>
      </c>
      <c r="L8" s="279" t="s">
        <v>362</v>
      </c>
      <c r="M8" s="2" t="str">
        <f t="shared" ref="M8:N8" si="2">I8</f>
        <v>EU_SFm, VS: M1, Pr</v>
      </c>
      <c r="N8" s="172">
        <f t="shared" si="2"/>
        <v>1188.4186204167465</v>
      </c>
      <c r="O8" s="10">
        <f>'Energy Factors Tables'!$G$6</f>
        <v>0.71685004683141718</v>
      </c>
    </row>
    <row r="9" spans="2:20" x14ac:dyDescent="0.3">
      <c r="C9" s="2" t="s">
        <v>88</v>
      </c>
      <c r="D9" s="2" t="s">
        <v>228</v>
      </c>
      <c r="E9" s="2" t="s">
        <v>363</v>
      </c>
      <c r="F9" s="170">
        <f>'Energy Factors Tables'!$E$5</f>
        <v>15700</v>
      </c>
      <c r="G9" s="120">
        <f>'Energy Factors Tables'!$I$7</f>
        <v>1.1702786506873917</v>
      </c>
      <c r="H9" s="140">
        <f>'Energy Factors Tables'!$M$7</f>
        <v>5.0389419999999987</v>
      </c>
      <c r="I9" s="2" t="s">
        <v>356</v>
      </c>
      <c r="J9" s="172">
        <f t="shared" ref="J9" si="3">F9*G9*$T$2/(H9*$T$3)</f>
        <v>1330.8908512469679</v>
      </c>
      <c r="L9" s="280"/>
      <c r="M9" s="2" t="str">
        <f>I10</f>
        <v>EU_SFm, VS: M2A, Pr</v>
      </c>
      <c r="N9" s="172">
        <f>J10</f>
        <v>910.11802416322007</v>
      </c>
      <c r="O9" s="277">
        <f>'Energy Factors Tables'!$G$8</f>
        <v>0.28314995316858282</v>
      </c>
    </row>
    <row r="10" spans="2:20" x14ac:dyDescent="0.3">
      <c r="C10" s="2" t="s">
        <v>88</v>
      </c>
      <c r="D10" s="2" t="s">
        <v>228</v>
      </c>
      <c r="E10" s="2" t="s">
        <v>364</v>
      </c>
      <c r="F10" s="170">
        <f>'Energy Factors Tables'!$E$5</f>
        <v>15700</v>
      </c>
      <c r="G10" s="120">
        <f>'Energy Factors Tables'!$I$8</f>
        <v>1.0409999999999999</v>
      </c>
      <c r="H10" s="140">
        <f>'Energy Factors Tables'!$M$9</f>
        <v>6.5545899999999993</v>
      </c>
      <c r="I10" s="2" t="s">
        <v>357</v>
      </c>
      <c r="J10" s="172">
        <f t="shared" ref="J10:J23" si="4">F10*G10*$T$2/(H10*$T$3)</f>
        <v>910.11802416322007</v>
      </c>
      <c r="L10" s="280"/>
      <c r="M10" s="2" t="str">
        <f>I12</f>
        <v>EU_SFm, VS: M2B</v>
      </c>
      <c r="N10" s="172">
        <f>J12</f>
        <v>597.95936437669502</v>
      </c>
      <c r="O10" s="278">
        <f>'Energy Factors Tables'!$G$8</f>
        <v>0.28314995316858282</v>
      </c>
    </row>
    <row r="11" spans="2:20" x14ac:dyDescent="0.3">
      <c r="C11" s="2" t="s">
        <v>88</v>
      </c>
      <c r="D11" s="2" t="s">
        <v>228</v>
      </c>
      <c r="E11" s="2" t="s">
        <v>365</v>
      </c>
      <c r="F11" s="170">
        <f>'Energy Factors Tables'!$E$5</f>
        <v>15700</v>
      </c>
      <c r="G11" s="120">
        <f>'Energy Factors Tables'!$I$9</f>
        <v>1.1661950807825834</v>
      </c>
      <c r="H11" s="140">
        <f>'Energy Factors Tables'!$M$9</f>
        <v>6.5545899999999993</v>
      </c>
      <c r="I11" s="2" t="s">
        <v>358</v>
      </c>
      <c r="J11" s="172">
        <f t="shared" si="4"/>
        <v>1019.5726827192235</v>
      </c>
      <c r="L11" s="281"/>
      <c r="M11" s="173" t="s">
        <v>359</v>
      </c>
      <c r="N11" s="285">
        <f>(N8*O8)+((N9+N10)*O9)</f>
        <v>1278.9299856407488</v>
      </c>
      <c r="O11" s="286"/>
    </row>
    <row r="12" spans="2:20" x14ac:dyDescent="0.3">
      <c r="C12" s="2" t="s">
        <v>88</v>
      </c>
      <c r="D12" s="2" t="s">
        <v>228</v>
      </c>
      <c r="E12" s="2" t="s">
        <v>311</v>
      </c>
      <c r="F12" s="170">
        <f>'Energy Factors Tables'!$E$5</f>
        <v>15700</v>
      </c>
      <c r="G12" s="120">
        <f>'Energy Factors Tables'!$I$10</f>
        <v>0.44593118291120465</v>
      </c>
      <c r="H12" s="140">
        <f>'Energy Factors Tables'!$M$11</f>
        <v>4.2735489999999956</v>
      </c>
      <c r="I12" s="2" t="s">
        <v>338</v>
      </c>
      <c r="J12" s="172">
        <f t="shared" si="4"/>
        <v>597.95936437669502</v>
      </c>
      <c r="L12" s="279" t="s">
        <v>362</v>
      </c>
      <c r="M12" s="2" t="str">
        <f>I9</f>
        <v>EU_SFm, VS: M1, NPr</v>
      </c>
      <c r="N12" s="172">
        <f>J9</f>
        <v>1330.8908512469679</v>
      </c>
      <c r="O12" s="10">
        <f>'Energy Factors Tables'!$G$6</f>
        <v>0.71685004683141718</v>
      </c>
    </row>
    <row r="13" spans="2:20" x14ac:dyDescent="0.3">
      <c r="C13" s="2" t="s">
        <v>325</v>
      </c>
      <c r="D13" s="2" t="s">
        <v>228</v>
      </c>
      <c r="E13" s="2" t="s">
        <v>86</v>
      </c>
      <c r="F13" s="170">
        <f>'Energy Factors Tables'!$E$16</f>
        <v>27527</v>
      </c>
      <c r="G13" s="167">
        <f>'Energy Factors Tables'!$I$16</f>
        <v>3.4</v>
      </c>
      <c r="H13" s="140">
        <f>'Energy Factors Tables'!$M$16</f>
        <v>2.3817391304347821</v>
      </c>
      <c r="I13" s="2" t="s">
        <v>339</v>
      </c>
      <c r="J13" s="172">
        <f t="shared" si="4"/>
        <v>14342.883552391388</v>
      </c>
      <c r="L13" s="280"/>
      <c r="M13" s="2" t="str">
        <f>I11</f>
        <v>EU_SFm, VS: M2A, NPr</v>
      </c>
      <c r="N13" s="172">
        <f>J11</f>
        <v>1019.5726827192235</v>
      </c>
      <c r="O13" s="277">
        <f>'Energy Factors Tables'!$G$8</f>
        <v>0.28314995316858282</v>
      </c>
    </row>
    <row r="14" spans="2:20" x14ac:dyDescent="0.3">
      <c r="C14" s="3" t="s">
        <v>325</v>
      </c>
      <c r="D14" s="3" t="s">
        <v>228</v>
      </c>
      <c r="E14" s="3" t="s">
        <v>380</v>
      </c>
      <c r="F14" s="187">
        <f>'Energy Factors Tables'!$E$16</f>
        <v>27527</v>
      </c>
      <c r="G14" s="188">
        <f>'Energy Factors Tables'!$I$17</f>
        <v>1.855</v>
      </c>
      <c r="H14" s="189">
        <f>'Energy Factors Tables'!$M$17</f>
        <v>2.5008000000000008</v>
      </c>
      <c r="I14" s="3" t="s">
        <v>384</v>
      </c>
      <c r="J14" s="190">
        <f>F14*G14*$T$2/(H14*$T$3)</f>
        <v>7452.7525291906568</v>
      </c>
      <c r="L14" s="280"/>
      <c r="M14" s="2" t="str">
        <f>I12</f>
        <v>EU_SFm, VS: M2B</v>
      </c>
      <c r="N14" s="172">
        <f>J12</f>
        <v>597.95936437669502</v>
      </c>
      <c r="O14" s="278">
        <f>'Energy Factors Tables'!$G$8</f>
        <v>0.28314995316858282</v>
      </c>
    </row>
    <row r="15" spans="2:20" x14ac:dyDescent="0.3">
      <c r="C15" s="3" t="s">
        <v>325</v>
      </c>
      <c r="D15" s="3" t="s">
        <v>228</v>
      </c>
      <c r="E15" s="3" t="s">
        <v>381</v>
      </c>
      <c r="F15" s="187">
        <f>'Energy Factors Tables'!$E$16</f>
        <v>27527</v>
      </c>
      <c r="G15" s="188">
        <f>'Energy Factors Tables'!$I$17</f>
        <v>1.855</v>
      </c>
      <c r="H15" s="189">
        <f>'Energy Factors Tables'!$M$18</f>
        <v>3.3285444999999996</v>
      </c>
      <c r="I15" s="3" t="s">
        <v>385</v>
      </c>
      <c r="J15" s="190">
        <f>F15*G15*$T$2/(H15*$T$3)</f>
        <v>5599.3974318204255</v>
      </c>
      <c r="L15" s="281"/>
      <c r="M15" s="173" t="s">
        <v>360</v>
      </c>
      <c r="N15" s="285">
        <f>(N12*O12)+((N13+N14)*O13)</f>
        <v>1412.053292427785</v>
      </c>
      <c r="O15" s="286"/>
    </row>
    <row r="16" spans="2:20" x14ac:dyDescent="0.3">
      <c r="C16" s="3" t="s">
        <v>325</v>
      </c>
      <c r="D16" s="3" t="s">
        <v>228</v>
      </c>
      <c r="E16" s="3" t="s">
        <v>382</v>
      </c>
      <c r="F16" s="187">
        <f>'Energy Factors Tables'!$E$16</f>
        <v>27527</v>
      </c>
      <c r="G16" s="188">
        <f>'Energy Factors Tables'!$I$19</f>
        <v>0.54100000000000004</v>
      </c>
      <c r="H16" s="189">
        <f>'Energy Factors Tables'!$M$19</f>
        <v>4.4963320000000007</v>
      </c>
      <c r="I16" s="3" t="s">
        <v>386</v>
      </c>
      <c r="J16" s="190">
        <f>F16*G16*$T$2/(H16*$T$3)</f>
        <v>1208.9007339760499</v>
      </c>
      <c r="L16" s="184"/>
      <c r="M16" s="185"/>
      <c r="N16" s="186"/>
      <c r="O16" s="186"/>
    </row>
    <row r="17" spans="2:15" x14ac:dyDescent="0.3">
      <c r="C17" s="3" t="s">
        <v>325</v>
      </c>
      <c r="D17" s="3" t="s">
        <v>228</v>
      </c>
      <c r="E17" s="3" t="s">
        <v>383</v>
      </c>
      <c r="F17" s="187">
        <f>'Energy Factors Tables'!$E$16</f>
        <v>27527</v>
      </c>
      <c r="G17" s="188">
        <f>'Energy Factors Tables'!$I$19</f>
        <v>0.54100000000000004</v>
      </c>
      <c r="H17" s="189">
        <f>'Energy Factors Tables'!$M$20</f>
        <v>8.4357566799999972</v>
      </c>
      <c r="I17" s="3" t="s">
        <v>387</v>
      </c>
      <c r="J17" s="190">
        <f>F17*G17*$T$2/(H17*$T$3)</f>
        <v>644.35465141936777</v>
      </c>
      <c r="L17" s="184"/>
      <c r="M17" s="185"/>
      <c r="N17" s="186"/>
      <c r="O17" s="186"/>
    </row>
    <row r="18" spans="2:15" x14ac:dyDescent="0.3">
      <c r="C18" s="2" t="s">
        <v>325</v>
      </c>
      <c r="D18" s="2" t="s">
        <v>255</v>
      </c>
      <c r="E18" s="2" t="s">
        <v>86</v>
      </c>
      <c r="F18" s="170">
        <f>'Energy Factors Tables'!$E$21</f>
        <v>1400</v>
      </c>
      <c r="G18" s="170">
        <f>'Energy Factors Tables'!$I$21</f>
        <v>48</v>
      </c>
      <c r="H18" s="140">
        <f>'Energy Factors Tables'!$M$21</f>
        <v>2.3817391304347821</v>
      </c>
      <c r="I18" s="2" t="s">
        <v>340</v>
      </c>
      <c r="J18" s="172">
        <f t="shared" si="4"/>
        <v>10298.357064622127</v>
      </c>
    </row>
    <row r="19" spans="2:15" x14ac:dyDescent="0.3">
      <c r="C19" s="2" t="s">
        <v>325</v>
      </c>
      <c r="D19" s="2" t="s">
        <v>255</v>
      </c>
      <c r="E19" s="2" t="s">
        <v>83</v>
      </c>
      <c r="F19" s="170">
        <f>'Energy Factors Tables'!$E$21</f>
        <v>1400</v>
      </c>
      <c r="G19" s="170">
        <f>'Energy Factors Tables'!$I$21</f>
        <v>48</v>
      </c>
      <c r="H19" s="140">
        <f>'Energy Factors Tables'!$M$22</f>
        <v>2.9207000000000019</v>
      </c>
      <c r="I19" s="2" t="s">
        <v>341</v>
      </c>
      <c r="J19" s="172">
        <f t="shared" si="4"/>
        <v>8397.9867839901344</v>
      </c>
    </row>
    <row r="20" spans="2:15" x14ac:dyDescent="0.3">
      <c r="C20" s="2" t="s">
        <v>325</v>
      </c>
      <c r="D20" s="2" t="s">
        <v>255</v>
      </c>
      <c r="E20" s="2" t="s">
        <v>300</v>
      </c>
      <c r="F20" s="170">
        <f>'Energy Factors Tables'!$E$21</f>
        <v>1400</v>
      </c>
      <c r="G20" s="170">
        <f>'Energy Factors Tables'!$I$21</f>
        <v>48</v>
      </c>
      <c r="H20" s="140">
        <f>'Energy Factors Tables'!$M$23</f>
        <v>4.4708609999999993</v>
      </c>
      <c r="I20" s="2" t="s">
        <v>342</v>
      </c>
      <c r="J20" s="172">
        <f t="shared" si="4"/>
        <v>5486.1915859160026</v>
      </c>
    </row>
    <row r="21" spans="2:15" x14ac:dyDescent="0.3">
      <c r="C21" s="2" t="s">
        <v>325</v>
      </c>
      <c r="D21" s="2" t="s">
        <v>256</v>
      </c>
      <c r="E21" s="2" t="s">
        <v>86</v>
      </c>
      <c r="F21" s="170">
        <f>'Energy Factors Tables'!$E$24</f>
        <v>720</v>
      </c>
      <c r="G21" s="170">
        <f>'Energy Factors Tables'!$I$24</f>
        <v>24</v>
      </c>
      <c r="H21" s="140">
        <f>'Energy Factors Tables'!$M$24</f>
        <v>2.3817391304347821</v>
      </c>
      <c r="I21" s="2" t="s">
        <v>343</v>
      </c>
      <c r="J21" s="172">
        <f t="shared" si="4"/>
        <v>2648.1489594742611</v>
      </c>
    </row>
    <row r="22" spans="2:15" x14ac:dyDescent="0.3">
      <c r="C22" s="2" t="s">
        <v>325</v>
      </c>
      <c r="D22" s="2" t="s">
        <v>256</v>
      </c>
      <c r="E22" s="2" t="s">
        <v>83</v>
      </c>
      <c r="F22" s="170">
        <f>'Energy Factors Tables'!$E$24</f>
        <v>720</v>
      </c>
      <c r="G22" s="170">
        <f>'Energy Factors Tables'!$I$24</f>
        <v>24</v>
      </c>
      <c r="H22" s="140">
        <f>'Energy Factors Tables'!$M$25</f>
        <v>7.2055000000000007</v>
      </c>
      <c r="I22" s="2" t="s">
        <v>344</v>
      </c>
      <c r="J22" s="172">
        <f t="shared" si="4"/>
        <v>875.33134411213643</v>
      </c>
    </row>
    <row r="23" spans="2:15" x14ac:dyDescent="0.3">
      <c r="C23" s="2" t="s">
        <v>325</v>
      </c>
      <c r="D23" s="2" t="s">
        <v>256</v>
      </c>
      <c r="E23" s="2" t="s">
        <v>300</v>
      </c>
      <c r="F23" s="170">
        <f>'Energy Factors Tables'!$E$24</f>
        <v>720</v>
      </c>
      <c r="G23" s="170">
        <f>'Energy Factors Tables'!$I$24</f>
        <v>24</v>
      </c>
      <c r="H23" s="140">
        <f>'Energy Factors Tables'!$M$26</f>
        <v>7.8646600000000007</v>
      </c>
      <c r="I23" s="2" t="s">
        <v>345</v>
      </c>
      <c r="J23" s="172">
        <f t="shared" si="4"/>
        <v>801.96728148451416</v>
      </c>
    </row>
    <row r="24" spans="2:15" x14ac:dyDescent="0.3">
      <c r="I24" s="2" t="str">
        <f>M7</f>
        <v>EU_SFm, 2-spd: Wtd</v>
      </c>
      <c r="J24" s="172">
        <f>N7</f>
        <v>2371.8648330749147</v>
      </c>
    </row>
    <row r="25" spans="2:15" x14ac:dyDescent="0.3">
      <c r="I25" s="2" t="str">
        <f>M11</f>
        <v>EU_SFm, VS: Wtd, Pr</v>
      </c>
      <c r="J25" s="172">
        <f>N11</f>
        <v>1278.9299856407488</v>
      </c>
    </row>
    <row r="26" spans="2:15" x14ac:dyDescent="0.3">
      <c r="I26" s="2" t="str">
        <f>M15</f>
        <v>EU_SFm, VS: Wtd, NPr</v>
      </c>
      <c r="J26" s="172">
        <f>N15</f>
        <v>1412.053292427785</v>
      </c>
    </row>
    <row r="27" spans="2:15" x14ac:dyDescent="0.3">
      <c r="I27" s="7"/>
      <c r="J27" s="180"/>
    </row>
    <row r="28" spans="2:15" x14ac:dyDescent="0.3">
      <c r="B28" t="s">
        <v>351</v>
      </c>
    </row>
    <row r="30" spans="2:15" ht="43.2" x14ac:dyDescent="0.3">
      <c r="B30" s="168" t="s">
        <v>52</v>
      </c>
      <c r="C30" s="168" t="s">
        <v>9</v>
      </c>
      <c r="D30" s="168" t="s">
        <v>324</v>
      </c>
      <c r="E30" s="168" t="s">
        <v>227</v>
      </c>
      <c r="F30" s="168" t="s">
        <v>331</v>
      </c>
      <c r="G30" s="168" t="s">
        <v>307</v>
      </c>
      <c r="H30" s="168" t="s">
        <v>323</v>
      </c>
      <c r="I30" s="168" t="s">
        <v>330</v>
      </c>
      <c r="J30" s="168" t="s">
        <v>275</v>
      </c>
      <c r="K30" s="168" t="s">
        <v>202</v>
      </c>
    </row>
    <row r="31" spans="2:15" ht="28.8" x14ac:dyDescent="0.3">
      <c r="B31" s="270" t="s">
        <v>13</v>
      </c>
      <c r="C31" s="270" t="s">
        <v>21</v>
      </c>
      <c r="D31" s="270" t="s">
        <v>88</v>
      </c>
      <c r="E31" s="270" t="s">
        <v>228</v>
      </c>
      <c r="F31" s="166" t="s">
        <v>124</v>
      </c>
      <c r="G31" s="171" t="s">
        <v>327</v>
      </c>
      <c r="H31" s="174" t="str">
        <f>$I$24</f>
        <v>EU_SFm, 2-spd: Wtd</v>
      </c>
      <c r="I31" s="175">
        <f t="shared" ref="I31:I40" si="5">INDEX($J$4:$J$26,MATCH(H31,$I$4:$I$26,0))</f>
        <v>2371.8648330749147</v>
      </c>
      <c r="J31" s="267">
        <f>I31-I32</f>
        <v>1092.9348474341659</v>
      </c>
      <c r="K31" s="267" t="s">
        <v>251</v>
      </c>
    </row>
    <row r="32" spans="2:15" ht="57.6" x14ac:dyDescent="0.3">
      <c r="B32" s="270"/>
      <c r="C32" s="270"/>
      <c r="D32" s="270" t="s">
        <v>88</v>
      </c>
      <c r="E32" s="270" t="s">
        <v>228</v>
      </c>
      <c r="F32" s="166" t="s">
        <v>1</v>
      </c>
      <c r="G32" s="171" t="s">
        <v>366</v>
      </c>
      <c r="H32" s="174" t="str">
        <f>$I$25</f>
        <v>EU_SFm, VS: Wtd, Pr</v>
      </c>
      <c r="I32" s="176">
        <f t="shared" si="5"/>
        <v>1278.9299856407488</v>
      </c>
      <c r="J32" s="269"/>
      <c r="K32" s="269"/>
    </row>
    <row r="33" spans="2:11" ht="28.8" x14ac:dyDescent="0.3">
      <c r="B33" s="270" t="s">
        <v>15</v>
      </c>
      <c r="C33" s="270" t="s">
        <v>21</v>
      </c>
      <c r="D33" s="275" t="s">
        <v>88</v>
      </c>
      <c r="E33" s="270" t="s">
        <v>228</v>
      </c>
      <c r="F33" s="166" t="s">
        <v>124</v>
      </c>
      <c r="G33" s="171" t="s">
        <v>327</v>
      </c>
      <c r="H33" s="174" t="str">
        <f>$I$24</f>
        <v>EU_SFm, 2-spd: Wtd</v>
      </c>
      <c r="I33" s="176">
        <f t="shared" si="5"/>
        <v>2371.8648330749147</v>
      </c>
      <c r="J33" s="267">
        <f>I33-I34</f>
        <v>959.81154064712973</v>
      </c>
      <c r="K33" s="267" t="s">
        <v>251</v>
      </c>
    </row>
    <row r="34" spans="2:11" ht="57.6" x14ac:dyDescent="0.3">
      <c r="B34" s="270"/>
      <c r="C34" s="270"/>
      <c r="D34" s="275" t="s">
        <v>88</v>
      </c>
      <c r="E34" s="270" t="s">
        <v>228</v>
      </c>
      <c r="F34" s="166" t="s">
        <v>1</v>
      </c>
      <c r="G34" s="171" t="s">
        <v>367</v>
      </c>
      <c r="H34" s="174" t="str">
        <f>$I$26</f>
        <v>EU_SFm, VS: Wtd, NPr</v>
      </c>
      <c r="I34" s="176">
        <f t="shared" si="5"/>
        <v>1412.053292427785</v>
      </c>
      <c r="J34" s="269"/>
      <c r="K34" s="269"/>
    </row>
    <row r="35" spans="2:11" x14ac:dyDescent="0.3">
      <c r="B35" s="270" t="s">
        <v>27</v>
      </c>
      <c r="C35" s="270" t="s">
        <v>346</v>
      </c>
      <c r="D35" s="270" t="s">
        <v>88</v>
      </c>
      <c r="E35" s="270" t="s">
        <v>228</v>
      </c>
      <c r="F35" s="166" t="s">
        <v>124</v>
      </c>
      <c r="G35" s="171" t="s">
        <v>86</v>
      </c>
      <c r="H35" s="174" t="str">
        <f>$I$4</f>
        <v>EU_SFm, 1-spd</v>
      </c>
      <c r="I35" s="176">
        <f t="shared" si="5"/>
        <v>2531.1277473530495</v>
      </c>
      <c r="J35" s="267">
        <f>I35-I37</f>
        <v>1252.1977617123007</v>
      </c>
      <c r="K35" s="267">
        <f>I36-I37</f>
        <v>1092.9348474341659</v>
      </c>
    </row>
    <row r="36" spans="2:11" ht="28.8" x14ac:dyDescent="0.3">
      <c r="B36" s="270"/>
      <c r="C36" s="270"/>
      <c r="D36" s="270" t="s">
        <v>88</v>
      </c>
      <c r="E36" s="270" t="s">
        <v>228</v>
      </c>
      <c r="F36" s="166" t="s">
        <v>78</v>
      </c>
      <c r="G36" s="171" t="s">
        <v>327</v>
      </c>
      <c r="H36" s="174" t="str">
        <f>$I$24</f>
        <v>EU_SFm, 2-spd: Wtd</v>
      </c>
      <c r="I36" s="176">
        <f t="shared" si="5"/>
        <v>2371.8648330749147</v>
      </c>
      <c r="J36" s="268"/>
      <c r="K36" s="268"/>
    </row>
    <row r="37" spans="2:11" ht="57.6" x14ac:dyDescent="0.3">
      <c r="B37" s="270"/>
      <c r="C37" s="270"/>
      <c r="D37" s="270" t="s">
        <v>88</v>
      </c>
      <c r="E37" s="270" t="s">
        <v>228</v>
      </c>
      <c r="F37" s="166" t="s">
        <v>1</v>
      </c>
      <c r="G37" s="171" t="s">
        <v>366</v>
      </c>
      <c r="H37" s="174" t="str">
        <f>$I$25</f>
        <v>EU_SFm, VS: Wtd, Pr</v>
      </c>
      <c r="I37" s="176">
        <f t="shared" si="5"/>
        <v>1278.9299856407488</v>
      </c>
      <c r="J37" s="269"/>
      <c r="K37" s="269"/>
    </row>
    <row r="38" spans="2:11" x14ac:dyDescent="0.3">
      <c r="B38" s="276" t="s">
        <v>39</v>
      </c>
      <c r="C38" s="276" t="s">
        <v>346</v>
      </c>
      <c r="D38" s="276" t="s">
        <v>325</v>
      </c>
      <c r="E38" s="276" t="s">
        <v>228</v>
      </c>
      <c r="F38" s="191" t="s">
        <v>124</v>
      </c>
      <c r="G38" s="192" t="s">
        <v>86</v>
      </c>
      <c r="H38" s="193" t="str">
        <f>I13</f>
        <v>EU_MFm, Swim, 1-spd</v>
      </c>
      <c r="I38" s="194">
        <f t="shared" si="5"/>
        <v>14342.883552391388</v>
      </c>
      <c r="J38" s="282">
        <f>I38-I44</f>
        <v>8099.1314691515945</v>
      </c>
      <c r="K38" s="282">
        <f>I41-I44</f>
        <v>2417.9011799269138</v>
      </c>
    </row>
    <row r="39" spans="2:11" ht="28.8" hidden="1" x14ac:dyDescent="0.3">
      <c r="B39" s="276"/>
      <c r="C39" s="276"/>
      <c r="D39" s="276" t="s">
        <v>325</v>
      </c>
      <c r="E39" s="276" t="s">
        <v>228</v>
      </c>
      <c r="F39" s="191" t="s">
        <v>78</v>
      </c>
      <c r="G39" s="192" t="s">
        <v>83</v>
      </c>
      <c r="H39" s="193" t="str">
        <f>I14</f>
        <v>EU_MFm, Swim, 2-spd High</v>
      </c>
      <c r="I39" s="194">
        <f t="shared" si="5"/>
        <v>7452.7525291906568</v>
      </c>
      <c r="J39" s="283"/>
      <c r="K39" s="283"/>
    </row>
    <row r="40" spans="2:11" ht="28.8" hidden="1" x14ac:dyDescent="0.3">
      <c r="B40" s="276"/>
      <c r="C40" s="276"/>
      <c r="D40" s="276"/>
      <c r="E40" s="276"/>
      <c r="F40" s="191" t="s">
        <v>78</v>
      </c>
      <c r="G40" s="192" t="s">
        <v>83</v>
      </c>
      <c r="H40" s="193" t="str">
        <f>I16</f>
        <v>EU_MFm, Swim, 2-spd Low</v>
      </c>
      <c r="I40" s="194">
        <f t="shared" si="5"/>
        <v>1208.9007339760499</v>
      </c>
      <c r="J40" s="283"/>
      <c r="K40" s="283"/>
    </row>
    <row r="41" spans="2:11" ht="57.6" x14ac:dyDescent="0.3">
      <c r="B41" s="276"/>
      <c r="C41" s="276"/>
      <c r="D41" s="276"/>
      <c r="E41" s="276"/>
      <c r="F41" s="191" t="s">
        <v>78</v>
      </c>
      <c r="G41" s="192" t="s">
        <v>404</v>
      </c>
      <c r="H41" s="193" t="s">
        <v>388</v>
      </c>
      <c r="I41" s="194">
        <f>I39+I40</f>
        <v>8661.6532631667069</v>
      </c>
      <c r="J41" s="283"/>
      <c r="K41" s="283"/>
    </row>
    <row r="42" spans="2:11" ht="28.8" hidden="1" x14ac:dyDescent="0.3">
      <c r="B42" s="276"/>
      <c r="C42" s="276"/>
      <c r="D42" s="276"/>
      <c r="E42" s="276"/>
      <c r="F42" s="191" t="s">
        <v>1</v>
      </c>
      <c r="G42" s="192" t="s">
        <v>300</v>
      </c>
      <c r="H42" s="193" t="str">
        <f>I15</f>
        <v>EU_MFm, Swim, VS High</v>
      </c>
      <c r="I42" s="194">
        <f t="shared" ref="I42:I43" si="6">INDEX($J$4:$J$26,MATCH(H42,$I$4:$I$26,0))</f>
        <v>5599.3974318204255</v>
      </c>
      <c r="J42" s="283"/>
      <c r="K42" s="283"/>
    </row>
    <row r="43" spans="2:11" ht="28.8" hidden="1" x14ac:dyDescent="0.3">
      <c r="B43" s="276"/>
      <c r="C43" s="276"/>
      <c r="D43" s="276"/>
      <c r="E43" s="276"/>
      <c r="F43" s="191" t="s">
        <v>1</v>
      </c>
      <c r="G43" s="192" t="s">
        <v>300</v>
      </c>
      <c r="H43" s="193" t="str">
        <f>I17</f>
        <v>EU_MFm, Swim, VS Low</v>
      </c>
      <c r="I43" s="194">
        <f t="shared" si="6"/>
        <v>644.35465141936777</v>
      </c>
      <c r="J43" s="283"/>
      <c r="K43" s="283"/>
    </row>
    <row r="44" spans="2:11" ht="57.6" x14ac:dyDescent="0.3">
      <c r="B44" s="276"/>
      <c r="C44" s="276"/>
      <c r="D44" s="276" t="s">
        <v>325</v>
      </c>
      <c r="E44" s="276" t="s">
        <v>228</v>
      </c>
      <c r="F44" s="191" t="s">
        <v>1</v>
      </c>
      <c r="G44" s="192" t="s">
        <v>405</v>
      </c>
      <c r="H44" s="193" t="s">
        <v>389</v>
      </c>
      <c r="I44" s="194">
        <f>I42+I43</f>
        <v>6243.7520832397931</v>
      </c>
      <c r="J44" s="284"/>
      <c r="K44" s="284"/>
    </row>
    <row r="45" spans="2:11" ht="28.8" x14ac:dyDescent="0.3">
      <c r="B45" s="270" t="s">
        <v>140</v>
      </c>
      <c r="C45" s="270" t="s">
        <v>346</v>
      </c>
      <c r="D45" s="270" t="s">
        <v>325</v>
      </c>
      <c r="E45" s="270" t="s">
        <v>255</v>
      </c>
      <c r="F45" s="166" t="s">
        <v>78</v>
      </c>
      <c r="G45" s="171" t="s">
        <v>86</v>
      </c>
      <c r="H45" s="174" t="str">
        <f t="shared" ref="H45:H50" si="7">I18</f>
        <v>EU_MFm, Spa, 1-spd</v>
      </c>
      <c r="I45" s="176">
        <f t="shared" ref="I45:I50" si="8">INDEX($J$4:$J$26,MATCH(H45,$I$4:$I$26,0))</f>
        <v>10298.357064622127</v>
      </c>
      <c r="J45" s="267">
        <f>I45-I47</f>
        <v>4812.1654787061243</v>
      </c>
      <c r="K45" s="267">
        <f>I46-I47</f>
        <v>2911.7951980741318</v>
      </c>
    </row>
    <row r="46" spans="2:11" ht="28.8" x14ac:dyDescent="0.3">
      <c r="B46" s="270" t="s">
        <v>140</v>
      </c>
      <c r="C46" s="270"/>
      <c r="D46" s="270" t="s">
        <v>325</v>
      </c>
      <c r="E46" s="270" t="s">
        <v>255</v>
      </c>
      <c r="F46" s="166" t="s">
        <v>78</v>
      </c>
      <c r="G46" s="171" t="s">
        <v>83</v>
      </c>
      <c r="H46" s="174" t="str">
        <f t="shared" si="7"/>
        <v>EU_MFm, Spa, 2-spd</v>
      </c>
      <c r="I46" s="176">
        <f t="shared" si="8"/>
        <v>8397.9867839901344</v>
      </c>
      <c r="J46" s="268"/>
      <c r="K46" s="268"/>
    </row>
    <row r="47" spans="2:11" ht="28.8" x14ac:dyDescent="0.3">
      <c r="B47" s="270" t="s">
        <v>140</v>
      </c>
      <c r="C47" s="270"/>
      <c r="D47" s="270" t="s">
        <v>325</v>
      </c>
      <c r="E47" s="270" t="s">
        <v>255</v>
      </c>
      <c r="F47" s="166" t="s">
        <v>78</v>
      </c>
      <c r="G47" s="171" t="s">
        <v>300</v>
      </c>
      <c r="H47" s="174" t="str">
        <f t="shared" si="7"/>
        <v>EU_MFm, Spa, VS</v>
      </c>
      <c r="I47" s="176">
        <f t="shared" si="8"/>
        <v>5486.1915859160026</v>
      </c>
      <c r="J47" s="269"/>
      <c r="K47" s="269"/>
    </row>
    <row r="48" spans="2:11" ht="28.8" x14ac:dyDescent="0.3">
      <c r="B48" s="270" t="s">
        <v>141</v>
      </c>
      <c r="C48" s="270" t="s">
        <v>346</v>
      </c>
      <c r="D48" s="270" t="s">
        <v>325</v>
      </c>
      <c r="E48" s="270" t="s">
        <v>256</v>
      </c>
      <c r="F48" s="166" t="s">
        <v>1</v>
      </c>
      <c r="G48" s="171" t="s">
        <v>86</v>
      </c>
      <c r="H48" s="174" t="str">
        <f t="shared" si="7"/>
        <v>EU_MFm, Wade, 1-spd</v>
      </c>
      <c r="I48" s="176">
        <f t="shared" si="8"/>
        <v>2648.1489594742611</v>
      </c>
      <c r="J48" s="267">
        <f>I48-I50</f>
        <v>1846.181677989747</v>
      </c>
      <c r="K48" s="267">
        <f>I49-I50</f>
        <v>73.364062627622275</v>
      </c>
    </row>
    <row r="49" spans="2:11" ht="28.8" x14ac:dyDescent="0.3">
      <c r="B49" s="270" t="s">
        <v>141</v>
      </c>
      <c r="C49" s="270"/>
      <c r="D49" s="270" t="s">
        <v>325</v>
      </c>
      <c r="E49" s="270" t="s">
        <v>256</v>
      </c>
      <c r="F49" s="166" t="s">
        <v>1</v>
      </c>
      <c r="G49" s="171" t="s">
        <v>83</v>
      </c>
      <c r="H49" s="174" t="str">
        <f t="shared" si="7"/>
        <v>EU_MFm, Wade, 2-spd</v>
      </c>
      <c r="I49" s="176">
        <f t="shared" si="8"/>
        <v>875.33134411213643</v>
      </c>
      <c r="J49" s="268"/>
      <c r="K49" s="268"/>
    </row>
    <row r="50" spans="2:11" ht="28.8" x14ac:dyDescent="0.3">
      <c r="B50" s="270" t="s">
        <v>141</v>
      </c>
      <c r="C50" s="270"/>
      <c r="D50" s="270" t="s">
        <v>325</v>
      </c>
      <c r="E50" s="270" t="s">
        <v>256</v>
      </c>
      <c r="F50" s="166" t="s">
        <v>1</v>
      </c>
      <c r="G50" s="171" t="s">
        <v>300</v>
      </c>
      <c r="H50" s="174" t="str">
        <f t="shared" si="7"/>
        <v>EU_MFm, Wade, VS</v>
      </c>
      <c r="I50" s="176">
        <f t="shared" si="8"/>
        <v>801.96728148451416</v>
      </c>
      <c r="J50" s="269"/>
      <c r="K50" s="269"/>
    </row>
    <row r="53" spans="2:11" x14ac:dyDescent="0.3">
      <c r="B53" t="s">
        <v>75</v>
      </c>
    </row>
    <row r="54" spans="2:11" ht="43.2" x14ac:dyDescent="0.3">
      <c r="B54" s="168" t="s">
        <v>52</v>
      </c>
      <c r="C54" s="168" t="s">
        <v>9</v>
      </c>
      <c r="D54" s="168" t="s">
        <v>324</v>
      </c>
      <c r="E54" s="168" t="s">
        <v>227</v>
      </c>
      <c r="F54" s="168" t="s">
        <v>331</v>
      </c>
      <c r="G54" s="168" t="s">
        <v>283</v>
      </c>
      <c r="H54" s="168" t="s">
        <v>350</v>
      </c>
      <c r="I54" s="168" t="s">
        <v>275</v>
      </c>
      <c r="J54" s="168" t="s">
        <v>202</v>
      </c>
    </row>
    <row r="55" spans="2:11" x14ac:dyDescent="0.3">
      <c r="B55" s="270" t="s">
        <v>13</v>
      </c>
      <c r="C55" s="270" t="s">
        <v>21</v>
      </c>
      <c r="D55" s="270" t="s">
        <v>88</v>
      </c>
      <c r="E55" s="270" t="s">
        <v>228</v>
      </c>
      <c r="F55" s="166" t="s">
        <v>124</v>
      </c>
      <c r="G55" s="171" t="s">
        <v>83</v>
      </c>
      <c r="H55" s="175">
        <f>-'Peak Demand-New'!$G$18</f>
        <v>0</v>
      </c>
      <c r="I55" s="267">
        <f>H55-H56</f>
        <v>0</v>
      </c>
      <c r="J55" s="267" t="s">
        <v>251</v>
      </c>
    </row>
    <row r="56" spans="2:11" ht="28.8" x14ac:dyDescent="0.3">
      <c r="B56" s="270"/>
      <c r="C56" s="270"/>
      <c r="D56" s="270" t="s">
        <v>88</v>
      </c>
      <c r="E56" s="270" t="s">
        <v>228</v>
      </c>
      <c r="F56" s="166" t="s">
        <v>1</v>
      </c>
      <c r="G56" s="171" t="s">
        <v>300</v>
      </c>
      <c r="H56" s="175">
        <f>'Peak Demand-New'!$J$17</f>
        <v>0</v>
      </c>
      <c r="I56" s="269"/>
      <c r="J56" s="269"/>
    </row>
    <row r="57" spans="2:11" x14ac:dyDescent="0.3">
      <c r="B57" s="270" t="s">
        <v>15</v>
      </c>
      <c r="C57" s="270" t="s">
        <v>21</v>
      </c>
      <c r="D57" s="275" t="s">
        <v>88</v>
      </c>
      <c r="E57" s="270" t="s">
        <v>228</v>
      </c>
      <c r="F57" s="166" t="s">
        <v>124</v>
      </c>
      <c r="G57" s="171" t="s">
        <v>83</v>
      </c>
      <c r="H57" s="175">
        <f>-'Peak Demand-New'!$G$18</f>
        <v>0</v>
      </c>
      <c r="I57" s="267">
        <f>H57-H58</f>
        <v>0</v>
      </c>
      <c r="J57" s="267" t="s">
        <v>251</v>
      </c>
    </row>
    <row r="58" spans="2:11" ht="28.8" x14ac:dyDescent="0.3">
      <c r="B58" s="270"/>
      <c r="C58" s="270"/>
      <c r="D58" s="275" t="s">
        <v>88</v>
      </c>
      <c r="E58" s="270" t="s">
        <v>228</v>
      </c>
      <c r="F58" s="166" t="s">
        <v>1</v>
      </c>
      <c r="G58" s="171" t="s">
        <v>300</v>
      </c>
      <c r="H58" s="175">
        <f>'Peak Demand-New'!$J$17</f>
        <v>0</v>
      </c>
      <c r="I58" s="269"/>
      <c r="J58" s="269"/>
    </row>
    <row r="59" spans="2:11" x14ac:dyDescent="0.3">
      <c r="B59" s="270" t="s">
        <v>27</v>
      </c>
      <c r="C59" s="270" t="s">
        <v>346</v>
      </c>
      <c r="D59" s="270" t="s">
        <v>88</v>
      </c>
      <c r="E59" s="270" t="s">
        <v>228</v>
      </c>
      <c r="F59" s="166" t="s">
        <v>124</v>
      </c>
      <c r="G59" s="171" t="s">
        <v>86</v>
      </c>
      <c r="H59" s="175">
        <f>'Peak Demand-New'!$G$17</f>
        <v>0.2473232524</v>
      </c>
      <c r="I59" s="267">
        <f>H59-H61</f>
        <v>0.2473232524</v>
      </c>
      <c r="J59" s="267">
        <f>H60-H61</f>
        <v>0</v>
      </c>
    </row>
    <row r="60" spans="2:11" ht="28.8" x14ac:dyDescent="0.3">
      <c r="B60" s="270"/>
      <c r="C60" s="270"/>
      <c r="D60" s="270" t="s">
        <v>88</v>
      </c>
      <c r="E60" s="270" t="s">
        <v>228</v>
      </c>
      <c r="F60" s="166" t="s">
        <v>78</v>
      </c>
      <c r="G60" s="171" t="s">
        <v>83</v>
      </c>
      <c r="H60" s="175">
        <f>-'Peak Demand-New'!$G$18</f>
        <v>0</v>
      </c>
      <c r="I60" s="268"/>
      <c r="J60" s="268"/>
    </row>
    <row r="61" spans="2:11" ht="28.8" x14ac:dyDescent="0.3">
      <c r="B61" s="270"/>
      <c r="C61" s="270"/>
      <c r="D61" s="270" t="s">
        <v>88</v>
      </c>
      <c r="E61" s="270" t="s">
        <v>228</v>
      </c>
      <c r="F61" s="166" t="s">
        <v>1</v>
      </c>
      <c r="G61" s="171" t="s">
        <v>300</v>
      </c>
      <c r="H61" s="175">
        <f>'Peak Demand-New'!$J$17</f>
        <v>0</v>
      </c>
      <c r="I61" s="269"/>
      <c r="J61" s="269"/>
    </row>
    <row r="62" spans="2:11" x14ac:dyDescent="0.3">
      <c r="B62" s="271" t="s">
        <v>39</v>
      </c>
      <c r="C62" s="271" t="s">
        <v>346</v>
      </c>
      <c r="D62" s="271" t="s">
        <v>325</v>
      </c>
      <c r="E62" s="271" t="s">
        <v>228</v>
      </c>
      <c r="F62" s="196" t="s">
        <v>124</v>
      </c>
      <c r="G62" s="197" t="s">
        <v>86</v>
      </c>
      <c r="H62" s="198">
        <f>'Peak Demand-New'!$G$19</f>
        <v>1.8224477079999997</v>
      </c>
      <c r="I62" s="272">
        <f>H62-H64</f>
        <v>0.75929830799999998</v>
      </c>
      <c r="J62" s="272">
        <f>H63-H64</f>
        <v>0.2917905500000002</v>
      </c>
    </row>
    <row r="63" spans="2:11" ht="28.8" x14ac:dyDescent="0.3">
      <c r="B63" s="271"/>
      <c r="C63" s="271"/>
      <c r="D63" s="271" t="s">
        <v>325</v>
      </c>
      <c r="E63" s="271" t="s">
        <v>228</v>
      </c>
      <c r="F63" s="196" t="s">
        <v>78</v>
      </c>
      <c r="G63" s="197" t="s">
        <v>83</v>
      </c>
      <c r="H63" s="198">
        <f>'Peak Demand-New'!$G$20</f>
        <v>1.3549399499999999</v>
      </c>
      <c r="I63" s="273"/>
      <c r="J63" s="273"/>
    </row>
    <row r="64" spans="2:11" ht="28.8" x14ac:dyDescent="0.3">
      <c r="B64" s="271"/>
      <c r="C64" s="271"/>
      <c r="D64" s="271" t="s">
        <v>325</v>
      </c>
      <c r="E64" s="271" t="s">
        <v>228</v>
      </c>
      <c r="F64" s="196" t="s">
        <v>1</v>
      </c>
      <c r="G64" s="197" t="s">
        <v>300</v>
      </c>
      <c r="H64" s="198">
        <f>'Peak Demand-New'!$J$19</f>
        <v>1.0631493999999997</v>
      </c>
      <c r="I64" s="274"/>
      <c r="J64" s="274"/>
    </row>
    <row r="65" spans="2:10" ht="28.8" x14ac:dyDescent="0.3">
      <c r="B65" s="270" t="s">
        <v>140</v>
      </c>
      <c r="C65" s="270" t="s">
        <v>346</v>
      </c>
      <c r="D65" s="270" t="s">
        <v>325</v>
      </c>
      <c r="E65" s="270" t="s">
        <v>255</v>
      </c>
      <c r="F65" s="166" t="s">
        <v>78</v>
      </c>
      <c r="G65" s="171" t="s">
        <v>86</v>
      </c>
      <c r="H65" s="175">
        <f>'Peak Demand-New'!$G$21</f>
        <v>0.99145479999999997</v>
      </c>
      <c r="I65" s="267">
        <f>H65-H67</f>
        <v>0.23681620000000003</v>
      </c>
      <c r="J65" s="267">
        <f>H66-H67</f>
        <v>0.30615619999999988</v>
      </c>
    </row>
    <row r="66" spans="2:10" ht="28.8" x14ac:dyDescent="0.3">
      <c r="B66" s="270" t="s">
        <v>140</v>
      </c>
      <c r="C66" s="270"/>
      <c r="D66" s="270" t="s">
        <v>325</v>
      </c>
      <c r="E66" s="270" t="s">
        <v>255</v>
      </c>
      <c r="F66" s="166" t="s">
        <v>78</v>
      </c>
      <c r="G66" s="171" t="s">
        <v>83</v>
      </c>
      <c r="H66" s="175">
        <f>'Peak Demand-New'!$G$22</f>
        <v>1.0607947999999998</v>
      </c>
      <c r="I66" s="268"/>
      <c r="J66" s="268"/>
    </row>
    <row r="67" spans="2:10" ht="28.8" x14ac:dyDescent="0.3">
      <c r="B67" s="270" t="s">
        <v>140</v>
      </c>
      <c r="C67" s="270"/>
      <c r="D67" s="270" t="s">
        <v>325</v>
      </c>
      <c r="E67" s="270" t="s">
        <v>255</v>
      </c>
      <c r="F67" s="166" t="s">
        <v>78</v>
      </c>
      <c r="G67" s="171" t="s">
        <v>300</v>
      </c>
      <c r="H67" s="175">
        <f>'Peak Demand-New'!$J$21</f>
        <v>0.75463859999999994</v>
      </c>
      <c r="I67" s="269"/>
      <c r="J67" s="269"/>
    </row>
    <row r="68" spans="2:10" ht="28.8" x14ac:dyDescent="0.3">
      <c r="B68" s="270" t="s">
        <v>141</v>
      </c>
      <c r="C68" s="270" t="s">
        <v>346</v>
      </c>
      <c r="D68" s="270" t="s">
        <v>325</v>
      </c>
      <c r="E68" s="270" t="s">
        <v>256</v>
      </c>
      <c r="F68" s="166" t="s">
        <v>1</v>
      </c>
      <c r="G68" s="171" t="s">
        <v>86</v>
      </c>
      <c r="H68" s="175">
        <f>'Peak Demand-New'!$G$23</f>
        <v>0.71481000000000017</v>
      </c>
      <c r="I68" s="267">
        <f>H68-H70</f>
        <v>0.65205250000000015</v>
      </c>
      <c r="J68" s="267">
        <f>H69-H70</f>
        <v>0.15359249999999991</v>
      </c>
    </row>
    <row r="69" spans="2:10" ht="28.8" x14ac:dyDescent="0.3">
      <c r="B69" s="270" t="s">
        <v>141</v>
      </c>
      <c r="C69" s="270"/>
      <c r="D69" s="270" t="s">
        <v>325</v>
      </c>
      <c r="E69" s="270" t="s">
        <v>256</v>
      </c>
      <c r="F69" s="166" t="s">
        <v>1</v>
      </c>
      <c r="G69" s="171" t="s">
        <v>83</v>
      </c>
      <c r="H69" s="175">
        <f>'Peak Demand-New'!$G$24</f>
        <v>0.21634999999999996</v>
      </c>
      <c r="I69" s="268"/>
      <c r="J69" s="268"/>
    </row>
    <row r="70" spans="2:10" ht="28.8" x14ac:dyDescent="0.3">
      <c r="B70" s="270" t="s">
        <v>141</v>
      </c>
      <c r="C70" s="270"/>
      <c r="D70" s="270" t="s">
        <v>325</v>
      </c>
      <c r="E70" s="270" t="s">
        <v>256</v>
      </c>
      <c r="F70" s="166" t="s">
        <v>1</v>
      </c>
      <c r="G70" s="171" t="s">
        <v>300</v>
      </c>
      <c r="H70" s="175">
        <f>'Peak Demand-New'!$J$23</f>
        <v>6.2757500000000049E-2</v>
      </c>
      <c r="I70" s="269"/>
      <c r="J70" s="269"/>
    </row>
  </sheetData>
  <mergeCells count="81">
    <mergeCell ref="B48:B50"/>
    <mergeCell ref="B38:B44"/>
    <mergeCell ref="B45:B47"/>
    <mergeCell ref="B35:B37"/>
    <mergeCell ref="D35:D37"/>
    <mergeCell ref="C35:C37"/>
    <mergeCell ref="C38:C44"/>
    <mergeCell ref="C45:C47"/>
    <mergeCell ref="C48:C50"/>
    <mergeCell ref="B31:B32"/>
    <mergeCell ref="B33:B34"/>
    <mergeCell ref="D31:D32"/>
    <mergeCell ref="D33:D34"/>
    <mergeCell ref="C31:C32"/>
    <mergeCell ref="C33:C34"/>
    <mergeCell ref="J38:J44"/>
    <mergeCell ref="J45:J47"/>
    <mergeCell ref="J48:J50"/>
    <mergeCell ref="N7:O7"/>
    <mergeCell ref="N11:O11"/>
    <mergeCell ref="J33:J34"/>
    <mergeCell ref="K33:K34"/>
    <mergeCell ref="K35:K37"/>
    <mergeCell ref="K38:K44"/>
    <mergeCell ref="K45:K47"/>
    <mergeCell ref="K48:K50"/>
    <mergeCell ref="L12:L15"/>
    <mergeCell ref="O13:O14"/>
    <mergeCell ref="N15:O15"/>
    <mergeCell ref="E48:E50"/>
    <mergeCell ref="D38:D44"/>
    <mergeCell ref="D45:D47"/>
    <mergeCell ref="D48:D50"/>
    <mergeCell ref="O5:O6"/>
    <mergeCell ref="O9:O10"/>
    <mergeCell ref="L4:L7"/>
    <mergeCell ref="L8:L11"/>
    <mergeCell ref="J31:J32"/>
    <mergeCell ref="K31:K32"/>
    <mergeCell ref="E31:E32"/>
    <mergeCell ref="E33:E34"/>
    <mergeCell ref="E35:E37"/>
    <mergeCell ref="E38:E44"/>
    <mergeCell ref="E45:E47"/>
    <mergeCell ref="J35:J37"/>
    <mergeCell ref="J55:J56"/>
    <mergeCell ref="B57:B58"/>
    <mergeCell ref="C57:C58"/>
    <mergeCell ref="D57:D58"/>
    <mergeCell ref="E57:E58"/>
    <mergeCell ref="J57:J58"/>
    <mergeCell ref="I55:I56"/>
    <mergeCell ref="I57:I58"/>
    <mergeCell ref="B55:B56"/>
    <mergeCell ref="C55:C56"/>
    <mergeCell ref="D55:D56"/>
    <mergeCell ref="E55:E56"/>
    <mergeCell ref="J59:J61"/>
    <mergeCell ref="B62:B64"/>
    <mergeCell ref="C62:C64"/>
    <mergeCell ref="D62:D64"/>
    <mergeCell ref="E62:E64"/>
    <mergeCell ref="J62:J64"/>
    <mergeCell ref="I59:I61"/>
    <mergeCell ref="I62:I64"/>
    <mergeCell ref="B59:B61"/>
    <mergeCell ref="C59:C61"/>
    <mergeCell ref="D59:D61"/>
    <mergeCell ref="E59:E61"/>
    <mergeCell ref="J65:J67"/>
    <mergeCell ref="B68:B70"/>
    <mergeCell ref="C68:C70"/>
    <mergeCell ref="D68:D70"/>
    <mergeCell ref="E68:E70"/>
    <mergeCell ref="J68:J70"/>
    <mergeCell ref="I65:I67"/>
    <mergeCell ref="I68:I70"/>
    <mergeCell ref="B65:B67"/>
    <mergeCell ref="C65:C67"/>
    <mergeCell ref="D65:D67"/>
    <mergeCell ref="E65:E67"/>
  </mergeCells>
  <pageMargins left="0.7" right="0.7" top="0.75" bottom="0.75" header="0.3" footer="0.3"/>
  <pageSetup orientation="portrait" r:id="rId1"/>
  <ignoredErrors>
    <ignoredError sqref="H40 I41 I44"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2:L82"/>
  <sheetViews>
    <sheetView workbookViewId="0"/>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7" width="45.44140625" customWidth="1"/>
    <col min="8" max="8" width="20.44140625" customWidth="1"/>
    <col min="9" max="9" width="29.88671875" customWidth="1"/>
    <col min="10" max="10" width="26.6640625" bestFit="1" customWidth="1"/>
    <col min="11" max="11" width="60.77734375" customWidth="1"/>
    <col min="12" max="12" width="27.88671875" customWidth="1"/>
    <col min="13" max="13" width="11.6640625" customWidth="1"/>
    <col min="14" max="14" width="76.44140625" customWidth="1"/>
    <col min="19" max="19" width="10.109375" bestFit="1" customWidth="1"/>
  </cols>
  <sheetData>
    <row r="2" spans="1:12" ht="15" thickBot="1" x14ac:dyDescent="0.35">
      <c r="A2" t="s">
        <v>51</v>
      </c>
    </row>
    <row r="3" spans="1:12" x14ac:dyDescent="0.3">
      <c r="A3" s="52" t="s">
        <v>154</v>
      </c>
      <c r="B3" s="53" t="s">
        <v>82</v>
      </c>
      <c r="C3" s="53" t="s">
        <v>9</v>
      </c>
      <c r="D3" s="53" t="s">
        <v>36</v>
      </c>
      <c r="E3" s="53" t="s">
        <v>125</v>
      </c>
      <c r="F3" s="18"/>
      <c r="G3" s="18"/>
      <c r="H3" s="18"/>
      <c r="I3" s="18"/>
      <c r="J3" s="18"/>
      <c r="K3" s="4"/>
      <c r="L3" s="5"/>
    </row>
    <row r="4" spans="1:12" x14ac:dyDescent="0.3">
      <c r="A4" s="56" t="s">
        <v>94</v>
      </c>
      <c r="B4" s="55" t="s">
        <v>83</v>
      </c>
      <c r="C4" s="55" t="s">
        <v>21</v>
      </c>
      <c r="D4" s="55" t="s">
        <v>88</v>
      </c>
      <c r="E4" s="55" t="s">
        <v>14</v>
      </c>
      <c r="F4" s="17"/>
      <c r="G4" s="17"/>
      <c r="H4" s="17"/>
      <c r="I4" s="17"/>
      <c r="J4" s="17"/>
      <c r="K4" s="7"/>
      <c r="L4" s="8"/>
    </row>
    <row r="5" spans="1:12" ht="28.8" x14ac:dyDescent="0.3">
      <c r="A5" s="50" t="s">
        <v>34</v>
      </c>
      <c r="B5" s="51" t="s">
        <v>56</v>
      </c>
      <c r="C5" s="51" t="s">
        <v>57</v>
      </c>
      <c r="D5" s="51" t="s">
        <v>58</v>
      </c>
      <c r="E5" s="51" t="s">
        <v>59</v>
      </c>
      <c r="F5" s="51" t="s">
        <v>55</v>
      </c>
      <c r="G5" s="110"/>
      <c r="H5" s="84" t="s">
        <v>64</v>
      </c>
      <c r="I5" s="84" t="s">
        <v>116</v>
      </c>
      <c r="J5" s="84" t="s">
        <v>118</v>
      </c>
      <c r="K5" s="287" t="s">
        <v>80</v>
      </c>
      <c r="L5" s="287"/>
    </row>
    <row r="6" spans="1:12" ht="15" customHeight="1" x14ac:dyDescent="0.3">
      <c r="A6" s="40" t="s">
        <v>54</v>
      </c>
      <c r="B6" s="10">
        <v>0.73</v>
      </c>
      <c r="C6" s="10"/>
      <c r="D6" s="10"/>
      <c r="E6" s="10">
        <f>1-B6</f>
        <v>0.27</v>
      </c>
      <c r="F6" s="9"/>
      <c r="G6" s="9"/>
      <c r="H6" s="9"/>
      <c r="I6" s="9"/>
      <c r="J6" s="9"/>
      <c r="K6" s="288" t="s">
        <v>192</v>
      </c>
      <c r="L6" s="288"/>
    </row>
    <row r="7" spans="1:12" x14ac:dyDescent="0.3">
      <c r="A7" s="40" t="s">
        <v>47</v>
      </c>
      <c r="B7" s="9">
        <v>15700</v>
      </c>
      <c r="C7" s="9">
        <v>15700</v>
      </c>
      <c r="D7" s="9">
        <v>15700</v>
      </c>
      <c r="E7" s="9"/>
      <c r="F7" s="9"/>
      <c r="G7" s="9">
        <v>15700</v>
      </c>
      <c r="H7" s="9"/>
      <c r="I7" s="9"/>
      <c r="J7" s="9"/>
      <c r="K7" s="288"/>
      <c r="L7" s="288"/>
    </row>
    <row r="8" spans="1:12" x14ac:dyDescent="0.3">
      <c r="A8" s="40" t="s">
        <v>48</v>
      </c>
      <c r="B8" s="9">
        <v>0.98</v>
      </c>
      <c r="C8" s="9">
        <v>0.86</v>
      </c>
      <c r="D8" s="9">
        <v>0.37</v>
      </c>
      <c r="E8" s="9"/>
      <c r="F8" s="9"/>
      <c r="G8" s="9">
        <v>0.98</v>
      </c>
      <c r="H8" s="9"/>
      <c r="I8" s="9" t="s">
        <v>213</v>
      </c>
      <c r="J8" s="9" t="s">
        <v>213</v>
      </c>
      <c r="K8" s="288"/>
      <c r="L8" s="288"/>
    </row>
    <row r="9" spans="1:12" x14ac:dyDescent="0.3">
      <c r="A9" s="40" t="s">
        <v>49</v>
      </c>
      <c r="B9" s="9">
        <v>365</v>
      </c>
      <c r="C9" s="9">
        <v>365</v>
      </c>
      <c r="D9" s="9">
        <v>365</v>
      </c>
      <c r="E9" s="9"/>
      <c r="F9" s="9"/>
      <c r="G9" s="9">
        <v>365</v>
      </c>
      <c r="H9" s="9"/>
      <c r="I9" s="111">
        <v>695</v>
      </c>
      <c r="J9" s="9"/>
      <c r="K9" s="288"/>
      <c r="L9" s="288"/>
    </row>
    <row r="10" spans="1:12" x14ac:dyDescent="0.3">
      <c r="A10" s="40" t="s">
        <v>50</v>
      </c>
      <c r="B10" s="9">
        <v>3.2881259599999999</v>
      </c>
      <c r="C10" s="9">
        <f>B10</f>
        <v>3.2881259599999999</v>
      </c>
      <c r="D10" s="9">
        <v>2.0345419999999983</v>
      </c>
      <c r="E10" s="9"/>
      <c r="F10" s="9"/>
      <c r="G10" s="9">
        <v>5.9107131388212748</v>
      </c>
      <c r="H10" s="118">
        <f>F11-G11</f>
        <v>982.72228065489139</v>
      </c>
      <c r="I10" s="9" t="s">
        <v>212</v>
      </c>
      <c r="J10" s="9"/>
      <c r="K10" s="288"/>
      <c r="L10" s="288"/>
    </row>
    <row r="11" spans="1:12" x14ac:dyDescent="0.3">
      <c r="A11" s="40" t="s">
        <v>85</v>
      </c>
      <c r="B11" s="61">
        <f>(B7*B8*B9)/(B10*1000)</f>
        <v>1707.9303129859418</v>
      </c>
      <c r="C11" s="61">
        <f>(C7*C8*C9)/(C10*1000)</f>
        <v>1498.7959889468468</v>
      </c>
      <c r="D11" s="61">
        <f>(D7*D8*D9)/(D10*1000)</f>
        <v>1042.1436372412079</v>
      </c>
      <c r="E11" s="61">
        <f>C11+D11</f>
        <v>2540.9396261880547</v>
      </c>
      <c r="F11" s="61">
        <f>(B6*B11)+(E6*E11)</f>
        <v>1932.8428275505121</v>
      </c>
      <c r="G11" s="61">
        <f>(G7*G8*G9)/(G10*1000)</f>
        <v>950.12054689562069</v>
      </c>
      <c r="H11" s="100">
        <v>1257</v>
      </c>
      <c r="I11" s="99">
        <f>ROUND(F11-H11,2)</f>
        <v>675.84</v>
      </c>
      <c r="J11" s="99">
        <f>'Meas. A &amp; C, CZ Adjustments'!$D$25</f>
        <v>677</v>
      </c>
      <c r="K11" s="288"/>
      <c r="L11" s="288"/>
    </row>
    <row r="12" spans="1:12" x14ac:dyDescent="0.3">
      <c r="A12" s="6"/>
      <c r="B12" s="17"/>
      <c r="C12" s="17"/>
      <c r="D12" s="17"/>
      <c r="E12" s="17"/>
      <c r="F12" s="17"/>
      <c r="G12" s="17"/>
      <c r="H12" s="101"/>
      <c r="I12" s="17"/>
      <c r="J12" s="17"/>
      <c r="K12" s="7"/>
      <c r="L12" s="8"/>
    </row>
    <row r="13" spans="1:12" x14ac:dyDescent="0.3">
      <c r="A13" s="50" t="s">
        <v>72</v>
      </c>
      <c r="B13" s="17"/>
      <c r="C13" s="17"/>
      <c r="D13" s="17"/>
      <c r="E13" s="17"/>
      <c r="F13" s="17"/>
      <c r="G13" s="17"/>
      <c r="H13" s="101"/>
      <c r="I13" s="112"/>
      <c r="J13" s="17"/>
      <c r="K13" s="7"/>
      <c r="L13" s="8"/>
    </row>
    <row r="14" spans="1:12" ht="28.8" x14ac:dyDescent="0.3">
      <c r="A14" s="50" t="s">
        <v>34</v>
      </c>
      <c r="B14" s="51" t="s">
        <v>76</v>
      </c>
      <c r="C14" s="51" t="s">
        <v>70</v>
      </c>
      <c r="D14" s="51" t="s">
        <v>117</v>
      </c>
      <c r="E14" s="51" t="s">
        <v>119</v>
      </c>
      <c r="F14" s="51" t="s">
        <v>80</v>
      </c>
      <c r="G14" s="116"/>
      <c r="H14" s="17"/>
      <c r="I14" s="17"/>
      <c r="J14" s="17"/>
      <c r="K14" s="7"/>
      <c r="L14" s="8"/>
    </row>
    <row r="15" spans="1:12" x14ac:dyDescent="0.3">
      <c r="A15" s="12" t="s">
        <v>73</v>
      </c>
      <c r="B15" s="14">
        <v>0.376</v>
      </c>
      <c r="C15" s="14">
        <v>0</v>
      </c>
      <c r="D15" s="14"/>
      <c r="E15" s="14"/>
      <c r="F15" s="289" t="s">
        <v>164</v>
      </c>
      <c r="G15" s="117"/>
      <c r="H15" s="17"/>
      <c r="I15" s="17"/>
      <c r="J15" s="17"/>
      <c r="K15" s="7"/>
      <c r="L15" s="8"/>
    </row>
    <row r="16" spans="1:12" x14ac:dyDescent="0.3">
      <c r="A16" s="12" t="s">
        <v>74</v>
      </c>
      <c r="B16" s="14">
        <v>0.52200000000000002</v>
      </c>
      <c r="C16" s="14">
        <v>0</v>
      </c>
      <c r="D16" s="14"/>
      <c r="E16" s="14"/>
      <c r="F16" s="290"/>
      <c r="G16" s="117"/>
      <c r="H16" s="17"/>
      <c r="I16" s="17"/>
      <c r="J16" s="17"/>
      <c r="K16" s="7"/>
      <c r="L16" s="8"/>
    </row>
    <row r="17" spans="1:12" x14ac:dyDescent="0.3">
      <c r="A17" s="12" t="s">
        <v>75</v>
      </c>
      <c r="B17" s="15">
        <f>B16*B15</f>
        <v>0.196272</v>
      </c>
      <c r="C17" s="15">
        <f>C16*C15</f>
        <v>0</v>
      </c>
      <c r="D17" s="38">
        <f>B17-C17</f>
        <v>0.196272</v>
      </c>
      <c r="E17" s="38">
        <f>D17</f>
        <v>0.196272</v>
      </c>
      <c r="F17" s="291"/>
      <c r="G17" s="117"/>
      <c r="H17" s="17"/>
      <c r="I17" s="17"/>
      <c r="J17" s="17"/>
      <c r="K17" s="7"/>
      <c r="L17" s="8"/>
    </row>
    <row r="18" spans="1:12" ht="15" thickBot="1" x14ac:dyDescent="0.35"/>
    <row r="19" spans="1:12" x14ac:dyDescent="0.3">
      <c r="A19" s="292" t="s">
        <v>211</v>
      </c>
      <c r="B19" s="293"/>
      <c r="C19" s="294"/>
    </row>
    <row r="20" spans="1:12" x14ac:dyDescent="0.3">
      <c r="A20" s="295"/>
      <c r="B20" s="296"/>
      <c r="C20" s="297"/>
    </row>
    <row r="21" spans="1:12" x14ac:dyDescent="0.3">
      <c r="A21" s="295"/>
      <c r="B21" s="296"/>
      <c r="C21" s="297"/>
    </row>
    <row r="22" spans="1:12" x14ac:dyDescent="0.3">
      <c r="A22" s="295"/>
      <c r="B22" s="296"/>
      <c r="C22" s="297"/>
    </row>
    <row r="23" spans="1:12" ht="15" thickBot="1" x14ac:dyDescent="0.35">
      <c r="A23" s="298"/>
      <c r="B23" s="299"/>
      <c r="C23" s="300"/>
    </row>
    <row r="36" spans="2:3" x14ac:dyDescent="0.3">
      <c r="B36" t="s">
        <v>226</v>
      </c>
      <c r="C36" t="s">
        <v>225</v>
      </c>
    </row>
    <row r="37" spans="2:3" x14ac:dyDescent="0.3">
      <c r="C37" t="s">
        <v>54</v>
      </c>
    </row>
    <row r="38" spans="2:3" x14ac:dyDescent="0.3">
      <c r="C38" t="s">
        <v>47</v>
      </c>
    </row>
    <row r="39" spans="2:3" ht="15" customHeight="1" x14ac:dyDescent="0.3">
      <c r="C39" t="s">
        <v>223</v>
      </c>
    </row>
    <row r="40" spans="2:3" x14ac:dyDescent="0.3">
      <c r="C40" t="s">
        <v>224</v>
      </c>
    </row>
    <row r="48" spans="2:3" ht="15" customHeight="1" x14ac:dyDescent="0.3"/>
    <row r="56" ht="15" customHeight="1" x14ac:dyDescent="0.3"/>
    <row r="64" ht="15" customHeight="1" x14ac:dyDescent="0.3"/>
    <row r="82" ht="15" customHeight="1" x14ac:dyDescent="0.3"/>
  </sheetData>
  <mergeCells count="4">
    <mergeCell ref="K5:L5"/>
    <mergeCell ref="K6:L11"/>
    <mergeCell ref="F15:F17"/>
    <mergeCell ref="A19:C23"/>
  </mergeCell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L82"/>
  <sheetViews>
    <sheetView topLeftCell="E1" zoomScale="70" zoomScaleNormal="70" workbookViewId="0">
      <selection activeCell="K17" sqref="K17"/>
    </sheetView>
  </sheetViews>
  <sheetFormatPr defaultRowHeight="14.4" x14ac:dyDescent="0.3"/>
  <cols>
    <col min="1" max="1" width="27.88671875" bestFit="1" customWidth="1"/>
    <col min="2" max="2" width="27.44140625" bestFit="1" customWidth="1"/>
    <col min="3" max="3" width="26.77734375" bestFit="1" customWidth="1"/>
    <col min="4" max="4" width="25.33203125" bestFit="1" customWidth="1"/>
    <col min="5" max="5" width="30.6640625" bestFit="1" customWidth="1"/>
    <col min="6" max="6" width="18.44140625" bestFit="1" customWidth="1"/>
    <col min="7" max="7" width="22.88671875" bestFit="1" customWidth="1"/>
    <col min="8" max="8" width="27.109375" bestFit="1" customWidth="1"/>
    <col min="9" max="9" width="27.6640625" bestFit="1" customWidth="1"/>
    <col min="10" max="10" width="22" bestFit="1" customWidth="1"/>
    <col min="11" max="11" width="19" bestFit="1" customWidth="1"/>
    <col min="12" max="12" width="12.33203125" bestFit="1" customWidth="1"/>
    <col min="13" max="13" width="11.6640625" customWidth="1"/>
    <col min="14" max="14" width="76.44140625" customWidth="1"/>
    <col min="19" max="19" width="10.109375" bestFit="1" customWidth="1"/>
  </cols>
  <sheetData>
    <row r="2" spans="1:12" ht="15" thickBot="1" x14ac:dyDescent="0.35">
      <c r="A2" t="s">
        <v>51</v>
      </c>
    </row>
    <row r="3" spans="1:12" x14ac:dyDescent="0.3">
      <c r="A3" s="52" t="s">
        <v>154</v>
      </c>
      <c r="B3" s="53" t="s">
        <v>82</v>
      </c>
      <c r="C3" s="53" t="s">
        <v>9</v>
      </c>
      <c r="D3" s="53" t="s">
        <v>36</v>
      </c>
      <c r="E3" s="53" t="s">
        <v>125</v>
      </c>
      <c r="F3" s="18"/>
      <c r="G3" s="18"/>
      <c r="H3" s="18"/>
      <c r="I3" s="18"/>
      <c r="J3" s="18"/>
      <c r="K3" s="18"/>
      <c r="L3" s="18"/>
    </row>
    <row r="4" spans="1:12" x14ac:dyDescent="0.3">
      <c r="A4" s="56" t="s">
        <v>94</v>
      </c>
      <c r="B4" s="86" t="s">
        <v>83</v>
      </c>
      <c r="C4" s="86" t="s">
        <v>21</v>
      </c>
      <c r="D4" s="86" t="s">
        <v>88</v>
      </c>
      <c r="E4" s="86" t="s">
        <v>14</v>
      </c>
      <c r="F4" s="17"/>
      <c r="G4" s="17"/>
      <c r="H4" s="17"/>
      <c r="I4" s="17"/>
      <c r="J4" s="17"/>
      <c r="K4" s="17"/>
      <c r="L4" s="17"/>
    </row>
    <row r="5" spans="1:12" ht="28.8" x14ac:dyDescent="0.3">
      <c r="A5" s="50" t="s">
        <v>34</v>
      </c>
      <c r="B5" s="115" t="s">
        <v>56</v>
      </c>
      <c r="C5" s="115" t="s">
        <v>57</v>
      </c>
      <c r="D5" s="115" t="s">
        <v>58</v>
      </c>
      <c r="E5" s="115" t="s">
        <v>59</v>
      </c>
      <c r="F5" s="115" t="s">
        <v>55</v>
      </c>
      <c r="G5" s="115" t="s">
        <v>60</v>
      </c>
      <c r="H5" s="115" t="s">
        <v>61</v>
      </c>
      <c r="I5" s="115" t="s">
        <v>62</v>
      </c>
      <c r="J5" s="115" t="s">
        <v>63</v>
      </c>
      <c r="K5" s="115" t="s">
        <v>215</v>
      </c>
      <c r="L5" s="114" t="s">
        <v>277</v>
      </c>
    </row>
    <row r="6" spans="1:12" ht="15" customHeight="1" x14ac:dyDescent="0.3">
      <c r="A6" s="40" t="s">
        <v>54</v>
      </c>
      <c r="B6" s="10">
        <f>'Energy Factors Tables'!$G$6</f>
        <v>0.71685004683141718</v>
      </c>
      <c r="C6" s="10"/>
      <c r="D6" s="10"/>
      <c r="E6" s="10">
        <f>'Energy Factors Tables'!$G$8</f>
        <v>0.28314995316858282</v>
      </c>
      <c r="F6" s="9"/>
      <c r="G6" s="10">
        <f>B6</f>
        <v>0.71685004683141718</v>
      </c>
      <c r="H6" s="10"/>
      <c r="I6" s="10"/>
      <c r="J6" s="10">
        <f>E6</f>
        <v>0.28314995316858282</v>
      </c>
      <c r="K6" s="9"/>
      <c r="L6" s="9"/>
    </row>
    <row r="7" spans="1:12" x14ac:dyDescent="0.3">
      <c r="A7" s="40" t="s">
        <v>47</v>
      </c>
      <c r="B7" s="9">
        <f>'Energy Factors Tables'!$E$5</f>
        <v>15700</v>
      </c>
      <c r="C7" s="9">
        <f>'Energy Factors Tables'!$E$5</f>
        <v>15700</v>
      </c>
      <c r="D7" s="9">
        <f>'Energy Factors Tables'!$E$5</f>
        <v>15700</v>
      </c>
      <c r="E7" s="9"/>
      <c r="F7" s="9"/>
      <c r="G7" s="9">
        <f>'Energy Factors Tables'!$E$5</f>
        <v>15700</v>
      </c>
      <c r="H7" s="9">
        <v>15700</v>
      </c>
      <c r="I7" s="9">
        <v>15700</v>
      </c>
      <c r="J7" s="9"/>
      <c r="K7" s="9"/>
      <c r="L7" s="9"/>
    </row>
    <row r="8" spans="1:12" x14ac:dyDescent="0.3">
      <c r="A8" s="40" t="s">
        <v>48</v>
      </c>
      <c r="B8" s="120">
        <f>'Energy Factors Tables'!$I$6</f>
        <v>1.0449999999999999</v>
      </c>
      <c r="C8" s="120">
        <f>'Energy Factors Tables'!$I$8</f>
        <v>1.0409999999999999</v>
      </c>
      <c r="D8" s="120">
        <f>'Energy Factors Tables'!$I$10</f>
        <v>0.44593118291120465</v>
      </c>
      <c r="E8" s="9"/>
      <c r="F8" s="9"/>
      <c r="G8" s="120">
        <f>B8</f>
        <v>1.0449999999999999</v>
      </c>
      <c r="H8" s="120">
        <f t="shared" ref="H8:I8" si="0">C8</f>
        <v>1.0409999999999999</v>
      </c>
      <c r="I8" s="120">
        <f t="shared" si="0"/>
        <v>0.44593118291120465</v>
      </c>
      <c r="J8" s="9"/>
      <c r="K8" s="9"/>
      <c r="L8" s="9" t="s">
        <v>213</v>
      </c>
    </row>
    <row r="9" spans="1:12" x14ac:dyDescent="0.3">
      <c r="A9" s="40" t="s">
        <v>49</v>
      </c>
      <c r="B9" s="9">
        <v>365</v>
      </c>
      <c r="C9" s="9">
        <v>365</v>
      </c>
      <c r="D9" s="9">
        <v>365</v>
      </c>
      <c r="E9" s="9"/>
      <c r="F9" s="9"/>
      <c r="G9" s="9">
        <v>365</v>
      </c>
      <c r="H9" s="9">
        <v>365</v>
      </c>
      <c r="I9" s="9">
        <v>365</v>
      </c>
      <c r="J9" s="9"/>
      <c r="K9" s="9"/>
      <c r="L9" s="111">
        <v>695</v>
      </c>
    </row>
    <row r="10" spans="1:12" x14ac:dyDescent="0.3">
      <c r="A10" s="40" t="s">
        <v>50</v>
      </c>
      <c r="B10" s="140">
        <f>'Energy Factors Tables'!$M$6</f>
        <v>2.6978</v>
      </c>
      <c r="C10" s="140">
        <f>'Energy Factors Tables'!$M$8</f>
        <v>3.2086000000000001</v>
      </c>
      <c r="D10" s="140">
        <f>'Energy Factors Tables'!$M$10</f>
        <v>2.8462000000000014</v>
      </c>
      <c r="E10" s="9"/>
      <c r="F10" s="9"/>
      <c r="G10" s="140">
        <f>'Energy Factors Tables'!$M$7</f>
        <v>5.0389419999999987</v>
      </c>
      <c r="H10" s="140">
        <f>'Energy Factors Tables'!$M$9</f>
        <v>6.5545899999999993</v>
      </c>
      <c r="I10" s="140">
        <f>'Energy Factors Tables'!$M$11</f>
        <v>4.2735489999999956</v>
      </c>
      <c r="J10" s="9"/>
      <c r="K10" s="9"/>
      <c r="L10" s="9" t="s">
        <v>212</v>
      </c>
    </row>
    <row r="11" spans="1:12" ht="44.85" customHeight="1" x14ac:dyDescent="0.3">
      <c r="A11" s="40" t="s">
        <v>85</v>
      </c>
      <c r="B11" s="61">
        <f>(B7*B8*B9)/(B10*1000)</f>
        <v>2219.7244050707982</v>
      </c>
      <c r="C11" s="61">
        <f>(C7*C8*C9)/(C10*1000)</f>
        <v>1859.2066633422678</v>
      </c>
      <c r="D11" s="61">
        <f>(D7*D8*D9)/(D10*1000)</f>
        <v>897.83172077600204</v>
      </c>
      <c r="E11" s="61">
        <f>C11+D11</f>
        <v>2757.0383841182697</v>
      </c>
      <c r="F11" s="61">
        <f>(B6*B11)+(E6*E11)</f>
        <v>2371.8648330749147</v>
      </c>
      <c r="G11" s="61">
        <f>(G7*G8*G9)/(G10*1000)</f>
        <v>1188.4186204167465</v>
      </c>
      <c r="H11" s="61">
        <f>(H7*H8*H9)/(H10*1000)</f>
        <v>910.11802416322007</v>
      </c>
      <c r="I11" s="61">
        <f>(I7*I8*I9)/(I10*1000)</f>
        <v>597.95936437669502</v>
      </c>
      <c r="J11" s="61">
        <f>H11+I11</f>
        <v>1508.0773885399151</v>
      </c>
      <c r="K11" s="61">
        <f>(G6*G11)+(J6*J11)</f>
        <v>1278.9299856407488</v>
      </c>
      <c r="L11" s="99">
        <f>ROUND(F11-K11,2)</f>
        <v>1092.93</v>
      </c>
    </row>
    <row r="12" spans="1:12" x14ac:dyDescent="0.3">
      <c r="A12" s="6"/>
      <c r="B12" s="17"/>
      <c r="C12" s="17"/>
      <c r="D12" s="17"/>
      <c r="E12" s="17"/>
      <c r="F12" s="17"/>
      <c r="G12" s="17"/>
      <c r="H12" s="17"/>
      <c r="I12" s="17"/>
      <c r="J12" s="17"/>
      <c r="K12" s="101"/>
      <c r="L12" s="17"/>
    </row>
    <row r="13" spans="1:12" x14ac:dyDescent="0.3">
      <c r="A13" s="50" t="s">
        <v>72</v>
      </c>
      <c r="B13" s="17"/>
      <c r="C13" s="17"/>
      <c r="D13" s="17"/>
      <c r="E13" s="17"/>
      <c r="F13" s="17"/>
      <c r="G13" s="17"/>
      <c r="H13" s="17"/>
      <c r="I13" s="17"/>
      <c r="J13" s="17"/>
      <c r="K13" s="101"/>
      <c r="L13" s="112"/>
    </row>
    <row r="14" spans="1:12" x14ac:dyDescent="0.3">
      <c r="A14" s="50" t="s">
        <v>34</v>
      </c>
      <c r="B14" s="115" t="s">
        <v>76</v>
      </c>
      <c r="C14" s="115" t="s">
        <v>70</v>
      </c>
      <c r="D14" s="115" t="s">
        <v>278</v>
      </c>
      <c r="L14" s="17"/>
    </row>
    <row r="15" spans="1:12" x14ac:dyDescent="0.3">
      <c r="A15" s="12" t="s">
        <v>73</v>
      </c>
      <c r="B15" s="141">
        <v>0</v>
      </c>
      <c r="C15" s="14">
        <v>0</v>
      </c>
      <c r="D15" s="14"/>
      <c r="L15" s="17"/>
    </row>
    <row r="16" spans="1:12" x14ac:dyDescent="0.3">
      <c r="A16" s="12" t="s">
        <v>74</v>
      </c>
      <c r="B16" s="141">
        <f>'Peak Demand-New'!$F$5</f>
        <v>0</v>
      </c>
      <c r="C16" s="14">
        <v>0</v>
      </c>
      <c r="D16" s="14"/>
      <c r="L16" s="17"/>
    </row>
    <row r="17" spans="1:12" x14ac:dyDescent="0.3">
      <c r="A17" s="12" t="s">
        <v>75</v>
      </c>
      <c r="B17" s="15">
        <f>B16*B15</f>
        <v>0</v>
      </c>
      <c r="C17" s="15">
        <f>C16*C15</f>
        <v>0</v>
      </c>
      <c r="D17" s="38">
        <f>B17-C17</f>
        <v>0</v>
      </c>
      <c r="L17" s="17"/>
    </row>
    <row r="39" ht="15" customHeight="1" x14ac:dyDescent="0.3"/>
    <row r="48" ht="15" customHeight="1" x14ac:dyDescent="0.3"/>
    <row r="56" ht="15" customHeight="1" x14ac:dyDescent="0.3"/>
    <row r="64" ht="15" customHeight="1" x14ac:dyDescent="0.3"/>
    <row r="82" ht="15" customHeight="1" x14ac:dyDescent="0.3"/>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L82"/>
  <sheetViews>
    <sheetView topLeftCell="G1" zoomScale="70" zoomScaleNormal="70" workbookViewId="0">
      <selection activeCell="L11" sqref="L11"/>
    </sheetView>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6" width="25.33203125" bestFit="1" customWidth="1"/>
    <col min="7" max="7" width="22.88671875" bestFit="1" customWidth="1"/>
    <col min="8" max="8" width="37" bestFit="1" customWidth="1"/>
    <col min="9" max="9" width="37.6640625" bestFit="1" customWidth="1"/>
    <col min="10" max="10" width="30.6640625" bestFit="1" customWidth="1"/>
    <col min="11" max="11" width="20.44140625" customWidth="1"/>
    <col min="12" max="12" width="12.33203125" bestFit="1" customWidth="1"/>
    <col min="13" max="13" width="60.77734375" customWidth="1"/>
    <col min="14" max="14" width="27.88671875" customWidth="1"/>
    <col min="15" max="15" width="11.6640625" customWidth="1"/>
    <col min="16" max="16" width="76.44140625" customWidth="1"/>
    <col min="21" max="21" width="10.109375" bestFit="1" customWidth="1"/>
  </cols>
  <sheetData>
    <row r="2" spans="1:12" ht="15" thickBot="1" x14ac:dyDescent="0.35">
      <c r="A2" t="s">
        <v>51</v>
      </c>
    </row>
    <row r="3" spans="1:12" x14ac:dyDescent="0.3">
      <c r="A3" s="50" t="s">
        <v>153</v>
      </c>
      <c r="B3" s="53" t="s">
        <v>82</v>
      </c>
      <c r="C3" s="53" t="s">
        <v>9</v>
      </c>
      <c r="D3" s="53" t="s">
        <v>36</v>
      </c>
      <c r="E3" s="53" t="s">
        <v>125</v>
      </c>
      <c r="F3" s="18"/>
      <c r="G3" s="18"/>
      <c r="H3" s="18"/>
      <c r="I3" s="18"/>
      <c r="J3" s="18"/>
      <c r="K3" s="18"/>
      <c r="L3" s="18"/>
    </row>
    <row r="4" spans="1:12" ht="28.8" x14ac:dyDescent="0.3">
      <c r="A4" s="86" t="s">
        <v>155</v>
      </c>
      <c r="B4" s="86" t="s">
        <v>83</v>
      </c>
      <c r="C4" s="86" t="s">
        <v>21</v>
      </c>
      <c r="D4" s="86" t="s">
        <v>88</v>
      </c>
      <c r="E4" s="86" t="s">
        <v>26</v>
      </c>
      <c r="F4" s="17"/>
      <c r="G4" s="17"/>
      <c r="H4" s="17"/>
      <c r="I4" s="17"/>
      <c r="J4" s="17"/>
      <c r="K4" s="17"/>
      <c r="L4" s="17"/>
    </row>
    <row r="5" spans="1:12" ht="28.8" x14ac:dyDescent="0.3">
      <c r="A5" s="50" t="s">
        <v>34</v>
      </c>
      <c r="B5" s="126" t="s">
        <v>56</v>
      </c>
      <c r="C5" s="126" t="s">
        <v>57</v>
      </c>
      <c r="D5" s="126" t="s">
        <v>58</v>
      </c>
      <c r="E5" s="126" t="s">
        <v>59</v>
      </c>
      <c r="F5" s="126" t="s">
        <v>55</v>
      </c>
      <c r="G5" s="126" t="s">
        <v>60</v>
      </c>
      <c r="H5" s="126" t="s">
        <v>61</v>
      </c>
      <c r="I5" s="126" t="s">
        <v>62</v>
      </c>
      <c r="J5" s="126" t="s">
        <v>63</v>
      </c>
      <c r="K5" s="126" t="s">
        <v>215</v>
      </c>
      <c r="L5" s="125" t="s">
        <v>277</v>
      </c>
    </row>
    <row r="6" spans="1:12" ht="15" customHeight="1" x14ac:dyDescent="0.3">
      <c r="A6" s="40" t="s">
        <v>54</v>
      </c>
      <c r="B6" s="10">
        <f>'Energy Factors Tables'!$G$6</f>
        <v>0.71685004683141718</v>
      </c>
      <c r="C6" s="10"/>
      <c r="D6" s="10"/>
      <c r="E6" s="10">
        <f>'Energy Factors Tables'!$G$8</f>
        <v>0.28314995316858282</v>
      </c>
      <c r="F6" s="9"/>
      <c r="G6" s="10">
        <f>B6</f>
        <v>0.71685004683141718</v>
      </c>
      <c r="H6" s="10"/>
      <c r="I6" s="10"/>
      <c r="J6" s="10">
        <f>E6</f>
        <v>0.28314995316858282</v>
      </c>
      <c r="K6" s="9"/>
      <c r="L6" s="9"/>
    </row>
    <row r="7" spans="1:12" x14ac:dyDescent="0.3">
      <c r="A7" s="40" t="s">
        <v>47</v>
      </c>
      <c r="B7" s="9">
        <f>'Energy Factors Tables'!$E$5</f>
        <v>15700</v>
      </c>
      <c r="C7" s="9">
        <f>'Energy Factors Tables'!$E$5</f>
        <v>15700</v>
      </c>
      <c r="D7" s="9">
        <f>'Energy Factors Tables'!$E$5</f>
        <v>15700</v>
      </c>
      <c r="E7" s="9"/>
      <c r="F7" s="9"/>
      <c r="G7" s="9">
        <f>'Energy Factors Tables'!$E$5</f>
        <v>15700</v>
      </c>
      <c r="H7" s="9">
        <v>15700</v>
      </c>
      <c r="I7" s="9">
        <v>15700</v>
      </c>
      <c r="J7" s="9"/>
      <c r="K7" s="9"/>
      <c r="L7" s="9"/>
    </row>
    <row r="8" spans="1:12" x14ac:dyDescent="0.3">
      <c r="A8" s="40" t="s">
        <v>48</v>
      </c>
      <c r="B8" s="120">
        <f>'Energy Factors Tables'!$I$6</f>
        <v>1.0449999999999999</v>
      </c>
      <c r="C8" s="120">
        <f>'Energy Factors Tables'!$I$8</f>
        <v>1.0409999999999999</v>
      </c>
      <c r="D8" s="120">
        <f>'Energy Factors Tables'!$I$10</f>
        <v>0.44593118291120465</v>
      </c>
      <c r="E8" s="9"/>
      <c r="F8" s="9"/>
      <c r="G8" s="120">
        <f>'Energy Factors Tables'!$I$7</f>
        <v>1.1702786506873917</v>
      </c>
      <c r="H8" s="120">
        <f>'Energy Factors Tables'!$I$9</f>
        <v>1.1661950807825834</v>
      </c>
      <c r="I8" s="120">
        <f t="shared" ref="I8" si="0">D8</f>
        <v>0.44593118291120465</v>
      </c>
      <c r="J8" s="9"/>
      <c r="K8" s="9"/>
      <c r="L8" s="9" t="s">
        <v>213</v>
      </c>
    </row>
    <row r="9" spans="1:12" x14ac:dyDescent="0.3">
      <c r="A9" s="40" t="s">
        <v>49</v>
      </c>
      <c r="B9" s="9">
        <v>365</v>
      </c>
      <c r="C9" s="9">
        <v>365</v>
      </c>
      <c r="D9" s="9">
        <v>365</v>
      </c>
      <c r="E9" s="9"/>
      <c r="F9" s="9"/>
      <c r="G9" s="9">
        <v>365</v>
      </c>
      <c r="H9" s="9">
        <v>365</v>
      </c>
      <c r="I9" s="9">
        <v>365</v>
      </c>
      <c r="J9" s="9"/>
      <c r="K9" s="9"/>
      <c r="L9" s="111">
        <v>695</v>
      </c>
    </row>
    <row r="10" spans="1:12" x14ac:dyDescent="0.3">
      <c r="A10" s="40" t="s">
        <v>50</v>
      </c>
      <c r="B10" s="140">
        <f>'Energy Factors Tables'!$M$6</f>
        <v>2.6978</v>
      </c>
      <c r="C10" s="140">
        <f>'Energy Factors Tables'!$M$8</f>
        <v>3.2086000000000001</v>
      </c>
      <c r="D10" s="140">
        <f>'Energy Factors Tables'!$M$10</f>
        <v>2.8462000000000014</v>
      </c>
      <c r="E10" s="9"/>
      <c r="F10" s="9"/>
      <c r="G10" s="140">
        <f>'Energy Factors Tables'!$M$7</f>
        <v>5.0389419999999987</v>
      </c>
      <c r="H10" s="140">
        <f>'Energy Factors Tables'!$M$9</f>
        <v>6.5545899999999993</v>
      </c>
      <c r="I10" s="140">
        <f>'Energy Factors Tables'!$M$11</f>
        <v>4.2735489999999956</v>
      </c>
      <c r="J10" s="9"/>
      <c r="K10" s="9"/>
      <c r="L10" s="9" t="s">
        <v>212</v>
      </c>
    </row>
    <row r="11" spans="1:12" x14ac:dyDescent="0.3">
      <c r="A11" s="40" t="s">
        <v>85</v>
      </c>
      <c r="B11" s="61">
        <f>(B7*B8*B9)/(B10*1000)</f>
        <v>2219.7244050707982</v>
      </c>
      <c r="C11" s="61">
        <f>(C7*C8*C9)/(C10*1000)</f>
        <v>1859.2066633422678</v>
      </c>
      <c r="D11" s="61">
        <f>(D7*D8*D9)/(D10*1000)</f>
        <v>897.83172077600204</v>
      </c>
      <c r="E11" s="61">
        <f>C11+D11</f>
        <v>2757.0383841182697</v>
      </c>
      <c r="F11" s="61">
        <f>(B6*B11)+(E6*E11)</f>
        <v>2371.8648330749147</v>
      </c>
      <c r="G11" s="61">
        <f>(G7*G8*G9)/(G10*1000)</f>
        <v>1330.8908512469679</v>
      </c>
      <c r="H11" s="61">
        <f>(H7*H8*H9)/(H10*1000)</f>
        <v>1019.5726827192235</v>
      </c>
      <c r="I11" s="61">
        <f>(I7*I8*I9)/(I10*1000)</f>
        <v>597.95936437669502</v>
      </c>
      <c r="J11" s="61">
        <f>H11+I11</f>
        <v>1617.5320470959186</v>
      </c>
      <c r="K11" s="61">
        <f>(G6*G11)+(J6*J11)</f>
        <v>1412.053292427785</v>
      </c>
      <c r="L11" s="99">
        <f>ROUND(F11-K11,2)</f>
        <v>959.81</v>
      </c>
    </row>
    <row r="12" spans="1:12" x14ac:dyDescent="0.3">
      <c r="A12" s="6"/>
      <c r="B12" s="17"/>
      <c r="C12" s="17"/>
      <c r="D12" s="17"/>
      <c r="E12" s="17"/>
      <c r="F12" s="17"/>
      <c r="G12" s="17"/>
      <c r="H12" s="17"/>
      <c r="I12" s="17"/>
      <c r="J12" s="17"/>
      <c r="K12" s="101"/>
      <c r="L12" s="17"/>
    </row>
    <row r="13" spans="1:12" x14ac:dyDescent="0.3">
      <c r="A13" s="50" t="s">
        <v>72</v>
      </c>
      <c r="B13" s="17"/>
      <c r="C13" s="17"/>
      <c r="D13" s="17"/>
      <c r="G13" s="17"/>
      <c r="H13" s="17"/>
      <c r="I13" s="17"/>
      <c r="J13" s="17"/>
      <c r="K13" s="101"/>
      <c r="L13" s="112"/>
    </row>
    <row r="14" spans="1:12" x14ac:dyDescent="0.3">
      <c r="A14" s="50" t="s">
        <v>34</v>
      </c>
      <c r="B14" s="126" t="s">
        <v>76</v>
      </c>
      <c r="C14" s="126" t="s">
        <v>70</v>
      </c>
      <c r="D14" s="126" t="s">
        <v>278</v>
      </c>
      <c r="K14" s="17"/>
      <c r="L14" s="17"/>
    </row>
    <row r="15" spans="1:12" x14ac:dyDescent="0.3">
      <c r="A15" s="12" t="s">
        <v>73</v>
      </c>
      <c r="B15" s="14">
        <v>0</v>
      </c>
      <c r="C15" s="14">
        <v>0</v>
      </c>
      <c r="D15" s="14"/>
      <c r="K15" s="17"/>
      <c r="L15" s="17"/>
    </row>
    <row r="16" spans="1:12" x14ac:dyDescent="0.3">
      <c r="A16" s="12" t="s">
        <v>74</v>
      </c>
      <c r="B16" s="14">
        <v>0</v>
      </c>
      <c r="C16" s="14">
        <v>0</v>
      </c>
      <c r="D16" s="14"/>
      <c r="G16" s="117"/>
      <c r="H16" s="117"/>
      <c r="I16" s="117"/>
      <c r="J16" s="117"/>
      <c r="K16" s="17"/>
      <c r="L16" s="17"/>
    </row>
    <row r="17" spans="1:12" x14ac:dyDescent="0.3">
      <c r="A17" s="12" t="s">
        <v>75</v>
      </c>
      <c r="B17" s="15">
        <f>B16*B15</f>
        <v>0</v>
      </c>
      <c r="C17" s="15">
        <f>C16*C15</f>
        <v>0</v>
      </c>
      <c r="D17" s="38">
        <f>B17-C17</f>
        <v>0</v>
      </c>
      <c r="G17" s="117"/>
      <c r="H17" s="117"/>
      <c r="I17" s="117"/>
      <c r="J17" s="117"/>
      <c r="K17" s="17"/>
      <c r="L17" s="17"/>
    </row>
    <row r="39" ht="15" customHeight="1" x14ac:dyDescent="0.3"/>
    <row r="48" ht="15" customHeight="1" x14ac:dyDescent="0.3"/>
    <row r="56" ht="15" customHeight="1" x14ac:dyDescent="0.3"/>
    <row r="64" ht="15" customHeight="1" x14ac:dyDescent="0.3"/>
    <row r="82" ht="15" customHeight="1" x14ac:dyDescent="0.3"/>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3:M30"/>
  <sheetViews>
    <sheetView workbookViewId="0"/>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6" width="45.44140625" customWidth="1"/>
    <col min="7" max="7" width="20.44140625" customWidth="1"/>
    <col min="8" max="8" width="29.88671875" customWidth="1"/>
    <col min="9" max="9" width="26.6640625" bestFit="1" customWidth="1"/>
    <col min="10" max="10" width="51.88671875" customWidth="1"/>
    <col min="11" max="11" width="27.88671875" customWidth="1"/>
    <col min="12" max="12" width="11.6640625" customWidth="1"/>
    <col min="13" max="13" width="76.44140625" customWidth="1"/>
  </cols>
  <sheetData>
    <row r="3" spans="1:13" ht="15" thickBot="1" x14ac:dyDescent="0.35"/>
    <row r="4" spans="1:13" x14ac:dyDescent="0.3">
      <c r="A4" s="50" t="s">
        <v>153</v>
      </c>
      <c r="B4" s="119" t="s">
        <v>82</v>
      </c>
      <c r="C4" s="119" t="s">
        <v>9</v>
      </c>
      <c r="D4" s="119" t="s">
        <v>36</v>
      </c>
      <c r="E4" s="53" t="s">
        <v>125</v>
      </c>
      <c r="F4" s="17"/>
      <c r="G4" s="17"/>
      <c r="H4" s="17"/>
      <c r="I4" s="17"/>
      <c r="J4" s="7"/>
      <c r="K4" s="7"/>
      <c r="L4" s="7"/>
      <c r="M4" s="7"/>
    </row>
    <row r="5" spans="1:13" ht="28.8" x14ac:dyDescent="0.3">
      <c r="A5" s="86" t="s">
        <v>155</v>
      </c>
      <c r="B5" s="86" t="s">
        <v>83</v>
      </c>
      <c r="C5" s="86" t="s">
        <v>21</v>
      </c>
      <c r="D5" s="86" t="s">
        <v>88</v>
      </c>
      <c r="E5" s="86" t="s">
        <v>26</v>
      </c>
      <c r="F5" s="17"/>
      <c r="G5" s="17"/>
      <c r="H5" s="17"/>
      <c r="I5" s="17"/>
      <c r="J5" s="7"/>
      <c r="K5" s="7"/>
      <c r="L5" s="7"/>
      <c r="M5" s="7"/>
    </row>
    <row r="6" spans="1:13" ht="28.8" x14ac:dyDescent="0.3">
      <c r="A6" s="50" t="s">
        <v>34</v>
      </c>
      <c r="B6" s="119" t="s">
        <v>56</v>
      </c>
      <c r="C6" s="119" t="s">
        <v>57</v>
      </c>
      <c r="D6" s="119" t="s">
        <v>58</v>
      </c>
      <c r="E6" s="119" t="s">
        <v>59</v>
      </c>
      <c r="F6" s="119" t="s">
        <v>65</v>
      </c>
      <c r="G6" s="119" t="s">
        <v>60</v>
      </c>
      <c r="H6" s="119" t="s">
        <v>61</v>
      </c>
      <c r="I6" s="119" t="s">
        <v>62</v>
      </c>
      <c r="J6" s="119" t="s">
        <v>63</v>
      </c>
      <c r="K6" s="119" t="s">
        <v>64</v>
      </c>
      <c r="L6" s="119" t="s">
        <v>53</v>
      </c>
      <c r="M6" s="119" t="s">
        <v>81</v>
      </c>
    </row>
    <row r="7" spans="1:13" x14ac:dyDescent="0.3">
      <c r="A7" s="11" t="s">
        <v>54</v>
      </c>
      <c r="B7" s="10">
        <f>$H$27</f>
        <v>0.71685004683141718</v>
      </c>
      <c r="C7" s="10"/>
      <c r="D7" s="10"/>
      <c r="E7" s="10">
        <f>H26</f>
        <v>0.28314995316858282</v>
      </c>
      <c r="F7" s="9"/>
      <c r="G7" s="10">
        <f>B7</f>
        <v>0.71685004683141718</v>
      </c>
      <c r="H7" s="10"/>
      <c r="I7" s="10"/>
      <c r="J7" s="10">
        <f>E7</f>
        <v>0.28314995316858282</v>
      </c>
      <c r="K7" s="9"/>
      <c r="L7" s="9"/>
      <c r="M7" s="289" t="s">
        <v>210</v>
      </c>
    </row>
    <row r="8" spans="1:13" x14ac:dyDescent="0.3">
      <c r="A8" s="11" t="s">
        <v>47</v>
      </c>
      <c r="B8" s="9">
        <v>15700</v>
      </c>
      <c r="C8" s="9">
        <v>15700</v>
      </c>
      <c r="D8" s="9">
        <v>15700</v>
      </c>
      <c r="E8" s="9"/>
      <c r="F8" s="9"/>
      <c r="G8" s="9">
        <f>B8</f>
        <v>15700</v>
      </c>
      <c r="H8" s="9">
        <f>G8</f>
        <v>15700</v>
      </c>
      <c r="I8" s="9">
        <f>H8</f>
        <v>15700</v>
      </c>
      <c r="J8" s="9"/>
      <c r="K8" s="9"/>
      <c r="L8" s="9"/>
      <c r="M8" s="290"/>
    </row>
    <row r="9" spans="1:13" x14ac:dyDescent="0.3">
      <c r="A9" s="11" t="s">
        <v>48</v>
      </c>
      <c r="B9" s="120">
        <f>H28</f>
        <v>1.0452786506873917</v>
      </c>
      <c r="C9" s="120">
        <f>H29</f>
        <v>1.0411950807825834</v>
      </c>
      <c r="D9" s="120">
        <f>H30</f>
        <v>0.44593118291120465</v>
      </c>
      <c r="E9" s="9"/>
      <c r="F9" s="9"/>
      <c r="G9" s="120">
        <f>B9</f>
        <v>1.0452786506873917</v>
      </c>
      <c r="H9" s="120">
        <f t="shared" ref="H9:I9" si="0">C9</f>
        <v>1.0411950807825834</v>
      </c>
      <c r="I9" s="120">
        <f t="shared" si="0"/>
        <v>0.44593118291120465</v>
      </c>
      <c r="J9" s="9"/>
      <c r="K9" s="9"/>
      <c r="L9" s="9"/>
      <c r="M9" s="290"/>
    </row>
    <row r="10" spans="1:13" x14ac:dyDescent="0.3">
      <c r="A10" s="11" t="s">
        <v>49</v>
      </c>
      <c r="B10" s="9">
        <v>365</v>
      </c>
      <c r="C10" s="9">
        <v>365</v>
      </c>
      <c r="D10" s="9">
        <v>365</v>
      </c>
      <c r="E10" s="9"/>
      <c r="F10" s="9"/>
      <c r="G10" s="9">
        <v>365</v>
      </c>
      <c r="H10" s="9">
        <v>365</v>
      </c>
      <c r="I10" s="9">
        <v>365</v>
      </c>
      <c r="J10" s="9"/>
      <c r="K10" s="9"/>
      <c r="L10" s="9"/>
      <c r="M10" s="290"/>
    </row>
    <row r="11" spans="1:13" x14ac:dyDescent="0.3">
      <c r="A11" s="11" t="s">
        <v>50</v>
      </c>
      <c r="B11" s="9">
        <v>3.2881259600000003</v>
      </c>
      <c r="C11" s="9">
        <v>3.2881259600000003</v>
      </c>
      <c r="D11" s="9">
        <v>2.0345419999999983</v>
      </c>
      <c r="E11" s="9"/>
      <c r="F11" s="9"/>
      <c r="G11" s="9">
        <v>5.7127023500000025</v>
      </c>
      <c r="H11" s="9">
        <v>5.7127023500000025</v>
      </c>
      <c r="I11" s="9">
        <v>2.0576589999999975</v>
      </c>
      <c r="J11" s="9"/>
      <c r="K11" s="9"/>
      <c r="L11" s="9"/>
      <c r="M11" s="290"/>
    </row>
    <row r="12" spans="1:13" x14ac:dyDescent="0.3">
      <c r="A12" s="12" t="s">
        <v>66</v>
      </c>
      <c r="B12" s="61">
        <f>(B8*B9*B10)/(B11*1000)</f>
        <v>1821.6970337000403</v>
      </c>
      <c r="C12" s="61">
        <f>ROUND((C8*C9*C10)/(C11*1000),2)</f>
        <v>1814.58</v>
      </c>
      <c r="D12" s="61">
        <f>ROUND((D8*D9*D10)/(D11*1000),2)</f>
        <v>1256.01</v>
      </c>
      <c r="E12" s="61">
        <f>C12+D12</f>
        <v>3070.59</v>
      </c>
      <c r="F12" s="61">
        <f>(B7*B12)+(E7*E12)</f>
        <v>2175.3210186204465</v>
      </c>
      <c r="G12" s="61">
        <f>(G8*G9*G10)/(G11*1000)</f>
        <v>1048.5351661572383</v>
      </c>
      <c r="H12" s="61">
        <f>(H8*H9*H10)/(H11*1000)</f>
        <v>1044.4388740863756</v>
      </c>
      <c r="I12" s="61">
        <f>(I8*I9*I10)/(I11*1000)</f>
        <v>1241.9009387234044</v>
      </c>
      <c r="J12" s="61">
        <f>H12+I12</f>
        <v>2286.3398128097797</v>
      </c>
      <c r="K12" s="61">
        <f>(G7*G12)+(J7*J12)</f>
        <v>1399.0194938887596</v>
      </c>
      <c r="L12" s="62">
        <f>ROUND(F12-K12,2)</f>
        <v>776.3</v>
      </c>
      <c r="M12" s="291"/>
    </row>
    <row r="13" spans="1:13" x14ac:dyDescent="0.3">
      <c r="A13" s="6"/>
      <c r="B13" s="17"/>
      <c r="C13" s="17"/>
      <c r="D13" s="17"/>
      <c r="E13" s="17"/>
      <c r="F13" s="17"/>
      <c r="G13" s="17"/>
      <c r="H13" s="17"/>
      <c r="I13" s="17"/>
      <c r="J13" s="7"/>
      <c r="K13" s="7"/>
      <c r="L13" s="7"/>
      <c r="M13" s="7"/>
    </row>
    <row r="14" spans="1:13" x14ac:dyDescent="0.3">
      <c r="A14" s="119" t="s">
        <v>72</v>
      </c>
      <c r="B14" s="17"/>
      <c r="C14" s="17"/>
      <c r="D14" s="17"/>
      <c r="E14" s="17"/>
      <c r="F14" s="17"/>
      <c r="G14" s="17"/>
      <c r="H14" s="17"/>
      <c r="I14" s="17"/>
      <c r="J14" s="7"/>
      <c r="K14" s="7"/>
      <c r="L14" s="7"/>
      <c r="M14" s="7"/>
    </row>
    <row r="15" spans="1:13" x14ac:dyDescent="0.3">
      <c r="A15" s="119" t="s">
        <v>34</v>
      </c>
      <c r="B15" s="119" t="s">
        <v>76</v>
      </c>
      <c r="C15" s="119" t="s">
        <v>70</v>
      </c>
      <c r="D15" s="119" t="s">
        <v>77</v>
      </c>
      <c r="E15" s="119" t="s">
        <v>81</v>
      </c>
      <c r="F15" s="17"/>
      <c r="G15" s="17"/>
      <c r="H15" s="17"/>
      <c r="I15" s="17"/>
      <c r="J15" s="7"/>
      <c r="K15" s="7"/>
      <c r="L15" s="7"/>
      <c r="M15" s="7"/>
    </row>
    <row r="16" spans="1:13" x14ac:dyDescent="0.3">
      <c r="A16" s="12" t="s">
        <v>73</v>
      </c>
      <c r="B16" s="14">
        <f>'Peak Demand Calculations'!$B$3</f>
        <v>0.376</v>
      </c>
      <c r="C16" s="14">
        <f>'Peak Demand Calculations'!$B$4</f>
        <v>0.41499999999999998</v>
      </c>
      <c r="D16" s="14"/>
      <c r="E16" s="289" t="s">
        <v>163</v>
      </c>
      <c r="F16" s="17"/>
      <c r="G16" s="17"/>
      <c r="H16" s="17"/>
      <c r="I16" s="17"/>
      <c r="J16" s="7"/>
      <c r="K16" s="7"/>
      <c r="L16" s="7"/>
      <c r="M16" s="7"/>
    </row>
    <row r="17" spans="1:13" x14ac:dyDescent="0.3">
      <c r="A17" s="12" t="s">
        <v>74</v>
      </c>
      <c r="B17" s="14">
        <f>'Peak Demand Calculations'!$D$3</f>
        <v>0.52200000000000002</v>
      </c>
      <c r="C17" s="14">
        <f>'Peak Demand Calculations'!$D$4</f>
        <v>0.39</v>
      </c>
      <c r="D17" s="19"/>
      <c r="E17" s="290"/>
      <c r="F17" s="17"/>
      <c r="G17" s="17"/>
      <c r="H17" s="17"/>
      <c r="I17" s="17"/>
      <c r="J17" s="7"/>
      <c r="K17" s="7"/>
      <c r="L17" s="7"/>
      <c r="M17" s="7"/>
    </row>
    <row r="18" spans="1:13" x14ac:dyDescent="0.3">
      <c r="A18" s="12" t="s">
        <v>75</v>
      </c>
      <c r="B18" s="15">
        <f>B17*B16</f>
        <v>0.196272</v>
      </c>
      <c r="C18" s="15">
        <f>C17*C16</f>
        <v>0.16184999999999999</v>
      </c>
      <c r="D18" s="38">
        <f>ROUND(B18-C18,5)</f>
        <v>3.4419999999999999E-2</v>
      </c>
      <c r="E18" s="291"/>
      <c r="F18" s="17"/>
      <c r="G18" s="17"/>
      <c r="H18" s="17"/>
      <c r="I18" s="17"/>
      <c r="J18" s="7"/>
      <c r="K18" s="7"/>
      <c r="L18" s="7"/>
      <c r="M18" s="7"/>
    </row>
    <row r="24" spans="1:13" x14ac:dyDescent="0.3">
      <c r="G24" s="121" t="s">
        <v>216</v>
      </c>
      <c r="H24" s="122">
        <v>9715700</v>
      </c>
    </row>
    <row r="25" spans="1:13" x14ac:dyDescent="0.3">
      <c r="G25" s="121" t="s">
        <v>217</v>
      </c>
      <c r="H25" s="122">
        <v>2892000</v>
      </c>
    </row>
    <row r="26" spans="1:13" x14ac:dyDescent="0.3">
      <c r="G26" s="121" t="s">
        <v>218</v>
      </c>
      <c r="H26" s="123">
        <v>0.28314995316858282</v>
      </c>
    </row>
    <row r="27" spans="1:13" x14ac:dyDescent="0.3">
      <c r="G27" s="121" t="s">
        <v>219</v>
      </c>
      <c r="H27" s="123">
        <v>0.71685004683141718</v>
      </c>
    </row>
    <row r="28" spans="1:13" x14ac:dyDescent="0.3">
      <c r="G28" s="121" t="s">
        <v>220</v>
      </c>
      <c r="H28" s="124">
        <v>1.0452786506873917</v>
      </c>
    </row>
    <row r="29" spans="1:13" x14ac:dyDescent="0.3">
      <c r="G29" s="121" t="s">
        <v>221</v>
      </c>
      <c r="H29" s="124">
        <v>1.0411950807825834</v>
      </c>
    </row>
    <row r="30" spans="1:13" x14ac:dyDescent="0.3">
      <c r="G30" s="121" t="s">
        <v>222</v>
      </c>
      <c r="H30" s="124">
        <v>0.44593118291120465</v>
      </c>
    </row>
  </sheetData>
  <mergeCells count="2">
    <mergeCell ref="M7:M12"/>
    <mergeCell ref="E16:E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Measure Sav. Summary</vt:lpstr>
      <vt:lpstr>Summary Table</vt:lpstr>
      <vt:lpstr>WP Tables</vt:lpstr>
      <vt:lpstr>Energy Factors Tables</vt:lpstr>
      <vt:lpstr>Factors by Measure</vt:lpstr>
      <vt:lpstr>Msr A</vt:lpstr>
      <vt:lpstr>Msr A -New</vt:lpstr>
      <vt:lpstr>Msr B -New</vt:lpstr>
      <vt:lpstr>Msr B -Ex</vt:lpstr>
      <vt:lpstr>Msr B</vt:lpstr>
      <vt:lpstr>Msr C -New</vt:lpstr>
      <vt:lpstr>Msr C</vt:lpstr>
      <vt:lpstr>Msr D-New</vt:lpstr>
      <vt:lpstr>Msr F &amp; G-New</vt:lpstr>
      <vt:lpstr>Msr D</vt:lpstr>
      <vt:lpstr>Msr F &amp; G</vt:lpstr>
      <vt:lpstr>Peak Demand Calculations</vt:lpstr>
      <vt:lpstr>Peak Demand-New</vt:lpstr>
      <vt:lpstr>Meas. A &amp; C, CZ Adjustments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Casco, Lake</dc:creator>
  <cp:lastModifiedBy>Andres Fergadiotti</cp:lastModifiedBy>
  <dcterms:created xsi:type="dcterms:W3CDTF">2017-04-07T22:40:03Z</dcterms:created>
  <dcterms:modified xsi:type="dcterms:W3CDTF">2018-07-10T22:36:46Z</dcterms:modified>
</cp:coreProperties>
</file>