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4232"/>
  </bookViews>
  <sheets>
    <sheet name="Material Costs" sheetId="4" r:id="rId1"/>
    <sheet name="Labor and Ancillary Costs" sheetId="6" r:id="rId2"/>
    <sheet name="LED Quote" sheetId="5" r:id="rId3"/>
    <sheet name="Cost Summary" sheetId="7" r:id="rId4"/>
  </sheets>
  <definedNames>
    <definedName name="_xlnm._FilterDatabase" localSheetId="3" hidden="1">'Cost Summary'!$A$2:$L$16</definedName>
    <definedName name="_xlnm._FilterDatabase" localSheetId="0" hidden="1">'Material Costs'!$A$2:$O$68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6" l="1"/>
  <c r="C14" i="6" s="1"/>
  <c r="B16" i="6" s="1"/>
  <c r="C6" i="6"/>
  <c r="B81" i="4"/>
  <c r="C81" i="4" s="1"/>
  <c r="J38" i="4" s="1"/>
  <c r="C10" i="7" s="1"/>
  <c r="D80" i="4"/>
  <c r="G79" i="4"/>
  <c r="H79" i="4" s="1"/>
  <c r="J68" i="4" s="1"/>
  <c r="C16" i="7" s="1"/>
  <c r="B79" i="4"/>
  <c r="B80" i="4" s="1"/>
  <c r="C80" i="4" s="1"/>
  <c r="J34" i="4" s="1"/>
  <c r="G78" i="4"/>
  <c r="H78" i="4" s="1"/>
  <c r="J63" i="4" s="1"/>
  <c r="C15" i="7" s="1"/>
  <c r="D78" i="4"/>
  <c r="J77" i="4"/>
  <c r="B77" i="4"/>
  <c r="B78" i="4" s="1"/>
  <c r="C78" i="4" s="1"/>
  <c r="J25" i="4" s="1"/>
  <c r="C7" i="7" s="1"/>
  <c r="G76" i="4"/>
  <c r="H76" i="4" s="1"/>
  <c r="J53" i="4" s="1"/>
  <c r="C13" i="7" s="1"/>
  <c r="B76" i="4"/>
  <c r="C76" i="4" s="1"/>
  <c r="J15" i="4" s="1"/>
  <c r="C5" i="7" s="1"/>
  <c r="G75" i="4"/>
  <c r="H75" i="4" s="1"/>
  <c r="J48" i="4" s="1"/>
  <c r="C12" i="7" s="1"/>
  <c r="D75" i="4"/>
  <c r="B75" i="4"/>
  <c r="B74" i="4" s="1"/>
  <c r="C74" i="4" s="1"/>
  <c r="J5" i="4" s="1"/>
  <c r="C3" i="7" s="1"/>
  <c r="H74" i="4"/>
  <c r="J43" i="4" s="1"/>
  <c r="C11" i="7" s="1"/>
  <c r="G74" i="4"/>
  <c r="O68" i="4"/>
  <c r="C68" i="4"/>
  <c r="B68" i="4"/>
  <c r="A68" i="4"/>
  <c r="G67" i="4"/>
  <c r="F67" i="4"/>
  <c r="C67" i="4"/>
  <c r="B67" i="4"/>
  <c r="G66" i="4"/>
  <c r="F66" i="4"/>
  <c r="C66" i="4"/>
  <c r="B66" i="4"/>
  <c r="H65" i="4"/>
  <c r="F65" i="4"/>
  <c r="E65" i="4"/>
  <c r="C65" i="4"/>
  <c r="B65" i="4"/>
  <c r="G64" i="4"/>
  <c r="F64" i="4"/>
  <c r="F68" i="4" s="1"/>
  <c r="E64" i="4"/>
  <c r="O63" i="4"/>
  <c r="C63" i="4"/>
  <c r="B63" i="4"/>
  <c r="A63" i="4"/>
  <c r="H62" i="4"/>
  <c r="G62" i="4"/>
  <c r="F62" i="4"/>
  <c r="E62" i="4"/>
  <c r="C62" i="4"/>
  <c r="B62" i="4"/>
  <c r="H61" i="4"/>
  <c r="G61" i="4"/>
  <c r="F61" i="4"/>
  <c r="F63" i="4" s="1"/>
  <c r="E61" i="4"/>
  <c r="C61" i="4"/>
  <c r="B61" i="4"/>
  <c r="H60" i="4"/>
  <c r="G60" i="4"/>
  <c r="G63" i="4" s="1"/>
  <c r="F60" i="4"/>
  <c r="E60" i="4"/>
  <c r="C60" i="4"/>
  <c r="B60" i="4"/>
  <c r="E59" i="4"/>
  <c r="O58" i="4"/>
  <c r="C58" i="4"/>
  <c r="B58" i="4"/>
  <c r="A58" i="4"/>
  <c r="H57" i="4"/>
  <c r="G57" i="4"/>
  <c r="F57" i="4"/>
  <c r="E57" i="4"/>
  <c r="C57" i="4"/>
  <c r="B57" i="4"/>
  <c r="H56" i="4"/>
  <c r="G56" i="4"/>
  <c r="F56" i="4"/>
  <c r="F58" i="4" s="1"/>
  <c r="E56" i="4"/>
  <c r="C56" i="4"/>
  <c r="B56" i="4"/>
  <c r="H55" i="4"/>
  <c r="F55" i="4"/>
  <c r="E55" i="4"/>
  <c r="C55" i="4"/>
  <c r="B55" i="4"/>
  <c r="E54" i="4"/>
  <c r="O53" i="4"/>
  <c r="C53" i="4"/>
  <c r="B53" i="4"/>
  <c r="A53" i="4"/>
  <c r="H52" i="4"/>
  <c r="G52" i="4"/>
  <c r="F52" i="4"/>
  <c r="E52" i="4"/>
  <c r="C52" i="4"/>
  <c r="B52" i="4"/>
  <c r="H51" i="4"/>
  <c r="G51" i="4"/>
  <c r="F51" i="4"/>
  <c r="F53" i="4" s="1"/>
  <c r="E51" i="4"/>
  <c r="C51" i="4"/>
  <c r="B51" i="4"/>
  <c r="H50" i="4"/>
  <c r="F50" i="4"/>
  <c r="E50" i="4"/>
  <c r="C50" i="4"/>
  <c r="B50" i="4"/>
  <c r="E49" i="4"/>
  <c r="O48" i="4"/>
  <c r="C48" i="4"/>
  <c r="B48" i="4"/>
  <c r="A48" i="4"/>
  <c r="H47" i="4"/>
  <c r="G47" i="4"/>
  <c r="F47" i="4"/>
  <c r="E47" i="4"/>
  <c r="C47" i="4"/>
  <c r="B47" i="4"/>
  <c r="H46" i="4"/>
  <c r="F46" i="4"/>
  <c r="F48" i="4" s="1"/>
  <c r="E46" i="4"/>
  <c r="C46" i="4"/>
  <c r="B46" i="4"/>
  <c r="H45" i="4"/>
  <c r="G45" i="4"/>
  <c r="F45" i="4"/>
  <c r="E45" i="4"/>
  <c r="C45" i="4"/>
  <c r="B45" i="4"/>
  <c r="E44" i="4"/>
  <c r="O43" i="4"/>
  <c r="C43" i="4"/>
  <c r="B43" i="4"/>
  <c r="A43" i="4"/>
  <c r="H42" i="4"/>
  <c r="F42" i="4"/>
  <c r="E42" i="4"/>
  <c r="C42" i="4"/>
  <c r="B42" i="4"/>
  <c r="H41" i="4"/>
  <c r="F41" i="4"/>
  <c r="F43" i="4" s="1"/>
  <c r="E41" i="4"/>
  <c r="C41" i="4"/>
  <c r="B41" i="4"/>
  <c r="H40" i="4"/>
  <c r="G40" i="4"/>
  <c r="F40" i="4"/>
  <c r="E40" i="4"/>
  <c r="C40" i="4"/>
  <c r="B40" i="4"/>
  <c r="E39" i="4"/>
  <c r="F38" i="4"/>
  <c r="C38" i="4"/>
  <c r="B38" i="4"/>
  <c r="A38" i="4"/>
  <c r="G37" i="4"/>
  <c r="G38" i="4" s="1"/>
  <c r="C37" i="4"/>
  <c r="B37" i="4"/>
  <c r="C36" i="4"/>
  <c r="B36" i="4"/>
  <c r="G34" i="4"/>
  <c r="F9" i="7" s="1"/>
  <c r="F34" i="4"/>
  <c r="C34" i="4"/>
  <c r="B34" i="4"/>
  <c r="A34" i="4"/>
  <c r="C33" i="4"/>
  <c r="B33" i="4"/>
  <c r="C32" i="4"/>
  <c r="B32" i="4"/>
  <c r="F30" i="4"/>
  <c r="C30" i="4"/>
  <c r="B30" i="4"/>
  <c r="A30" i="4"/>
  <c r="C29" i="4"/>
  <c r="B29" i="4"/>
  <c r="C28" i="4"/>
  <c r="B28" i="4"/>
  <c r="G27" i="4"/>
  <c r="G30" i="4" s="1"/>
  <c r="C27" i="4"/>
  <c r="B27" i="4"/>
  <c r="F25" i="4"/>
  <c r="C25" i="4"/>
  <c r="B25" i="4"/>
  <c r="A25" i="4"/>
  <c r="G24" i="4"/>
  <c r="C24" i="4"/>
  <c r="B24" i="4"/>
  <c r="C23" i="4"/>
  <c r="B23" i="4"/>
  <c r="G22" i="4"/>
  <c r="G25" i="4" s="1"/>
  <c r="C22" i="4"/>
  <c r="B22" i="4"/>
  <c r="F20" i="4"/>
  <c r="C20" i="4"/>
  <c r="B20" i="4"/>
  <c r="A20" i="4"/>
  <c r="G19" i="4"/>
  <c r="C19" i="4"/>
  <c r="B19" i="4"/>
  <c r="G18" i="4"/>
  <c r="C18" i="4"/>
  <c r="B18" i="4"/>
  <c r="G17" i="4"/>
  <c r="G20" i="4" s="1"/>
  <c r="C17" i="4"/>
  <c r="B17" i="4"/>
  <c r="F15" i="4"/>
  <c r="C15" i="4"/>
  <c r="B15" i="4"/>
  <c r="A15" i="4"/>
  <c r="G14" i="4"/>
  <c r="C14" i="4"/>
  <c r="B14" i="4"/>
  <c r="G13" i="4"/>
  <c r="G46" i="4" s="1"/>
  <c r="C13" i="4"/>
  <c r="B13" i="4"/>
  <c r="G12" i="4"/>
  <c r="C12" i="4"/>
  <c r="B12" i="4"/>
  <c r="F10" i="4"/>
  <c r="C10" i="4"/>
  <c r="B10" i="4"/>
  <c r="A10" i="4"/>
  <c r="G9" i="4"/>
  <c r="G42" i="4" s="1"/>
  <c r="C9" i="4"/>
  <c r="B9" i="4"/>
  <c r="G8" i="4"/>
  <c r="G41" i="4" s="1"/>
  <c r="C8" i="4"/>
  <c r="B8" i="4"/>
  <c r="G7" i="4"/>
  <c r="C7" i="4"/>
  <c r="B7" i="4"/>
  <c r="G5" i="4"/>
  <c r="F3" i="7" s="1"/>
  <c r="F5" i="4"/>
  <c r="C5" i="4"/>
  <c r="B5" i="4"/>
  <c r="A5" i="4"/>
  <c r="G4" i="4"/>
  <c r="C4" i="4"/>
  <c r="B4" i="4"/>
  <c r="F10" i="7" l="1"/>
  <c r="L38" i="4"/>
  <c r="N38" i="4" s="1"/>
  <c r="F6" i="7"/>
  <c r="F15" i="7"/>
  <c r="L63" i="4"/>
  <c r="N63" i="4" s="1"/>
  <c r="F7" i="7"/>
  <c r="L25" i="4"/>
  <c r="N25" i="4" s="1"/>
  <c r="F8" i="7"/>
  <c r="L30" i="4"/>
  <c r="N30" i="4" s="1"/>
  <c r="G43" i="4"/>
  <c r="C9" i="7"/>
  <c r="L34" i="4"/>
  <c r="N34" i="4" s="1"/>
  <c r="G48" i="4"/>
  <c r="G10" i="7"/>
  <c r="H10" i="7" s="1"/>
  <c r="G9" i="7"/>
  <c r="H9" i="7" s="1"/>
  <c r="G8" i="7"/>
  <c r="H8" i="7" s="1"/>
  <c r="G7" i="7"/>
  <c r="H7" i="7" s="1"/>
  <c r="G6" i="7"/>
  <c r="H6" i="7" s="1"/>
  <c r="G5" i="7"/>
  <c r="G4" i="7"/>
  <c r="G3" i="7"/>
  <c r="H3" i="7" s="1"/>
  <c r="D16" i="7"/>
  <c r="E16" i="7" s="1"/>
  <c r="D15" i="7"/>
  <c r="E15" i="7" s="1"/>
  <c r="D14" i="7"/>
  <c r="D13" i="7"/>
  <c r="E13" i="7" s="1"/>
  <c r="D12" i="7"/>
  <c r="E12" i="7" s="1"/>
  <c r="D11" i="7"/>
  <c r="E11" i="7" s="1"/>
  <c r="D10" i="7"/>
  <c r="E10" i="7" s="1"/>
  <c r="D9" i="7"/>
  <c r="E9" i="7" s="1"/>
  <c r="D8" i="7"/>
  <c r="D7" i="7"/>
  <c r="E7" i="7" s="1"/>
  <c r="D6" i="7"/>
  <c r="D5" i="7"/>
  <c r="E5" i="7" s="1"/>
  <c r="D4" i="7"/>
  <c r="D3" i="7"/>
  <c r="E3" i="7" s="1"/>
  <c r="G16" i="7"/>
  <c r="G15" i="7"/>
  <c r="H15" i="7" s="1"/>
  <c r="I15" i="7" s="1"/>
  <c r="J15" i="7" s="1"/>
  <c r="G14" i="7"/>
  <c r="G13" i="7"/>
  <c r="G12" i="7"/>
  <c r="G11" i="7"/>
  <c r="G50" i="4"/>
  <c r="G53" i="4" s="1"/>
  <c r="G55" i="4"/>
  <c r="G58" i="4" s="1"/>
  <c r="G77" i="4"/>
  <c r="H77" i="4" s="1"/>
  <c r="J58" i="4" s="1"/>
  <c r="C14" i="7" s="1"/>
  <c r="G10" i="4"/>
  <c r="C79" i="4"/>
  <c r="J30" i="4" s="1"/>
  <c r="C8" i="7" s="1"/>
  <c r="G15" i="4"/>
  <c r="G65" i="4"/>
  <c r="G68" i="4" s="1"/>
  <c r="C75" i="4"/>
  <c r="J10" i="4" s="1"/>
  <c r="C4" i="7" s="1"/>
  <c r="L5" i="4"/>
  <c r="N5" i="4" s="1"/>
  <c r="C77" i="4"/>
  <c r="J20" i="4" s="1"/>
  <c r="C6" i="7" s="1"/>
  <c r="F5" i="7" l="1"/>
  <c r="H5" i="7" s="1"/>
  <c r="I5" i="7" s="1"/>
  <c r="J5" i="7" s="1"/>
  <c r="L15" i="4"/>
  <c r="N15" i="4" s="1"/>
  <c r="F14" i="7"/>
  <c r="L58" i="4"/>
  <c r="N58" i="4" s="1"/>
  <c r="I9" i="7"/>
  <c r="J9" i="7" s="1"/>
  <c r="L20" i="4"/>
  <c r="N20" i="4" s="1"/>
  <c r="F13" i="7"/>
  <c r="H13" i="7" s="1"/>
  <c r="I13" i="7" s="1"/>
  <c r="J13" i="7" s="1"/>
  <c r="L53" i="4"/>
  <c r="N53" i="4" s="1"/>
  <c r="H14" i="7"/>
  <c r="I14" i="7" s="1"/>
  <c r="J14" i="7" s="1"/>
  <c r="E4" i="7"/>
  <c r="E8" i="7"/>
  <c r="I10" i="7"/>
  <c r="J10" i="7" s="1"/>
  <c r="F11" i="7"/>
  <c r="L43" i="4"/>
  <c r="N43" i="4" s="1"/>
  <c r="F4" i="7"/>
  <c r="L10" i="4"/>
  <c r="N10" i="4" s="1"/>
  <c r="H11" i="7"/>
  <c r="I11" i="7" s="1"/>
  <c r="J11" i="7" s="1"/>
  <c r="I3" i="7"/>
  <c r="J3" i="7" s="1"/>
  <c r="I7" i="7"/>
  <c r="J7" i="7" s="1"/>
  <c r="F12" i="7"/>
  <c r="L48" i="4"/>
  <c r="N48" i="4" s="1"/>
  <c r="F16" i="7"/>
  <c r="L68" i="4"/>
  <c r="N68" i="4" s="1"/>
  <c r="H12" i="7"/>
  <c r="I12" i="7" s="1"/>
  <c r="J12" i="7" s="1"/>
  <c r="H16" i="7"/>
  <c r="I16" i="7" s="1"/>
  <c r="J16" i="7" s="1"/>
  <c r="E6" i="7"/>
  <c r="I6" i="7" s="1"/>
  <c r="J6" i="7" s="1"/>
  <c r="E14" i="7"/>
  <c r="H4" i="7"/>
  <c r="I8" i="7"/>
  <c r="J8" i="7" s="1"/>
  <c r="I4" i="7" l="1"/>
  <c r="J4" i="7" s="1"/>
</calcChain>
</file>

<file path=xl/sharedStrings.xml><?xml version="1.0" encoding="utf-8"?>
<sst xmlns="http://schemas.openxmlformats.org/spreadsheetml/2006/main" count="497" uniqueCount="242">
  <si>
    <t>Solution Code</t>
  </si>
  <si>
    <t>Wattage Range</t>
  </si>
  <si>
    <t>LED model</t>
  </si>
  <si>
    <t>Wattage</t>
  </si>
  <si>
    <t>Source</t>
  </si>
  <si>
    <t>Brand</t>
  </si>
  <si>
    <t>Leotek</t>
  </si>
  <si>
    <t>Cree</t>
  </si>
  <si>
    <t>Cooper</t>
  </si>
  <si>
    <t>Acuity</t>
  </si>
  <si>
    <t>Average</t>
  </si>
  <si>
    <t>LT-80500</t>
  </si>
  <si>
    <t>LT-78130</t>
  </si>
  <si>
    <t>44W-54W</t>
  </si>
  <si>
    <t>91W-130W</t>
  </si>
  <si>
    <t xml:space="preserve">Replacing: </t>
  </si>
  <si>
    <t>100W HPS</t>
  </si>
  <si>
    <t>200W HPS</t>
  </si>
  <si>
    <t>BXSP-B-HT-xME-A-40K-UL-xx-N-Q4</t>
  </si>
  <si>
    <t>BXSP-B-HT-xME-A-40K-UL-xx-N-Q8</t>
  </si>
  <si>
    <t>NVN-AF-01-x-x-xx-x @600MA</t>
  </si>
  <si>
    <t>NVN-AF-01-x-x-xx-x @800MA</t>
  </si>
  <si>
    <t>ATB0-20BLEDE53-Mvolt-Rx</t>
  </si>
  <si>
    <t>70W HPS</t>
  </si>
  <si>
    <t>29W-43W</t>
  </si>
  <si>
    <t>LT-73136</t>
  </si>
  <si>
    <t>ATB0-20BLEDE70-Mvolt-Rx</t>
  </si>
  <si>
    <t>ATB0-30BLEDE10-Mvolt-Rx</t>
  </si>
  <si>
    <t>GCJ1-20G-MV-NW-x-GY-580-WL-PCR7-WL</t>
  </si>
  <si>
    <t>GC1-60F-MV-NW-x-GY-530-WL-PCR7-WL</t>
  </si>
  <si>
    <t>IMC</t>
  </si>
  <si>
    <t>Previous IMC</t>
  </si>
  <si>
    <t>eGordian: 26 56 19 00-0087</t>
  </si>
  <si>
    <t>eGordian: 26 56 19 00-0106</t>
  </si>
  <si>
    <t>eGordian: 26 56 19 00-0162</t>
  </si>
  <si>
    <t>eGordian: 26 56 19 00-0089</t>
  </si>
  <si>
    <t>eGordian: 26 56 19 00-0107 </t>
  </si>
  <si>
    <t>eGordian: 26 56 19 00-0163</t>
  </si>
  <si>
    <t>50W HPS</t>
  </si>
  <si>
    <t>150W HPS</t>
  </si>
  <si>
    <t>LT-27419</t>
  </si>
  <si>
    <t>LT-24820</t>
  </si>
  <si>
    <t>250W HPS</t>
  </si>
  <si>
    <t>310W HPS</t>
  </si>
  <si>
    <t>400W HPS</t>
  </si>
  <si>
    <t>LT-35164</t>
  </si>
  <si>
    <t>LT-61338</t>
  </si>
  <si>
    <t>LT-81983</t>
  </si>
  <si>
    <t>LT-18053</t>
  </si>
  <si>
    <t>LT-39353</t>
  </si>
  <si>
    <t>LT-59292</t>
  </si>
  <si>
    <t>LT-35035</t>
  </si>
  <si>
    <t>LT-46736</t>
  </si>
  <si>
    <t>55W-90W</t>
  </si>
  <si>
    <t>131W-190W</t>
  </si>
  <si>
    <t>191W-222W</t>
  </si>
  <si>
    <t>223W-260W</t>
  </si>
  <si>
    <t>LT-94198</t>
  </si>
  <si>
    <t>70W PSMH</t>
  </si>
  <si>
    <t>100W PSMH</t>
  </si>
  <si>
    <t>150W PSMH</t>
  </si>
  <si>
    <t>175W PSMH</t>
  </si>
  <si>
    <t>250W PSMH</t>
  </si>
  <si>
    <t>400W PSMH</t>
  </si>
  <si>
    <t>Up to 28W</t>
  </si>
  <si>
    <t>x</t>
  </si>
  <si>
    <t>BXSP-B-HT-xME-A-40K-UL-xx-N-Q3</t>
  </si>
  <si>
    <t>GCJ1-20G-MV-NW-x-GY-350-WL-PCR7-WL</t>
  </si>
  <si>
    <t>GCM2-40F-MV-NW-x-GY-700-WL-PCR7-WL</t>
  </si>
  <si>
    <t>GC2-120F-MV-NW-x-GY-700-WL-PCR7-WL</t>
  </si>
  <si>
    <t>BXSP-C-HT-xME-E-40K-UL-xx-N-Q6</t>
  </si>
  <si>
    <t>NVN-AE-02-E-U-xx-10K-AP @800MA</t>
  </si>
  <si>
    <t>NVN-AE-03-E-U-xx-10K-AP @1A</t>
  </si>
  <si>
    <t>ATB0-20BLEDE13-Mvolt-Rx</t>
  </si>
  <si>
    <t>ATB0-30BLEDE15-Mvolt-Rx</t>
  </si>
  <si>
    <t>ATB2-80BLEDE85-Mvolt-Rx</t>
  </si>
  <si>
    <t>Baseline Material Costs</t>
  </si>
  <si>
    <t>Percent Difference</t>
  </si>
  <si>
    <t>Multiple</t>
  </si>
  <si>
    <t>Price</t>
  </si>
  <si>
    <t>Watts</t>
  </si>
  <si>
    <t>eGordian: 26 56 19 00-0003</t>
  </si>
  <si>
    <t>eGordian: 26 56 19 00-0010</t>
  </si>
  <si>
    <t>eGordian: 26 56 19 00-0008</t>
  </si>
  <si>
    <t>GC2-80F-MV-NW-x-GY-700-WL-PCR7-WL</t>
  </si>
  <si>
    <t>BXSP-C-HT-xME-F-40K-UL-xx-N-Q9</t>
  </si>
  <si>
    <t>GCJ2-20G-MV-NW-x-GY-700-WL-PCR7-WL</t>
  </si>
  <si>
    <t>Maybe GC2-12F-350</t>
  </si>
  <si>
    <t>BXSP-C-HT-xMEfE-40K-UL-xx-N-Q7</t>
  </si>
  <si>
    <t>NVN-AE-03-E-U-xx-10K-AP @800MA</t>
  </si>
  <si>
    <t>eGordian: 26 56 19 00-0108</t>
  </si>
  <si>
    <t>NVN-AE-04-E-U-xx-10K-AP @800MA</t>
  </si>
  <si>
    <t>ATB2-40BLEDE13-Mvolt-Rx</t>
  </si>
  <si>
    <t>GC2-100F-MV-NW-x-GY-700-WL-PCR7-WL</t>
  </si>
  <si>
    <t>NVN-AE-06-E-U-xx-10K-AP @1.2A</t>
  </si>
  <si>
    <t>eGordian: 26 56 19 00-0110 </t>
  </si>
  <si>
    <t>ATB2-60BLEDE10-Mvolt-Rx</t>
  </si>
  <si>
    <t>NVN-AE-06-E-U-xx-10K-AP @800MA</t>
  </si>
  <si>
    <t>eGordian: 26 56 19 00-0007</t>
  </si>
  <si>
    <t>http://www.lightmart.com/street-light-150w-high-pressure-sodium-flat-lens</t>
  </si>
  <si>
    <t>http://www.lightmart.com/street-light-250w-high-pressure-sodium-drop-lens</t>
  </si>
  <si>
    <t>http://www.lightmart.com/street-light-400w-high-pressure-sodium-flat-lens</t>
  </si>
  <si>
    <t>http://www.lightmart.com/street-light-150w-pulse-start-metal-halide-flat-lens</t>
  </si>
  <si>
    <t>http://www.lightmart.com/street-light-250w-pulse-start-metal-halide-flat-lens</t>
  </si>
  <si>
    <t>http://www.lightmart.com/street-light-320w-pulse-start-metal-halide-flat-lens</t>
  </si>
  <si>
    <t>http://www.lightmart.com/street-light-400w-high-pressure-sodium-drop-lens</t>
  </si>
  <si>
    <t>http://www.warehouse-lighting.com/street-lights-and-parking-lot-lighting/400-watt-type-iii-light-cast-high-pressure-sodium-120-volt.aspx?gdffi=3d87d3927ad04a8cb60d514c2f8ba7bb&amp;gdfms=B26A1E0665DB43C6B27C24B628435082&amp;gclid=CjwKEAiAg5_CBRDo4o6e4o3NtG0SJAB-IatYHVRULQ_9QIDHrTTdQqaHnjskLjBVgwQGqe5GhRq5dhoCQDDw_wcB</t>
  </si>
  <si>
    <t>http://www.warehouse-lighting.com/cobra-head-roadway-light-fixture-hps-250-400-watt?gdffi=3d87d3927ad04a8cb60d514c2f8ba7bb&amp;gdfms=D5F90CE00AD942C08171FE026A536C6F&amp;gclid=CjwKEAiAg5_CBRDo4o6e4o3NtG0SJAB-IatY3tnSh2nEV6HHEdOPTe0fuIJrYni16P8qvXivhyrRNhoCuQjw_wcB</t>
  </si>
  <si>
    <t>HPS Average Costs</t>
  </si>
  <si>
    <t>PSMH Average Costs</t>
  </si>
  <si>
    <t>https://www.zoro.com/acuity-lithonia-securityarea-lighting-100w-11-10s-rn-120-r5-ba/i/G1763404/</t>
  </si>
  <si>
    <t>https://www.zoro.com/acuity-lithonia-fixture-roadway-100w-115-10s-rn-120-r2-da/i/G3474807/?gclid=Cj0KEQiAsrnCBRCTs7nqwrm6pcYBEiQAcQSznNZPwzJjDGMJr-yHrvc5tp4FaTmB0M-zE9FDrVRKJOsaAq6o8P8HAQ&amp;gclsrc=aw.ds</t>
  </si>
  <si>
    <t>http://www.sustainablesupply.com/Acuity-Lithonia-Fixture-Roadway-100w-115-10S-RN-120-R2-DA-C1366958?CAWELAID=120205040001871301&amp;CAGPSPN=pla&amp;CAAGID=28894526905&amp;CATCI=pla-212039043385&amp;catargetid=120205040004072824&amp;cadevice=c&amp;gclid=Cj0KEQiAsrnCBRCTs7nqwrm6pcYBEiQAcQSznDvaimwfw4pzC7KsReIX1iJfcddFUYt-Koqmt7HS_1MaAqQw8P8HAQ</t>
  </si>
  <si>
    <t>https://www.zoro.com/acuity-lithonia-security-lighting-arm-mounted-mh-100w-tdd100ml-120-m2/i/G0405824/</t>
  </si>
  <si>
    <t>https://www.zoro.com/lumapro-securityarea-lighting-mh-2her6/i/G2082884/</t>
  </si>
  <si>
    <t>https://www.zoro.com/acuity-lithonia-securityarea-lighting-100w-11l-10s-rn-120-r5-ba/i/G3003831/</t>
  </si>
  <si>
    <t>https://www.walmart.com/ip/LITHONIA-894319-HIGH-PRESSURE-SODIUM-AREA-LIGHT-70W-120V-COVERING-AREA-70-X70/175147556?wmlspartner=wlpa&amp;selectedSellerId=644&amp;adid=22222222227050430635&amp;wmlspartner=wmtlabs&amp;wl0=&amp;wl1=g&amp;wl2=c&amp;wl3=147523971055&amp;wl4=pla-261229316830&amp;wl5=9031532&amp;wl6=&amp;wl7=&amp;wl8=&amp;wl9=pla&amp;wl10=112354234&amp;wl11=online&amp;wl12=175147556&amp;wl13=&amp;veh=sem</t>
  </si>
  <si>
    <t>https://www.njsupply.com/70W-Area-Light_p_79391.html</t>
  </si>
  <si>
    <t>https://jet.com/product/detail/ab925c0b9dcc48fc9f304d65ec4db5de?jcmp=pla:ggl:gen_home_garden_a2:lighting_lighting_fixtures_a2_other:na:PLA_348543420_24223189020_pla-161679502140:na:na:na:2&amp;code=PLA15&amp;ds_c=gen_home_garden_a2&amp;ds_cid=&amp;ds_ag=lighting_lighting_fixtures_a2_other&amp;product_id=ab925c0b9dcc48fc9f304d65ec4db5de&amp;product_partition_id=161679502140&amp;gclid=Cj0KEQiAsrnCBRCTs7nqwrm6pcYBEiQAcQSznJaAfIsB6UZ7nqQRSsmzI0m6zu9Ya39T58ZQvjvPL0caAmr28P8HAQ&amp;gclsrc=aw.ds</t>
  </si>
  <si>
    <t>https://www.lightmart.com/catalog/product/view/id/1705/s/cobra-head-150w-high-pressure-sodium-drop-lens/?gclid=Cj0KEQiAsrnCBRCTs7nqwrm6pcYBEiQAcQSznLsE2EcJnDxLkmpw2AnW8gbu5o7Bpi0h3PCkXXJhHB4aApif8P8HAQ</t>
  </si>
  <si>
    <t>http://www.lightmart.com/street-light-150w-pulse-start-metal-halide-drop-lens</t>
  </si>
  <si>
    <t>https://jet.com/product/detail/f787375d17e64741ab68a24fe863c81b?jcmp=pla:ggl:gen_home_garden_a1:lighting_flood_spot_lights_a1_other:na:PLA_348543900_24223395060_pla-161689537740:na:na:na:2&amp;code=PLA15&amp;ds_c=gen_home_garden_a1&amp;ds_cid=&amp;ds_ag=lighting_flood_spot_lights_a1_other&amp;product_id=f787375d17e64741ab68a24fe863c81b&amp;product_partition_id=161689537740&amp;gclid=Cj0KEQiAsrnCBRCTs7nqwrm6pcYBEiQAcQSznF0pK1Ov4JO_r1-2YPp81qinRRTlZoiMFVW7tCLE9QkaAnOc8P8HAQ&amp;gclsrc=aw.ds</t>
  </si>
  <si>
    <t>Total w/Tax</t>
  </si>
  <si>
    <t>https://www.1000bulbs.com/product/173366/LITH-0196.html?gclid=Cj0KEQiAsrnCBRCTs7nqwrm6pcYBEiQAcQSznEvnGUKWFWSmAoxBV1hGwT2QwqS9ddEFTivKbip34uMaAi2l8P8HAQ</t>
  </si>
  <si>
    <t>http://www.homedepot.com/p/Lithonia-Lighting-Wall-or-Post-Mount-1-Light-Outdoor-Metallic-Grey-Metal-Halide-Area-Security-Light-TDD100ML-120-M2/204806411?cm_mmc=Shopping%7cTHD%7cG%7c0%7cG-BASE-PLA-D27L-ExteriorLighting%7c&amp;gclid=Cj0KEQiAsrnCBRCTs7nqwrm6pcYBEiQAcQSznDOIKalJs2u_lVei_g4QmJjh7uQbU6sn081H4TyZyssaAgDr8P8HAQ&amp;gclsrc=aw.ds</t>
  </si>
  <si>
    <t>http://www.gordonelectricsupply.com/index~text~5790326~path~product~part~5790326~ds~dept~process~search?gclid=Cj0KEQiAsrnCBRCTs7nqwrm6pcYBEiQAcQSznL1vceufsziCU3F6yXBMq28dVnyVBrI775tqwp2bqXMaAm_K8P8HAQ</t>
  </si>
  <si>
    <t>http://www.lightmart.com/street-light-250w-pulse-start-metal-halide-drop-lens</t>
  </si>
  <si>
    <t>http://www.warehouse-lighting.com/cobra-head-roadway-light-fixture-250-320-400-watt?gdffi=3d87d3927ad04a8cb60d514c2f8ba7bb&amp;gdfms=8B6C4507076E4DF2A438BEEBB8972CE9&amp;gclid=Cj0KEQiAsrnCBRCTs7nqwrm6pcYBEiQAcQSznLJYr6ki5OCMN3QR4sUQRrDnlG_Cpszf2C1ZurfDDcsaAuXb8P8HAQ</t>
  </si>
  <si>
    <t>http://www.lightmart.com/street-light-400w-pulse-start-metal-halide-flat-lens</t>
  </si>
  <si>
    <t>eGordian: 26 56 19 00-0009</t>
  </si>
  <si>
    <t>eGordian: 26 56 19 00-0004</t>
  </si>
  <si>
    <t>eGordian</t>
  </si>
  <si>
    <t>Material Costs w/Tax</t>
  </si>
  <si>
    <t>LT-78131</t>
  </si>
  <si>
    <t>LT-78132</t>
  </si>
  <si>
    <t>LT-78133</t>
  </si>
  <si>
    <t>LT-35165</t>
  </si>
  <si>
    <t>LT-35166</t>
  </si>
  <si>
    <t>LT-35167</t>
  </si>
  <si>
    <t>LT-61339</t>
  </si>
  <si>
    <t>LT-61340</t>
  </si>
  <si>
    <t>LT-81984</t>
  </si>
  <si>
    <t>LT-81985</t>
  </si>
  <si>
    <t>LT-94199</t>
  </si>
  <si>
    <t>LT-94200</t>
  </si>
  <si>
    <t>LT-94201</t>
  </si>
  <si>
    <t>LT-18054</t>
  </si>
  <si>
    <t>LT-18055</t>
  </si>
  <si>
    <t>LT-18056</t>
  </si>
  <si>
    <t>LT-39354</t>
  </si>
  <si>
    <t>LT-39355</t>
  </si>
  <si>
    <t>LT-39356</t>
  </si>
  <si>
    <t>LT-59293</t>
  </si>
  <si>
    <t>LT-59294</t>
  </si>
  <si>
    <t>LT-59295</t>
  </si>
  <si>
    <t>LT-35036</t>
  </si>
  <si>
    <t>LT-35037</t>
  </si>
  <si>
    <t>LT-35038</t>
  </si>
  <si>
    <t>LT-46737</t>
  </si>
  <si>
    <t>LT-46738</t>
  </si>
  <si>
    <t>LT-46739</t>
  </si>
  <si>
    <t>Distributor Quote: See attached email</t>
  </si>
  <si>
    <t>Quote from South Coast Lighting - Leotek GC fixtures</t>
  </si>
  <si>
    <t>Unit</t>
  </si>
  <si>
    <t>Cost</t>
  </si>
  <si>
    <t>Traffic Control System</t>
  </si>
  <si>
    <t>Description</t>
  </si>
  <si>
    <t>Notes</t>
  </si>
  <si>
    <t>Recycle HID Lamps</t>
  </si>
  <si>
    <t>Remove Ballasts</t>
  </si>
  <si>
    <t>Recycle HID Ballast</t>
  </si>
  <si>
    <t>eGordian: 26 56 19 00-0194</t>
  </si>
  <si>
    <t>Demo Existing HID Streetlight</t>
  </si>
  <si>
    <t>Labor For Install LED Streetlight</t>
  </si>
  <si>
    <t>Equipment Operating Cost</t>
  </si>
  <si>
    <t>per fixture</t>
  </si>
  <si>
    <t>Ancillary/Shared Costs</t>
  </si>
  <si>
    <t>Estimate 50 Fixture/day</t>
  </si>
  <si>
    <t>per Day</t>
  </si>
  <si>
    <t>per Lamp</t>
  </si>
  <si>
    <t>per Ballast</t>
  </si>
  <si>
    <t>eGordian:01 22 20 00-0081</t>
  </si>
  <si>
    <t>eGordian: 02 84 16 00-0004</t>
  </si>
  <si>
    <t>eGordian: 26 01 50 51-0154</t>
  </si>
  <si>
    <t xml:space="preserve">eGordian: 02 84 16 00-0002 </t>
  </si>
  <si>
    <t>Fixture Costs</t>
  </si>
  <si>
    <t>Total Fixture Costs</t>
  </si>
  <si>
    <t>Total Labor + Ancillary Costs</t>
  </si>
  <si>
    <t>Total Ancillary costs</t>
  </si>
  <si>
    <t>Measure</t>
  </si>
  <si>
    <t>Base Equipment Cost</t>
  </si>
  <si>
    <t>Base Labor Cost</t>
  </si>
  <si>
    <t>Total Base Cost</t>
  </si>
  <si>
    <t>Measure Equipment Cost</t>
  </si>
  <si>
    <t>Measure Labor Cost</t>
  </si>
  <si>
    <t>Total Measure Cost</t>
  </si>
  <si>
    <t>Incremental Cost</t>
  </si>
  <si>
    <t>1st Baseline Cost</t>
  </si>
  <si>
    <t>Up to 28 Watt Street Light LED replacing 50 Watt High Pressure Sodium  </t>
  </si>
  <si>
    <t>29 to 43 Watt Street Light LED replacing 70 Watt High Pressure Sodium</t>
  </si>
  <si>
    <t>44 to 54 Watt Street Light LED replacing 100 Watt High Pressure Sodium</t>
  </si>
  <si>
    <t>55 to 90 Watt Street Light LED replacing 150 Watt High Pressure Sodium</t>
  </si>
  <si>
    <t>91 to 130 Watt Street Light LED replacing 200 Watt High Pressure Sodium</t>
  </si>
  <si>
    <t>131 to 190 Watt Street Light LED replacing 250 Watt High Pressure Sodium</t>
  </si>
  <si>
    <t>191 to 222 Watt Street Light LED replacing 310 Watt High Pressure Sodium</t>
  </si>
  <si>
    <t>223 to 260 Watt Street Light LED replacing 400 Watt High Pressure Sodium</t>
  </si>
  <si>
    <t>29 to 43 Watt Street Light LED replacing 70 Watt Pulse Start Metal Halide</t>
  </si>
  <si>
    <t>44 to 54 Watt Street Light LED replacing 100 Watt Pulse Start Metal Halide</t>
  </si>
  <si>
    <t>55 to 90 Watt Street Light LED replacing 150 Watt Pulse Start Metal Halide</t>
  </si>
  <si>
    <t>55 to 90 Watt Street Light LED replacing 175 Watt Pulse Start Metal Halide</t>
  </si>
  <si>
    <t>91 to 130 Watt Street Light LED replacing 250 Watt Pulse Start Metal Halide</t>
  </si>
  <si>
    <t>131 to 190 Watt Street Light LED replacing 400 Watt Pulse Start Metal Halide</t>
  </si>
  <si>
    <t>Cost ID</t>
  </si>
  <si>
    <t>SCE17LG097_00_M001</t>
  </si>
  <si>
    <t>SCE17LG097_00_M002</t>
  </si>
  <si>
    <t>SCE17LG097_00_M003</t>
  </si>
  <si>
    <t>SCE17LG097_00_M004</t>
  </si>
  <si>
    <t>SCE17LG097_00_M005</t>
  </si>
  <si>
    <t>SCE17LG097_00_M007</t>
  </si>
  <si>
    <t>SCE17LG097_00_M008</t>
  </si>
  <si>
    <t>MeasCostID</t>
  </si>
  <si>
    <t>StdCostID</t>
  </si>
  <si>
    <t>SCE17LG097_02_M001</t>
  </si>
  <si>
    <t>SCE17LG097_02_M002</t>
  </si>
  <si>
    <t>SCE17LG097_02_M003</t>
  </si>
  <si>
    <t>SCE17LG097_02_M004</t>
  </si>
  <si>
    <t>SCE17LG097_02_M005</t>
  </si>
  <si>
    <t>SCE17LG097_02_M006</t>
  </si>
  <si>
    <t>SCE17LG097_02_M007</t>
  </si>
  <si>
    <t>SCE17LG097_02_M008</t>
  </si>
  <si>
    <t>SCE17LG097_02_B001</t>
  </si>
  <si>
    <t>SCE17LG097_02_B002</t>
  </si>
  <si>
    <t>SCE17LG097_02_B003</t>
  </si>
  <si>
    <t>SCE17LG097_02_B004</t>
  </si>
  <si>
    <t>SCE17LG097_02_B005</t>
  </si>
  <si>
    <t>SCE17LG097_02_B006</t>
  </si>
  <si>
    <t>SCE17LG097_02_B007</t>
  </si>
  <si>
    <t>SCE17LG097_02_B008</t>
  </si>
  <si>
    <t>SCE17LG097_02_B009</t>
  </si>
  <si>
    <t>SCE17LG097_02_B010</t>
  </si>
  <si>
    <t>SCE17LG097_02_M009</t>
  </si>
  <si>
    <t>SCE17LG097_02_M010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</si>
</sst>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0" fillId="0" borderId="0" xfId="0" applyAlignment="1">
      <alignment wrapText="1"/>
    </xf>
    <xf numFmtId="0" fontId="0" fillId="2" borderId="1" xfId="0" applyFill="1" applyBorder="1" applyAlignment="1">
      <alignment vertical="center"/>
    </xf>
    <xf numFmtId="0" fontId="0" fillId="0" borderId="2" xfId="0" applyFill="1" applyBorder="1"/>
    <xf numFmtId="0" fontId="0" fillId="0" borderId="3" xfId="0" applyFill="1" applyBorder="1"/>
    <xf numFmtId="0" fontId="0" fillId="0" borderId="0" xfId="0" applyFill="1" applyBorder="1"/>
    <xf numFmtId="9" fontId="0" fillId="2" borderId="1" xfId="1" applyFont="1" applyFill="1" applyBorder="1"/>
    <xf numFmtId="44" fontId="0" fillId="0" borderId="0" xfId="2" applyFont="1"/>
    <xf numFmtId="0" fontId="2" fillId="0" borderId="0" xfId="0" applyFont="1"/>
    <xf numFmtId="44" fontId="0" fillId="0" borderId="1" xfId="2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8" fontId="0" fillId="0" borderId="0" xfId="0" applyNumberFormat="1"/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8" fontId="0" fillId="0" borderId="1" xfId="0" applyNumberFormat="1" applyBorder="1"/>
    <xf numFmtId="8" fontId="2" fillId="0" borderId="1" xfId="0" applyNumberFormat="1" applyFont="1" applyBorder="1"/>
    <xf numFmtId="0" fontId="0" fillId="0" borderId="1" xfId="0" applyFill="1" applyBorder="1"/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590550</xdr:colOff>
      <xdr:row>1</xdr:row>
      <xdr:rowOff>9525</xdr:rowOff>
    </xdr:from>
    <xdr:to>
      <xdr:col>25</xdr:col>
      <xdr:colOff>160455</xdr:colOff>
      <xdr:row>6</xdr:row>
      <xdr:rowOff>85596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2425" y="200025"/>
          <a:ext cx="11761905" cy="1028571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5</xdr:col>
      <xdr:colOff>600075</xdr:colOff>
      <xdr:row>16</xdr:row>
      <xdr:rowOff>152400</xdr:rowOff>
    </xdr:from>
    <xdr:to>
      <xdr:col>25</xdr:col>
      <xdr:colOff>208075</xdr:colOff>
      <xdr:row>19</xdr:row>
      <xdr:rowOff>18995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81950" y="3200400"/>
          <a:ext cx="11800000" cy="43809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5</xdr:col>
      <xdr:colOff>600075</xdr:colOff>
      <xdr:row>11</xdr:row>
      <xdr:rowOff>76200</xdr:rowOff>
    </xdr:from>
    <xdr:to>
      <xdr:col>25</xdr:col>
      <xdr:colOff>246170</xdr:colOff>
      <xdr:row>14</xdr:row>
      <xdr:rowOff>38033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81950" y="2171700"/>
          <a:ext cx="11838095" cy="533333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5</xdr:col>
      <xdr:colOff>600075</xdr:colOff>
      <xdr:row>14</xdr:row>
      <xdr:rowOff>28575</xdr:rowOff>
    </xdr:from>
    <xdr:to>
      <xdr:col>25</xdr:col>
      <xdr:colOff>217599</xdr:colOff>
      <xdr:row>16</xdr:row>
      <xdr:rowOff>142812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81950" y="2695575"/>
          <a:ext cx="11809524" cy="50476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5</xdr:col>
      <xdr:colOff>600075</xdr:colOff>
      <xdr:row>7</xdr:row>
      <xdr:rowOff>152400</xdr:rowOff>
    </xdr:from>
    <xdr:to>
      <xdr:col>25</xdr:col>
      <xdr:colOff>246170</xdr:colOff>
      <xdr:row>11</xdr:row>
      <xdr:rowOff>85638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81950" y="1485900"/>
          <a:ext cx="11838095" cy="69523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2</xdr:row>
          <xdr:rowOff>45720</xdr:rowOff>
        </xdr:from>
        <xdr:to>
          <xdr:col>2</xdr:col>
          <xdr:colOff>198120</xdr:colOff>
          <xdr:row>7</xdr:row>
          <xdr:rowOff>99060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O104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J77" sqref="J77"/>
    </sheetView>
  </sheetViews>
  <sheetFormatPr defaultRowHeight="14.4" x14ac:dyDescent="0.3"/>
  <cols>
    <col min="1" max="1" width="13.5546875" bestFit="1" customWidth="1"/>
    <col min="2" max="2" width="14.44140625" bestFit="1" customWidth="1"/>
    <col min="3" max="3" width="14.44140625" customWidth="1"/>
    <col min="4" max="4" width="17.88671875" bestFit="1" customWidth="1"/>
    <col min="5" max="5" width="37.5546875" bestFit="1" customWidth="1"/>
    <col min="6" max="6" width="12" bestFit="1" customWidth="1"/>
    <col min="7" max="7" width="21.5546875" customWidth="1"/>
    <col min="8" max="8" width="25" bestFit="1" customWidth="1"/>
    <col min="9" max="9" width="6.88671875" hidden="1" customWidth="1"/>
    <col min="10" max="10" width="24.33203125" bestFit="1" customWidth="1"/>
    <col min="11" max="11" width="9.33203125" bestFit="1" customWidth="1"/>
    <col min="13" max="13" width="12.5546875" bestFit="1" customWidth="1"/>
    <col min="14" max="14" width="18" bestFit="1" customWidth="1"/>
    <col min="15" max="15" width="26" customWidth="1"/>
  </cols>
  <sheetData>
    <row r="2" spans="1:15" x14ac:dyDescent="0.3">
      <c r="A2" s="1" t="s">
        <v>0</v>
      </c>
      <c r="B2" s="1" t="s">
        <v>1</v>
      </c>
      <c r="C2" s="1" t="s">
        <v>15</v>
      </c>
      <c r="D2" s="1" t="s">
        <v>5</v>
      </c>
      <c r="E2" s="1" t="s">
        <v>2</v>
      </c>
      <c r="F2" s="1" t="s">
        <v>3</v>
      </c>
      <c r="G2" s="1" t="s">
        <v>132</v>
      </c>
      <c r="H2" s="1" t="s">
        <v>4</v>
      </c>
      <c r="I2" s="7" t="s">
        <v>80</v>
      </c>
      <c r="J2" s="1" t="s">
        <v>76</v>
      </c>
      <c r="K2" s="1" t="s">
        <v>4</v>
      </c>
      <c r="L2" s="1" t="s">
        <v>30</v>
      </c>
      <c r="M2" s="1" t="s">
        <v>31</v>
      </c>
      <c r="N2" s="1" t="s">
        <v>77</v>
      </c>
      <c r="O2" s="7" t="s">
        <v>212</v>
      </c>
    </row>
    <row r="3" spans="1:15" hidden="1" x14ac:dyDescent="0.3">
      <c r="A3" s="6" t="s">
        <v>40</v>
      </c>
      <c r="B3" s="6" t="s">
        <v>64</v>
      </c>
      <c r="C3" s="6" t="s">
        <v>38</v>
      </c>
      <c r="D3" s="1" t="s">
        <v>6</v>
      </c>
      <c r="E3" s="1" t="s">
        <v>67</v>
      </c>
      <c r="F3" s="1">
        <v>24</v>
      </c>
      <c r="G3" s="2">
        <v>179</v>
      </c>
      <c r="H3" s="1" t="s">
        <v>161</v>
      </c>
      <c r="I3" s="7" t="s">
        <v>65</v>
      </c>
      <c r="J3" s="2"/>
      <c r="K3" s="1"/>
      <c r="L3" s="2"/>
      <c r="M3" s="2"/>
      <c r="N3" s="2"/>
    </row>
    <row r="4" spans="1:15" hidden="1" x14ac:dyDescent="0.3">
      <c r="A4" s="6" t="s">
        <v>40</v>
      </c>
      <c r="B4" s="6" t="str">
        <f>B3</f>
        <v>Up to 28W</v>
      </c>
      <c r="C4" s="6" t="str">
        <f>C3</f>
        <v>50W HPS</v>
      </c>
      <c r="D4" s="1" t="s">
        <v>7</v>
      </c>
      <c r="E4" s="1" t="s">
        <v>66</v>
      </c>
      <c r="F4" s="1">
        <v>27</v>
      </c>
      <c r="G4" s="2">
        <f>258.76+37.15</f>
        <v>295.90999999999997</v>
      </c>
      <c r="H4" s="1" t="s">
        <v>32</v>
      </c>
      <c r="I4" s="7" t="s">
        <v>65</v>
      </c>
      <c r="J4" s="2"/>
      <c r="K4" s="1"/>
      <c r="L4" s="2"/>
      <c r="M4" s="2"/>
      <c r="N4" s="2"/>
    </row>
    <row r="5" spans="1:15" hidden="1" x14ac:dyDescent="0.3">
      <c r="A5" s="6" t="str">
        <f>A3</f>
        <v>LT-27419</v>
      </c>
      <c r="B5" s="6" t="str">
        <f>B3</f>
        <v>Up to 28W</v>
      </c>
      <c r="C5" s="6" t="str">
        <f>C3</f>
        <v>50W HPS</v>
      </c>
      <c r="D5" s="3" t="s">
        <v>10</v>
      </c>
      <c r="E5" s="3" t="s">
        <v>10</v>
      </c>
      <c r="F5" s="3">
        <f>ROUND(AVERAGE(F3:F4),0)</f>
        <v>26</v>
      </c>
      <c r="G5" s="4">
        <f>ROUND(AVERAGE(G3:G4)*1.085,2)</f>
        <v>257.64</v>
      </c>
      <c r="H5" s="3" t="s">
        <v>131</v>
      </c>
      <c r="I5">
        <v>50</v>
      </c>
      <c r="J5" s="4">
        <f>$C$74</f>
        <v>69.09</v>
      </c>
      <c r="K5" s="3" t="s">
        <v>78</v>
      </c>
      <c r="L5" s="4">
        <f>G5-J5</f>
        <v>188.54999999999998</v>
      </c>
      <c r="M5" s="4">
        <v>187.28287499999996</v>
      </c>
      <c r="N5" s="10">
        <f>1-L5/M5</f>
        <v>-6.7658348367409804E-3</v>
      </c>
      <c r="O5" t="s">
        <v>213</v>
      </c>
    </row>
    <row r="6" spans="1:15" hidden="1" x14ac:dyDescent="0.3">
      <c r="A6" s="6" t="s">
        <v>25</v>
      </c>
      <c r="B6" s="6" t="s">
        <v>24</v>
      </c>
      <c r="C6" s="6" t="s">
        <v>23</v>
      </c>
      <c r="D6" s="1" t="s">
        <v>6</v>
      </c>
      <c r="E6" s="1" t="s">
        <v>28</v>
      </c>
      <c r="F6" s="1">
        <v>38</v>
      </c>
      <c r="G6" s="2">
        <v>179</v>
      </c>
      <c r="H6" s="1" t="s">
        <v>161</v>
      </c>
      <c r="I6" s="7" t="s">
        <v>65</v>
      </c>
      <c r="J6" s="2"/>
      <c r="K6" s="1"/>
      <c r="L6" s="2"/>
      <c r="M6" s="2"/>
      <c r="N6" s="2"/>
    </row>
    <row r="7" spans="1:15" hidden="1" x14ac:dyDescent="0.3">
      <c r="A7" s="6" t="s">
        <v>25</v>
      </c>
      <c r="B7" s="6" t="str">
        <f>B6</f>
        <v>29W-43W</v>
      </c>
      <c r="C7" s="6" t="str">
        <f>C6</f>
        <v>70W HPS</v>
      </c>
      <c r="D7" s="1" t="s">
        <v>7</v>
      </c>
      <c r="E7" s="1" t="s">
        <v>18</v>
      </c>
      <c r="F7" s="1">
        <v>29</v>
      </c>
      <c r="G7" s="2">
        <f>258.76+37.15</f>
        <v>295.90999999999997</v>
      </c>
      <c r="H7" s="1" t="s">
        <v>32</v>
      </c>
      <c r="I7" s="7" t="s">
        <v>65</v>
      </c>
      <c r="J7" s="2"/>
      <c r="K7" s="1"/>
      <c r="L7" s="2"/>
      <c r="M7" s="2"/>
      <c r="N7" s="2"/>
    </row>
    <row r="8" spans="1:15" hidden="1" x14ac:dyDescent="0.3">
      <c r="A8" s="6" t="s">
        <v>25</v>
      </c>
      <c r="B8" s="6" t="str">
        <f>B6</f>
        <v>29W-43W</v>
      </c>
      <c r="C8" s="6" t="str">
        <f>C6</f>
        <v>70W HPS</v>
      </c>
      <c r="D8" s="1" t="s">
        <v>8</v>
      </c>
      <c r="E8" s="1" t="s">
        <v>20</v>
      </c>
      <c r="F8" s="1">
        <v>34</v>
      </c>
      <c r="G8" s="2">
        <f>349.12</f>
        <v>349.12</v>
      </c>
      <c r="H8" s="1" t="s">
        <v>33</v>
      </c>
      <c r="I8" s="7" t="s">
        <v>65</v>
      </c>
      <c r="J8" s="2"/>
      <c r="K8" s="1"/>
      <c r="L8" s="2"/>
      <c r="M8" s="2"/>
      <c r="N8" s="2"/>
    </row>
    <row r="9" spans="1:15" hidden="1" x14ac:dyDescent="0.3">
      <c r="A9" s="6" t="s">
        <v>25</v>
      </c>
      <c r="B9" s="6" t="str">
        <f>B6</f>
        <v>29W-43W</v>
      </c>
      <c r="C9" s="6" t="str">
        <f>C6</f>
        <v>70W HPS</v>
      </c>
      <c r="D9" s="1" t="s">
        <v>9</v>
      </c>
      <c r="E9" s="1" t="s">
        <v>22</v>
      </c>
      <c r="F9" s="1">
        <v>39</v>
      </c>
      <c r="G9" s="2">
        <f>418.42</f>
        <v>418.42</v>
      </c>
      <c r="H9" s="1" t="s">
        <v>34</v>
      </c>
      <c r="I9" s="7" t="s">
        <v>65</v>
      </c>
      <c r="J9" s="2"/>
      <c r="K9" s="1"/>
      <c r="L9" s="2"/>
      <c r="M9" s="2"/>
      <c r="N9" s="2"/>
    </row>
    <row r="10" spans="1:15" hidden="1" x14ac:dyDescent="0.3">
      <c r="A10" s="6" t="str">
        <f>A6</f>
        <v>LT-73136</v>
      </c>
      <c r="B10" s="6" t="str">
        <f>B6</f>
        <v>29W-43W</v>
      </c>
      <c r="C10" s="6" t="str">
        <f>C6</f>
        <v>70W HPS</v>
      </c>
      <c r="D10" s="3" t="s">
        <v>10</v>
      </c>
      <c r="E10" s="3" t="s">
        <v>10</v>
      </c>
      <c r="F10" s="3">
        <f>ROUND(AVERAGE(F6:F9),0)</f>
        <v>35</v>
      </c>
      <c r="G10" s="4">
        <f>ROUND(AVERAGE(G6:G9)*1.085,2)</f>
        <v>337.01</v>
      </c>
      <c r="H10" s="3" t="s">
        <v>131</v>
      </c>
      <c r="I10" s="7">
        <v>70</v>
      </c>
      <c r="J10" s="4">
        <f>$C$75</f>
        <v>69.09</v>
      </c>
      <c r="K10" s="3" t="s">
        <v>78</v>
      </c>
      <c r="L10" s="4">
        <f>G10-J10</f>
        <v>267.91999999999996</v>
      </c>
      <c r="M10" s="4">
        <v>203.81376979166666</v>
      </c>
      <c r="N10" s="10">
        <f>1-L10/M10</f>
        <v>-0.31453336187177672</v>
      </c>
      <c r="O10" t="s">
        <v>214</v>
      </c>
    </row>
    <row r="11" spans="1:15" hidden="1" x14ac:dyDescent="0.3">
      <c r="A11" s="6" t="s">
        <v>11</v>
      </c>
      <c r="B11" s="6" t="s">
        <v>13</v>
      </c>
      <c r="C11" s="6" t="s">
        <v>16</v>
      </c>
      <c r="D11" s="1" t="s">
        <v>6</v>
      </c>
      <c r="E11" s="1" t="s">
        <v>86</v>
      </c>
      <c r="F11" s="1">
        <v>48</v>
      </c>
      <c r="G11" s="2">
        <v>196</v>
      </c>
      <c r="H11" s="1" t="s">
        <v>161</v>
      </c>
      <c r="I11" s="7" t="s">
        <v>65</v>
      </c>
      <c r="J11" s="2"/>
      <c r="K11" s="1"/>
      <c r="L11" s="2"/>
      <c r="M11" s="2"/>
      <c r="N11" s="2"/>
    </row>
    <row r="12" spans="1:15" hidden="1" x14ac:dyDescent="0.3">
      <c r="A12" s="6" t="s">
        <v>11</v>
      </c>
      <c r="B12" s="6" t="str">
        <f>B11</f>
        <v>44W-54W</v>
      </c>
      <c r="C12" s="6" t="str">
        <f>C11</f>
        <v>100W HPS</v>
      </c>
      <c r="D12" s="1" t="s">
        <v>7</v>
      </c>
      <c r="E12" s="1" t="s">
        <v>19</v>
      </c>
      <c r="F12" s="1">
        <v>48</v>
      </c>
      <c r="G12" s="2">
        <f>258.76+37.15</f>
        <v>295.90999999999997</v>
      </c>
      <c r="H12" s="1" t="s">
        <v>32</v>
      </c>
      <c r="I12" s="7" t="s">
        <v>65</v>
      </c>
      <c r="J12" s="2"/>
      <c r="K12" s="1"/>
      <c r="L12" s="2"/>
      <c r="M12" s="2"/>
      <c r="N12" s="2"/>
    </row>
    <row r="13" spans="1:15" hidden="1" x14ac:dyDescent="0.3">
      <c r="A13" s="6" t="s">
        <v>11</v>
      </c>
      <c r="B13" s="6" t="str">
        <f>B11</f>
        <v>44W-54W</v>
      </c>
      <c r="C13" s="6" t="str">
        <f>C11</f>
        <v>100W HPS</v>
      </c>
      <c r="D13" s="1" t="s">
        <v>8</v>
      </c>
      <c r="E13" s="1" t="s">
        <v>21</v>
      </c>
      <c r="F13" s="1">
        <v>44</v>
      </c>
      <c r="G13" s="2">
        <f>349.12</f>
        <v>349.12</v>
      </c>
      <c r="H13" s="1" t="s">
        <v>33</v>
      </c>
      <c r="I13" s="7" t="s">
        <v>65</v>
      </c>
      <c r="J13" s="2"/>
      <c r="K13" s="1"/>
      <c r="L13" s="2"/>
      <c r="M13" s="2"/>
      <c r="N13" s="2"/>
    </row>
    <row r="14" spans="1:15" hidden="1" x14ac:dyDescent="0.3">
      <c r="A14" s="6" t="s">
        <v>11</v>
      </c>
      <c r="B14" s="6" t="str">
        <f>B11</f>
        <v>44W-54W</v>
      </c>
      <c r="C14" s="6" t="str">
        <f>C11</f>
        <v>100W HPS</v>
      </c>
      <c r="D14" s="1" t="s">
        <v>9</v>
      </c>
      <c r="E14" s="1" t="s">
        <v>26</v>
      </c>
      <c r="F14" s="1">
        <v>48</v>
      </c>
      <c r="G14" s="2">
        <f>418.42+30</f>
        <v>448.42</v>
      </c>
      <c r="H14" s="1" t="s">
        <v>34</v>
      </c>
      <c r="I14" s="7" t="s">
        <v>65</v>
      </c>
      <c r="J14" s="2"/>
      <c r="K14" s="1"/>
      <c r="L14" s="2"/>
      <c r="M14" s="2"/>
      <c r="N14" s="2"/>
    </row>
    <row r="15" spans="1:15" hidden="1" x14ac:dyDescent="0.3">
      <c r="A15" s="6" t="str">
        <f>A11</f>
        <v>LT-80500</v>
      </c>
      <c r="B15" s="6" t="str">
        <f>B11</f>
        <v>44W-54W</v>
      </c>
      <c r="C15" s="6" t="str">
        <f>C11</f>
        <v>100W HPS</v>
      </c>
      <c r="D15" s="3" t="s">
        <v>10</v>
      </c>
      <c r="E15" s="3" t="s">
        <v>10</v>
      </c>
      <c r="F15" s="3">
        <f>ROUND(AVERAGE(F11:F14),0)</f>
        <v>47</v>
      </c>
      <c r="G15" s="4">
        <f>ROUND(AVERAGE(G11:G14)*1.085,2)</f>
        <v>349.76</v>
      </c>
      <c r="H15" s="3" t="s">
        <v>131</v>
      </c>
      <c r="I15" s="7">
        <v>100</v>
      </c>
      <c r="J15" s="4">
        <f>$C$76</f>
        <v>155.88999999999999</v>
      </c>
      <c r="K15" s="3" t="s">
        <v>78</v>
      </c>
      <c r="L15" s="4">
        <f>G15-J15</f>
        <v>193.87</v>
      </c>
      <c r="M15" s="4">
        <v>237.19040854166659</v>
      </c>
      <c r="N15" s="10">
        <f>1-L15/M15</f>
        <v>0.18263979900374683</v>
      </c>
      <c r="O15" t="s">
        <v>215</v>
      </c>
    </row>
    <row r="16" spans="1:15" hidden="1" x14ac:dyDescent="0.3">
      <c r="A16" s="6" t="s">
        <v>41</v>
      </c>
      <c r="B16" s="6" t="s">
        <v>53</v>
      </c>
      <c r="C16" s="6" t="s">
        <v>39</v>
      </c>
      <c r="D16" s="1" t="s">
        <v>6</v>
      </c>
      <c r="E16" s="1" t="s">
        <v>68</v>
      </c>
      <c r="F16" s="1">
        <v>88</v>
      </c>
      <c r="G16" s="2">
        <v>249</v>
      </c>
      <c r="H16" s="1" t="s">
        <v>161</v>
      </c>
      <c r="I16" s="7" t="s">
        <v>65</v>
      </c>
      <c r="J16" s="2"/>
      <c r="K16" s="1"/>
      <c r="L16" s="2"/>
      <c r="M16" s="2"/>
      <c r="N16" s="2"/>
    </row>
    <row r="17" spans="1:15" hidden="1" x14ac:dyDescent="0.3">
      <c r="A17" s="6" t="s">
        <v>41</v>
      </c>
      <c r="B17" s="6" t="str">
        <f>B16</f>
        <v>55W-90W</v>
      </c>
      <c r="C17" s="6" t="str">
        <f>C16</f>
        <v>150W HPS</v>
      </c>
      <c r="D17" s="1" t="s">
        <v>7</v>
      </c>
      <c r="E17" s="1" t="s">
        <v>70</v>
      </c>
      <c r="F17" s="1">
        <v>87</v>
      </c>
      <c r="G17" s="2">
        <f>305.57+37.15</f>
        <v>342.71999999999997</v>
      </c>
      <c r="H17" s="1" t="s">
        <v>35</v>
      </c>
      <c r="I17" s="7" t="s">
        <v>65</v>
      </c>
      <c r="J17" s="2"/>
      <c r="K17" s="1"/>
      <c r="L17" s="2"/>
      <c r="M17" s="2"/>
      <c r="N17" s="2"/>
    </row>
    <row r="18" spans="1:15" s="5" customFormat="1" hidden="1" x14ac:dyDescent="0.3">
      <c r="A18" s="6" t="s">
        <v>41</v>
      </c>
      <c r="B18" s="6" t="str">
        <f>B16</f>
        <v>55W-90W</v>
      </c>
      <c r="C18" s="6" t="str">
        <f>C16</f>
        <v>150W HPS</v>
      </c>
      <c r="D18" s="1" t="s">
        <v>8</v>
      </c>
      <c r="E18" s="1" t="s">
        <v>71</v>
      </c>
      <c r="F18" s="1">
        <v>85</v>
      </c>
      <c r="G18" s="2">
        <f>514.43</f>
        <v>514.42999999999995</v>
      </c>
      <c r="H18" s="1" t="s">
        <v>36</v>
      </c>
      <c r="I18" s="5" t="s">
        <v>65</v>
      </c>
      <c r="J18" s="2"/>
      <c r="K18" s="1"/>
      <c r="L18" s="2"/>
      <c r="M18" s="2"/>
      <c r="N18" s="2"/>
    </row>
    <row r="19" spans="1:15" hidden="1" x14ac:dyDescent="0.3">
      <c r="A19" s="6" t="s">
        <v>41</v>
      </c>
      <c r="B19" s="6" t="str">
        <f>B16</f>
        <v>55W-90W</v>
      </c>
      <c r="C19" s="6" t="str">
        <f>C16</f>
        <v>150W HPS</v>
      </c>
      <c r="D19" s="1" t="s">
        <v>9</v>
      </c>
      <c r="E19" s="1" t="s">
        <v>73</v>
      </c>
      <c r="F19" s="1">
        <v>88</v>
      </c>
      <c r="G19" s="2">
        <f>418.42</f>
        <v>418.42</v>
      </c>
      <c r="H19" s="1" t="s">
        <v>37</v>
      </c>
      <c r="I19" s="7" t="s">
        <v>65</v>
      </c>
      <c r="J19" s="2"/>
      <c r="K19" s="1"/>
      <c r="L19" s="2"/>
      <c r="M19" s="2"/>
      <c r="N19" s="2"/>
    </row>
    <row r="20" spans="1:15" hidden="1" x14ac:dyDescent="0.3">
      <c r="A20" s="6" t="str">
        <f>A16</f>
        <v>LT-24820</v>
      </c>
      <c r="B20" s="6" t="str">
        <f>B16</f>
        <v>55W-90W</v>
      </c>
      <c r="C20" s="6" t="str">
        <f>C16</f>
        <v>150W HPS</v>
      </c>
      <c r="D20" s="3" t="s">
        <v>10</v>
      </c>
      <c r="E20" s="3" t="s">
        <v>10</v>
      </c>
      <c r="F20" s="3">
        <f>ROUND(AVERAGE(F16:F19),0)</f>
        <v>87</v>
      </c>
      <c r="G20" s="4">
        <f>ROUND(AVERAGE(G16:G19)*1.085,2)</f>
        <v>413.54</v>
      </c>
      <c r="H20" s="3" t="s">
        <v>131</v>
      </c>
      <c r="I20" s="9">
        <v>150</v>
      </c>
      <c r="J20" s="4">
        <f>$C$77</f>
        <v>212.93</v>
      </c>
      <c r="K20" s="3" t="s">
        <v>78</v>
      </c>
      <c r="L20" s="4">
        <f>G20-J20</f>
        <v>200.61</v>
      </c>
      <c r="M20" s="4">
        <v>274.26192624999999</v>
      </c>
      <c r="N20" s="10">
        <f>1-L20/M20</f>
        <v>0.26854593802737126</v>
      </c>
      <c r="O20" t="s">
        <v>216</v>
      </c>
    </row>
    <row r="21" spans="1:15" hidden="1" x14ac:dyDescent="0.3">
      <c r="A21" s="6" t="s">
        <v>12</v>
      </c>
      <c r="B21" s="6" t="s">
        <v>14</v>
      </c>
      <c r="C21" s="6" t="s">
        <v>17</v>
      </c>
      <c r="D21" s="1" t="s">
        <v>6</v>
      </c>
      <c r="E21" s="1" t="s">
        <v>29</v>
      </c>
      <c r="F21" s="1">
        <v>101</v>
      </c>
      <c r="G21" s="2">
        <v>303</v>
      </c>
      <c r="H21" s="1" t="s">
        <v>161</v>
      </c>
      <c r="I21" s="7" t="s">
        <v>65</v>
      </c>
      <c r="J21" s="2"/>
      <c r="K21" s="1"/>
      <c r="L21" s="2"/>
      <c r="M21" s="2"/>
      <c r="N21" s="2"/>
    </row>
    <row r="22" spans="1:15" hidden="1" x14ac:dyDescent="0.3">
      <c r="A22" s="6" t="s">
        <v>133</v>
      </c>
      <c r="B22" s="6" t="str">
        <f>B21</f>
        <v>91W-130W</v>
      </c>
      <c r="C22" s="6" t="str">
        <f>C21</f>
        <v>200W HPS</v>
      </c>
      <c r="D22" s="1" t="s">
        <v>7</v>
      </c>
      <c r="E22" s="1" t="s">
        <v>88</v>
      </c>
      <c r="F22" s="1">
        <v>127</v>
      </c>
      <c r="G22" s="2">
        <f>466.81+37.15</f>
        <v>503.96</v>
      </c>
      <c r="H22" s="1" t="s">
        <v>35</v>
      </c>
      <c r="I22" s="7" t="s">
        <v>65</v>
      </c>
      <c r="J22" s="2"/>
      <c r="K22" s="1"/>
      <c r="L22" s="2"/>
      <c r="M22" s="2"/>
      <c r="N22" s="2"/>
    </row>
    <row r="23" spans="1:15" hidden="1" x14ac:dyDescent="0.3">
      <c r="A23" s="6" t="s">
        <v>134</v>
      </c>
      <c r="B23" s="6" t="str">
        <f>B21</f>
        <v>91W-130W</v>
      </c>
      <c r="C23" s="6" t="str">
        <f>C21</f>
        <v>200W HPS</v>
      </c>
      <c r="D23" s="1" t="s">
        <v>8</v>
      </c>
      <c r="E23" s="1" t="s">
        <v>89</v>
      </c>
      <c r="F23" s="1">
        <v>124</v>
      </c>
      <c r="G23" s="2">
        <v>537.29999999999995</v>
      </c>
      <c r="H23" s="1" t="s">
        <v>90</v>
      </c>
      <c r="I23" s="7" t="s">
        <v>65</v>
      </c>
      <c r="J23" s="2"/>
      <c r="K23" s="1"/>
      <c r="L23" s="2"/>
      <c r="M23" s="2"/>
      <c r="N23" s="2"/>
    </row>
    <row r="24" spans="1:15" hidden="1" x14ac:dyDescent="0.3">
      <c r="A24" s="6" t="s">
        <v>135</v>
      </c>
      <c r="B24" s="6" t="str">
        <f>B21</f>
        <v>91W-130W</v>
      </c>
      <c r="C24" s="6" t="str">
        <f>C21</f>
        <v>200W HPS</v>
      </c>
      <c r="D24" s="1" t="s">
        <v>9</v>
      </c>
      <c r="E24" s="1" t="s">
        <v>27</v>
      </c>
      <c r="F24" s="1">
        <v>104</v>
      </c>
      <c r="G24" s="2">
        <f>578.63</f>
        <v>578.63</v>
      </c>
      <c r="H24" s="1" t="s">
        <v>37</v>
      </c>
      <c r="I24" s="7" t="s">
        <v>65</v>
      </c>
      <c r="J24" s="2"/>
      <c r="K24" s="1"/>
      <c r="L24" s="2"/>
      <c r="M24" s="2"/>
      <c r="N24" s="2"/>
    </row>
    <row r="25" spans="1:15" hidden="1" x14ac:dyDescent="0.3">
      <c r="A25" s="6" t="str">
        <f>A21</f>
        <v>LT-78130</v>
      </c>
      <c r="B25" s="6" t="str">
        <f>B21</f>
        <v>91W-130W</v>
      </c>
      <c r="C25" s="6" t="str">
        <f>C21</f>
        <v>200W HPS</v>
      </c>
      <c r="D25" s="3" t="s">
        <v>10</v>
      </c>
      <c r="E25" s="3" t="s">
        <v>10</v>
      </c>
      <c r="F25" s="3">
        <f>ROUND(AVERAGE(F21:F24),0)</f>
        <v>114</v>
      </c>
      <c r="G25" s="4">
        <f>ROUND(AVERAGE(G21:G24)*1.085,2)</f>
        <v>521.58000000000004</v>
      </c>
      <c r="H25" s="3" t="s">
        <v>131</v>
      </c>
      <c r="I25" s="7">
        <v>200</v>
      </c>
      <c r="J25" s="4">
        <f>$C$78</f>
        <v>212.93</v>
      </c>
      <c r="K25" s="3" t="s">
        <v>78</v>
      </c>
      <c r="L25" s="4">
        <f>G25-J25</f>
        <v>308.65000000000003</v>
      </c>
      <c r="M25" s="4">
        <v>291.18478999999991</v>
      </c>
      <c r="N25" s="10">
        <f>1-L25/M25</f>
        <v>-5.9979815566603367E-2</v>
      </c>
      <c r="O25" t="s">
        <v>217</v>
      </c>
    </row>
    <row r="26" spans="1:15" x14ac:dyDescent="0.3">
      <c r="A26" s="6" t="s">
        <v>45</v>
      </c>
      <c r="B26" s="6" t="s">
        <v>54</v>
      </c>
      <c r="C26" s="6" t="s">
        <v>42</v>
      </c>
      <c r="D26" s="1" t="s">
        <v>6</v>
      </c>
      <c r="E26" s="1" t="s">
        <v>84</v>
      </c>
      <c r="F26" s="1">
        <v>180</v>
      </c>
      <c r="G26" s="2">
        <v>451</v>
      </c>
      <c r="H26" s="1" t="s">
        <v>161</v>
      </c>
      <c r="I26" s="8" t="s">
        <v>65</v>
      </c>
      <c r="J26" s="2"/>
      <c r="K26" s="1"/>
      <c r="L26" s="2"/>
      <c r="M26" s="2"/>
      <c r="N26" s="2"/>
    </row>
    <row r="27" spans="1:15" x14ac:dyDescent="0.3">
      <c r="A27" s="6" t="s">
        <v>136</v>
      </c>
      <c r="B27" s="6" t="str">
        <f>B26</f>
        <v>131W-190W</v>
      </c>
      <c r="C27" s="6" t="str">
        <f>C26</f>
        <v>250W HPS</v>
      </c>
      <c r="D27" s="1" t="s">
        <v>7</v>
      </c>
      <c r="E27" s="1" t="s">
        <v>85</v>
      </c>
      <c r="F27" s="1">
        <v>139</v>
      </c>
      <c r="G27" s="2">
        <f>466.81+37.15</f>
        <v>503.96</v>
      </c>
      <c r="H27" s="1" t="s">
        <v>35</v>
      </c>
      <c r="I27" s="7" t="s">
        <v>65</v>
      </c>
      <c r="J27" s="2"/>
      <c r="K27" s="1"/>
      <c r="L27" s="2"/>
      <c r="M27" s="2"/>
      <c r="N27" s="2"/>
    </row>
    <row r="28" spans="1:15" x14ac:dyDescent="0.3">
      <c r="A28" s="6" t="s">
        <v>137</v>
      </c>
      <c r="B28" s="6" t="str">
        <f>B26</f>
        <v>131W-190W</v>
      </c>
      <c r="C28" s="6" t="str">
        <f>C26</f>
        <v>250W HPS</v>
      </c>
      <c r="D28" s="1" t="s">
        <v>8</v>
      </c>
      <c r="E28" s="1" t="s">
        <v>91</v>
      </c>
      <c r="F28" s="1">
        <v>171</v>
      </c>
      <c r="G28" s="2">
        <v>885.88</v>
      </c>
      <c r="H28" s="1" t="s">
        <v>36</v>
      </c>
      <c r="I28" s="7" t="s">
        <v>65</v>
      </c>
      <c r="J28" s="2"/>
      <c r="K28" s="1"/>
      <c r="L28" s="2"/>
      <c r="M28" s="2"/>
      <c r="N28" s="2"/>
    </row>
    <row r="29" spans="1:15" x14ac:dyDescent="0.3">
      <c r="A29" s="6" t="s">
        <v>138</v>
      </c>
      <c r="B29" s="6" t="str">
        <f>B26</f>
        <v>131W-190W</v>
      </c>
      <c r="C29" s="6" t="str">
        <f>C26</f>
        <v>250W HPS</v>
      </c>
      <c r="D29" s="1" t="s">
        <v>9</v>
      </c>
      <c r="E29" s="1" t="s">
        <v>92</v>
      </c>
      <c r="F29" s="1">
        <v>177</v>
      </c>
      <c r="G29" s="2">
        <v>828.98</v>
      </c>
      <c r="H29" s="1" t="s">
        <v>37</v>
      </c>
      <c r="I29" s="7" t="s">
        <v>65</v>
      </c>
      <c r="J29" s="2"/>
      <c r="K29" s="1"/>
      <c r="L29" s="2"/>
      <c r="M29" s="2"/>
      <c r="N29" s="2"/>
    </row>
    <row r="30" spans="1:15" x14ac:dyDescent="0.3">
      <c r="A30" s="6" t="str">
        <f>A26</f>
        <v>LT-35164</v>
      </c>
      <c r="B30" s="6" t="str">
        <f>B26</f>
        <v>131W-190W</v>
      </c>
      <c r="C30" s="6" t="str">
        <f>C26</f>
        <v>250W HPS</v>
      </c>
      <c r="D30" s="3" t="s">
        <v>10</v>
      </c>
      <c r="E30" s="3" t="s">
        <v>10</v>
      </c>
      <c r="F30" s="3">
        <f>ROUND(AVERAGE(F26:F29),0)</f>
        <v>167</v>
      </c>
      <c r="G30" s="4">
        <f>ROUND(AVERAGE(G26:G29)*1.085,2)</f>
        <v>724.19</v>
      </c>
      <c r="H30" s="3" t="s">
        <v>131</v>
      </c>
      <c r="I30" s="7">
        <v>250</v>
      </c>
      <c r="J30" s="4">
        <f>$C$79</f>
        <v>262.41000000000003</v>
      </c>
      <c r="K30" s="3" t="s">
        <v>78</v>
      </c>
      <c r="L30" s="4">
        <f>G30-J30</f>
        <v>461.78000000000003</v>
      </c>
      <c r="M30" s="4">
        <v>442.30035416666664</v>
      </c>
      <c r="N30" s="10">
        <f>1-L30/M30</f>
        <v>-4.404166908261864E-2</v>
      </c>
      <c r="O30" t="s">
        <v>227</v>
      </c>
    </row>
    <row r="31" spans="1:15" hidden="1" x14ac:dyDescent="0.3">
      <c r="A31" s="6" t="s">
        <v>46</v>
      </c>
      <c r="B31" s="6" t="s">
        <v>55</v>
      </c>
      <c r="C31" s="6" t="s">
        <v>43</v>
      </c>
      <c r="D31" s="1" t="s">
        <v>6</v>
      </c>
      <c r="E31" s="1" t="s">
        <v>93</v>
      </c>
      <c r="F31" s="1">
        <v>220</v>
      </c>
      <c r="G31" s="2">
        <v>470</v>
      </c>
      <c r="H31" s="1" t="s">
        <v>161</v>
      </c>
      <c r="I31" s="7" t="s">
        <v>65</v>
      </c>
      <c r="J31" s="2"/>
      <c r="K31" s="1"/>
      <c r="L31" s="2"/>
      <c r="M31" s="2"/>
      <c r="N31" s="2"/>
    </row>
    <row r="32" spans="1:15" hidden="1" x14ac:dyDescent="0.3">
      <c r="A32" s="6" t="s">
        <v>139</v>
      </c>
      <c r="B32" s="6" t="str">
        <f>B31</f>
        <v>191W-222W</v>
      </c>
      <c r="C32" s="6" t="str">
        <f>C31</f>
        <v>310W HPS</v>
      </c>
      <c r="D32" s="1" t="s">
        <v>8</v>
      </c>
      <c r="E32" s="1" t="s">
        <v>94</v>
      </c>
      <c r="F32" s="1">
        <v>193</v>
      </c>
      <c r="G32" s="2">
        <v>1202.45</v>
      </c>
      <c r="H32" s="1" t="s">
        <v>95</v>
      </c>
      <c r="I32" s="7" t="s">
        <v>65</v>
      </c>
      <c r="J32" s="2"/>
      <c r="K32" s="1"/>
      <c r="L32" s="2"/>
      <c r="M32" s="2"/>
      <c r="N32" s="2"/>
    </row>
    <row r="33" spans="1:15" hidden="1" x14ac:dyDescent="0.3">
      <c r="A33" s="6" t="s">
        <v>140</v>
      </c>
      <c r="B33" s="6" t="str">
        <f>B31</f>
        <v>191W-222W</v>
      </c>
      <c r="C33" s="6" t="str">
        <f>C31</f>
        <v>310W HPS</v>
      </c>
      <c r="D33" s="1" t="s">
        <v>9</v>
      </c>
      <c r="E33" s="1" t="s">
        <v>96</v>
      </c>
      <c r="F33" s="1">
        <v>208</v>
      </c>
      <c r="G33" s="2">
        <v>1105.27</v>
      </c>
      <c r="H33" s="1" t="s">
        <v>37</v>
      </c>
      <c r="I33" s="7" t="s">
        <v>65</v>
      </c>
      <c r="J33" s="2"/>
      <c r="K33" s="1"/>
      <c r="L33" s="2"/>
      <c r="M33" s="2"/>
      <c r="N33" s="2"/>
    </row>
    <row r="34" spans="1:15" hidden="1" x14ac:dyDescent="0.3">
      <c r="A34" s="6" t="str">
        <f>A31</f>
        <v>LT-61338</v>
      </c>
      <c r="B34" s="6" t="str">
        <f>B31</f>
        <v>191W-222W</v>
      </c>
      <c r="C34" s="6" t="str">
        <f>C31</f>
        <v>310W HPS</v>
      </c>
      <c r="D34" s="3" t="s">
        <v>10</v>
      </c>
      <c r="E34" s="3" t="s">
        <v>10</v>
      </c>
      <c r="F34" s="3">
        <f>ROUND(AVERAGE(F31:F33),0)</f>
        <v>207</v>
      </c>
      <c r="G34" s="4">
        <f>ROUND(AVERAGE(G31:G33)*1.085,2)</f>
        <v>1004.61</v>
      </c>
      <c r="H34" s="3" t="s">
        <v>131</v>
      </c>
      <c r="I34" s="7">
        <v>310</v>
      </c>
      <c r="J34" s="4">
        <f>$C$80</f>
        <v>262.41000000000003</v>
      </c>
      <c r="K34" s="3" t="s">
        <v>78</v>
      </c>
      <c r="L34" s="4">
        <f>G34-J34</f>
        <v>742.2</v>
      </c>
      <c r="M34" s="4">
        <v>546.54514145833332</v>
      </c>
      <c r="N34" s="10">
        <f>1-L34/M34</f>
        <v>-0.35798480985414227</v>
      </c>
      <c r="O34" t="s">
        <v>218</v>
      </c>
    </row>
    <row r="35" spans="1:15" hidden="1" x14ac:dyDescent="0.3">
      <c r="A35" s="6" t="s">
        <v>47</v>
      </c>
      <c r="B35" s="6" t="s">
        <v>56</v>
      </c>
      <c r="C35" s="6" t="s">
        <v>44</v>
      </c>
      <c r="D35" s="1" t="s">
        <v>6</v>
      </c>
      <c r="E35" s="1" t="s">
        <v>69</v>
      </c>
      <c r="F35" s="1">
        <v>260</v>
      </c>
      <c r="G35" s="2">
        <v>504</v>
      </c>
      <c r="H35" s="1" t="s">
        <v>161</v>
      </c>
      <c r="I35" s="7" t="s">
        <v>65</v>
      </c>
      <c r="J35" s="2"/>
      <c r="K35" s="1"/>
      <c r="L35" s="2"/>
      <c r="M35" s="2"/>
      <c r="N35" s="2"/>
    </row>
    <row r="36" spans="1:15" hidden="1" x14ac:dyDescent="0.3">
      <c r="A36" s="6" t="s">
        <v>141</v>
      </c>
      <c r="B36" s="6" t="str">
        <f>B35</f>
        <v>223W-260W</v>
      </c>
      <c r="C36" s="6" t="str">
        <f>C35</f>
        <v>400W HPS</v>
      </c>
      <c r="D36" s="1" t="s">
        <v>8</v>
      </c>
      <c r="E36" s="1" t="s">
        <v>97</v>
      </c>
      <c r="F36" s="1">
        <v>249</v>
      </c>
      <c r="G36" s="2">
        <v>1202.45</v>
      </c>
      <c r="H36" s="1" t="s">
        <v>95</v>
      </c>
      <c r="I36" s="7" t="s">
        <v>65</v>
      </c>
      <c r="J36" s="2"/>
      <c r="K36" s="1"/>
      <c r="L36" s="2"/>
      <c r="M36" s="2"/>
      <c r="N36" s="2"/>
    </row>
    <row r="37" spans="1:15" hidden="1" x14ac:dyDescent="0.3">
      <c r="A37" s="6" t="s">
        <v>142</v>
      </c>
      <c r="B37" s="6" t="str">
        <f>B35</f>
        <v>223W-260W</v>
      </c>
      <c r="C37" s="6" t="str">
        <f>C35</f>
        <v>400W HPS</v>
      </c>
      <c r="D37" s="1" t="s">
        <v>9</v>
      </c>
      <c r="E37" s="1" t="s">
        <v>75</v>
      </c>
      <c r="F37" s="1">
        <v>224</v>
      </c>
      <c r="G37" s="2">
        <f>1376.85</f>
        <v>1376.85</v>
      </c>
      <c r="H37" s="1" t="s">
        <v>37</v>
      </c>
      <c r="I37" s="7" t="s">
        <v>65</v>
      </c>
      <c r="J37" s="2"/>
      <c r="K37" s="1"/>
      <c r="L37" s="2"/>
      <c r="M37" s="2"/>
      <c r="N37" s="2"/>
    </row>
    <row r="38" spans="1:15" hidden="1" x14ac:dyDescent="0.3">
      <c r="A38" s="6" t="str">
        <f>A35</f>
        <v>LT-81983</v>
      </c>
      <c r="B38" s="6" t="str">
        <f>B35</f>
        <v>223W-260W</v>
      </c>
      <c r="C38" s="6" t="str">
        <f>C35</f>
        <v>400W HPS</v>
      </c>
      <c r="D38" s="3" t="s">
        <v>10</v>
      </c>
      <c r="E38" s="3" t="s">
        <v>10</v>
      </c>
      <c r="F38" s="3">
        <f>ROUND(AVERAGE(F35:F37),0)</f>
        <v>244</v>
      </c>
      <c r="G38" s="4">
        <f>ROUND(AVERAGE(G35:G37)*1.085,2)</f>
        <v>1115.1300000000001</v>
      </c>
      <c r="H38" s="3" t="s">
        <v>131</v>
      </c>
      <c r="I38" s="7">
        <v>400</v>
      </c>
      <c r="J38" s="4">
        <f>$C$81</f>
        <v>330.51</v>
      </c>
      <c r="K38" s="3" t="s">
        <v>78</v>
      </c>
      <c r="L38" s="4">
        <f>G38-J38</f>
        <v>784.62000000000012</v>
      </c>
      <c r="M38" s="4">
        <v>434.55613499999998</v>
      </c>
      <c r="N38" s="10">
        <f>1-L38/M38</f>
        <v>-0.80556650063173119</v>
      </c>
      <c r="O38" t="s">
        <v>219</v>
      </c>
    </row>
    <row r="39" spans="1:15" hidden="1" x14ac:dyDescent="0.3">
      <c r="A39" s="6" t="s">
        <v>57</v>
      </c>
      <c r="B39" s="6" t="s">
        <v>24</v>
      </c>
      <c r="C39" s="6" t="s">
        <v>58</v>
      </c>
      <c r="D39" s="1" t="s">
        <v>6</v>
      </c>
      <c r="E39" s="1" t="str">
        <f>E6</f>
        <v>GCJ1-20G-MV-NW-x-GY-580-WL-PCR7-WL</v>
      </c>
      <c r="F39" s="1">
        <v>38</v>
      </c>
      <c r="G39" s="2">
        <v>179</v>
      </c>
      <c r="H39" s="1" t="s">
        <v>161</v>
      </c>
      <c r="I39" s="7" t="s">
        <v>65</v>
      </c>
      <c r="J39" s="2"/>
      <c r="K39" s="1"/>
      <c r="L39" s="2"/>
      <c r="M39" s="2"/>
      <c r="N39" s="2"/>
    </row>
    <row r="40" spans="1:15" hidden="1" x14ac:dyDescent="0.3">
      <c r="A40" s="6" t="s">
        <v>143</v>
      </c>
      <c r="B40" s="6" t="str">
        <f>B39</f>
        <v>29W-43W</v>
      </c>
      <c r="C40" s="6" t="str">
        <f>C39</f>
        <v>70W PSMH</v>
      </c>
      <c r="D40" s="1" t="s">
        <v>7</v>
      </c>
      <c r="E40" s="1" t="str">
        <f>E7</f>
        <v>BXSP-B-HT-xME-A-40K-UL-xx-N-Q4</v>
      </c>
      <c r="F40" s="1">
        <f t="shared" ref="F40:H42" si="0">F7</f>
        <v>29</v>
      </c>
      <c r="G40" s="2">
        <f t="shared" si="0"/>
        <v>295.90999999999997</v>
      </c>
      <c r="H40" s="1" t="str">
        <f t="shared" si="0"/>
        <v>eGordian: 26 56 19 00-0087</v>
      </c>
      <c r="I40" s="7" t="s">
        <v>65</v>
      </c>
      <c r="J40" s="2"/>
      <c r="K40" s="1"/>
      <c r="L40" s="2"/>
      <c r="M40" s="2"/>
      <c r="N40" s="2"/>
    </row>
    <row r="41" spans="1:15" hidden="1" x14ac:dyDescent="0.3">
      <c r="A41" s="6" t="s">
        <v>144</v>
      </c>
      <c r="B41" s="6" t="str">
        <f>B39</f>
        <v>29W-43W</v>
      </c>
      <c r="C41" s="6" t="str">
        <f>C39</f>
        <v>70W PSMH</v>
      </c>
      <c r="D41" s="1" t="s">
        <v>8</v>
      </c>
      <c r="E41" s="1" t="str">
        <f>E8</f>
        <v>NVN-AF-01-x-x-xx-x @600MA</v>
      </c>
      <c r="F41" s="1">
        <f t="shared" si="0"/>
        <v>34</v>
      </c>
      <c r="G41" s="2">
        <f t="shared" si="0"/>
        <v>349.12</v>
      </c>
      <c r="H41" s="1" t="str">
        <f t="shared" si="0"/>
        <v>eGordian: 26 56 19 00-0106</v>
      </c>
      <c r="I41" t="s">
        <v>65</v>
      </c>
      <c r="J41" s="2"/>
      <c r="K41" s="1"/>
      <c r="L41" s="2"/>
      <c r="M41" s="2"/>
      <c r="N41" s="2"/>
    </row>
    <row r="42" spans="1:15" hidden="1" x14ac:dyDescent="0.3">
      <c r="A42" s="6" t="s">
        <v>145</v>
      </c>
      <c r="B42" s="6" t="str">
        <f>B39</f>
        <v>29W-43W</v>
      </c>
      <c r="C42" s="6" t="str">
        <f>C39</f>
        <v>70W PSMH</v>
      </c>
      <c r="D42" s="1" t="s">
        <v>9</v>
      </c>
      <c r="E42" s="1" t="str">
        <f>E9</f>
        <v>ATB0-20BLEDE53-Mvolt-Rx</v>
      </c>
      <c r="F42" s="1">
        <f t="shared" si="0"/>
        <v>39</v>
      </c>
      <c r="G42" s="2">
        <f t="shared" si="0"/>
        <v>418.42</v>
      </c>
      <c r="H42" s="1" t="str">
        <f t="shared" si="0"/>
        <v>eGordian: 26 56 19 00-0162</v>
      </c>
      <c r="I42" t="s">
        <v>65</v>
      </c>
      <c r="J42" s="2"/>
      <c r="K42" s="1"/>
      <c r="L42" s="2"/>
      <c r="M42" s="2"/>
      <c r="N42" s="2"/>
    </row>
    <row r="43" spans="1:15" hidden="1" x14ac:dyDescent="0.3">
      <c r="A43" s="6" t="str">
        <f>A39</f>
        <v>LT-94198</v>
      </c>
      <c r="B43" s="6" t="str">
        <f>B39</f>
        <v>29W-43W</v>
      </c>
      <c r="C43" s="6" t="str">
        <f>C39</f>
        <v>70W PSMH</v>
      </c>
      <c r="D43" s="3" t="s">
        <v>10</v>
      </c>
      <c r="E43" s="3" t="s">
        <v>10</v>
      </c>
      <c r="F43" s="3">
        <f>ROUND(AVERAGE(F39:F42),0)</f>
        <v>35</v>
      </c>
      <c r="G43" s="4">
        <f>ROUND(AVERAGE(G39:G42)*1.085,2)</f>
        <v>337.01</v>
      </c>
      <c r="H43" s="3" t="s">
        <v>131</v>
      </c>
      <c r="I43" s="7">
        <v>70</v>
      </c>
      <c r="J43" s="4">
        <f>$H$74</f>
        <v>126.79</v>
      </c>
      <c r="K43" s="3" t="s">
        <v>78</v>
      </c>
      <c r="L43" s="4">
        <f>G43-J43</f>
        <v>210.21999999999997</v>
      </c>
      <c r="M43" s="4">
        <v>111.61071187500008</v>
      </c>
      <c r="N43" s="10">
        <f>1-L43/M43</f>
        <v>-0.88351096833284859</v>
      </c>
      <c r="O43" t="str">
        <f>O10</f>
        <v>SCE17LG097_00_M002</v>
      </c>
    </row>
    <row r="44" spans="1:15" hidden="1" x14ac:dyDescent="0.3">
      <c r="A44" s="6" t="s">
        <v>48</v>
      </c>
      <c r="B44" s="6" t="s">
        <v>13</v>
      </c>
      <c r="C44" s="6" t="s">
        <v>59</v>
      </c>
      <c r="D44" s="1" t="s">
        <v>6</v>
      </c>
      <c r="E44" s="1" t="str">
        <f>E11</f>
        <v>GCJ2-20G-MV-NW-x-GY-700-WL-PCR7-WL</v>
      </c>
      <c r="F44" s="1">
        <v>48</v>
      </c>
      <c r="G44" s="2">
        <v>196</v>
      </c>
      <c r="H44" s="1" t="s">
        <v>161</v>
      </c>
      <c r="I44" s="7" t="s">
        <v>65</v>
      </c>
      <c r="J44" s="2"/>
      <c r="K44" s="1"/>
      <c r="L44" s="2"/>
      <c r="M44" s="2"/>
      <c r="N44" s="2"/>
    </row>
    <row r="45" spans="1:15" hidden="1" x14ac:dyDescent="0.3">
      <c r="A45" s="6" t="s">
        <v>146</v>
      </c>
      <c r="B45" s="6" t="str">
        <f>B44</f>
        <v>44W-54W</v>
      </c>
      <c r="C45" s="6" t="str">
        <f>C44</f>
        <v>100W PSMH</v>
      </c>
      <c r="D45" s="1" t="s">
        <v>7</v>
      </c>
      <c r="E45" s="1" t="str">
        <f>E12</f>
        <v>BXSP-B-HT-xME-A-40K-UL-xx-N-Q8</v>
      </c>
      <c r="F45" s="1">
        <f t="shared" ref="F45:H47" si="1">F12</f>
        <v>48</v>
      </c>
      <c r="G45" s="2">
        <f t="shared" si="1"/>
        <v>295.90999999999997</v>
      </c>
      <c r="H45" s="1" t="str">
        <f t="shared" si="1"/>
        <v>eGordian: 26 56 19 00-0087</v>
      </c>
      <c r="I45" s="7" t="s">
        <v>65</v>
      </c>
      <c r="J45" s="2"/>
      <c r="K45" s="1"/>
      <c r="L45" s="2"/>
      <c r="M45" s="2"/>
      <c r="N45" s="2"/>
    </row>
    <row r="46" spans="1:15" hidden="1" x14ac:dyDescent="0.3">
      <c r="A46" s="6" t="s">
        <v>147</v>
      </c>
      <c r="B46" s="6" t="str">
        <f>B44</f>
        <v>44W-54W</v>
      </c>
      <c r="C46" s="6" t="str">
        <f>C44</f>
        <v>100W PSMH</v>
      </c>
      <c r="D46" s="1" t="s">
        <v>8</v>
      </c>
      <c r="E46" s="1" t="str">
        <f>E13</f>
        <v>NVN-AF-01-x-x-xx-x @800MA</v>
      </c>
      <c r="F46" s="1">
        <f t="shared" si="1"/>
        <v>44</v>
      </c>
      <c r="G46" s="2">
        <f t="shared" si="1"/>
        <v>349.12</v>
      </c>
      <c r="H46" s="1" t="str">
        <f t="shared" si="1"/>
        <v>eGordian: 26 56 19 00-0106</v>
      </c>
      <c r="I46" t="s">
        <v>65</v>
      </c>
      <c r="J46" s="2"/>
      <c r="K46" s="1"/>
      <c r="L46" s="2"/>
      <c r="M46" s="2"/>
      <c r="N46" s="2"/>
    </row>
    <row r="47" spans="1:15" hidden="1" x14ac:dyDescent="0.3">
      <c r="A47" s="6" t="s">
        <v>148</v>
      </c>
      <c r="B47" s="6" t="str">
        <f>B44</f>
        <v>44W-54W</v>
      </c>
      <c r="C47" s="6" t="str">
        <f>C44</f>
        <v>100W PSMH</v>
      </c>
      <c r="D47" s="1" t="s">
        <v>9</v>
      </c>
      <c r="E47" s="1" t="str">
        <f>E14</f>
        <v>ATB0-20BLEDE70-Mvolt-Rx</v>
      </c>
      <c r="F47" s="1">
        <f t="shared" si="1"/>
        <v>48</v>
      </c>
      <c r="G47" s="2">
        <f t="shared" si="1"/>
        <v>448.42</v>
      </c>
      <c r="H47" s="1" t="str">
        <f t="shared" si="1"/>
        <v>eGordian: 26 56 19 00-0162</v>
      </c>
      <c r="I47" t="s">
        <v>65</v>
      </c>
      <c r="J47" s="2"/>
      <c r="K47" s="1"/>
      <c r="L47" s="2"/>
      <c r="M47" s="2"/>
      <c r="N47" s="2"/>
    </row>
    <row r="48" spans="1:15" hidden="1" x14ac:dyDescent="0.3">
      <c r="A48" s="6" t="str">
        <f>A44</f>
        <v>LT-18053</v>
      </c>
      <c r="B48" s="6" t="str">
        <f>B44</f>
        <v>44W-54W</v>
      </c>
      <c r="C48" s="6" t="str">
        <f>C44</f>
        <v>100W PSMH</v>
      </c>
      <c r="D48" s="3" t="s">
        <v>10</v>
      </c>
      <c r="E48" s="3" t="s">
        <v>10</v>
      </c>
      <c r="F48" s="3">
        <f>ROUND(AVERAGE(F44:F47),0)</f>
        <v>47</v>
      </c>
      <c r="G48" s="4">
        <f>ROUND(AVERAGE(G44:G47)*1.085,2)</f>
        <v>349.76</v>
      </c>
      <c r="H48" s="3" t="s">
        <v>131</v>
      </c>
      <c r="I48" s="7">
        <v>100</v>
      </c>
      <c r="J48" s="4">
        <f>$H$75</f>
        <v>93.77</v>
      </c>
      <c r="K48" s="3" t="s">
        <v>78</v>
      </c>
      <c r="L48" s="4">
        <f>G48-J48</f>
        <v>255.99</v>
      </c>
      <c r="M48" s="4">
        <v>118.39671187500008</v>
      </c>
      <c r="N48" s="10">
        <f>1-L48/M48</f>
        <v>-1.1621377481349908</v>
      </c>
      <c r="O48" t="str">
        <f>O15</f>
        <v>SCE17LG097_00_M003</v>
      </c>
    </row>
    <row r="49" spans="1:15" hidden="1" x14ac:dyDescent="0.3">
      <c r="A49" s="6" t="s">
        <v>49</v>
      </c>
      <c r="B49" s="6" t="s">
        <v>53</v>
      </c>
      <c r="C49" s="6" t="s">
        <v>60</v>
      </c>
      <c r="D49" s="1" t="s">
        <v>6</v>
      </c>
      <c r="E49" s="1" t="str">
        <f>E16</f>
        <v>GCM2-40F-MV-NW-x-GY-700-WL-PCR7-WL</v>
      </c>
      <c r="F49" s="1">
        <v>88</v>
      </c>
      <c r="G49" s="2">
        <v>249</v>
      </c>
      <c r="H49" s="1" t="s">
        <v>161</v>
      </c>
      <c r="I49" t="s">
        <v>65</v>
      </c>
      <c r="J49" s="2"/>
      <c r="K49" s="1"/>
      <c r="L49" s="2"/>
      <c r="M49" s="2"/>
      <c r="N49" s="2"/>
    </row>
    <row r="50" spans="1:15" hidden="1" x14ac:dyDescent="0.3">
      <c r="A50" s="6" t="s">
        <v>149</v>
      </c>
      <c r="B50" s="6" t="str">
        <f>B49</f>
        <v>55W-90W</v>
      </c>
      <c r="C50" s="6" t="str">
        <f>C49</f>
        <v>150W PSMH</v>
      </c>
      <c r="D50" s="1" t="s">
        <v>7</v>
      </c>
      <c r="E50" s="1" t="str">
        <f>E17</f>
        <v>BXSP-C-HT-xME-E-40K-UL-xx-N-Q6</v>
      </c>
      <c r="F50" s="1">
        <f t="shared" ref="F50:H52" si="2">F17</f>
        <v>87</v>
      </c>
      <c r="G50" s="2">
        <f t="shared" si="2"/>
        <v>342.71999999999997</v>
      </c>
      <c r="H50" s="1" t="str">
        <f t="shared" si="2"/>
        <v>eGordian: 26 56 19 00-0089</v>
      </c>
      <c r="I50" s="7" t="s">
        <v>65</v>
      </c>
      <c r="J50" s="2"/>
      <c r="K50" s="1"/>
      <c r="L50" s="2"/>
      <c r="M50" s="2"/>
      <c r="N50" s="2"/>
    </row>
    <row r="51" spans="1:15" hidden="1" x14ac:dyDescent="0.3">
      <c r="A51" s="6" t="s">
        <v>150</v>
      </c>
      <c r="B51" s="6" t="str">
        <f>B49</f>
        <v>55W-90W</v>
      </c>
      <c r="C51" s="6" t="str">
        <f>C49</f>
        <v>150W PSMH</v>
      </c>
      <c r="D51" s="1" t="s">
        <v>8</v>
      </c>
      <c r="E51" s="1" t="str">
        <f>E18</f>
        <v>NVN-AE-02-E-U-xx-10K-AP @800MA</v>
      </c>
      <c r="F51" s="1">
        <f t="shared" si="2"/>
        <v>85</v>
      </c>
      <c r="G51" s="2">
        <f t="shared" si="2"/>
        <v>514.42999999999995</v>
      </c>
      <c r="H51" s="1" t="str">
        <f t="shared" si="2"/>
        <v>eGordian: 26 56 19 00-0107 </v>
      </c>
      <c r="I51" t="s">
        <v>65</v>
      </c>
      <c r="J51" s="2"/>
      <c r="K51" s="1"/>
      <c r="L51" s="2"/>
      <c r="M51" s="2"/>
      <c r="N51" s="2"/>
    </row>
    <row r="52" spans="1:15" hidden="1" x14ac:dyDescent="0.3">
      <c r="A52" s="6" t="s">
        <v>151</v>
      </c>
      <c r="B52" s="6" t="str">
        <f>B49</f>
        <v>55W-90W</v>
      </c>
      <c r="C52" s="6" t="str">
        <f>C49</f>
        <v>150W PSMH</v>
      </c>
      <c r="D52" s="1" t="s">
        <v>9</v>
      </c>
      <c r="E52" s="1" t="str">
        <f>E19</f>
        <v>ATB0-20BLEDE13-Mvolt-Rx</v>
      </c>
      <c r="F52" s="1">
        <f t="shared" si="2"/>
        <v>88</v>
      </c>
      <c r="G52" s="2">
        <f t="shared" si="2"/>
        <v>418.42</v>
      </c>
      <c r="H52" s="1" t="str">
        <f t="shared" si="2"/>
        <v>eGordian: 26 56 19 00-0163</v>
      </c>
      <c r="I52" s="7" t="s">
        <v>65</v>
      </c>
      <c r="J52" s="2"/>
      <c r="K52" s="1"/>
      <c r="L52" s="2"/>
      <c r="M52" s="2"/>
      <c r="N52" s="2"/>
    </row>
    <row r="53" spans="1:15" hidden="1" x14ac:dyDescent="0.3">
      <c r="A53" s="6" t="str">
        <f>A49</f>
        <v>LT-39353</v>
      </c>
      <c r="B53" s="6" t="str">
        <f>B49</f>
        <v>55W-90W</v>
      </c>
      <c r="C53" s="6" t="str">
        <f>C49</f>
        <v>150W PSMH</v>
      </c>
      <c r="D53" s="3" t="s">
        <v>10</v>
      </c>
      <c r="E53" s="3" t="s">
        <v>10</v>
      </c>
      <c r="F53" s="3">
        <f>ROUND(AVERAGE(F49:F52),0)</f>
        <v>87</v>
      </c>
      <c r="G53" s="4">
        <f>ROUND(AVERAGE(G49:G52)*1.085,2)</f>
        <v>413.54</v>
      </c>
      <c r="H53" s="3" t="s">
        <v>131</v>
      </c>
      <c r="I53" s="7">
        <v>150</v>
      </c>
      <c r="J53" s="4">
        <f>$H$76</f>
        <v>233.33</v>
      </c>
      <c r="K53" s="3" t="s">
        <v>78</v>
      </c>
      <c r="L53" s="4">
        <f>G53-J53</f>
        <v>180.21</v>
      </c>
      <c r="M53" s="4">
        <v>91.637389999999954</v>
      </c>
      <c r="N53" s="10">
        <f>1-L53/M53</f>
        <v>-0.9665553547520298</v>
      </c>
      <c r="O53" t="str">
        <f>O20</f>
        <v>SCE17LG097_00_M004</v>
      </c>
    </row>
    <row r="54" spans="1:15" hidden="1" x14ac:dyDescent="0.3">
      <c r="A54" s="6" t="s">
        <v>50</v>
      </c>
      <c r="B54" s="6" t="s">
        <v>53</v>
      </c>
      <c r="C54" s="6" t="s">
        <v>61</v>
      </c>
      <c r="D54" s="1" t="s">
        <v>6</v>
      </c>
      <c r="E54" s="1" t="str">
        <f>E16</f>
        <v>GCM2-40F-MV-NW-x-GY-700-WL-PCR7-WL</v>
      </c>
      <c r="F54" s="1">
        <v>88</v>
      </c>
      <c r="G54" s="2">
        <v>249</v>
      </c>
      <c r="H54" s="1" t="s">
        <v>161</v>
      </c>
      <c r="I54" t="s">
        <v>65</v>
      </c>
      <c r="J54" s="2"/>
      <c r="K54" s="1"/>
      <c r="L54" s="2"/>
      <c r="M54" s="2"/>
      <c r="N54" s="2"/>
    </row>
    <row r="55" spans="1:15" hidden="1" x14ac:dyDescent="0.3">
      <c r="A55" s="6" t="s">
        <v>152</v>
      </c>
      <c r="B55" s="6" t="str">
        <f>B54</f>
        <v>55W-90W</v>
      </c>
      <c r="C55" s="6" t="str">
        <f>C54</f>
        <v>175W PSMH</v>
      </c>
      <c r="D55" s="1" t="s">
        <v>7</v>
      </c>
      <c r="E55" s="1" t="str">
        <f>E17</f>
        <v>BXSP-C-HT-xME-E-40K-UL-xx-N-Q6</v>
      </c>
      <c r="F55" s="1">
        <f t="shared" ref="F55:H57" si="3">F17</f>
        <v>87</v>
      </c>
      <c r="G55" s="2">
        <f t="shared" si="3"/>
        <v>342.71999999999997</v>
      </c>
      <c r="H55" s="1" t="str">
        <f t="shared" si="3"/>
        <v>eGordian: 26 56 19 00-0089</v>
      </c>
      <c r="I55" s="7" t="s">
        <v>65</v>
      </c>
      <c r="J55" s="2"/>
      <c r="K55" s="1"/>
      <c r="L55" s="2"/>
      <c r="M55" s="2"/>
      <c r="N55" s="2"/>
    </row>
    <row r="56" spans="1:15" hidden="1" x14ac:dyDescent="0.3">
      <c r="A56" s="6" t="s">
        <v>153</v>
      </c>
      <c r="B56" s="6" t="str">
        <f>B54</f>
        <v>55W-90W</v>
      </c>
      <c r="C56" s="6" t="str">
        <f>C54</f>
        <v>175W PSMH</v>
      </c>
      <c r="D56" s="1" t="s">
        <v>8</v>
      </c>
      <c r="E56" s="1" t="str">
        <f>E18</f>
        <v>NVN-AE-02-E-U-xx-10K-AP @800MA</v>
      </c>
      <c r="F56" s="1">
        <f t="shared" si="3"/>
        <v>85</v>
      </c>
      <c r="G56" s="2">
        <f t="shared" si="3"/>
        <v>514.42999999999995</v>
      </c>
      <c r="H56" s="1" t="str">
        <f t="shared" si="3"/>
        <v>eGordian: 26 56 19 00-0107 </v>
      </c>
      <c r="I56" t="s">
        <v>65</v>
      </c>
      <c r="J56" s="2"/>
      <c r="K56" s="1"/>
      <c r="L56" s="2"/>
      <c r="M56" s="2"/>
      <c r="N56" s="2"/>
    </row>
    <row r="57" spans="1:15" hidden="1" x14ac:dyDescent="0.3">
      <c r="A57" s="6" t="s">
        <v>154</v>
      </c>
      <c r="B57" s="6" t="str">
        <f>B54</f>
        <v>55W-90W</v>
      </c>
      <c r="C57" s="6" t="str">
        <f>C54</f>
        <v>175W PSMH</v>
      </c>
      <c r="D57" s="1" t="s">
        <v>9</v>
      </c>
      <c r="E57" s="1" t="str">
        <f>E19</f>
        <v>ATB0-20BLEDE13-Mvolt-Rx</v>
      </c>
      <c r="F57" s="1">
        <f t="shared" si="3"/>
        <v>88</v>
      </c>
      <c r="G57" s="2">
        <f t="shared" si="3"/>
        <v>418.42</v>
      </c>
      <c r="H57" s="1" t="str">
        <f t="shared" si="3"/>
        <v>eGordian: 26 56 19 00-0163</v>
      </c>
      <c r="I57" s="7" t="s">
        <v>65</v>
      </c>
      <c r="J57" s="2"/>
      <c r="K57" s="1"/>
      <c r="L57" s="2"/>
      <c r="M57" s="2"/>
      <c r="N57" s="2"/>
    </row>
    <row r="58" spans="1:15" hidden="1" x14ac:dyDescent="0.3">
      <c r="A58" s="6" t="str">
        <f>A54</f>
        <v>LT-59292</v>
      </c>
      <c r="B58" s="6" t="str">
        <f>B54</f>
        <v>55W-90W</v>
      </c>
      <c r="C58" s="6" t="str">
        <f>C54</f>
        <v>175W PSMH</v>
      </c>
      <c r="D58" s="3" t="s">
        <v>10</v>
      </c>
      <c r="E58" s="3" t="s">
        <v>10</v>
      </c>
      <c r="F58" s="3">
        <f>ROUND(AVERAGE(F54:F57),0)</f>
        <v>87</v>
      </c>
      <c r="G58" s="4">
        <f>ROUND(AVERAGE(G54:G57)*1.085,2)</f>
        <v>413.54</v>
      </c>
      <c r="H58" s="3" t="s">
        <v>131</v>
      </c>
      <c r="I58" s="7">
        <v>175</v>
      </c>
      <c r="J58" s="4">
        <f>$H$77</f>
        <v>233.33</v>
      </c>
      <c r="K58" s="3" t="s">
        <v>78</v>
      </c>
      <c r="L58" s="4">
        <f>G58-J58</f>
        <v>180.21</v>
      </c>
      <c r="M58" s="4">
        <v>106.22400749999994</v>
      </c>
      <c r="N58" s="10">
        <f>1-L58/M58</f>
        <v>-0.69650914366039252</v>
      </c>
      <c r="O58" t="str">
        <f>O20</f>
        <v>SCE17LG097_00_M004</v>
      </c>
    </row>
    <row r="59" spans="1:15" hidden="1" x14ac:dyDescent="0.3">
      <c r="A59" s="6" t="s">
        <v>51</v>
      </c>
      <c r="B59" s="6" t="s">
        <v>14</v>
      </c>
      <c r="C59" s="6" t="s">
        <v>62</v>
      </c>
      <c r="D59" s="1" t="s">
        <v>6</v>
      </c>
      <c r="E59" s="1" t="str">
        <f>E21</f>
        <v>GC1-60F-MV-NW-x-GY-530-WL-PCR7-WL</v>
      </c>
      <c r="F59" s="1">
        <v>101</v>
      </c>
      <c r="G59" s="2">
        <v>303</v>
      </c>
      <c r="H59" s="1" t="s">
        <v>161</v>
      </c>
      <c r="I59" s="7" t="s">
        <v>65</v>
      </c>
      <c r="J59" s="2"/>
      <c r="K59" s="1"/>
      <c r="L59" s="2"/>
      <c r="M59" s="2"/>
      <c r="N59" s="2"/>
      <c r="O59" t="s">
        <v>87</v>
      </c>
    </row>
    <row r="60" spans="1:15" hidden="1" x14ac:dyDescent="0.3">
      <c r="A60" s="6" t="s">
        <v>155</v>
      </c>
      <c r="B60" s="6" t="str">
        <f>B59</f>
        <v>91W-130W</v>
      </c>
      <c r="C60" s="6" t="str">
        <f>C59</f>
        <v>250W PSMH</v>
      </c>
      <c r="D60" s="1" t="s">
        <v>7</v>
      </c>
      <c r="E60" s="1" t="str">
        <f>E22</f>
        <v>BXSP-C-HT-xMEfE-40K-UL-xx-N-Q7</v>
      </c>
      <c r="F60" s="1">
        <f t="shared" ref="F60:H62" si="4">F22</f>
        <v>127</v>
      </c>
      <c r="G60" s="2">
        <f t="shared" si="4"/>
        <v>503.96</v>
      </c>
      <c r="H60" s="1" t="str">
        <f t="shared" si="4"/>
        <v>eGordian: 26 56 19 00-0089</v>
      </c>
      <c r="I60" s="7" t="s">
        <v>65</v>
      </c>
      <c r="J60" s="2"/>
      <c r="K60" s="1"/>
      <c r="L60" s="2"/>
      <c r="M60" s="2"/>
      <c r="N60" s="2"/>
    </row>
    <row r="61" spans="1:15" hidden="1" x14ac:dyDescent="0.3">
      <c r="A61" s="6" t="s">
        <v>156</v>
      </c>
      <c r="B61" s="6" t="str">
        <f>B59</f>
        <v>91W-130W</v>
      </c>
      <c r="C61" s="6" t="str">
        <f>C59</f>
        <v>250W PSMH</v>
      </c>
      <c r="D61" s="1" t="s">
        <v>8</v>
      </c>
      <c r="E61" s="1" t="str">
        <f>E23</f>
        <v>NVN-AE-03-E-U-xx-10K-AP @800MA</v>
      </c>
      <c r="F61" s="1">
        <f t="shared" si="4"/>
        <v>124</v>
      </c>
      <c r="G61" s="2">
        <f t="shared" si="4"/>
        <v>537.29999999999995</v>
      </c>
      <c r="H61" s="1" t="str">
        <f t="shared" si="4"/>
        <v>eGordian: 26 56 19 00-0108</v>
      </c>
      <c r="I61" t="s">
        <v>65</v>
      </c>
      <c r="J61" s="2"/>
      <c r="K61" s="1"/>
      <c r="L61" s="2"/>
      <c r="M61" s="2"/>
      <c r="N61" s="2"/>
    </row>
    <row r="62" spans="1:15" hidden="1" x14ac:dyDescent="0.3">
      <c r="A62" s="6" t="s">
        <v>157</v>
      </c>
      <c r="B62" s="6" t="str">
        <f>B59</f>
        <v>91W-130W</v>
      </c>
      <c r="C62" s="6" t="str">
        <f>C59</f>
        <v>250W PSMH</v>
      </c>
      <c r="D62" s="1" t="s">
        <v>9</v>
      </c>
      <c r="E62" s="1" t="str">
        <f>E24</f>
        <v>ATB0-30BLEDE10-Mvolt-Rx</v>
      </c>
      <c r="F62" s="1">
        <f t="shared" si="4"/>
        <v>104</v>
      </c>
      <c r="G62" s="2">
        <f t="shared" si="4"/>
        <v>578.63</v>
      </c>
      <c r="H62" s="1" t="str">
        <f t="shared" si="4"/>
        <v>eGordian: 26 56 19 00-0163</v>
      </c>
      <c r="I62" t="s">
        <v>65</v>
      </c>
      <c r="J62" s="2"/>
      <c r="K62" s="1"/>
      <c r="L62" s="2"/>
      <c r="M62" s="2"/>
      <c r="N62" s="2"/>
    </row>
    <row r="63" spans="1:15" hidden="1" x14ac:dyDescent="0.3">
      <c r="A63" s="6" t="str">
        <f>A59</f>
        <v>LT-35035</v>
      </c>
      <c r="B63" s="6" t="str">
        <f>B59</f>
        <v>91W-130W</v>
      </c>
      <c r="C63" s="6" t="str">
        <f>C59</f>
        <v>250W PSMH</v>
      </c>
      <c r="D63" s="3" t="s">
        <v>10</v>
      </c>
      <c r="E63" s="3" t="s">
        <v>10</v>
      </c>
      <c r="F63" s="3">
        <f>ROUND(AVERAGE(F59:F62),0)</f>
        <v>114</v>
      </c>
      <c r="G63" s="4">
        <f>ROUND(AVERAGE(G59:G62)*1.085,2)</f>
        <v>521.58000000000004</v>
      </c>
      <c r="H63" s="3" t="s">
        <v>131</v>
      </c>
      <c r="I63" s="7">
        <v>250</v>
      </c>
      <c r="J63" s="4">
        <f>$H$78</f>
        <v>289.45999999999998</v>
      </c>
      <c r="K63" s="3" t="s">
        <v>78</v>
      </c>
      <c r="L63" s="4">
        <f>G63-J63</f>
        <v>232.12000000000006</v>
      </c>
      <c r="M63" s="4">
        <v>247.16397874999996</v>
      </c>
      <c r="N63" s="10">
        <f>1-L63/M63</f>
        <v>6.0866388484612011E-2</v>
      </c>
      <c r="O63" t="str">
        <f>O25</f>
        <v>SCE17LG097_00_M005</v>
      </c>
    </row>
    <row r="64" spans="1:15" x14ac:dyDescent="0.3">
      <c r="A64" s="6" t="s">
        <v>52</v>
      </c>
      <c r="B64" s="6" t="s">
        <v>54</v>
      </c>
      <c r="C64" s="6" t="s">
        <v>63</v>
      </c>
      <c r="D64" s="1" t="s">
        <v>6</v>
      </c>
      <c r="E64" s="1" t="str">
        <f>E26</f>
        <v>GC2-80F-MV-NW-x-GY-700-WL-PCR7-WL</v>
      </c>
      <c r="F64" s="1">
        <f t="shared" ref="F64:G64" si="5">F26</f>
        <v>180</v>
      </c>
      <c r="G64" s="2">
        <f t="shared" si="5"/>
        <v>451</v>
      </c>
      <c r="H64" s="1" t="s">
        <v>161</v>
      </c>
      <c r="I64" s="8" t="s">
        <v>65</v>
      </c>
      <c r="J64" s="2"/>
      <c r="K64" s="1"/>
      <c r="L64" s="2"/>
      <c r="M64" s="2"/>
      <c r="N64" s="2"/>
    </row>
    <row r="65" spans="1:15" x14ac:dyDescent="0.3">
      <c r="A65" s="6" t="s">
        <v>158</v>
      </c>
      <c r="B65" s="6" t="str">
        <f>B64</f>
        <v>131W-190W</v>
      </c>
      <c r="C65" s="6" t="str">
        <f>C64</f>
        <v>400W PSMH</v>
      </c>
      <c r="D65" s="1" t="s">
        <v>7</v>
      </c>
      <c r="E65" s="1" t="str">
        <f>E27</f>
        <v>BXSP-C-HT-xME-F-40K-UL-xx-N-Q9</v>
      </c>
      <c r="F65" s="1">
        <f>F27</f>
        <v>139</v>
      </c>
      <c r="G65" s="2">
        <f>G27</f>
        <v>503.96</v>
      </c>
      <c r="H65" s="1" t="str">
        <f>H27</f>
        <v>eGordian: 26 56 19 00-0089</v>
      </c>
      <c r="I65" t="s">
        <v>65</v>
      </c>
      <c r="J65" s="2"/>
      <c r="K65" s="1"/>
      <c r="L65" s="2"/>
      <c r="M65" s="2"/>
      <c r="N65" s="2"/>
    </row>
    <row r="66" spans="1:15" x14ac:dyDescent="0.3">
      <c r="A66" s="6" t="s">
        <v>159</v>
      </c>
      <c r="B66" s="6" t="str">
        <f>B64</f>
        <v>131W-190W</v>
      </c>
      <c r="C66" s="6" t="str">
        <f>C64</f>
        <v>400W PSMH</v>
      </c>
      <c r="D66" s="1" t="s">
        <v>8</v>
      </c>
      <c r="E66" s="1" t="s">
        <v>72</v>
      </c>
      <c r="F66" s="1">
        <f>F28</f>
        <v>171</v>
      </c>
      <c r="G66" s="2">
        <f>G28</f>
        <v>885.88</v>
      </c>
      <c r="H66" s="1" t="s">
        <v>36</v>
      </c>
      <c r="I66" t="s">
        <v>65</v>
      </c>
      <c r="J66" s="2"/>
      <c r="K66" s="1"/>
      <c r="L66" s="2"/>
      <c r="M66" s="2"/>
      <c r="N66" s="2"/>
    </row>
    <row r="67" spans="1:15" x14ac:dyDescent="0.3">
      <c r="A67" s="6" t="s">
        <v>160</v>
      </c>
      <c r="B67" s="6" t="str">
        <f>B64</f>
        <v>131W-190W</v>
      </c>
      <c r="C67" s="6" t="str">
        <f>C64</f>
        <v>400W PSMH</v>
      </c>
      <c r="D67" s="1" t="s">
        <v>9</v>
      </c>
      <c r="E67" s="1" t="s">
        <v>74</v>
      </c>
      <c r="F67" s="1">
        <f>F29</f>
        <v>177</v>
      </c>
      <c r="G67" s="2">
        <f>G29</f>
        <v>828.98</v>
      </c>
      <c r="H67" s="1" t="s">
        <v>37</v>
      </c>
      <c r="I67" s="7" t="s">
        <v>65</v>
      </c>
      <c r="J67" s="2"/>
      <c r="K67" s="1"/>
      <c r="L67" s="2"/>
      <c r="M67" s="2"/>
      <c r="N67" s="2"/>
    </row>
    <row r="68" spans="1:15" x14ac:dyDescent="0.3">
      <c r="A68" s="6" t="str">
        <f>A64</f>
        <v>LT-46736</v>
      </c>
      <c r="B68" s="6" t="str">
        <f>B64</f>
        <v>131W-190W</v>
      </c>
      <c r="C68" s="6" t="str">
        <f>C64</f>
        <v>400W PSMH</v>
      </c>
      <c r="D68" s="3" t="s">
        <v>10</v>
      </c>
      <c r="E68" s="3" t="s">
        <v>10</v>
      </c>
      <c r="F68" s="3">
        <f>ROUND(AVERAGE(F64:F67),0)</f>
        <v>167</v>
      </c>
      <c r="G68" s="4">
        <f>ROUND(AVERAGE(G64:G67)*1.085,2)</f>
        <v>724.19</v>
      </c>
      <c r="H68" s="3" t="s">
        <v>131</v>
      </c>
      <c r="I68" s="7">
        <v>400</v>
      </c>
      <c r="J68" s="4">
        <f>$H$79</f>
        <v>328.89</v>
      </c>
      <c r="K68" s="3" t="s">
        <v>78</v>
      </c>
      <c r="L68" s="4">
        <f>G68-J68</f>
        <v>395.30000000000007</v>
      </c>
      <c r="M68" s="4">
        <v>413.29639000000003</v>
      </c>
      <c r="N68" s="10">
        <f>1-L68/M68</f>
        <v>4.3543545105728998E-2</v>
      </c>
      <c r="O68" t="str">
        <f>O30</f>
        <v>SCE17LG097_02_M006</v>
      </c>
    </row>
    <row r="72" spans="1:15" x14ac:dyDescent="0.3">
      <c r="A72" s="12" t="s">
        <v>108</v>
      </c>
      <c r="F72" s="12" t="s">
        <v>109</v>
      </c>
    </row>
    <row r="73" spans="1:15" x14ac:dyDescent="0.3">
      <c r="A73" s="1" t="s">
        <v>3</v>
      </c>
      <c r="B73" s="1" t="s">
        <v>79</v>
      </c>
      <c r="C73" s="1" t="s">
        <v>122</v>
      </c>
      <c r="D73" s="23" t="s">
        <v>212</v>
      </c>
      <c r="F73" s="1" t="s">
        <v>3</v>
      </c>
      <c r="G73" s="1" t="s">
        <v>79</v>
      </c>
      <c r="H73" s="1" t="s">
        <v>122</v>
      </c>
      <c r="J73" s="23" t="s">
        <v>212</v>
      </c>
    </row>
    <row r="74" spans="1:15" x14ac:dyDescent="0.3">
      <c r="A74" s="1">
        <v>50</v>
      </c>
      <c r="B74" s="2">
        <f>B75</f>
        <v>63.673333333333325</v>
      </c>
      <c r="C74" s="2">
        <f>ROUND(B74*1.085,2)</f>
        <v>69.09</v>
      </c>
      <c r="D74" s="1" t="s">
        <v>222</v>
      </c>
      <c r="F74" s="1">
        <v>70</v>
      </c>
      <c r="G74" s="2">
        <f>AVERAGEIFS($G$85:$G$117,$F$85:$F$117,F74)</f>
        <v>116.85999999999999</v>
      </c>
      <c r="H74" s="2">
        <f t="shared" ref="H74:H79" si="6">ROUND(G74*1.085,2)</f>
        <v>126.79</v>
      </c>
      <c r="J74" s="1" t="s">
        <v>227</v>
      </c>
    </row>
    <row r="75" spans="1:15" x14ac:dyDescent="0.3">
      <c r="A75" s="1">
        <v>70</v>
      </c>
      <c r="B75" s="2">
        <f>AVERAGEIFS($B$85:$B$116,$A$85:$A$116,A75)</f>
        <v>63.673333333333325</v>
      </c>
      <c r="C75" s="2">
        <f t="shared" ref="C75:C81" si="7">ROUND(B75*1.085,2)</f>
        <v>69.09</v>
      </c>
      <c r="D75" s="1" t="str">
        <f>D74</f>
        <v>SCE17LG097_02_M001</v>
      </c>
      <c r="F75" s="1">
        <v>100</v>
      </c>
      <c r="G75" s="2">
        <f>AVERAGEIFS($G$85:$G$117,$F$85:$F$117,F75)</f>
        <v>86.423333333333332</v>
      </c>
      <c r="H75" s="2">
        <f t="shared" si="6"/>
        <v>93.77</v>
      </c>
      <c r="J75" s="1" t="s">
        <v>228</v>
      </c>
    </row>
    <row r="76" spans="1:15" x14ac:dyDescent="0.3">
      <c r="A76" s="1">
        <v>100</v>
      </c>
      <c r="B76" s="2">
        <f>AVERAGEIFS($B$85:$B$116,$A$85:$A$116,A76)</f>
        <v>143.68</v>
      </c>
      <c r="C76" s="2">
        <f t="shared" si="7"/>
        <v>155.88999999999999</v>
      </c>
      <c r="D76" s="1" t="s">
        <v>223</v>
      </c>
      <c r="F76" s="1">
        <v>150</v>
      </c>
      <c r="G76" s="2">
        <f>AVERAGEIFS($G$85:$G$117,$F$85:$F$117,F76)</f>
        <v>215.04666666666665</v>
      </c>
      <c r="H76" s="2">
        <f t="shared" si="6"/>
        <v>233.33</v>
      </c>
      <c r="J76" s="1" t="s">
        <v>229</v>
      </c>
    </row>
    <row r="77" spans="1:15" x14ac:dyDescent="0.3">
      <c r="A77" s="1">
        <v>150</v>
      </c>
      <c r="B77" s="2">
        <f>AVERAGEIFS($B$85:$B$116,$A$85:$A$116,A77)</f>
        <v>196.25</v>
      </c>
      <c r="C77" s="2">
        <f t="shared" si="7"/>
        <v>212.93</v>
      </c>
      <c r="D77" s="1" t="s">
        <v>224</v>
      </c>
      <c r="F77" s="1">
        <v>175</v>
      </c>
      <c r="G77" s="2">
        <f>G76</f>
        <v>215.04666666666665</v>
      </c>
      <c r="H77" s="2">
        <f t="shared" si="6"/>
        <v>233.33</v>
      </c>
      <c r="J77" s="1" t="str">
        <f>J76</f>
        <v>SCE17LG097_02_M008</v>
      </c>
    </row>
    <row r="78" spans="1:15" x14ac:dyDescent="0.3">
      <c r="A78" s="1">
        <v>200</v>
      </c>
      <c r="B78" s="2">
        <f>B77</f>
        <v>196.25</v>
      </c>
      <c r="C78" s="2">
        <f t="shared" si="7"/>
        <v>212.93</v>
      </c>
      <c r="D78" s="1" t="str">
        <f>D77</f>
        <v>SCE17LG097_02_M003</v>
      </c>
      <c r="F78" s="1">
        <v>250</v>
      </c>
      <c r="G78" s="2">
        <f>AVERAGEIFS($G$85:$G$117,$F$85:$F$117,F78)</f>
        <v>266.77999999999997</v>
      </c>
      <c r="H78" s="2">
        <f t="shared" si="6"/>
        <v>289.45999999999998</v>
      </c>
      <c r="J78" s="1" t="s">
        <v>240</v>
      </c>
    </row>
    <row r="79" spans="1:15" x14ac:dyDescent="0.3">
      <c r="A79" s="1">
        <v>250</v>
      </c>
      <c r="B79" s="2">
        <f>AVERAGEIFS($B$85:$B$116,$A$85:$A$116,A79)</f>
        <v>241.85</v>
      </c>
      <c r="C79" s="2">
        <f t="shared" si="7"/>
        <v>262.41000000000003</v>
      </c>
      <c r="D79" s="1" t="s">
        <v>225</v>
      </c>
      <c r="F79" s="1">
        <v>400</v>
      </c>
      <c r="G79" s="2">
        <f>AVERAGEIFS($G$85:$G$117,$F$85:$F$117,F79)</f>
        <v>303.12</v>
      </c>
      <c r="H79" s="2">
        <f t="shared" si="6"/>
        <v>328.89</v>
      </c>
      <c r="J79" s="1" t="s">
        <v>241</v>
      </c>
    </row>
    <row r="80" spans="1:15" x14ac:dyDescent="0.3">
      <c r="A80" s="1">
        <v>310</v>
      </c>
      <c r="B80" s="2">
        <f>B79</f>
        <v>241.85</v>
      </c>
      <c r="C80" s="2">
        <f t="shared" si="7"/>
        <v>262.41000000000003</v>
      </c>
      <c r="D80" s="1" t="str">
        <f>D79</f>
        <v>SCE17LG097_02_M004</v>
      </c>
      <c r="G80" s="11"/>
    </row>
    <row r="81" spans="1:9" x14ac:dyDescent="0.3">
      <c r="A81" s="1">
        <v>400</v>
      </c>
      <c r="B81" s="2">
        <f>AVERAGEIFS($B$85:$B$116,$A$85:$A$116,A81)</f>
        <v>304.61666666666667</v>
      </c>
      <c r="C81" s="2">
        <f t="shared" si="7"/>
        <v>330.51</v>
      </c>
      <c r="D81" s="1" t="s">
        <v>226</v>
      </c>
      <c r="G81" s="11"/>
    </row>
    <row r="84" spans="1:9" x14ac:dyDescent="0.3">
      <c r="A84" s="1" t="s">
        <v>3</v>
      </c>
      <c r="B84" s="1" t="s">
        <v>79</v>
      </c>
      <c r="C84" s="1" t="s">
        <v>4</v>
      </c>
      <c r="F84" s="1" t="s">
        <v>3</v>
      </c>
      <c r="G84" s="1" t="s">
        <v>79</v>
      </c>
      <c r="H84" s="1" t="s">
        <v>4</v>
      </c>
      <c r="I84" s="1"/>
    </row>
    <row r="85" spans="1:9" x14ac:dyDescent="0.3">
      <c r="A85" s="1">
        <v>70</v>
      </c>
      <c r="B85" s="13">
        <v>75.42</v>
      </c>
      <c r="C85" s="1" t="s">
        <v>116</v>
      </c>
      <c r="F85" s="1">
        <v>70</v>
      </c>
      <c r="G85" s="13">
        <v>148.22999999999999</v>
      </c>
      <c r="H85" s="1" t="s">
        <v>114</v>
      </c>
      <c r="I85" s="1"/>
    </row>
    <row r="86" spans="1:9" x14ac:dyDescent="0.3">
      <c r="A86" s="1">
        <v>70</v>
      </c>
      <c r="B86" s="13">
        <v>59.99</v>
      </c>
      <c r="C86" s="1" t="s">
        <v>117</v>
      </c>
      <c r="F86" s="1">
        <v>70</v>
      </c>
      <c r="G86" s="13">
        <v>85.49</v>
      </c>
      <c r="H86" s="1" t="s">
        <v>124</v>
      </c>
      <c r="I86" s="1"/>
    </row>
    <row r="87" spans="1:9" x14ac:dyDescent="0.3">
      <c r="A87" s="1">
        <v>70</v>
      </c>
      <c r="B87" s="13">
        <v>55.61</v>
      </c>
      <c r="C87" s="1" t="s">
        <v>118</v>
      </c>
      <c r="F87" s="1">
        <v>100</v>
      </c>
      <c r="G87" s="13">
        <v>83</v>
      </c>
      <c r="H87" s="1" t="s">
        <v>113</v>
      </c>
      <c r="I87" s="1"/>
    </row>
    <row r="88" spans="1:9" x14ac:dyDescent="0.3">
      <c r="A88" s="1">
        <v>100</v>
      </c>
      <c r="B88" s="13">
        <v>246.21</v>
      </c>
      <c r="C88" s="1" t="s">
        <v>98</v>
      </c>
      <c r="F88" s="1">
        <v>100</v>
      </c>
      <c r="G88" s="13">
        <v>83</v>
      </c>
      <c r="H88" s="1" t="s">
        <v>121</v>
      </c>
      <c r="I88" s="1"/>
    </row>
    <row r="89" spans="1:9" x14ac:dyDescent="0.3">
      <c r="A89" s="1">
        <v>100</v>
      </c>
      <c r="B89" s="13">
        <v>81.5</v>
      </c>
      <c r="C89" s="1" t="s">
        <v>110</v>
      </c>
      <c r="F89" s="1">
        <v>100</v>
      </c>
      <c r="G89" s="13">
        <v>93.27</v>
      </c>
      <c r="H89" s="1" t="s">
        <v>123</v>
      </c>
      <c r="I89" s="1"/>
    </row>
    <row r="90" spans="1:9" x14ac:dyDescent="0.3">
      <c r="A90" s="1">
        <v>100</v>
      </c>
      <c r="B90" s="13">
        <v>138.13</v>
      </c>
      <c r="C90" s="1" t="s">
        <v>111</v>
      </c>
      <c r="F90" s="1">
        <v>150</v>
      </c>
      <c r="G90" s="13">
        <v>179</v>
      </c>
      <c r="H90" s="1" t="s">
        <v>102</v>
      </c>
      <c r="I90" s="1"/>
    </row>
    <row r="91" spans="1:9" x14ac:dyDescent="0.3">
      <c r="A91" s="1">
        <v>100</v>
      </c>
      <c r="B91" s="13">
        <v>151.61000000000001</v>
      </c>
      <c r="C91" s="1" t="s">
        <v>112</v>
      </c>
      <c r="F91" s="1">
        <v>150</v>
      </c>
      <c r="G91" s="13">
        <v>189</v>
      </c>
      <c r="H91" s="1" t="s">
        <v>120</v>
      </c>
      <c r="I91" s="1"/>
    </row>
    <row r="92" spans="1:9" x14ac:dyDescent="0.3">
      <c r="A92" s="1">
        <v>100</v>
      </c>
      <c r="B92" s="13">
        <v>100.95</v>
      </c>
      <c r="C92" s="1" t="s">
        <v>115</v>
      </c>
      <c r="F92" s="1">
        <v>150</v>
      </c>
      <c r="G92" s="13">
        <v>277.14</v>
      </c>
      <c r="H92" s="1" t="s">
        <v>125</v>
      </c>
      <c r="I92" s="1"/>
    </row>
    <row r="93" spans="1:9" x14ac:dyDescent="0.3">
      <c r="A93" s="1">
        <v>150</v>
      </c>
      <c r="B93" s="13">
        <v>260.75</v>
      </c>
      <c r="C93" s="1" t="s">
        <v>83</v>
      </c>
      <c r="F93" s="1">
        <v>250</v>
      </c>
      <c r="G93" s="13">
        <v>380.59</v>
      </c>
      <c r="H93" s="1" t="s">
        <v>81</v>
      </c>
      <c r="I93" s="1"/>
    </row>
    <row r="94" spans="1:9" x14ac:dyDescent="0.3">
      <c r="A94" s="1">
        <v>150</v>
      </c>
      <c r="B94" s="13">
        <v>159</v>
      </c>
      <c r="C94" s="1" t="s">
        <v>99</v>
      </c>
      <c r="F94" s="1">
        <v>250</v>
      </c>
      <c r="G94" s="13">
        <v>189</v>
      </c>
      <c r="H94" s="1" t="s">
        <v>103</v>
      </c>
      <c r="I94" s="1"/>
    </row>
    <row r="95" spans="1:9" x14ac:dyDescent="0.3">
      <c r="A95" s="1">
        <v>150</v>
      </c>
      <c r="B95" s="13">
        <v>169</v>
      </c>
      <c r="C95" s="1" t="s">
        <v>119</v>
      </c>
      <c r="F95" s="1">
        <v>250</v>
      </c>
      <c r="G95" s="13">
        <v>199</v>
      </c>
      <c r="H95" s="1" t="s">
        <v>126</v>
      </c>
      <c r="I95" s="1"/>
    </row>
    <row r="96" spans="1:9" x14ac:dyDescent="0.3">
      <c r="A96" s="1">
        <v>175</v>
      </c>
      <c r="B96" s="13">
        <v>273.35000000000002</v>
      </c>
      <c r="C96" s="1" t="s">
        <v>129</v>
      </c>
      <c r="F96" s="1">
        <v>250</v>
      </c>
      <c r="G96" s="13">
        <v>298.52999999999997</v>
      </c>
      <c r="H96" s="1" t="s">
        <v>127</v>
      </c>
      <c r="I96" s="1"/>
    </row>
    <row r="97" spans="1:9" x14ac:dyDescent="0.3">
      <c r="A97" s="1">
        <v>250</v>
      </c>
      <c r="B97" s="13">
        <v>316.55</v>
      </c>
      <c r="C97" s="1" t="s">
        <v>82</v>
      </c>
      <c r="F97" s="1">
        <v>320</v>
      </c>
      <c r="G97" s="13">
        <v>219</v>
      </c>
      <c r="H97" s="1" t="s">
        <v>104</v>
      </c>
      <c r="I97" s="1"/>
    </row>
    <row r="98" spans="1:9" x14ac:dyDescent="0.3">
      <c r="A98" s="1">
        <v>250</v>
      </c>
      <c r="B98" s="13">
        <v>189</v>
      </c>
      <c r="C98" s="1" t="s">
        <v>100</v>
      </c>
      <c r="F98" s="1">
        <v>400</v>
      </c>
      <c r="G98" s="13">
        <v>465.95</v>
      </c>
      <c r="H98" s="1" t="s">
        <v>130</v>
      </c>
      <c r="I98" s="1"/>
    </row>
    <row r="99" spans="1:9" x14ac:dyDescent="0.3">
      <c r="A99" s="1">
        <v>250</v>
      </c>
      <c r="B99" s="13">
        <v>220</v>
      </c>
      <c r="C99" s="1" t="s">
        <v>106</v>
      </c>
      <c r="F99" s="1">
        <v>400</v>
      </c>
      <c r="G99" s="13">
        <v>229</v>
      </c>
      <c r="H99" s="1" t="s">
        <v>105</v>
      </c>
      <c r="I99" s="1"/>
    </row>
    <row r="100" spans="1:9" x14ac:dyDescent="0.3">
      <c r="A100" s="1">
        <v>400</v>
      </c>
      <c r="B100" s="13">
        <v>425.85</v>
      </c>
      <c r="C100" s="1" t="s">
        <v>82</v>
      </c>
      <c r="F100" s="1">
        <v>400</v>
      </c>
      <c r="G100" s="13">
        <v>298.52999999999997</v>
      </c>
      <c r="H100" s="1" t="s">
        <v>127</v>
      </c>
      <c r="I100" s="1"/>
    </row>
    <row r="101" spans="1:9" x14ac:dyDescent="0.3">
      <c r="A101" s="1">
        <v>400</v>
      </c>
      <c r="B101" s="13">
        <v>209</v>
      </c>
      <c r="C101" s="1" t="s">
        <v>101</v>
      </c>
      <c r="F101" s="1">
        <v>400</v>
      </c>
      <c r="G101" s="13">
        <v>219</v>
      </c>
      <c r="H101" s="1" t="s">
        <v>128</v>
      </c>
      <c r="I101" s="1"/>
    </row>
    <row r="102" spans="1:9" x14ac:dyDescent="0.3">
      <c r="A102" s="1">
        <v>400</v>
      </c>
      <c r="B102" s="13">
        <v>279</v>
      </c>
      <c r="C102" s="1" t="s">
        <v>107</v>
      </c>
      <c r="F102" s="1"/>
      <c r="G102" s="13"/>
      <c r="H102" s="1"/>
      <c r="I102" s="1"/>
    </row>
    <row r="104" spans="1:9" x14ac:dyDescent="0.3">
      <c r="C104" s="11"/>
    </row>
  </sheetData>
  <autoFilter ref="A2:O68">
    <filterColumn colId="1">
      <filters>
        <filter val="131W-190W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4.4" x14ac:dyDescent="0.3"/>
  <cols>
    <col min="1" max="1" width="31.5546875" customWidth="1"/>
    <col min="2" max="2" width="10.44140625" bestFit="1" customWidth="1"/>
    <col min="4" max="4" width="22.33203125" bestFit="1" customWidth="1"/>
    <col min="5" max="5" width="37.33203125" customWidth="1"/>
  </cols>
  <sheetData>
    <row r="1" spans="1:5" x14ac:dyDescent="0.3">
      <c r="A1" s="12" t="s">
        <v>185</v>
      </c>
    </row>
    <row r="2" spans="1:5" x14ac:dyDescent="0.3">
      <c r="A2" s="14" t="s">
        <v>166</v>
      </c>
      <c r="B2" s="14" t="s">
        <v>163</v>
      </c>
      <c r="C2" s="14" t="s">
        <v>164</v>
      </c>
      <c r="D2" s="14" t="s">
        <v>167</v>
      </c>
      <c r="E2" s="14" t="s">
        <v>4</v>
      </c>
    </row>
    <row r="3" spans="1:5" x14ac:dyDescent="0.3">
      <c r="A3" s="1" t="s">
        <v>172</v>
      </c>
      <c r="B3" s="1" t="s">
        <v>175</v>
      </c>
      <c r="C3" s="2">
        <v>6.51</v>
      </c>
      <c r="D3" s="1"/>
      <c r="E3" s="1" t="s">
        <v>171</v>
      </c>
    </row>
    <row r="4" spans="1:5" x14ac:dyDescent="0.3">
      <c r="A4" s="1" t="s">
        <v>173</v>
      </c>
      <c r="B4" s="1" t="s">
        <v>175</v>
      </c>
      <c r="C4" s="2">
        <v>21.77</v>
      </c>
      <c r="D4" s="1"/>
      <c r="E4" s="1" t="s">
        <v>171</v>
      </c>
    </row>
    <row r="5" spans="1:5" x14ac:dyDescent="0.3">
      <c r="A5" s="1" t="s">
        <v>174</v>
      </c>
      <c r="B5" s="1" t="s">
        <v>175</v>
      </c>
      <c r="C5" s="2">
        <v>4.26</v>
      </c>
      <c r="D5" s="1"/>
      <c r="E5" s="1" t="s">
        <v>171</v>
      </c>
    </row>
    <row r="6" spans="1:5" x14ac:dyDescent="0.3">
      <c r="A6" s="14" t="s">
        <v>186</v>
      </c>
      <c r="B6" s="14"/>
      <c r="C6" s="15">
        <f>SUM(C3:C5)</f>
        <v>32.54</v>
      </c>
      <c r="D6" s="1"/>
      <c r="E6" s="1"/>
    </row>
    <row r="8" spans="1:5" x14ac:dyDescent="0.3">
      <c r="A8" s="12" t="s">
        <v>176</v>
      </c>
    </row>
    <row r="9" spans="1:5" x14ac:dyDescent="0.3">
      <c r="A9" s="14" t="s">
        <v>166</v>
      </c>
      <c r="B9" s="14" t="s">
        <v>163</v>
      </c>
      <c r="C9" s="15" t="s">
        <v>164</v>
      </c>
      <c r="D9" s="14" t="s">
        <v>167</v>
      </c>
      <c r="E9" s="14" t="s">
        <v>4</v>
      </c>
    </row>
    <row r="10" spans="1:5" x14ac:dyDescent="0.3">
      <c r="A10" s="1" t="s">
        <v>165</v>
      </c>
      <c r="B10" s="1" t="s">
        <v>178</v>
      </c>
      <c r="C10" s="2">
        <f>ROUND(904.57/50,2)</f>
        <v>18.09</v>
      </c>
      <c r="D10" s="1" t="s">
        <v>177</v>
      </c>
      <c r="E10" s="1" t="s">
        <v>181</v>
      </c>
    </row>
    <row r="11" spans="1:5" x14ac:dyDescent="0.3">
      <c r="A11" s="1" t="s">
        <v>168</v>
      </c>
      <c r="B11" s="1" t="s">
        <v>179</v>
      </c>
      <c r="C11" s="2">
        <v>1.41</v>
      </c>
      <c r="D11" s="1"/>
      <c r="E11" s="1" t="s">
        <v>183</v>
      </c>
    </row>
    <row r="12" spans="1:5" x14ac:dyDescent="0.3">
      <c r="A12" s="1" t="s">
        <v>169</v>
      </c>
      <c r="B12" s="1" t="s">
        <v>180</v>
      </c>
      <c r="C12" s="2">
        <v>5.63</v>
      </c>
      <c r="D12" s="1"/>
      <c r="E12" s="1" t="s">
        <v>184</v>
      </c>
    </row>
    <row r="13" spans="1:5" x14ac:dyDescent="0.3">
      <c r="A13" s="1" t="s">
        <v>170</v>
      </c>
      <c r="B13" s="1" t="s">
        <v>180</v>
      </c>
      <c r="C13" s="2">
        <v>0.85</v>
      </c>
      <c r="D13" s="1"/>
      <c r="E13" s="1" t="s">
        <v>182</v>
      </c>
    </row>
    <row r="14" spans="1:5" x14ac:dyDescent="0.3">
      <c r="A14" s="14" t="s">
        <v>188</v>
      </c>
      <c r="B14" s="14"/>
      <c r="C14" s="15">
        <f>SUM(C10:C13)</f>
        <v>25.98</v>
      </c>
      <c r="D14" s="1"/>
      <c r="E14" s="1"/>
    </row>
    <row r="16" spans="1:5" ht="15.6" x14ac:dyDescent="0.3">
      <c r="A16" s="16" t="s">
        <v>187</v>
      </c>
      <c r="B16" s="17">
        <f>SUM(C14,C6)</f>
        <v>58.519999999999996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"/>
  <sheetViews>
    <sheetView workbookViewId="0"/>
  </sheetViews>
  <sheetFormatPr defaultRowHeight="14.4" x14ac:dyDescent="0.3"/>
  <sheetData>
    <row r="2" spans="1:1" x14ac:dyDescent="0.3">
      <c r="A2" t="s">
        <v>162</v>
      </c>
    </row>
  </sheetData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Packager Shell Object" dvAspect="DVASPECT_ICON" shapeId="5121" r:id="rId4">
          <objectPr defaultSize="0" autoPict="0" r:id="rId5">
            <anchor moveWithCells="1">
              <from>
                <xdr:col>0</xdr:col>
                <xdr:colOff>83820</xdr:colOff>
                <xdr:row>2</xdr:row>
                <xdr:rowOff>45720</xdr:rowOff>
              </from>
              <to>
                <xdr:col>2</xdr:col>
                <xdr:colOff>198120</xdr:colOff>
                <xdr:row>7</xdr:row>
                <xdr:rowOff>99060</xdr:rowOff>
              </to>
            </anchor>
          </objectPr>
        </oleObject>
      </mc:Choice>
      <mc:Fallback>
        <oleObject progId="Packager Shell Object" dvAspect="DVASPECT_ICON" shapeId="512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topLeftCell="C1" workbookViewId="0">
      <selection activeCell="O24" sqref="O24"/>
    </sheetView>
  </sheetViews>
  <sheetFormatPr defaultRowHeight="14.4" x14ac:dyDescent="0.3"/>
  <cols>
    <col min="1" max="1" width="12.5546875" customWidth="1"/>
    <col min="2" max="2" width="68.88671875" bestFit="1" customWidth="1"/>
    <col min="3" max="3" width="13.5546875" customWidth="1"/>
    <col min="4" max="4" width="11.5546875" customWidth="1"/>
    <col min="5" max="5" width="12" customWidth="1"/>
    <col min="6" max="7" width="12.109375" customWidth="1"/>
    <col min="8" max="8" width="9.88671875" bestFit="1" customWidth="1"/>
    <col min="9" max="9" width="13" customWidth="1"/>
    <col min="10" max="10" width="13.33203125" customWidth="1"/>
    <col min="11" max="11" width="20" bestFit="1" customWidth="1"/>
    <col min="12" max="12" width="19.44140625" bestFit="1" customWidth="1"/>
  </cols>
  <sheetData>
    <row r="1" spans="1:19" ht="15" thickBot="1" x14ac:dyDescent="0.35"/>
    <row r="2" spans="1:19" ht="41.4" x14ac:dyDescent="0.3">
      <c r="A2" s="19" t="s">
        <v>189</v>
      </c>
      <c r="B2" s="20" t="s">
        <v>166</v>
      </c>
      <c r="C2" s="20" t="s">
        <v>190</v>
      </c>
      <c r="D2" s="20" t="s">
        <v>191</v>
      </c>
      <c r="E2" s="20" t="s">
        <v>192</v>
      </c>
      <c r="F2" s="20" t="s">
        <v>193</v>
      </c>
      <c r="G2" s="19" t="s">
        <v>194</v>
      </c>
      <c r="H2" s="20" t="s">
        <v>195</v>
      </c>
      <c r="I2" s="20" t="s">
        <v>196</v>
      </c>
      <c r="J2" s="20" t="s">
        <v>197</v>
      </c>
      <c r="K2" s="20" t="s">
        <v>220</v>
      </c>
      <c r="L2" s="20" t="s">
        <v>221</v>
      </c>
      <c r="Q2" s="18"/>
      <c r="R2" s="18"/>
      <c r="S2" s="18"/>
    </row>
    <row r="3" spans="1:19" x14ac:dyDescent="0.3">
      <c r="A3" s="21" t="s">
        <v>40</v>
      </c>
      <c r="B3" s="21" t="s">
        <v>198</v>
      </c>
      <c r="C3" s="21">
        <f>'Material Costs'!$J$5</f>
        <v>69.09</v>
      </c>
      <c r="D3" s="21">
        <f>'Labor and Ancillary Costs'!$B$16</f>
        <v>58.519999999999996</v>
      </c>
      <c r="E3" s="22">
        <f>D3+C3</f>
        <v>127.61</v>
      </c>
      <c r="F3" s="21">
        <f>'Material Costs'!$G$5</f>
        <v>257.64</v>
      </c>
      <c r="G3" s="21">
        <f>'Labor and Ancillary Costs'!$B$16</f>
        <v>58.519999999999996</v>
      </c>
      <c r="H3" s="22">
        <f t="shared" ref="H3:H16" si="0">G3+F3</f>
        <v>316.15999999999997</v>
      </c>
      <c r="I3" s="21">
        <f>H3-E3</f>
        <v>188.54999999999995</v>
      </c>
      <c r="J3" s="21">
        <f>I3</f>
        <v>188.54999999999995</v>
      </c>
      <c r="K3" s="21" t="s">
        <v>222</v>
      </c>
      <c r="L3" s="21" t="s">
        <v>230</v>
      </c>
      <c r="Q3" s="18"/>
      <c r="R3" s="18"/>
      <c r="S3" s="18"/>
    </row>
    <row r="4" spans="1:19" x14ac:dyDescent="0.3">
      <c r="A4" s="21" t="s">
        <v>25</v>
      </c>
      <c r="B4" s="21" t="s">
        <v>199</v>
      </c>
      <c r="C4" s="21">
        <f>'Material Costs'!J10</f>
        <v>69.09</v>
      </c>
      <c r="D4" s="21">
        <f>'Labor and Ancillary Costs'!$B$16</f>
        <v>58.519999999999996</v>
      </c>
      <c r="E4" s="22">
        <f t="shared" ref="E4:E16" si="1">D4+C4</f>
        <v>127.61</v>
      </c>
      <c r="F4" s="21">
        <f>'Material Costs'!$G$10</f>
        <v>337.01</v>
      </c>
      <c r="G4" s="21">
        <f>'Labor and Ancillary Costs'!$B$16</f>
        <v>58.519999999999996</v>
      </c>
      <c r="H4" s="22">
        <f t="shared" si="0"/>
        <v>395.53</v>
      </c>
      <c r="I4" s="21">
        <f t="shared" ref="I4:I16" si="2">H4-E4</f>
        <v>267.91999999999996</v>
      </c>
      <c r="J4" s="21">
        <f t="shared" ref="J4:J16" si="3">I4</f>
        <v>267.91999999999996</v>
      </c>
      <c r="K4" s="21" t="s">
        <v>223</v>
      </c>
      <c r="L4" s="21" t="s">
        <v>230</v>
      </c>
      <c r="Q4" s="18"/>
      <c r="R4" s="18"/>
      <c r="S4" s="18"/>
    </row>
    <row r="5" spans="1:19" x14ac:dyDescent="0.3">
      <c r="A5" s="21" t="s">
        <v>11</v>
      </c>
      <c r="B5" s="21" t="s">
        <v>200</v>
      </c>
      <c r="C5" s="21">
        <f>'Material Costs'!$J$15</f>
        <v>155.88999999999999</v>
      </c>
      <c r="D5" s="21">
        <f>'Labor and Ancillary Costs'!$B$16</f>
        <v>58.519999999999996</v>
      </c>
      <c r="E5" s="22">
        <f t="shared" si="1"/>
        <v>214.40999999999997</v>
      </c>
      <c r="F5" s="21">
        <f>'Material Costs'!$G$15</f>
        <v>349.76</v>
      </c>
      <c r="G5" s="21">
        <f>'Labor and Ancillary Costs'!$B$16</f>
        <v>58.519999999999996</v>
      </c>
      <c r="H5" s="22">
        <f t="shared" si="0"/>
        <v>408.28</v>
      </c>
      <c r="I5" s="21">
        <f t="shared" si="2"/>
        <v>193.87</v>
      </c>
      <c r="J5" s="21">
        <f t="shared" si="3"/>
        <v>193.87</v>
      </c>
      <c r="K5" s="21" t="s">
        <v>224</v>
      </c>
      <c r="L5" s="21" t="s">
        <v>231</v>
      </c>
      <c r="Q5" s="18"/>
      <c r="R5" s="18"/>
      <c r="S5" s="18"/>
    </row>
    <row r="6" spans="1:19" x14ac:dyDescent="0.3">
      <c r="A6" s="21" t="s">
        <v>41</v>
      </c>
      <c r="B6" s="21" t="s">
        <v>201</v>
      </c>
      <c r="C6" s="21">
        <f>'Material Costs'!$J$20</f>
        <v>212.93</v>
      </c>
      <c r="D6" s="21">
        <f>'Labor and Ancillary Costs'!$B$16</f>
        <v>58.519999999999996</v>
      </c>
      <c r="E6" s="22">
        <f t="shared" si="1"/>
        <v>271.45</v>
      </c>
      <c r="F6" s="21">
        <f>'Material Costs'!$G$20</f>
        <v>413.54</v>
      </c>
      <c r="G6" s="21">
        <f>'Labor and Ancillary Costs'!$B$16</f>
        <v>58.519999999999996</v>
      </c>
      <c r="H6" s="22">
        <f t="shared" si="0"/>
        <v>472.06</v>
      </c>
      <c r="I6" s="21">
        <f t="shared" si="2"/>
        <v>200.61</v>
      </c>
      <c r="J6" s="21">
        <f t="shared" si="3"/>
        <v>200.61</v>
      </c>
      <c r="K6" s="21" t="s">
        <v>225</v>
      </c>
      <c r="L6" s="21" t="s">
        <v>232</v>
      </c>
      <c r="Q6" s="18"/>
      <c r="R6" s="18"/>
      <c r="S6" s="18"/>
    </row>
    <row r="7" spans="1:19" x14ac:dyDescent="0.3">
      <c r="A7" s="21" t="s">
        <v>12</v>
      </c>
      <c r="B7" s="21" t="s">
        <v>202</v>
      </c>
      <c r="C7" s="21">
        <f>'Material Costs'!$J$25</f>
        <v>212.93</v>
      </c>
      <c r="D7" s="21">
        <f>'Labor and Ancillary Costs'!$B$16</f>
        <v>58.519999999999996</v>
      </c>
      <c r="E7" s="22">
        <f t="shared" si="1"/>
        <v>271.45</v>
      </c>
      <c r="F7" s="21">
        <f>'Material Costs'!$G$25</f>
        <v>521.58000000000004</v>
      </c>
      <c r="G7" s="21">
        <f>'Labor and Ancillary Costs'!$B$16</f>
        <v>58.519999999999996</v>
      </c>
      <c r="H7" s="22">
        <f t="shared" si="0"/>
        <v>580.1</v>
      </c>
      <c r="I7" s="21">
        <f t="shared" si="2"/>
        <v>308.65000000000003</v>
      </c>
      <c r="J7" s="21">
        <f t="shared" si="3"/>
        <v>308.65000000000003</v>
      </c>
      <c r="K7" s="21" t="s">
        <v>226</v>
      </c>
      <c r="L7" s="21" t="s">
        <v>232</v>
      </c>
      <c r="Q7" s="18"/>
      <c r="R7" s="18"/>
      <c r="S7" s="18"/>
    </row>
    <row r="8" spans="1:19" x14ac:dyDescent="0.3">
      <c r="A8" s="21" t="s">
        <v>45</v>
      </c>
      <c r="B8" s="21" t="s">
        <v>203</v>
      </c>
      <c r="C8" s="21">
        <f>'Material Costs'!$J$30</f>
        <v>262.41000000000003</v>
      </c>
      <c r="D8" s="21">
        <f>'Labor and Ancillary Costs'!$B$16</f>
        <v>58.519999999999996</v>
      </c>
      <c r="E8" s="22">
        <f t="shared" si="1"/>
        <v>320.93</v>
      </c>
      <c r="F8" s="21">
        <f>'Material Costs'!$G$30</f>
        <v>724.19</v>
      </c>
      <c r="G8" s="21">
        <f>'Labor and Ancillary Costs'!$B$16</f>
        <v>58.519999999999996</v>
      </c>
      <c r="H8" s="22">
        <f t="shared" si="0"/>
        <v>782.71</v>
      </c>
      <c r="I8" s="21">
        <f t="shared" si="2"/>
        <v>461.78000000000003</v>
      </c>
      <c r="J8" s="21">
        <f t="shared" si="3"/>
        <v>461.78000000000003</v>
      </c>
      <c r="K8" s="21" t="s">
        <v>227</v>
      </c>
      <c r="L8" s="21" t="s">
        <v>233</v>
      </c>
      <c r="Q8" s="18"/>
      <c r="R8" s="18"/>
      <c r="S8" s="18"/>
    </row>
    <row r="9" spans="1:19" x14ac:dyDescent="0.3">
      <c r="A9" s="21" t="s">
        <v>46</v>
      </c>
      <c r="B9" s="21" t="s">
        <v>204</v>
      </c>
      <c r="C9" s="21">
        <f>'Material Costs'!$J$34</f>
        <v>262.41000000000003</v>
      </c>
      <c r="D9" s="21">
        <f>'Labor and Ancillary Costs'!$B$16</f>
        <v>58.519999999999996</v>
      </c>
      <c r="E9" s="22">
        <f t="shared" si="1"/>
        <v>320.93</v>
      </c>
      <c r="F9" s="21">
        <f>'Material Costs'!$G$34</f>
        <v>1004.61</v>
      </c>
      <c r="G9" s="21">
        <f>'Labor and Ancillary Costs'!$B$16</f>
        <v>58.519999999999996</v>
      </c>
      <c r="H9" s="22">
        <f t="shared" si="0"/>
        <v>1063.1300000000001</v>
      </c>
      <c r="I9" s="21">
        <f t="shared" si="2"/>
        <v>742.2</v>
      </c>
      <c r="J9" s="21">
        <f t="shared" si="3"/>
        <v>742.2</v>
      </c>
      <c r="K9" s="21" t="s">
        <v>228</v>
      </c>
      <c r="L9" s="21" t="s">
        <v>233</v>
      </c>
      <c r="Q9" s="18"/>
      <c r="R9" s="18"/>
      <c r="S9" s="18"/>
    </row>
    <row r="10" spans="1:19" x14ac:dyDescent="0.3">
      <c r="A10" s="21" t="s">
        <v>47</v>
      </c>
      <c r="B10" s="21" t="s">
        <v>205</v>
      </c>
      <c r="C10" s="21">
        <f>'Material Costs'!$J$38</f>
        <v>330.51</v>
      </c>
      <c r="D10" s="21">
        <f>'Labor and Ancillary Costs'!$B$16</f>
        <v>58.519999999999996</v>
      </c>
      <c r="E10" s="22">
        <f t="shared" si="1"/>
        <v>389.03</v>
      </c>
      <c r="F10" s="21">
        <f>'Material Costs'!$G$38</f>
        <v>1115.1300000000001</v>
      </c>
      <c r="G10" s="21">
        <f>'Labor and Ancillary Costs'!$B$16</f>
        <v>58.519999999999996</v>
      </c>
      <c r="H10" s="22">
        <f t="shared" si="0"/>
        <v>1173.6500000000001</v>
      </c>
      <c r="I10" s="21">
        <f t="shared" si="2"/>
        <v>784.62000000000012</v>
      </c>
      <c r="J10" s="21">
        <f t="shared" si="3"/>
        <v>784.62000000000012</v>
      </c>
      <c r="K10" s="21" t="s">
        <v>229</v>
      </c>
      <c r="L10" s="21" t="s">
        <v>234</v>
      </c>
      <c r="Q10" s="18"/>
      <c r="R10" s="18"/>
      <c r="S10" s="18"/>
    </row>
    <row r="11" spans="1:19" x14ac:dyDescent="0.3">
      <c r="A11" s="21" t="s">
        <v>57</v>
      </c>
      <c r="B11" s="21" t="s">
        <v>206</v>
      </c>
      <c r="C11" s="21">
        <f>'Material Costs'!$J$43</f>
        <v>126.79</v>
      </c>
      <c r="D11" s="21">
        <f>'Labor and Ancillary Costs'!$B$16</f>
        <v>58.519999999999996</v>
      </c>
      <c r="E11" s="22">
        <f t="shared" si="1"/>
        <v>185.31</v>
      </c>
      <c r="F11" s="21">
        <f>'Material Costs'!$G$43</f>
        <v>337.01</v>
      </c>
      <c r="G11" s="21">
        <f>'Labor and Ancillary Costs'!$B$16</f>
        <v>58.519999999999996</v>
      </c>
      <c r="H11" s="22">
        <f t="shared" si="0"/>
        <v>395.53</v>
      </c>
      <c r="I11" s="21">
        <f t="shared" si="2"/>
        <v>210.21999999999997</v>
      </c>
      <c r="J11" s="21">
        <f t="shared" si="3"/>
        <v>210.21999999999997</v>
      </c>
      <c r="K11" s="21" t="s">
        <v>223</v>
      </c>
      <c r="L11" s="21" t="s">
        <v>235</v>
      </c>
      <c r="Q11" s="18"/>
      <c r="R11" s="18"/>
      <c r="S11" s="18"/>
    </row>
    <row r="12" spans="1:19" x14ac:dyDescent="0.3">
      <c r="A12" s="21" t="s">
        <v>48</v>
      </c>
      <c r="B12" s="21" t="s">
        <v>207</v>
      </c>
      <c r="C12" s="21">
        <f>'Material Costs'!$J$48</f>
        <v>93.77</v>
      </c>
      <c r="D12" s="21">
        <f>'Labor and Ancillary Costs'!$B$16</f>
        <v>58.519999999999996</v>
      </c>
      <c r="E12" s="22">
        <f t="shared" si="1"/>
        <v>152.29</v>
      </c>
      <c r="F12" s="21">
        <f>'Material Costs'!$G$48</f>
        <v>349.76</v>
      </c>
      <c r="G12" s="21">
        <f>'Labor and Ancillary Costs'!$B$16</f>
        <v>58.519999999999996</v>
      </c>
      <c r="H12" s="22">
        <f t="shared" si="0"/>
        <v>408.28</v>
      </c>
      <c r="I12" s="21">
        <f t="shared" si="2"/>
        <v>255.98999999999998</v>
      </c>
      <c r="J12" s="21">
        <f t="shared" si="3"/>
        <v>255.98999999999998</v>
      </c>
      <c r="K12" s="21" t="s">
        <v>224</v>
      </c>
      <c r="L12" s="21" t="s">
        <v>236</v>
      </c>
      <c r="Q12" s="18"/>
      <c r="R12" s="18"/>
      <c r="S12" s="18"/>
    </row>
    <row r="13" spans="1:19" x14ac:dyDescent="0.3">
      <c r="A13" s="21" t="s">
        <v>49</v>
      </c>
      <c r="B13" s="21" t="s">
        <v>208</v>
      </c>
      <c r="C13" s="21">
        <f>'Material Costs'!$J$53</f>
        <v>233.33</v>
      </c>
      <c r="D13" s="21">
        <f>'Labor and Ancillary Costs'!$B$16</f>
        <v>58.519999999999996</v>
      </c>
      <c r="E13" s="22">
        <f t="shared" si="1"/>
        <v>291.85000000000002</v>
      </c>
      <c r="F13" s="21">
        <f>'Material Costs'!$G$53</f>
        <v>413.54</v>
      </c>
      <c r="G13" s="21">
        <f>'Labor and Ancillary Costs'!$B$16</f>
        <v>58.519999999999996</v>
      </c>
      <c r="H13" s="22">
        <f t="shared" si="0"/>
        <v>472.06</v>
      </c>
      <c r="I13" s="21">
        <f t="shared" si="2"/>
        <v>180.20999999999998</v>
      </c>
      <c r="J13" s="21">
        <f t="shared" si="3"/>
        <v>180.20999999999998</v>
      </c>
      <c r="K13" s="21" t="s">
        <v>225</v>
      </c>
      <c r="L13" s="21" t="s">
        <v>237</v>
      </c>
      <c r="Q13" s="18"/>
      <c r="R13" s="18"/>
      <c r="S13" s="18"/>
    </row>
    <row r="14" spans="1:19" x14ac:dyDescent="0.3">
      <c r="A14" s="21" t="s">
        <v>50</v>
      </c>
      <c r="B14" s="21" t="s">
        <v>209</v>
      </c>
      <c r="C14" s="21">
        <f>'Material Costs'!$J$58</f>
        <v>233.33</v>
      </c>
      <c r="D14" s="21">
        <f>'Labor and Ancillary Costs'!$B$16</f>
        <v>58.519999999999996</v>
      </c>
      <c r="E14" s="22">
        <f t="shared" si="1"/>
        <v>291.85000000000002</v>
      </c>
      <c r="F14" s="21">
        <f>'Material Costs'!$G$58</f>
        <v>413.54</v>
      </c>
      <c r="G14" s="21">
        <f>'Labor and Ancillary Costs'!$B$16</f>
        <v>58.519999999999996</v>
      </c>
      <c r="H14" s="22">
        <f t="shared" si="0"/>
        <v>472.06</v>
      </c>
      <c r="I14" s="21">
        <f t="shared" si="2"/>
        <v>180.20999999999998</v>
      </c>
      <c r="J14" s="21">
        <f t="shared" si="3"/>
        <v>180.20999999999998</v>
      </c>
      <c r="K14" s="21" t="s">
        <v>225</v>
      </c>
      <c r="L14" s="21" t="s">
        <v>237</v>
      </c>
      <c r="Q14" s="18"/>
      <c r="R14" s="18"/>
      <c r="S14" s="18"/>
    </row>
    <row r="15" spans="1:19" x14ac:dyDescent="0.3">
      <c r="A15" s="21" t="s">
        <v>51</v>
      </c>
      <c r="B15" s="21" t="s">
        <v>210</v>
      </c>
      <c r="C15" s="21">
        <f>'Material Costs'!$J$63</f>
        <v>289.45999999999998</v>
      </c>
      <c r="D15" s="21">
        <f>'Labor and Ancillary Costs'!$B$16</f>
        <v>58.519999999999996</v>
      </c>
      <c r="E15" s="22">
        <f t="shared" si="1"/>
        <v>347.97999999999996</v>
      </c>
      <c r="F15" s="21">
        <f>'Material Costs'!$G$63</f>
        <v>521.58000000000004</v>
      </c>
      <c r="G15" s="21">
        <f>'Labor and Ancillary Costs'!$B$16</f>
        <v>58.519999999999996</v>
      </c>
      <c r="H15" s="22">
        <f t="shared" si="0"/>
        <v>580.1</v>
      </c>
      <c r="I15" s="21">
        <f t="shared" si="2"/>
        <v>232.12000000000006</v>
      </c>
      <c r="J15" s="21">
        <f t="shared" si="3"/>
        <v>232.12000000000006</v>
      </c>
      <c r="K15" s="21" t="s">
        <v>226</v>
      </c>
      <c r="L15" s="21" t="s">
        <v>238</v>
      </c>
    </row>
    <row r="16" spans="1:19" x14ac:dyDescent="0.3">
      <c r="A16" s="21" t="s">
        <v>52</v>
      </c>
      <c r="B16" s="21" t="s">
        <v>211</v>
      </c>
      <c r="C16" s="21">
        <f>'Material Costs'!$J$68</f>
        <v>328.89</v>
      </c>
      <c r="D16" s="21">
        <f>'Labor and Ancillary Costs'!$B$16</f>
        <v>58.519999999999996</v>
      </c>
      <c r="E16" s="22">
        <f t="shared" si="1"/>
        <v>387.40999999999997</v>
      </c>
      <c r="F16" s="21">
        <f>'Material Costs'!$G$68</f>
        <v>724.19</v>
      </c>
      <c r="G16" s="21">
        <f>'Labor and Ancillary Costs'!$B$16</f>
        <v>58.519999999999996</v>
      </c>
      <c r="H16" s="22">
        <f t="shared" si="0"/>
        <v>782.71</v>
      </c>
      <c r="I16" s="21">
        <f t="shared" si="2"/>
        <v>395.30000000000007</v>
      </c>
      <c r="J16" s="21">
        <f t="shared" si="3"/>
        <v>395.30000000000007</v>
      </c>
      <c r="K16" s="21" t="s">
        <v>227</v>
      </c>
      <c r="L16" s="21" t="s">
        <v>239</v>
      </c>
    </row>
  </sheetData>
  <autoFilter ref="A2:L1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Material Costs</vt:lpstr>
      <vt:lpstr>Labor and Ancillary Costs</vt:lpstr>
      <vt:lpstr>LED Quote</vt:lpstr>
      <vt:lpstr>Cost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Ajay Wadhera</cp:lastModifiedBy>
  <dcterms:created xsi:type="dcterms:W3CDTF">2016-12-06T18:56:53Z</dcterms:created>
  <dcterms:modified xsi:type="dcterms:W3CDTF">2017-10-26T16:16:37Z</dcterms:modified>
</cp:coreProperties>
</file>