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bookViews>
    <workbookView xWindow="0" yWindow="0" windowWidth="23040" windowHeight="9000" tabRatio="756" firstSheet="1" activeTab="2"/>
  </bookViews>
  <sheets>
    <sheet name="WP Cost Summary" sheetId="2" state="hidden" r:id="rId1"/>
    <sheet name="LED,CFL,Inc Lamp - Calculator" sheetId="3" r:id="rId2"/>
    <sheet name="LED,CFL,Inc Lamp - WO017" sheetId="5" r:id="rId3"/>
    <sheet name="HID Lamp - Calculator" sheetId="10" r:id="rId4"/>
    <sheet name="HID Lamp - WO017" sheetId="6" r:id="rId5"/>
    <sheet name="LF Lamp - Calculator" sheetId="12" r:id="rId6"/>
    <sheet name="LF Lamp - WO017" sheetId="9" r:id="rId7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00" i="9" l="1"/>
  <c r="I199" i="9"/>
  <c r="I198" i="9"/>
  <c r="I197" i="9"/>
  <c r="H196" i="9"/>
  <c r="I196" i="9" s="1"/>
  <c r="H195" i="9"/>
  <c r="I195" i="9" s="1"/>
  <c r="H194" i="9"/>
  <c r="I194" i="9" s="1"/>
  <c r="H193" i="9"/>
  <c r="I193" i="9" s="1"/>
  <c r="H192" i="9"/>
  <c r="I192" i="9" s="1"/>
  <c r="H191" i="9"/>
  <c r="I191" i="9" s="1"/>
  <c r="I190" i="9"/>
  <c r="I189" i="9"/>
  <c r="I188" i="9"/>
  <c r="I187" i="9"/>
  <c r="I186" i="9"/>
  <c r="I185" i="9"/>
  <c r="I184" i="9"/>
  <c r="I183" i="9"/>
  <c r="I182" i="9"/>
  <c r="I181" i="9"/>
  <c r="H181" i="9"/>
  <c r="H180" i="9"/>
  <c r="I180" i="9" s="1"/>
  <c r="H179" i="9"/>
  <c r="I179" i="9" s="1"/>
  <c r="H178" i="9"/>
  <c r="I178" i="9" s="1"/>
  <c r="H177" i="9"/>
  <c r="I177" i="9" s="1"/>
  <c r="H176" i="9"/>
  <c r="I176" i="9" s="1"/>
  <c r="H175" i="9"/>
  <c r="I175" i="9" s="1"/>
  <c r="H174" i="9"/>
  <c r="I174" i="9" s="1"/>
  <c r="H173" i="9"/>
  <c r="I173" i="9" s="1"/>
  <c r="H172" i="9"/>
  <c r="I172" i="9" s="1"/>
  <c r="I171" i="9"/>
  <c r="I170" i="9"/>
  <c r="H169" i="9"/>
  <c r="I169" i="9" s="1"/>
  <c r="I168" i="9"/>
  <c r="I167" i="9"/>
  <c r="H167" i="9"/>
  <c r="I166" i="9"/>
  <c r="H165" i="9"/>
  <c r="I165" i="9" s="1"/>
  <c r="I164" i="9"/>
  <c r="I163" i="9"/>
  <c r="H163" i="9"/>
  <c r="I162" i="9"/>
  <c r="H161" i="9"/>
  <c r="I161" i="9" s="1"/>
  <c r="I160" i="9"/>
  <c r="I159" i="9"/>
  <c r="H159" i="9"/>
  <c r="I158" i="9"/>
  <c r="H158" i="9"/>
  <c r="I157" i="9"/>
  <c r="H157" i="9"/>
  <c r="I156" i="9"/>
  <c r="H156" i="9"/>
  <c r="I155" i="9"/>
  <c r="H155" i="9"/>
  <c r="I154" i="9"/>
  <c r="H154" i="9"/>
  <c r="I153" i="9"/>
  <c r="H153" i="9"/>
  <c r="I152" i="9"/>
  <c r="H152" i="9"/>
  <c r="I151" i="9"/>
  <c r="H151" i="9"/>
  <c r="I150" i="9"/>
  <c r="H150" i="9"/>
  <c r="I149" i="9"/>
  <c r="H149" i="9"/>
  <c r="I148" i="9"/>
  <c r="H148" i="9"/>
  <c r="I147" i="9"/>
  <c r="H147" i="9"/>
  <c r="I146" i="9"/>
  <c r="I145" i="9"/>
  <c r="I144" i="9"/>
  <c r="I143" i="9"/>
  <c r="I142" i="9"/>
  <c r="H141" i="9"/>
  <c r="I141" i="9" s="1"/>
  <c r="I140" i="9"/>
  <c r="I139" i="9"/>
  <c r="H139" i="9"/>
  <c r="I138" i="9"/>
  <c r="H137" i="9"/>
  <c r="I137" i="9" s="1"/>
  <c r="H136" i="9"/>
  <c r="I136" i="9" s="1"/>
  <c r="H135" i="9"/>
  <c r="I135" i="9" s="1"/>
  <c r="H134" i="9"/>
  <c r="I134" i="9" s="1"/>
  <c r="H133" i="9"/>
  <c r="I133" i="9" s="1"/>
  <c r="H132" i="9"/>
  <c r="I132" i="9" s="1"/>
  <c r="H131" i="9"/>
  <c r="I131" i="9" s="1"/>
  <c r="H130" i="9"/>
  <c r="I130" i="9" s="1"/>
  <c r="H129" i="9"/>
  <c r="I129" i="9" s="1"/>
  <c r="H128" i="9"/>
  <c r="I128" i="9" s="1"/>
  <c r="H127" i="9"/>
  <c r="I127" i="9" s="1"/>
  <c r="I126" i="9"/>
  <c r="I125" i="9"/>
  <c r="H124" i="9"/>
  <c r="I124" i="9" s="1"/>
  <c r="I123" i="9"/>
  <c r="I122" i="9"/>
  <c r="H122" i="9"/>
  <c r="I121" i="9"/>
  <c r="H121" i="9"/>
  <c r="I120" i="9"/>
  <c r="H120" i="9"/>
  <c r="I119" i="9"/>
  <c r="H118" i="9"/>
  <c r="I118" i="9" s="1"/>
  <c r="H117" i="9"/>
  <c r="I117" i="9" s="1"/>
  <c r="H116" i="9"/>
  <c r="I116" i="9" s="1"/>
  <c r="H115" i="9"/>
  <c r="I115" i="9" s="1"/>
  <c r="H114" i="9"/>
  <c r="I114" i="9" s="1"/>
  <c r="H113" i="9"/>
  <c r="I113" i="9" s="1"/>
  <c r="H112" i="9"/>
  <c r="I112" i="9" s="1"/>
  <c r="H111" i="9"/>
  <c r="I111" i="9" s="1"/>
  <c r="H110" i="9"/>
  <c r="I110" i="9" s="1"/>
  <c r="H109" i="9"/>
  <c r="I109" i="9" s="1"/>
  <c r="I108" i="9"/>
  <c r="I107" i="9"/>
  <c r="I106" i="9"/>
  <c r="I105" i="9"/>
  <c r="H105" i="9"/>
  <c r="I104" i="9"/>
  <c r="H103" i="9"/>
  <c r="I103" i="9" s="1"/>
  <c r="I102" i="9"/>
  <c r="I101" i="9"/>
  <c r="H101" i="9"/>
  <c r="I100" i="9"/>
  <c r="H100" i="9"/>
  <c r="I99" i="9"/>
  <c r="H99" i="9"/>
  <c r="I98" i="9"/>
  <c r="H98" i="9"/>
  <c r="I97" i="9"/>
  <c r="H97" i="9"/>
  <c r="I96" i="9"/>
  <c r="H96" i="9"/>
  <c r="I95" i="9"/>
  <c r="H95" i="9"/>
  <c r="I94" i="9"/>
  <c r="H94" i="9"/>
  <c r="I93" i="9"/>
  <c r="H93" i="9"/>
  <c r="I92" i="9"/>
  <c r="H92" i="9"/>
  <c r="I91" i="9"/>
  <c r="H91" i="9"/>
  <c r="I90" i="9"/>
  <c r="I89" i="9"/>
  <c r="I88" i="9"/>
  <c r="I87" i="9"/>
  <c r="I86" i="9"/>
  <c r="H86" i="9"/>
  <c r="I85" i="9"/>
  <c r="H84" i="9"/>
  <c r="I84" i="9" s="1"/>
  <c r="I83" i="9"/>
  <c r="I82" i="9"/>
  <c r="H82" i="9"/>
  <c r="I81" i="9"/>
  <c r="H81" i="9"/>
  <c r="I80" i="9"/>
  <c r="H80" i="9"/>
  <c r="I79" i="9"/>
  <c r="I78" i="9"/>
  <c r="I77" i="9"/>
  <c r="I76" i="9"/>
  <c r="I75" i="9"/>
  <c r="I74" i="9"/>
  <c r="I73" i="9"/>
  <c r="H73" i="9"/>
  <c r="I72" i="9"/>
  <c r="H71" i="9"/>
  <c r="I71" i="9" s="1"/>
  <c r="H70" i="9"/>
  <c r="I70" i="9" s="1"/>
  <c r="H69" i="9"/>
  <c r="I69" i="9" s="1"/>
  <c r="I68" i="9"/>
  <c r="I67" i="9"/>
  <c r="H66" i="9"/>
  <c r="I66" i="9" s="1"/>
  <c r="I65" i="9"/>
  <c r="I64" i="9"/>
  <c r="H64" i="9"/>
  <c r="I63" i="9"/>
  <c r="H62" i="9"/>
  <c r="I62" i="9" s="1"/>
  <c r="I61" i="9"/>
  <c r="I60" i="9"/>
  <c r="H60" i="9"/>
  <c r="I59" i="9"/>
  <c r="H58" i="9"/>
  <c r="I58" i="9" s="1"/>
  <c r="I57" i="9"/>
  <c r="I56" i="9"/>
  <c r="H56" i="9"/>
  <c r="I55" i="9"/>
  <c r="H54" i="9"/>
  <c r="I54" i="9" s="1"/>
  <c r="H53" i="9"/>
  <c r="I53" i="9" s="1"/>
  <c r="H52" i="9"/>
  <c r="I52" i="9" s="1"/>
  <c r="H51" i="9"/>
  <c r="I51" i="9" s="1"/>
  <c r="I50" i="9"/>
  <c r="I49" i="9"/>
  <c r="I48" i="9"/>
  <c r="I47" i="9"/>
  <c r="I46" i="9"/>
  <c r="I45" i="9"/>
  <c r="H44" i="9"/>
  <c r="I44" i="9" s="1"/>
  <c r="H43" i="9"/>
  <c r="I43" i="9" s="1"/>
  <c r="H42" i="9"/>
  <c r="I42" i="9" s="1"/>
  <c r="H41" i="9"/>
  <c r="I41" i="9" s="1"/>
  <c r="H40" i="9"/>
  <c r="I40" i="9" s="1"/>
  <c r="I39" i="9"/>
  <c r="I38" i="9"/>
  <c r="I37" i="9"/>
  <c r="I36" i="9"/>
  <c r="I35" i="9"/>
  <c r="I34" i="9"/>
  <c r="H34" i="9"/>
  <c r="I33" i="9"/>
  <c r="H32" i="9"/>
  <c r="I32" i="9" s="1"/>
  <c r="H31" i="9"/>
  <c r="I31" i="9" s="1"/>
  <c r="H30" i="9"/>
  <c r="I30" i="9" s="1"/>
  <c r="H29" i="9"/>
  <c r="I29" i="9" s="1"/>
  <c r="I28" i="9"/>
  <c r="I27" i="9"/>
  <c r="H26" i="9"/>
  <c r="I26" i="9" s="1"/>
  <c r="I25" i="9"/>
  <c r="I24" i="9"/>
  <c r="H24" i="9"/>
  <c r="I23" i="9"/>
  <c r="H22" i="9"/>
  <c r="I22" i="9" s="1"/>
  <c r="H21" i="9"/>
  <c r="I21" i="9" s="1"/>
  <c r="H20" i="9"/>
  <c r="I20" i="9" s="1"/>
  <c r="H19" i="9"/>
  <c r="I19" i="9" s="1"/>
  <c r="AC14" i="9" s="1"/>
  <c r="H18" i="9"/>
  <c r="I18" i="9" s="1"/>
  <c r="Y14" i="9" s="1"/>
  <c r="AR14" i="9"/>
  <c r="AG14" i="9"/>
  <c r="Q14" i="9"/>
  <c r="B14" i="9"/>
  <c r="AR13" i="9"/>
  <c r="AJ13" i="9"/>
  <c r="AB13" i="9"/>
  <c r="T13" i="9"/>
  <c r="O13" i="9"/>
  <c r="L13" i="9"/>
  <c r="G13" i="9"/>
  <c r="D13" i="9"/>
  <c r="B13" i="9"/>
  <c r="AR12" i="9"/>
  <c r="AQ12" i="9"/>
  <c r="AL12" i="9"/>
  <c r="AI12" i="9"/>
  <c r="AD12" i="9"/>
  <c r="AA12" i="9"/>
  <c r="V12" i="9"/>
  <c r="S12" i="9"/>
  <c r="N12" i="9"/>
  <c r="K12" i="9"/>
  <c r="F12" i="9"/>
  <c r="C12" i="9"/>
  <c r="B12" i="9"/>
  <c r="AR11" i="9"/>
  <c r="AP11" i="9"/>
  <c r="AO11" i="9"/>
  <c r="AH11" i="9"/>
  <c r="AG11" i="9"/>
  <c r="Z11" i="9"/>
  <c r="Y11" i="9"/>
  <c r="R11" i="9"/>
  <c r="Q11" i="9"/>
  <c r="J11" i="9"/>
  <c r="I11" i="9"/>
  <c r="B11" i="9"/>
  <c r="AR10" i="9"/>
  <c r="AK10" i="9"/>
  <c r="AJ10" i="9"/>
  <c r="AC10" i="9"/>
  <c r="AB10" i="9"/>
  <c r="U10" i="9"/>
  <c r="T10" i="9"/>
  <c r="M10" i="9"/>
  <c r="L10" i="9"/>
  <c r="E10" i="9"/>
  <c r="D10" i="9"/>
  <c r="B10" i="9"/>
  <c r="G8" i="9"/>
  <c r="D8" i="9"/>
  <c r="B8" i="9"/>
  <c r="G7" i="9"/>
  <c r="F7" i="9"/>
  <c r="B7" i="9"/>
  <c r="N5" i="9"/>
  <c r="K5" i="9"/>
  <c r="I5" i="9"/>
  <c r="E5" i="9"/>
  <c r="D5" i="9"/>
  <c r="B5" i="9"/>
  <c r="N4" i="9"/>
  <c r="M4" i="9"/>
  <c r="I4" i="9"/>
  <c r="H4" i="9"/>
  <c r="D4" i="9"/>
  <c r="B4" i="9"/>
  <c r="N3" i="9"/>
  <c r="K3" i="9"/>
  <c r="J3" i="9"/>
  <c r="G3" i="9"/>
  <c r="F3" i="9"/>
  <c r="C3" i="9"/>
  <c r="B3" i="9"/>
  <c r="N2" i="9"/>
  <c r="L2" i="9"/>
  <c r="K2" i="9"/>
  <c r="H2" i="9"/>
  <c r="G2" i="9"/>
  <c r="D2" i="9"/>
  <c r="C2" i="9"/>
  <c r="B2" i="9"/>
  <c r="CO12" i="12"/>
  <c r="CN12" i="12"/>
  <c r="CM12" i="12"/>
  <c r="CL12" i="12"/>
  <c r="CK12" i="12"/>
  <c r="CJ12" i="12"/>
  <c r="CF12" i="12"/>
  <c r="CE12" i="12"/>
  <c r="CD12" i="12"/>
  <c r="CC12" i="12"/>
  <c r="CB12" i="12"/>
  <c r="CA12" i="12"/>
  <c r="BZ12" i="12"/>
  <c r="BY12" i="12"/>
  <c r="BV12" i="12"/>
  <c r="BS12" i="12"/>
  <c r="BR12" i="12"/>
  <c r="BQ12" i="12"/>
  <c r="BP12" i="12"/>
  <c r="BO12" i="12"/>
  <c r="BN12" i="12"/>
  <c r="BJ12" i="12"/>
  <c r="BI12" i="12"/>
  <c r="BH12" i="12"/>
  <c r="BG12" i="12"/>
  <c r="BF12" i="12"/>
  <c r="BE12" i="12"/>
  <c r="BD12" i="12"/>
  <c r="BC12" i="12"/>
  <c r="BB12" i="12"/>
  <c r="BA12" i="12"/>
  <c r="BU12" i="12" s="1"/>
  <c r="AU12" i="12"/>
  <c r="AT12" i="12"/>
  <c r="AK12" i="12"/>
  <c r="AJ12" i="12"/>
  <c r="AI12" i="12"/>
  <c r="AH12" i="12"/>
  <c r="AD12" i="12"/>
  <c r="AC12" i="12"/>
  <c r="AE12" i="12" s="1"/>
  <c r="AB12" i="12"/>
  <c r="Y12" i="12"/>
  <c r="CO11" i="12"/>
  <c r="CN11" i="12"/>
  <c r="CM11" i="12"/>
  <c r="CL11" i="12"/>
  <c r="CK11" i="12"/>
  <c r="CJ11" i="12"/>
  <c r="CF11" i="12"/>
  <c r="CE11" i="12"/>
  <c r="CD11" i="12"/>
  <c r="CC11" i="12"/>
  <c r="CB11" i="12"/>
  <c r="CA11" i="12"/>
  <c r="BZ11" i="12"/>
  <c r="BY11" i="12"/>
  <c r="BS11" i="12"/>
  <c r="BR11" i="12"/>
  <c r="BQ11" i="12"/>
  <c r="BP11" i="12"/>
  <c r="BO11" i="12"/>
  <c r="BN11" i="12"/>
  <c r="BJ11" i="12"/>
  <c r="BI11" i="12"/>
  <c r="BH11" i="12"/>
  <c r="BG11" i="12"/>
  <c r="BF11" i="12"/>
  <c r="BE11" i="12"/>
  <c r="BD11" i="12"/>
  <c r="BC11" i="12"/>
  <c r="BB11" i="12"/>
  <c r="BA11" i="12"/>
  <c r="BV11" i="12" s="1"/>
  <c r="AU11" i="12"/>
  <c r="AT11" i="12"/>
  <c r="AK11" i="12"/>
  <c r="AJ11" i="12"/>
  <c r="AI11" i="12"/>
  <c r="AH11" i="12"/>
  <c r="AE11" i="12"/>
  <c r="AD11" i="12"/>
  <c r="AC11" i="12"/>
  <c r="AB11" i="12"/>
  <c r="Y11" i="12"/>
  <c r="CO10" i="12"/>
  <c r="CN10" i="12"/>
  <c r="CM10" i="12"/>
  <c r="CL10" i="12"/>
  <c r="CK10" i="12"/>
  <c r="CJ10" i="12"/>
  <c r="CF10" i="12"/>
  <c r="CE10" i="12"/>
  <c r="CD10" i="12"/>
  <c r="CC10" i="12"/>
  <c r="CB10" i="12"/>
  <c r="CA10" i="12"/>
  <c r="BZ10" i="12"/>
  <c r="BY10" i="12"/>
  <c r="BS10" i="12"/>
  <c r="BR10" i="12"/>
  <c r="BQ10" i="12"/>
  <c r="BP10" i="12"/>
  <c r="BO10" i="12"/>
  <c r="BN10" i="12"/>
  <c r="BJ10" i="12"/>
  <c r="BI10" i="12"/>
  <c r="BH10" i="12"/>
  <c r="BG10" i="12"/>
  <c r="BF10" i="12"/>
  <c r="BE10" i="12"/>
  <c r="BD10" i="12"/>
  <c r="BC10" i="12"/>
  <c r="BB10" i="12"/>
  <c r="BA10" i="12"/>
  <c r="BV10" i="12" s="1"/>
  <c r="AU10" i="12"/>
  <c r="AT10" i="12"/>
  <c r="AK10" i="12"/>
  <c r="AJ10" i="12"/>
  <c r="AI10" i="12"/>
  <c r="AH10" i="12"/>
  <c r="AD10" i="12"/>
  <c r="AE10" i="12" s="1"/>
  <c r="AC10" i="12"/>
  <c r="AB10" i="12"/>
  <c r="Y10" i="12"/>
  <c r="CO9" i="12"/>
  <c r="CN9" i="12"/>
  <c r="CM9" i="12"/>
  <c r="CL9" i="12"/>
  <c r="CK9" i="12"/>
  <c r="CJ9" i="12"/>
  <c r="CF9" i="12"/>
  <c r="CE9" i="12"/>
  <c r="CD9" i="12"/>
  <c r="CC9" i="12"/>
  <c r="CB9" i="12"/>
  <c r="CA9" i="12"/>
  <c r="BZ9" i="12"/>
  <c r="BY9" i="12"/>
  <c r="BS9" i="12"/>
  <c r="BR9" i="12"/>
  <c r="BQ9" i="12"/>
  <c r="BP9" i="12"/>
  <c r="BO9" i="12"/>
  <c r="BN9" i="12"/>
  <c r="BJ9" i="12"/>
  <c r="BI9" i="12"/>
  <c r="BH9" i="12"/>
  <c r="BG9" i="12"/>
  <c r="BF9" i="12"/>
  <c r="BE9" i="12"/>
  <c r="BD9" i="12"/>
  <c r="BC9" i="12"/>
  <c r="BB9" i="12"/>
  <c r="BA9" i="12"/>
  <c r="BV9" i="12" s="1"/>
  <c r="AU9" i="12"/>
  <c r="AT9" i="12"/>
  <c r="AK9" i="12"/>
  <c r="AJ9" i="12"/>
  <c r="AI9" i="12"/>
  <c r="AH9" i="12"/>
  <c r="AD9" i="12"/>
  <c r="AC9" i="12"/>
  <c r="AE9" i="12" s="1"/>
  <c r="AB9" i="12"/>
  <c r="Y9" i="12"/>
  <c r="CO8" i="12"/>
  <c r="CN8" i="12"/>
  <c r="CM8" i="12"/>
  <c r="CL8" i="12"/>
  <c r="CK8" i="12"/>
  <c r="CJ8" i="12"/>
  <c r="CF8" i="12"/>
  <c r="CE8" i="12"/>
  <c r="CD8" i="12"/>
  <c r="CC8" i="12"/>
  <c r="CB8" i="12"/>
  <c r="CA8" i="12"/>
  <c r="BZ8" i="12"/>
  <c r="BY8" i="12"/>
  <c r="BV8" i="12"/>
  <c r="BS8" i="12"/>
  <c r="BR8" i="12"/>
  <c r="BQ8" i="12"/>
  <c r="BP8" i="12"/>
  <c r="BO8" i="12"/>
  <c r="BN8" i="12"/>
  <c r="BJ8" i="12"/>
  <c r="BI8" i="12"/>
  <c r="BH8" i="12"/>
  <c r="BG8" i="12"/>
  <c r="BF8" i="12"/>
  <c r="BE8" i="12"/>
  <c r="BD8" i="12"/>
  <c r="BC8" i="12"/>
  <c r="BB8" i="12"/>
  <c r="BA8" i="12"/>
  <c r="BU8" i="12" s="1"/>
  <c r="AU8" i="12"/>
  <c r="AT8" i="12"/>
  <c r="AK8" i="12"/>
  <c r="AJ8" i="12"/>
  <c r="AI8" i="12"/>
  <c r="AH8" i="12"/>
  <c r="AD8" i="12"/>
  <c r="AC8" i="12"/>
  <c r="AE8" i="12" s="1"/>
  <c r="AB8" i="12"/>
  <c r="Y8" i="12"/>
  <c r="CO7" i="12"/>
  <c r="CN7" i="12"/>
  <c r="CM7" i="12"/>
  <c r="CL7" i="12"/>
  <c r="CK7" i="12"/>
  <c r="CJ7" i="12"/>
  <c r="CF7" i="12"/>
  <c r="CE7" i="12"/>
  <c r="CD7" i="12"/>
  <c r="CC7" i="12"/>
  <c r="CB7" i="12"/>
  <c r="CA7" i="12"/>
  <c r="BZ7" i="12"/>
  <c r="BY7" i="12"/>
  <c r="BS7" i="12"/>
  <c r="BR7" i="12"/>
  <c r="BQ7" i="12"/>
  <c r="BP7" i="12"/>
  <c r="BO7" i="12"/>
  <c r="BN7" i="12"/>
  <c r="BJ7" i="12"/>
  <c r="BI7" i="12"/>
  <c r="BH7" i="12"/>
  <c r="BG7" i="12"/>
  <c r="BF7" i="12"/>
  <c r="BE7" i="12"/>
  <c r="BD7" i="12"/>
  <c r="BC7" i="12"/>
  <c r="BB7" i="12"/>
  <c r="BA7" i="12"/>
  <c r="BV7" i="12" s="1"/>
  <c r="AU7" i="12"/>
  <c r="AT7" i="12"/>
  <c r="AK7" i="12"/>
  <c r="AJ7" i="12"/>
  <c r="AI7" i="12"/>
  <c r="AH7" i="12"/>
  <c r="AE7" i="12"/>
  <c r="AD7" i="12"/>
  <c r="AC7" i="12"/>
  <c r="AB7" i="12"/>
  <c r="Y7" i="12"/>
  <c r="CO6" i="12"/>
  <c r="CN6" i="12"/>
  <c r="CM6" i="12"/>
  <c r="CL6" i="12"/>
  <c r="CK6" i="12"/>
  <c r="CJ6" i="12"/>
  <c r="CF6" i="12"/>
  <c r="CE6" i="12"/>
  <c r="CD6" i="12"/>
  <c r="CC6" i="12"/>
  <c r="CB6" i="12"/>
  <c r="CA6" i="12"/>
  <c r="BZ6" i="12"/>
  <c r="BY6" i="12"/>
  <c r="BV6" i="12"/>
  <c r="BS6" i="12"/>
  <c r="BR6" i="12"/>
  <c r="BQ6" i="12"/>
  <c r="BP6" i="12"/>
  <c r="BO6" i="12"/>
  <c r="BN6" i="12"/>
  <c r="BJ6" i="12"/>
  <c r="BI6" i="12"/>
  <c r="BH6" i="12"/>
  <c r="BG6" i="12"/>
  <c r="BF6" i="12"/>
  <c r="BE6" i="12"/>
  <c r="BD6" i="12"/>
  <c r="BC6" i="12"/>
  <c r="BB6" i="12"/>
  <c r="BA6" i="12"/>
  <c r="BU6" i="12" s="1"/>
  <c r="AU6" i="12"/>
  <c r="AT6" i="12"/>
  <c r="AK6" i="12"/>
  <c r="AJ6" i="12"/>
  <c r="AI6" i="12"/>
  <c r="AH6" i="12"/>
  <c r="AD6" i="12"/>
  <c r="AC6" i="12"/>
  <c r="AB6" i="12"/>
  <c r="AE6" i="12" s="1"/>
  <c r="Y6" i="12"/>
  <c r="CO5" i="12"/>
  <c r="CN5" i="12"/>
  <c r="CM5" i="12"/>
  <c r="CL5" i="12"/>
  <c r="CK5" i="12"/>
  <c r="CJ5" i="12"/>
  <c r="CF5" i="12"/>
  <c r="CE5" i="12"/>
  <c r="CD5" i="12"/>
  <c r="CC5" i="12"/>
  <c r="CB5" i="12"/>
  <c r="CA5" i="12"/>
  <c r="BZ5" i="12"/>
  <c r="BY5" i="12"/>
  <c r="BS5" i="12"/>
  <c r="BR5" i="12"/>
  <c r="BQ5" i="12"/>
  <c r="BP5" i="12"/>
  <c r="BO5" i="12"/>
  <c r="BN5" i="12"/>
  <c r="BJ5" i="12"/>
  <c r="BI5" i="12"/>
  <c r="BH5" i="12"/>
  <c r="BG5" i="12"/>
  <c r="BF5" i="12"/>
  <c r="BE5" i="12"/>
  <c r="BD5" i="12"/>
  <c r="BC5" i="12"/>
  <c r="BB5" i="12"/>
  <c r="BA5" i="12"/>
  <c r="BV5" i="12" s="1"/>
  <c r="AU5" i="12"/>
  <c r="AT5" i="12"/>
  <c r="AK5" i="12"/>
  <c r="AJ5" i="12"/>
  <c r="AI5" i="12"/>
  <c r="AH5" i="12"/>
  <c r="AD5" i="12"/>
  <c r="AC5" i="12"/>
  <c r="AE5" i="12" s="1"/>
  <c r="AB5" i="12"/>
  <c r="Y5" i="12"/>
  <c r="CO4" i="12"/>
  <c r="CN4" i="12"/>
  <c r="CM4" i="12"/>
  <c r="CL4" i="12"/>
  <c r="CK4" i="12"/>
  <c r="CJ4" i="12"/>
  <c r="CF4" i="12"/>
  <c r="CE4" i="12"/>
  <c r="CD4" i="12"/>
  <c r="CC4" i="12"/>
  <c r="CB4" i="12"/>
  <c r="CA4" i="12"/>
  <c r="BZ4" i="12"/>
  <c r="BY4" i="12"/>
  <c r="BV4" i="12"/>
  <c r="BS4" i="12"/>
  <c r="BR4" i="12"/>
  <c r="BQ4" i="12"/>
  <c r="BP4" i="12"/>
  <c r="BO4" i="12"/>
  <c r="BN4" i="12"/>
  <c r="BJ4" i="12"/>
  <c r="BI4" i="12"/>
  <c r="BH4" i="12"/>
  <c r="BG4" i="12"/>
  <c r="BF4" i="12"/>
  <c r="BE4" i="12"/>
  <c r="BD4" i="12"/>
  <c r="BC4" i="12"/>
  <c r="BB4" i="12"/>
  <c r="BA4" i="12"/>
  <c r="BU4" i="12" s="1"/>
  <c r="AU4" i="12"/>
  <c r="AT4" i="12"/>
  <c r="AK4" i="12"/>
  <c r="AJ4" i="12"/>
  <c r="AI4" i="12"/>
  <c r="AH4" i="12"/>
  <c r="AD4" i="12"/>
  <c r="AC4" i="12"/>
  <c r="AE4" i="12" s="1"/>
  <c r="AB4" i="12"/>
  <c r="Y4" i="12"/>
  <c r="CO3" i="12"/>
  <c r="CN3" i="12"/>
  <c r="CM3" i="12"/>
  <c r="CL3" i="12"/>
  <c r="CK3" i="12"/>
  <c r="CJ3" i="12"/>
  <c r="CF3" i="12"/>
  <c r="CE3" i="12"/>
  <c r="CD3" i="12"/>
  <c r="CC3" i="12"/>
  <c r="CB3" i="12"/>
  <c r="CA3" i="12"/>
  <c r="BZ3" i="12"/>
  <c r="BY3" i="12"/>
  <c r="BS3" i="12"/>
  <c r="BR3" i="12"/>
  <c r="BQ3" i="12"/>
  <c r="BP3" i="12"/>
  <c r="BO3" i="12"/>
  <c r="BN3" i="12"/>
  <c r="BJ3" i="12"/>
  <c r="BI3" i="12"/>
  <c r="BH3" i="12"/>
  <c r="BG3" i="12"/>
  <c r="BF3" i="12"/>
  <c r="BE3" i="12"/>
  <c r="BD3" i="12"/>
  <c r="BC3" i="12"/>
  <c r="BB3" i="12"/>
  <c r="BA3" i="12"/>
  <c r="BV3" i="12" s="1"/>
  <c r="AU3" i="12"/>
  <c r="AT3" i="12"/>
  <c r="AK3" i="12"/>
  <c r="AJ3" i="12"/>
  <c r="AI3" i="12"/>
  <c r="AH3" i="12"/>
  <c r="AE3" i="12"/>
  <c r="AD3" i="12"/>
  <c r="AC3" i="12"/>
  <c r="AB3" i="12"/>
  <c r="Y3" i="12"/>
  <c r="I34" i="6"/>
  <c r="H33" i="6"/>
  <c r="I33" i="6" s="1"/>
  <c r="I32" i="6"/>
  <c r="I31" i="6"/>
  <c r="H31" i="6"/>
  <c r="I30" i="6"/>
  <c r="H29" i="6"/>
  <c r="I29" i="6" s="1"/>
  <c r="I28" i="6"/>
  <c r="I27" i="6"/>
  <c r="H27" i="6"/>
  <c r="I26" i="6"/>
  <c r="H26" i="6"/>
  <c r="I25" i="6"/>
  <c r="H25" i="6"/>
  <c r="I24" i="6"/>
  <c r="H23" i="6"/>
  <c r="I23" i="6" s="1"/>
  <c r="H22" i="6"/>
  <c r="I22" i="6" s="1"/>
  <c r="R3" i="6" s="1"/>
  <c r="I21" i="6"/>
  <c r="I20" i="6"/>
  <c r="H20" i="6"/>
  <c r="I19" i="6"/>
  <c r="I18" i="6"/>
  <c r="I17" i="6"/>
  <c r="H17" i="6"/>
  <c r="I16" i="6"/>
  <c r="I15" i="6"/>
  <c r="I14" i="6"/>
  <c r="H14" i="6"/>
  <c r="I13" i="6"/>
  <c r="H13" i="6"/>
  <c r="I12" i="6"/>
  <c r="H12" i="6"/>
  <c r="I11" i="6"/>
  <c r="H11" i="6"/>
  <c r="I10" i="6"/>
  <c r="H10" i="6"/>
  <c r="I9" i="6"/>
  <c r="H9" i="6"/>
  <c r="I8" i="6"/>
  <c r="H8" i="6"/>
  <c r="I7" i="6"/>
  <c r="Q3" i="6" s="1"/>
  <c r="H7" i="6"/>
  <c r="N3" i="6"/>
  <c r="J3" i="6"/>
  <c r="F3" i="6"/>
  <c r="B3" i="6"/>
  <c r="A3" i="6"/>
  <c r="AK22" i="10"/>
  <c r="AJ22" i="10"/>
  <c r="AI22" i="10"/>
  <c r="AH22" i="10"/>
  <c r="AG22" i="10"/>
  <c r="AF22" i="10"/>
  <c r="AE22" i="10"/>
  <c r="AC22" i="10"/>
  <c r="AD22" i="10" s="1"/>
  <c r="X22" i="10"/>
  <c r="Y22" i="10" s="1"/>
  <c r="W22" i="10"/>
  <c r="V22" i="10"/>
  <c r="U22" i="10"/>
  <c r="T22" i="10"/>
  <c r="S22" i="10"/>
  <c r="P22" i="10"/>
  <c r="O22" i="10"/>
  <c r="Q22" i="10" s="1"/>
  <c r="N22" i="10"/>
  <c r="AK21" i="10"/>
  <c r="AJ21" i="10"/>
  <c r="AI21" i="10"/>
  <c r="AH21" i="10"/>
  <c r="AF21" i="10"/>
  <c r="AE21" i="10"/>
  <c r="AD21" i="10"/>
  <c r="AC21" i="10"/>
  <c r="W21" i="10"/>
  <c r="V21" i="10"/>
  <c r="U21" i="10"/>
  <c r="T21" i="10"/>
  <c r="S21" i="10"/>
  <c r="P21" i="10"/>
  <c r="O21" i="10"/>
  <c r="N21" i="10"/>
  <c r="Q21" i="10" s="1"/>
  <c r="AK20" i="10"/>
  <c r="AJ20" i="10"/>
  <c r="AI20" i="10"/>
  <c r="AH20" i="10"/>
  <c r="AF20" i="10"/>
  <c r="AE20" i="10"/>
  <c r="AD20" i="10"/>
  <c r="AC20" i="10"/>
  <c r="X20" i="10"/>
  <c r="W20" i="10"/>
  <c r="V20" i="10"/>
  <c r="U20" i="10"/>
  <c r="T20" i="10"/>
  <c r="S20" i="10"/>
  <c r="P20" i="10"/>
  <c r="O20" i="10"/>
  <c r="N20" i="10"/>
  <c r="AK19" i="10"/>
  <c r="AJ19" i="10"/>
  <c r="AI19" i="10"/>
  <c r="AH19" i="10"/>
  <c r="AF19" i="10"/>
  <c r="AE19" i="10"/>
  <c r="AD19" i="10"/>
  <c r="AC19" i="10"/>
  <c r="X19" i="10"/>
  <c r="Y19" i="10" s="1"/>
  <c r="W19" i="10"/>
  <c r="V19" i="10"/>
  <c r="U19" i="10"/>
  <c r="T19" i="10"/>
  <c r="S19" i="10"/>
  <c r="AG19" i="10" s="1"/>
  <c r="P19" i="10"/>
  <c r="O19" i="10"/>
  <c r="N19" i="10"/>
  <c r="AK18" i="10"/>
  <c r="AJ18" i="10"/>
  <c r="AI18" i="10"/>
  <c r="AH18" i="10"/>
  <c r="AG18" i="10"/>
  <c r="AF18" i="10"/>
  <c r="AE18" i="10"/>
  <c r="AC18" i="10"/>
  <c r="AD18" i="10" s="1"/>
  <c r="Y18" i="10"/>
  <c r="X18" i="10"/>
  <c r="W18" i="10"/>
  <c r="V18" i="10"/>
  <c r="U18" i="10"/>
  <c r="T18" i="10"/>
  <c r="S18" i="10"/>
  <c r="Q18" i="10"/>
  <c r="P18" i="10"/>
  <c r="O18" i="10"/>
  <c r="N18" i="10"/>
  <c r="AK17" i="10"/>
  <c r="AJ17" i="10"/>
  <c r="AI17" i="10"/>
  <c r="AH17" i="10"/>
  <c r="AF17" i="10"/>
  <c r="AE17" i="10"/>
  <c r="AD17" i="10"/>
  <c r="AC17" i="10"/>
  <c r="W17" i="10"/>
  <c r="V17" i="10"/>
  <c r="U17" i="10"/>
  <c r="T17" i="10"/>
  <c r="S17" i="10"/>
  <c r="P17" i="10"/>
  <c r="O17" i="10"/>
  <c r="N17" i="10"/>
  <c r="Q17" i="10" s="1"/>
  <c r="AK16" i="10"/>
  <c r="AJ16" i="10"/>
  <c r="AI16" i="10"/>
  <c r="AH16" i="10"/>
  <c r="AF16" i="10"/>
  <c r="AE16" i="10"/>
  <c r="AD16" i="10"/>
  <c r="AC16" i="10"/>
  <c r="X16" i="10"/>
  <c r="W16" i="10"/>
  <c r="V16" i="10"/>
  <c r="U16" i="10"/>
  <c r="T16" i="10"/>
  <c r="S16" i="10"/>
  <c r="P16" i="10"/>
  <c r="O16" i="10"/>
  <c r="N16" i="10"/>
  <c r="AK15" i="10"/>
  <c r="AJ15" i="10"/>
  <c r="AI15" i="10"/>
  <c r="AH15" i="10"/>
  <c r="AF15" i="10"/>
  <c r="AE15" i="10"/>
  <c r="AD15" i="10"/>
  <c r="AC15" i="10"/>
  <c r="X15" i="10"/>
  <c r="Y15" i="10" s="1"/>
  <c r="W15" i="10"/>
  <c r="V15" i="10"/>
  <c r="U15" i="10"/>
  <c r="T15" i="10"/>
  <c r="S15" i="10"/>
  <c r="AG15" i="10" s="1"/>
  <c r="P15" i="10"/>
  <c r="O15" i="10"/>
  <c r="N15" i="10"/>
  <c r="AK14" i="10"/>
  <c r="AJ14" i="10"/>
  <c r="AI14" i="10"/>
  <c r="AH14" i="10"/>
  <c r="AG14" i="10"/>
  <c r="AF14" i="10"/>
  <c r="AE14" i="10"/>
  <c r="AC14" i="10"/>
  <c r="AD14" i="10" s="1"/>
  <c r="Y14" i="10"/>
  <c r="X14" i="10"/>
  <c r="W14" i="10"/>
  <c r="V14" i="10"/>
  <c r="U14" i="10"/>
  <c r="T14" i="10"/>
  <c r="S14" i="10"/>
  <c r="Q14" i="10"/>
  <c r="P14" i="10"/>
  <c r="O14" i="10"/>
  <c r="N14" i="10"/>
  <c r="AK13" i="10"/>
  <c r="AJ13" i="10"/>
  <c r="AI13" i="10"/>
  <c r="AH13" i="10"/>
  <c r="AF13" i="10"/>
  <c r="AE13" i="10"/>
  <c r="AD13" i="10"/>
  <c r="AC13" i="10"/>
  <c r="W13" i="10"/>
  <c r="V13" i="10"/>
  <c r="U13" i="10"/>
  <c r="T13" i="10"/>
  <c r="S13" i="10"/>
  <c r="P13" i="10"/>
  <c r="O13" i="10"/>
  <c r="N13" i="10"/>
  <c r="Q13" i="10" s="1"/>
  <c r="AK12" i="10"/>
  <c r="AJ12" i="10"/>
  <c r="AI12" i="10"/>
  <c r="AH12" i="10"/>
  <c r="AF12" i="10"/>
  <c r="AE12" i="10"/>
  <c r="AD12" i="10"/>
  <c r="AC12" i="10"/>
  <c r="X12" i="10"/>
  <c r="W12" i="10"/>
  <c r="V12" i="10"/>
  <c r="U12" i="10"/>
  <c r="T12" i="10"/>
  <c r="S12" i="10"/>
  <c r="P12" i="10"/>
  <c r="O12" i="10"/>
  <c r="N12" i="10"/>
  <c r="AK11" i="10"/>
  <c r="AJ11" i="10"/>
  <c r="AI11" i="10"/>
  <c r="AH11" i="10"/>
  <c r="AF11" i="10"/>
  <c r="AE11" i="10"/>
  <c r="AD11" i="10"/>
  <c r="AC11" i="10"/>
  <c r="X11" i="10"/>
  <c r="Y11" i="10" s="1"/>
  <c r="W11" i="10"/>
  <c r="V11" i="10"/>
  <c r="U11" i="10"/>
  <c r="T11" i="10"/>
  <c r="S11" i="10"/>
  <c r="AG11" i="10" s="1"/>
  <c r="P11" i="10"/>
  <c r="O11" i="10"/>
  <c r="N11" i="10"/>
  <c r="AK10" i="10"/>
  <c r="AJ10" i="10"/>
  <c r="AI10" i="10"/>
  <c r="AH10" i="10"/>
  <c r="AG10" i="10"/>
  <c r="AF10" i="10"/>
  <c r="AE10" i="10"/>
  <c r="AC10" i="10"/>
  <c r="AD10" i="10" s="1"/>
  <c r="Y10" i="10"/>
  <c r="X10" i="10"/>
  <c r="W10" i="10"/>
  <c r="V10" i="10"/>
  <c r="U10" i="10"/>
  <c r="T10" i="10"/>
  <c r="S10" i="10"/>
  <c r="Q10" i="10"/>
  <c r="P10" i="10"/>
  <c r="O10" i="10"/>
  <c r="N10" i="10"/>
  <c r="AK9" i="10"/>
  <c r="AJ9" i="10"/>
  <c r="AI9" i="10"/>
  <c r="AH9" i="10"/>
  <c r="AF9" i="10"/>
  <c r="AE9" i="10"/>
  <c r="AD9" i="10"/>
  <c r="AC9" i="10"/>
  <c r="W9" i="10"/>
  <c r="V9" i="10"/>
  <c r="U9" i="10"/>
  <c r="T9" i="10"/>
  <c r="S9" i="10"/>
  <c r="P9" i="10"/>
  <c r="O9" i="10"/>
  <c r="N9" i="10"/>
  <c r="Q9" i="10" s="1"/>
  <c r="AK8" i="10"/>
  <c r="AJ8" i="10"/>
  <c r="AI8" i="10"/>
  <c r="AH8" i="10"/>
  <c r="AF8" i="10"/>
  <c r="AE8" i="10"/>
  <c r="AD8" i="10"/>
  <c r="AC8" i="10"/>
  <c r="X8" i="10"/>
  <c r="W8" i="10"/>
  <c r="V8" i="10"/>
  <c r="U8" i="10"/>
  <c r="T8" i="10"/>
  <c r="S8" i="10"/>
  <c r="P8" i="10"/>
  <c r="O8" i="10"/>
  <c r="N8" i="10"/>
  <c r="AK7" i="10"/>
  <c r="AJ7" i="10"/>
  <c r="AI7" i="10"/>
  <c r="AH7" i="10"/>
  <c r="AF7" i="10"/>
  <c r="AE7" i="10"/>
  <c r="AD7" i="10"/>
  <c r="AC7" i="10"/>
  <c r="X7" i="10"/>
  <c r="Y7" i="10" s="1"/>
  <c r="W7" i="10"/>
  <c r="V7" i="10"/>
  <c r="U7" i="10"/>
  <c r="T7" i="10"/>
  <c r="S7" i="10"/>
  <c r="AG7" i="10" s="1"/>
  <c r="P7" i="10"/>
  <c r="O7" i="10"/>
  <c r="N7" i="10"/>
  <c r="AK6" i="10"/>
  <c r="AJ6" i="10"/>
  <c r="AI6" i="10"/>
  <c r="AH6" i="10"/>
  <c r="AG6" i="10"/>
  <c r="AF6" i="10"/>
  <c r="AE6" i="10"/>
  <c r="AC6" i="10"/>
  <c r="AD6" i="10" s="1"/>
  <c r="Y6" i="10"/>
  <c r="X6" i="10"/>
  <c r="W6" i="10"/>
  <c r="V6" i="10"/>
  <c r="U6" i="10"/>
  <c r="T6" i="10"/>
  <c r="S6" i="10"/>
  <c r="Q6" i="10"/>
  <c r="P6" i="10"/>
  <c r="O6" i="10"/>
  <c r="N6" i="10"/>
  <c r="AK5" i="10"/>
  <c r="AJ5" i="10"/>
  <c r="AI5" i="10"/>
  <c r="AH5" i="10"/>
  <c r="AG5" i="10"/>
  <c r="AF5" i="10"/>
  <c r="AE5" i="10"/>
  <c r="AD5" i="10"/>
  <c r="AC5" i="10"/>
  <c r="Y5" i="10"/>
  <c r="W5" i="10"/>
  <c r="X5" i="10" s="1"/>
  <c r="V5" i="10"/>
  <c r="U5" i="10"/>
  <c r="T5" i="10"/>
  <c r="S5" i="10"/>
  <c r="Q5" i="10"/>
  <c r="P5" i="10"/>
  <c r="O5" i="10"/>
  <c r="N5" i="10"/>
  <c r="AK4" i="10"/>
  <c r="AJ4" i="10"/>
  <c r="AI4" i="10"/>
  <c r="AH4" i="10"/>
  <c r="AG4" i="10"/>
  <c r="AF4" i="10"/>
  <c r="AE4" i="10"/>
  <c r="AD4" i="10"/>
  <c r="AC4" i="10"/>
  <c r="X4" i="10"/>
  <c r="W4" i="10"/>
  <c r="V4" i="10"/>
  <c r="U4" i="10"/>
  <c r="T4" i="10"/>
  <c r="S4" i="10"/>
  <c r="Q4" i="10"/>
  <c r="P4" i="10"/>
  <c r="O4" i="10"/>
  <c r="N4" i="10"/>
  <c r="AK3" i="10"/>
  <c r="AJ3" i="10"/>
  <c r="AI3" i="10"/>
  <c r="AH3" i="10"/>
  <c r="AF3" i="10"/>
  <c r="AE3" i="10"/>
  <c r="AD3" i="10"/>
  <c r="AC3" i="10"/>
  <c r="X3" i="10"/>
  <c r="Y3" i="10" s="1"/>
  <c r="W3" i="10"/>
  <c r="V3" i="10"/>
  <c r="U3" i="10"/>
  <c r="T3" i="10"/>
  <c r="S3" i="10"/>
  <c r="AG3" i="10" s="1"/>
  <c r="P3" i="10"/>
  <c r="O3" i="10"/>
  <c r="N3" i="10"/>
  <c r="G197" i="5"/>
  <c r="G196" i="5"/>
  <c r="G195" i="5"/>
  <c r="G194" i="5"/>
  <c r="G193" i="5"/>
  <c r="G192" i="5"/>
  <c r="G191" i="5"/>
  <c r="G190" i="5"/>
  <c r="G189" i="5"/>
  <c r="G188" i="5"/>
  <c r="G186" i="5"/>
  <c r="G185" i="5"/>
  <c r="G184" i="5"/>
  <c r="G183" i="5"/>
  <c r="G182" i="5"/>
  <c r="G181" i="5"/>
  <c r="G180" i="5"/>
  <c r="G179" i="5"/>
  <c r="G178" i="5"/>
  <c r="G177" i="5"/>
  <c r="G175" i="5"/>
  <c r="G174" i="5"/>
  <c r="G173" i="5"/>
  <c r="G172" i="5"/>
  <c r="G171" i="5"/>
  <c r="G170" i="5"/>
  <c r="G169" i="5"/>
  <c r="G168" i="5"/>
  <c r="G167" i="5"/>
  <c r="G166" i="5"/>
  <c r="G165" i="5"/>
  <c r="G164" i="5"/>
  <c r="G162" i="5"/>
  <c r="G161" i="5"/>
  <c r="G160" i="5"/>
  <c r="G159" i="5"/>
  <c r="G158" i="5"/>
  <c r="G157" i="5"/>
  <c r="G156" i="5"/>
  <c r="G155" i="5"/>
  <c r="G154" i="5"/>
  <c r="G153" i="5"/>
  <c r="G152" i="5"/>
  <c r="G151" i="5"/>
  <c r="G150" i="5"/>
  <c r="G148" i="5"/>
  <c r="G147" i="5"/>
  <c r="G146" i="5"/>
  <c r="G145" i="5"/>
  <c r="G144" i="5"/>
  <c r="G143" i="5"/>
  <c r="G142" i="5"/>
  <c r="G141" i="5"/>
  <c r="G140" i="5"/>
  <c r="G139" i="5"/>
  <c r="G138" i="5"/>
  <c r="G136" i="5"/>
  <c r="G135" i="5"/>
  <c r="G134" i="5"/>
  <c r="G133" i="5"/>
  <c r="G132" i="5"/>
  <c r="G131" i="5"/>
  <c r="G130" i="5"/>
  <c r="G129" i="5"/>
  <c r="G128" i="5"/>
  <c r="G127" i="5"/>
  <c r="G126" i="5"/>
  <c r="G125" i="5"/>
  <c r="G124" i="5"/>
  <c r="G123" i="5"/>
  <c r="G122" i="5"/>
  <c r="G120" i="5"/>
  <c r="G119" i="5"/>
  <c r="G118" i="5"/>
  <c r="G117" i="5"/>
  <c r="G116" i="5"/>
  <c r="G115" i="5"/>
  <c r="G114" i="5"/>
  <c r="G113" i="5"/>
  <c r="G112" i="5"/>
  <c r="G111" i="5"/>
  <c r="G110" i="5"/>
  <c r="G109" i="5"/>
  <c r="G108" i="5"/>
  <c r="G107" i="5"/>
  <c r="G106" i="5"/>
  <c r="G104" i="5"/>
  <c r="G103" i="5"/>
  <c r="G102" i="5"/>
  <c r="G101" i="5"/>
  <c r="G100" i="5"/>
  <c r="G99" i="5"/>
  <c r="G98" i="5"/>
  <c r="G97" i="5"/>
  <c r="G96" i="5"/>
  <c r="G95" i="5"/>
  <c r="G94" i="5"/>
  <c r="G93" i="5"/>
  <c r="G92" i="5"/>
  <c r="G91" i="5"/>
  <c r="G90" i="5"/>
  <c r="G89" i="5"/>
  <c r="G88" i="5"/>
  <c r="G87" i="5"/>
  <c r="G86" i="5"/>
  <c r="G85" i="5"/>
  <c r="G84" i="5"/>
  <c r="G83" i="5"/>
  <c r="G82" i="5"/>
  <c r="G81" i="5"/>
  <c r="G80" i="5"/>
  <c r="G78" i="5"/>
  <c r="G77" i="5"/>
  <c r="G76" i="5"/>
  <c r="G75" i="5"/>
  <c r="G74" i="5"/>
  <c r="G73" i="5"/>
  <c r="G72" i="5"/>
  <c r="G71" i="5"/>
  <c r="G70" i="5"/>
  <c r="G69" i="5"/>
  <c r="G67" i="5"/>
  <c r="G66" i="5"/>
  <c r="G65" i="5"/>
  <c r="G64" i="5"/>
  <c r="G63" i="5"/>
  <c r="G62" i="5"/>
  <c r="G61" i="5"/>
  <c r="G60" i="5"/>
  <c r="G59" i="5"/>
  <c r="G58" i="5"/>
  <c r="G57" i="5"/>
  <c r="G56" i="5"/>
  <c r="G55" i="5"/>
  <c r="G54" i="5"/>
  <c r="G53" i="5"/>
  <c r="G51" i="5"/>
  <c r="G50" i="5"/>
  <c r="G49" i="5"/>
  <c r="G48" i="5"/>
  <c r="G47" i="5"/>
  <c r="G46" i="5"/>
  <c r="G45" i="5"/>
  <c r="G44" i="5"/>
  <c r="G43" i="5"/>
  <c r="G42" i="5"/>
  <c r="G41" i="5"/>
  <c r="G40" i="5"/>
  <c r="G39" i="5"/>
  <c r="G38" i="5"/>
  <c r="G36" i="5"/>
  <c r="G35" i="5"/>
  <c r="G34" i="5"/>
  <c r="G33" i="5"/>
  <c r="G32" i="5"/>
  <c r="G31" i="5"/>
  <c r="G30" i="5"/>
  <c r="G29" i="5"/>
  <c r="G28" i="5"/>
  <c r="G27" i="5"/>
  <c r="G26" i="5"/>
  <c r="G25" i="5"/>
  <c r="G24" i="5"/>
  <c r="G23" i="5"/>
  <c r="G22" i="5"/>
  <c r="G21" i="5"/>
  <c r="G20" i="5"/>
  <c r="S13" i="5" s="1"/>
  <c r="G19" i="5"/>
  <c r="G18" i="5"/>
  <c r="AA13" i="5"/>
  <c r="W13" i="5"/>
  <c r="U13" i="5"/>
  <c r="Q13" i="5"/>
  <c r="O13" i="5"/>
  <c r="M13" i="5"/>
  <c r="I13" i="5"/>
  <c r="G13" i="5"/>
  <c r="E13" i="5"/>
  <c r="B13" i="5"/>
  <c r="AA12" i="5"/>
  <c r="V12" i="5"/>
  <c r="R12" i="5"/>
  <c r="P12" i="5"/>
  <c r="N12" i="5"/>
  <c r="J12" i="5"/>
  <c r="H12" i="5"/>
  <c r="F12" i="5"/>
  <c r="B12" i="5"/>
  <c r="AA11" i="5"/>
  <c r="W11" i="5"/>
  <c r="S11" i="5"/>
  <c r="Q11" i="5"/>
  <c r="O11" i="5"/>
  <c r="K11" i="5"/>
  <c r="I11" i="5"/>
  <c r="G11" i="5"/>
  <c r="C11" i="5"/>
  <c r="B11" i="5"/>
  <c r="AA10" i="5"/>
  <c r="T10" i="5"/>
  <c r="R10" i="5"/>
  <c r="P10" i="5"/>
  <c r="L10" i="5"/>
  <c r="J10" i="5"/>
  <c r="H10" i="5"/>
  <c r="D10" i="5"/>
  <c r="B10" i="5"/>
  <c r="AA9" i="5"/>
  <c r="U9" i="5"/>
  <c r="S9" i="5"/>
  <c r="Q9" i="5"/>
  <c r="M9" i="5"/>
  <c r="K9" i="5"/>
  <c r="I9" i="5"/>
  <c r="E9" i="5"/>
  <c r="C9" i="5"/>
  <c r="B9" i="5"/>
  <c r="AA8" i="5"/>
  <c r="V8" i="5"/>
  <c r="T8" i="5"/>
  <c r="R8" i="5"/>
  <c r="N8" i="5"/>
  <c r="L8" i="5"/>
  <c r="J8" i="5"/>
  <c r="F8" i="5"/>
  <c r="D8" i="5"/>
  <c r="B8" i="5"/>
  <c r="AA7" i="5"/>
  <c r="W7" i="5"/>
  <c r="U7" i="5"/>
  <c r="S7" i="5"/>
  <c r="O7" i="5"/>
  <c r="M7" i="5"/>
  <c r="K7" i="5"/>
  <c r="G7" i="5"/>
  <c r="E7" i="5"/>
  <c r="C7" i="5"/>
  <c r="B7" i="5"/>
  <c r="AA6" i="5"/>
  <c r="K28" i="3" s="1"/>
  <c r="L28" i="3" s="1"/>
  <c r="V6" i="5"/>
  <c r="T6" i="5"/>
  <c r="P6" i="5"/>
  <c r="N6" i="5"/>
  <c r="L6" i="5"/>
  <c r="H6" i="5"/>
  <c r="F6" i="5"/>
  <c r="D6" i="5"/>
  <c r="B6" i="5"/>
  <c r="AA5" i="5"/>
  <c r="W5" i="5"/>
  <c r="U5" i="5"/>
  <c r="Q5" i="5"/>
  <c r="O5" i="5"/>
  <c r="M5" i="5"/>
  <c r="I5" i="5"/>
  <c r="G5" i="5"/>
  <c r="E5" i="5"/>
  <c r="B5" i="5"/>
  <c r="AA4" i="5"/>
  <c r="V4" i="5"/>
  <c r="R4" i="5"/>
  <c r="P4" i="5"/>
  <c r="N4" i="5"/>
  <c r="L4" i="5"/>
  <c r="J4" i="5"/>
  <c r="H4" i="5"/>
  <c r="F4" i="5"/>
  <c r="D4" i="5"/>
  <c r="B4" i="5"/>
  <c r="AA3" i="5"/>
  <c r="W3" i="5"/>
  <c r="U3" i="5"/>
  <c r="S3" i="5"/>
  <c r="Q3" i="5"/>
  <c r="O3" i="5"/>
  <c r="M3" i="5"/>
  <c r="K3" i="5"/>
  <c r="I3" i="5"/>
  <c r="G3" i="5"/>
  <c r="E3" i="5"/>
  <c r="C3" i="5"/>
  <c r="B3" i="5"/>
  <c r="AA2" i="5"/>
  <c r="V2" i="5"/>
  <c r="T2" i="5"/>
  <c r="R2" i="5"/>
  <c r="P2" i="5"/>
  <c r="N2" i="5"/>
  <c r="L2" i="5"/>
  <c r="J2" i="5"/>
  <c r="H2" i="5"/>
  <c r="F2" i="5"/>
  <c r="D2" i="5"/>
  <c r="B2" i="5"/>
  <c r="AE54" i="3"/>
  <c r="AA54" i="3"/>
  <c r="Z54" i="3"/>
  <c r="Y54" i="3"/>
  <c r="X54" i="3"/>
  <c r="W54" i="3"/>
  <c r="V54" i="3"/>
  <c r="T54" i="3"/>
  <c r="S54" i="3"/>
  <c r="J54" i="3"/>
  <c r="AE53" i="3"/>
  <c r="AA53" i="3"/>
  <c r="Z53" i="3"/>
  <c r="Y53" i="3"/>
  <c r="X53" i="3"/>
  <c r="W53" i="3"/>
  <c r="V53" i="3"/>
  <c r="T53" i="3"/>
  <c r="S53" i="3"/>
  <c r="K53" i="3"/>
  <c r="L53" i="3" s="1"/>
  <c r="J53" i="3"/>
  <c r="AE52" i="3"/>
  <c r="AA52" i="3"/>
  <c r="Z52" i="3"/>
  <c r="Y52" i="3"/>
  <c r="X52" i="3"/>
  <c r="W52" i="3"/>
  <c r="V52" i="3"/>
  <c r="T52" i="3"/>
  <c r="S52" i="3"/>
  <c r="J52" i="3"/>
  <c r="AE51" i="3"/>
  <c r="AA51" i="3"/>
  <c r="Z51" i="3"/>
  <c r="Y51" i="3"/>
  <c r="X51" i="3"/>
  <c r="W51" i="3"/>
  <c r="V51" i="3"/>
  <c r="T51" i="3"/>
  <c r="S51" i="3"/>
  <c r="J51" i="3"/>
  <c r="AE50" i="3"/>
  <c r="AA50" i="3"/>
  <c r="Z50" i="3"/>
  <c r="Y50" i="3"/>
  <c r="X50" i="3"/>
  <c r="W50" i="3"/>
  <c r="V50" i="3"/>
  <c r="T50" i="3"/>
  <c r="S50" i="3"/>
  <c r="J50" i="3"/>
  <c r="AE49" i="3"/>
  <c r="AA49" i="3"/>
  <c r="Z49" i="3"/>
  <c r="Y49" i="3"/>
  <c r="X49" i="3"/>
  <c r="W49" i="3"/>
  <c r="V49" i="3"/>
  <c r="T49" i="3"/>
  <c r="S49" i="3"/>
  <c r="K49" i="3"/>
  <c r="L49" i="3" s="1"/>
  <c r="J49" i="3"/>
  <c r="AE48" i="3"/>
  <c r="AA48" i="3"/>
  <c r="Z48" i="3"/>
  <c r="Y48" i="3"/>
  <c r="X48" i="3"/>
  <c r="W48" i="3"/>
  <c r="V48" i="3"/>
  <c r="T48" i="3"/>
  <c r="S48" i="3"/>
  <c r="J48" i="3"/>
  <c r="AE47" i="3"/>
  <c r="AA47" i="3"/>
  <c r="Z47" i="3"/>
  <c r="Y47" i="3"/>
  <c r="X47" i="3"/>
  <c r="W47" i="3"/>
  <c r="V47" i="3"/>
  <c r="T47" i="3"/>
  <c r="S47" i="3"/>
  <c r="J47" i="3"/>
  <c r="AE46" i="3"/>
  <c r="AA46" i="3"/>
  <c r="Z46" i="3"/>
  <c r="Y46" i="3"/>
  <c r="X46" i="3"/>
  <c r="W46" i="3"/>
  <c r="V46" i="3"/>
  <c r="T46" i="3"/>
  <c r="S46" i="3"/>
  <c r="J46" i="3"/>
  <c r="AE45" i="3"/>
  <c r="AA45" i="3"/>
  <c r="Z45" i="3"/>
  <c r="Y45" i="3"/>
  <c r="X45" i="3"/>
  <c r="W45" i="3"/>
  <c r="V45" i="3"/>
  <c r="T45" i="3"/>
  <c r="S45" i="3"/>
  <c r="J45" i="3"/>
  <c r="AE44" i="3"/>
  <c r="AA44" i="3"/>
  <c r="Z44" i="3"/>
  <c r="Y44" i="3"/>
  <c r="X44" i="3"/>
  <c r="W44" i="3"/>
  <c r="V44" i="3"/>
  <c r="T44" i="3"/>
  <c r="S44" i="3"/>
  <c r="J44" i="3"/>
  <c r="AE43" i="3"/>
  <c r="AA43" i="3"/>
  <c r="Z43" i="3"/>
  <c r="Y43" i="3"/>
  <c r="X43" i="3"/>
  <c r="W43" i="3"/>
  <c r="V43" i="3"/>
  <c r="T43" i="3"/>
  <c r="S43" i="3"/>
  <c r="J43" i="3"/>
  <c r="AE42" i="3"/>
  <c r="AA42" i="3"/>
  <c r="Z42" i="3"/>
  <c r="Y42" i="3"/>
  <c r="X42" i="3"/>
  <c r="W42" i="3"/>
  <c r="V42" i="3"/>
  <c r="T42" i="3"/>
  <c r="S42" i="3"/>
  <c r="K42" i="3"/>
  <c r="L42" i="3" s="1"/>
  <c r="J42" i="3"/>
  <c r="AE41" i="3"/>
  <c r="AA41" i="3"/>
  <c r="Z41" i="3"/>
  <c r="Y41" i="3"/>
  <c r="X41" i="3"/>
  <c r="W41" i="3"/>
  <c r="V41" i="3"/>
  <c r="T41" i="3"/>
  <c r="S41" i="3"/>
  <c r="J41" i="3"/>
  <c r="AE40" i="3"/>
  <c r="AA40" i="3"/>
  <c r="Z40" i="3"/>
  <c r="Y40" i="3"/>
  <c r="X40" i="3"/>
  <c r="W40" i="3"/>
  <c r="V40" i="3"/>
  <c r="T40" i="3"/>
  <c r="S40" i="3"/>
  <c r="J40" i="3"/>
  <c r="AE39" i="3"/>
  <c r="AA39" i="3"/>
  <c r="Z39" i="3"/>
  <c r="Y39" i="3"/>
  <c r="X39" i="3"/>
  <c r="W39" i="3"/>
  <c r="V39" i="3"/>
  <c r="T39" i="3"/>
  <c r="S39" i="3"/>
  <c r="J39" i="3"/>
  <c r="AE38" i="3"/>
  <c r="AA38" i="3"/>
  <c r="Z38" i="3"/>
  <c r="Y38" i="3"/>
  <c r="X38" i="3"/>
  <c r="W38" i="3"/>
  <c r="V38" i="3"/>
  <c r="T38" i="3"/>
  <c r="S38" i="3"/>
  <c r="J38" i="3"/>
  <c r="AE37" i="3"/>
  <c r="AA37" i="3"/>
  <c r="Z37" i="3"/>
  <c r="Y37" i="3"/>
  <c r="X37" i="3"/>
  <c r="W37" i="3"/>
  <c r="V37" i="3"/>
  <c r="T37" i="3"/>
  <c r="S37" i="3"/>
  <c r="K37" i="3"/>
  <c r="L37" i="3" s="1"/>
  <c r="J37" i="3"/>
  <c r="AE36" i="3"/>
  <c r="AA36" i="3"/>
  <c r="Z36" i="3"/>
  <c r="Y36" i="3"/>
  <c r="X36" i="3"/>
  <c r="W36" i="3"/>
  <c r="V36" i="3"/>
  <c r="T36" i="3"/>
  <c r="S36" i="3"/>
  <c r="J36" i="3"/>
  <c r="AE35" i="3"/>
  <c r="AA35" i="3"/>
  <c r="Z35" i="3"/>
  <c r="Y35" i="3"/>
  <c r="X35" i="3"/>
  <c r="W35" i="3"/>
  <c r="V35" i="3"/>
  <c r="T35" i="3"/>
  <c r="S35" i="3"/>
  <c r="K35" i="3"/>
  <c r="J35" i="3"/>
  <c r="AE34" i="3"/>
  <c r="AA34" i="3"/>
  <c r="Z34" i="3"/>
  <c r="Y34" i="3"/>
  <c r="X34" i="3"/>
  <c r="W34" i="3"/>
  <c r="V34" i="3"/>
  <c r="T34" i="3"/>
  <c r="S34" i="3"/>
  <c r="K34" i="3"/>
  <c r="L34" i="3" s="1"/>
  <c r="J34" i="3"/>
  <c r="AE33" i="3"/>
  <c r="AA33" i="3"/>
  <c r="Z33" i="3"/>
  <c r="Y33" i="3"/>
  <c r="X33" i="3"/>
  <c r="W33" i="3"/>
  <c r="V33" i="3"/>
  <c r="T33" i="3"/>
  <c r="S33" i="3"/>
  <c r="K33" i="3"/>
  <c r="L33" i="3" s="1"/>
  <c r="J33" i="3"/>
  <c r="AE32" i="3"/>
  <c r="AA32" i="3"/>
  <c r="Z32" i="3"/>
  <c r="Y32" i="3"/>
  <c r="X32" i="3"/>
  <c r="W32" i="3"/>
  <c r="V32" i="3"/>
  <c r="T32" i="3"/>
  <c r="S32" i="3"/>
  <c r="J32" i="3"/>
  <c r="AE31" i="3"/>
  <c r="AA31" i="3"/>
  <c r="Z31" i="3"/>
  <c r="Y31" i="3"/>
  <c r="X31" i="3"/>
  <c r="W31" i="3"/>
  <c r="V31" i="3"/>
  <c r="T31" i="3"/>
  <c r="S31" i="3"/>
  <c r="K31" i="3"/>
  <c r="L31" i="3" s="1"/>
  <c r="J31" i="3"/>
  <c r="AE30" i="3"/>
  <c r="AA30" i="3"/>
  <c r="Z30" i="3"/>
  <c r="Y30" i="3"/>
  <c r="X30" i="3"/>
  <c r="W30" i="3"/>
  <c r="V30" i="3"/>
  <c r="T30" i="3"/>
  <c r="S30" i="3"/>
  <c r="J30" i="3"/>
  <c r="AE29" i="3"/>
  <c r="AA29" i="3"/>
  <c r="Z29" i="3"/>
  <c r="Y29" i="3"/>
  <c r="X29" i="3"/>
  <c r="W29" i="3"/>
  <c r="V29" i="3"/>
  <c r="T29" i="3"/>
  <c r="S29" i="3"/>
  <c r="J29" i="3"/>
  <c r="AE28" i="3"/>
  <c r="AA28" i="3"/>
  <c r="Z28" i="3"/>
  <c r="Y28" i="3"/>
  <c r="X28" i="3"/>
  <c r="W28" i="3"/>
  <c r="V28" i="3"/>
  <c r="T28" i="3"/>
  <c r="S28" i="3"/>
  <c r="J28" i="3"/>
  <c r="AE27" i="3"/>
  <c r="AA27" i="3"/>
  <c r="Z27" i="3"/>
  <c r="Y27" i="3"/>
  <c r="X27" i="3"/>
  <c r="W27" i="3"/>
  <c r="V27" i="3"/>
  <c r="T27" i="3"/>
  <c r="S27" i="3"/>
  <c r="J27" i="3"/>
  <c r="AE26" i="3"/>
  <c r="AA26" i="3"/>
  <c r="Z26" i="3"/>
  <c r="Y26" i="3"/>
  <c r="X26" i="3"/>
  <c r="W26" i="3"/>
  <c r="V26" i="3"/>
  <c r="T26" i="3"/>
  <c r="S26" i="3"/>
  <c r="K26" i="3"/>
  <c r="L26" i="3" s="1"/>
  <c r="J26" i="3"/>
  <c r="AE25" i="3"/>
  <c r="AA25" i="3"/>
  <c r="Z25" i="3"/>
  <c r="Y25" i="3"/>
  <c r="X25" i="3"/>
  <c r="W25" i="3"/>
  <c r="V25" i="3"/>
  <c r="T25" i="3"/>
  <c r="S25" i="3"/>
  <c r="K25" i="3"/>
  <c r="L25" i="3" s="1"/>
  <c r="J25" i="3"/>
  <c r="AE24" i="3"/>
  <c r="AA24" i="3"/>
  <c r="Z24" i="3"/>
  <c r="Y24" i="3"/>
  <c r="X24" i="3"/>
  <c r="W24" i="3"/>
  <c r="V24" i="3"/>
  <c r="T24" i="3"/>
  <c r="S24" i="3"/>
  <c r="K24" i="3"/>
  <c r="L24" i="3" s="1"/>
  <c r="J24" i="3"/>
  <c r="AE23" i="3"/>
  <c r="AA23" i="3"/>
  <c r="Z23" i="3"/>
  <c r="Y23" i="3"/>
  <c r="X23" i="3"/>
  <c r="W23" i="3"/>
  <c r="V23" i="3"/>
  <c r="T23" i="3"/>
  <c r="S23" i="3"/>
  <c r="K23" i="3"/>
  <c r="L23" i="3" s="1"/>
  <c r="J23" i="3"/>
  <c r="AE22" i="3"/>
  <c r="AA22" i="3"/>
  <c r="Z22" i="3"/>
  <c r="Y22" i="3"/>
  <c r="X22" i="3"/>
  <c r="W22" i="3"/>
  <c r="V22" i="3"/>
  <c r="T22" i="3"/>
  <c r="S22" i="3"/>
  <c r="J22" i="3"/>
  <c r="AE21" i="3"/>
  <c r="AA21" i="3"/>
  <c r="Z21" i="3"/>
  <c r="Y21" i="3"/>
  <c r="X21" i="3"/>
  <c r="W21" i="3"/>
  <c r="V21" i="3"/>
  <c r="T21" i="3"/>
  <c r="S21" i="3"/>
  <c r="K21" i="3"/>
  <c r="L21" i="3" s="1"/>
  <c r="J21" i="3"/>
  <c r="AE20" i="3"/>
  <c r="AA20" i="3"/>
  <c r="Z20" i="3"/>
  <c r="Y20" i="3"/>
  <c r="X20" i="3"/>
  <c r="W20" i="3"/>
  <c r="V20" i="3"/>
  <c r="T20" i="3"/>
  <c r="S20" i="3"/>
  <c r="K20" i="3"/>
  <c r="L20" i="3" s="1"/>
  <c r="J20" i="3"/>
  <c r="AE19" i="3"/>
  <c r="AA19" i="3"/>
  <c r="Z19" i="3"/>
  <c r="Y19" i="3"/>
  <c r="X19" i="3"/>
  <c r="W19" i="3"/>
  <c r="V19" i="3"/>
  <c r="T19" i="3"/>
  <c r="S19" i="3"/>
  <c r="K19" i="3"/>
  <c r="L19" i="3" s="1"/>
  <c r="J19" i="3"/>
  <c r="AE18" i="3"/>
  <c r="AA18" i="3"/>
  <c r="Z18" i="3"/>
  <c r="Y18" i="3"/>
  <c r="X18" i="3"/>
  <c r="W18" i="3"/>
  <c r="V18" i="3"/>
  <c r="T18" i="3"/>
  <c r="S18" i="3"/>
  <c r="J18" i="3"/>
  <c r="AE17" i="3"/>
  <c r="AA17" i="3"/>
  <c r="Z17" i="3"/>
  <c r="Y17" i="3"/>
  <c r="X17" i="3"/>
  <c r="W17" i="3"/>
  <c r="V17" i="3"/>
  <c r="T17" i="3"/>
  <c r="S17" i="3"/>
  <c r="K17" i="3"/>
  <c r="L17" i="3" s="1"/>
  <c r="J17" i="3"/>
  <c r="AE16" i="3"/>
  <c r="AA16" i="3"/>
  <c r="Z16" i="3"/>
  <c r="Y16" i="3"/>
  <c r="X16" i="3"/>
  <c r="W16" i="3"/>
  <c r="V16" i="3"/>
  <c r="T16" i="3"/>
  <c r="S16" i="3"/>
  <c r="K16" i="3"/>
  <c r="L16" i="3" s="1"/>
  <c r="J16" i="3"/>
  <c r="AE15" i="3"/>
  <c r="AA15" i="3"/>
  <c r="Z15" i="3"/>
  <c r="Y15" i="3"/>
  <c r="X15" i="3"/>
  <c r="W15" i="3"/>
  <c r="V15" i="3"/>
  <c r="T15" i="3"/>
  <c r="S15" i="3"/>
  <c r="K15" i="3"/>
  <c r="L15" i="3" s="1"/>
  <c r="J15" i="3"/>
  <c r="AE14" i="3"/>
  <c r="AA14" i="3"/>
  <c r="Z14" i="3"/>
  <c r="Y14" i="3"/>
  <c r="X14" i="3"/>
  <c r="W14" i="3"/>
  <c r="V14" i="3"/>
  <c r="T14" i="3"/>
  <c r="S14" i="3"/>
  <c r="J14" i="3"/>
  <c r="AE13" i="3"/>
  <c r="AA13" i="3"/>
  <c r="Z13" i="3"/>
  <c r="Y13" i="3"/>
  <c r="X13" i="3"/>
  <c r="W13" i="3"/>
  <c r="V13" i="3"/>
  <c r="T13" i="3"/>
  <c r="S13" i="3"/>
  <c r="K13" i="3"/>
  <c r="L13" i="3" s="1"/>
  <c r="J13" i="3"/>
  <c r="AE12" i="3"/>
  <c r="AA12" i="3"/>
  <c r="Z12" i="3"/>
  <c r="Y12" i="3"/>
  <c r="X12" i="3"/>
  <c r="W12" i="3"/>
  <c r="V12" i="3"/>
  <c r="T12" i="3"/>
  <c r="S12" i="3"/>
  <c r="K12" i="3"/>
  <c r="L12" i="3" s="1"/>
  <c r="J12" i="3"/>
  <c r="AE11" i="3"/>
  <c r="AA11" i="3"/>
  <c r="Z11" i="3"/>
  <c r="Y11" i="3"/>
  <c r="X11" i="3"/>
  <c r="W11" i="3"/>
  <c r="V11" i="3"/>
  <c r="T11" i="3"/>
  <c r="S11" i="3"/>
  <c r="K11" i="3"/>
  <c r="L11" i="3" s="1"/>
  <c r="J11" i="3"/>
  <c r="AE10" i="3"/>
  <c r="AA10" i="3"/>
  <c r="Z10" i="3"/>
  <c r="Y10" i="3"/>
  <c r="X10" i="3"/>
  <c r="W10" i="3"/>
  <c r="V10" i="3"/>
  <c r="T10" i="3"/>
  <c r="S10" i="3"/>
  <c r="J10" i="3"/>
  <c r="AE9" i="3"/>
  <c r="AA9" i="3"/>
  <c r="Z9" i="3"/>
  <c r="Y9" i="3"/>
  <c r="X9" i="3"/>
  <c r="W9" i="3"/>
  <c r="V9" i="3"/>
  <c r="T9" i="3"/>
  <c r="S9" i="3"/>
  <c r="K9" i="3"/>
  <c r="L9" i="3" s="1"/>
  <c r="J9" i="3"/>
  <c r="AE8" i="3"/>
  <c r="AA8" i="3"/>
  <c r="Z8" i="3"/>
  <c r="Y8" i="3"/>
  <c r="X8" i="3"/>
  <c r="W8" i="3"/>
  <c r="V8" i="3"/>
  <c r="T8" i="3"/>
  <c r="S8" i="3"/>
  <c r="K8" i="3"/>
  <c r="L8" i="3" s="1"/>
  <c r="J8" i="3"/>
  <c r="AE7" i="3"/>
  <c r="AA7" i="3"/>
  <c r="Z7" i="3"/>
  <c r="Y7" i="3"/>
  <c r="X7" i="3"/>
  <c r="W7" i="3"/>
  <c r="V7" i="3"/>
  <c r="T7" i="3"/>
  <c r="S7" i="3"/>
  <c r="K7" i="3"/>
  <c r="L7" i="3" s="1"/>
  <c r="J7" i="3"/>
  <c r="AE6" i="3"/>
  <c r="AA6" i="3"/>
  <c r="Z6" i="3"/>
  <c r="Y6" i="3"/>
  <c r="X6" i="3"/>
  <c r="W6" i="3"/>
  <c r="V6" i="3"/>
  <c r="T6" i="3"/>
  <c r="S6" i="3"/>
  <c r="J6" i="3"/>
  <c r="AE5" i="3"/>
  <c r="AA5" i="3"/>
  <c r="Z5" i="3"/>
  <c r="Y5" i="3"/>
  <c r="X5" i="3"/>
  <c r="W5" i="3"/>
  <c r="V5" i="3"/>
  <c r="T5" i="3"/>
  <c r="S5" i="3"/>
  <c r="K5" i="3"/>
  <c r="L5" i="3" s="1"/>
  <c r="J5" i="3"/>
  <c r="AE4" i="3"/>
  <c r="AA4" i="3"/>
  <c r="Z4" i="3"/>
  <c r="Y4" i="3"/>
  <c r="X4" i="3"/>
  <c r="W4" i="3"/>
  <c r="V4" i="3"/>
  <c r="T4" i="3"/>
  <c r="S4" i="3"/>
  <c r="K4" i="3"/>
  <c r="L4" i="3" s="1"/>
  <c r="J4" i="3"/>
  <c r="AE3" i="3"/>
  <c r="AA3" i="3"/>
  <c r="Z3" i="3"/>
  <c r="Y3" i="3"/>
  <c r="X3" i="3"/>
  <c r="W3" i="3"/>
  <c r="V3" i="3"/>
  <c r="T3" i="3"/>
  <c r="S3" i="3"/>
  <c r="K3" i="3"/>
  <c r="L3" i="3" s="1"/>
  <c r="J3" i="3"/>
  <c r="C27" i="2"/>
  <c r="C26" i="2"/>
  <c r="C25" i="2"/>
  <c r="C24" i="2"/>
  <c r="C23" i="2"/>
  <c r="C22" i="2"/>
  <c r="C21" i="2"/>
  <c r="C20" i="2"/>
  <c r="C19" i="2"/>
  <c r="C18" i="2"/>
  <c r="C17" i="2"/>
  <c r="C16" i="2"/>
  <c r="C15" i="2"/>
  <c r="C14" i="2"/>
  <c r="C13" i="2"/>
  <c r="C12" i="2"/>
  <c r="C11" i="2"/>
  <c r="C10" i="2"/>
  <c r="C9" i="2"/>
  <c r="C8" i="2"/>
  <c r="C7" i="2"/>
  <c r="C6" i="2"/>
  <c r="C5" i="2"/>
  <c r="C4" i="2"/>
  <c r="C3" i="2"/>
  <c r="C2" i="2"/>
  <c r="K52" i="3" l="1"/>
  <c r="L52" i="3" s="1"/>
  <c r="K48" i="3"/>
  <c r="L48" i="3" s="1"/>
  <c r="K44" i="3"/>
  <c r="L44" i="3" s="1"/>
  <c r="K40" i="3"/>
  <c r="L40" i="3" s="1"/>
  <c r="K36" i="3"/>
  <c r="L36" i="3" s="1"/>
  <c r="K32" i="3"/>
  <c r="L32" i="3" s="1"/>
  <c r="K54" i="3"/>
  <c r="L54" i="3" s="1"/>
  <c r="K50" i="3"/>
  <c r="L50" i="3" s="1"/>
  <c r="K46" i="3"/>
  <c r="L46" i="3" s="1"/>
  <c r="L35" i="3"/>
  <c r="K38" i="3"/>
  <c r="L38" i="3" s="1"/>
  <c r="K51" i="3"/>
  <c r="L51" i="3" s="1"/>
  <c r="AG13" i="10"/>
  <c r="X13" i="10"/>
  <c r="M13" i="10" s="1"/>
  <c r="Y13" i="10"/>
  <c r="AG21" i="10"/>
  <c r="X21" i="10"/>
  <c r="M21" i="10" s="1"/>
  <c r="Y21" i="10"/>
  <c r="K39" i="3"/>
  <c r="L39" i="3" s="1"/>
  <c r="K41" i="3"/>
  <c r="L41" i="3" s="1"/>
  <c r="AG9" i="10"/>
  <c r="X9" i="10"/>
  <c r="Y9" i="10" s="1"/>
  <c r="M9" i="10" s="1"/>
  <c r="AG17" i="10"/>
  <c r="X17" i="10"/>
  <c r="Y17" i="10" s="1"/>
  <c r="M17" i="10" s="1"/>
  <c r="K6" i="3"/>
  <c r="L6" i="3" s="1"/>
  <c r="K10" i="3"/>
  <c r="L10" i="3" s="1"/>
  <c r="K14" i="3"/>
  <c r="L14" i="3" s="1"/>
  <c r="K18" i="3"/>
  <c r="L18" i="3" s="1"/>
  <c r="K22" i="3"/>
  <c r="L22" i="3" s="1"/>
  <c r="K27" i="3"/>
  <c r="L27" i="3" s="1"/>
  <c r="K29" i="3"/>
  <c r="L29" i="3" s="1"/>
  <c r="K30" i="3"/>
  <c r="L30" i="3" s="1"/>
  <c r="K43" i="3"/>
  <c r="L43" i="3" s="1"/>
  <c r="K45" i="3"/>
  <c r="L45" i="3" s="1"/>
  <c r="K47" i="3"/>
  <c r="L47" i="3" s="1"/>
  <c r="T4" i="5"/>
  <c r="C5" i="5"/>
  <c r="K5" i="5"/>
  <c r="S5" i="5"/>
  <c r="J6" i="5"/>
  <c r="R6" i="5"/>
  <c r="I7" i="5"/>
  <c r="Q7" i="5"/>
  <c r="H8" i="5"/>
  <c r="P8" i="5"/>
  <c r="G9" i="5"/>
  <c r="O9" i="5"/>
  <c r="W9" i="5"/>
  <c r="F10" i="5"/>
  <c r="N10" i="5"/>
  <c r="V10" i="5"/>
  <c r="E11" i="5"/>
  <c r="M11" i="5"/>
  <c r="U11" i="5"/>
  <c r="D12" i="5"/>
  <c r="L12" i="5"/>
  <c r="T12" i="5"/>
  <c r="C13" i="5"/>
  <c r="K13" i="5"/>
  <c r="T13" i="5"/>
  <c r="P13" i="5"/>
  <c r="L13" i="5"/>
  <c r="H13" i="5"/>
  <c r="D13" i="5"/>
  <c r="W12" i="5"/>
  <c r="S12" i="5"/>
  <c r="O12" i="5"/>
  <c r="K12" i="5"/>
  <c r="G12" i="5"/>
  <c r="C12" i="5"/>
  <c r="V11" i="5"/>
  <c r="R11" i="5"/>
  <c r="N11" i="5"/>
  <c r="J11" i="5"/>
  <c r="F11" i="5"/>
  <c r="U10" i="5"/>
  <c r="Q10" i="5"/>
  <c r="M10" i="5"/>
  <c r="I10" i="5"/>
  <c r="E10" i="5"/>
  <c r="T9" i="5"/>
  <c r="P9" i="5"/>
  <c r="L9" i="5"/>
  <c r="H9" i="5"/>
  <c r="D9" i="5"/>
  <c r="W8" i="5"/>
  <c r="S8" i="5"/>
  <c r="O8" i="5"/>
  <c r="K8" i="5"/>
  <c r="G8" i="5"/>
  <c r="C8" i="5"/>
  <c r="V7" i="5"/>
  <c r="R7" i="5"/>
  <c r="N7" i="5"/>
  <c r="J7" i="5"/>
  <c r="F7" i="5"/>
  <c r="U6" i="5"/>
  <c r="Q6" i="5"/>
  <c r="M6" i="5"/>
  <c r="I6" i="5"/>
  <c r="E6" i="5"/>
  <c r="T5" i="5"/>
  <c r="P5" i="5"/>
  <c r="L5" i="5"/>
  <c r="H5" i="5"/>
  <c r="D5" i="5"/>
  <c r="W4" i="5"/>
  <c r="S4" i="5"/>
  <c r="O4" i="5"/>
  <c r="K4" i="5"/>
  <c r="G4" i="5"/>
  <c r="C4" i="5"/>
  <c r="V3" i="5"/>
  <c r="R3" i="5"/>
  <c r="N3" i="5"/>
  <c r="J3" i="5"/>
  <c r="F3" i="5"/>
  <c r="U2" i="5"/>
  <c r="Q2" i="5"/>
  <c r="M2" i="5"/>
  <c r="I2" i="5"/>
  <c r="E2" i="5"/>
  <c r="V13" i="5"/>
  <c r="R13" i="5"/>
  <c r="N13" i="5"/>
  <c r="J13" i="5"/>
  <c r="F13" i="5"/>
  <c r="U12" i="5"/>
  <c r="Q12" i="5"/>
  <c r="M12" i="5"/>
  <c r="I12" i="5"/>
  <c r="E12" i="5"/>
  <c r="T11" i="5"/>
  <c r="P11" i="5"/>
  <c r="L11" i="5"/>
  <c r="H11" i="5"/>
  <c r="D11" i="5"/>
  <c r="W10" i="5"/>
  <c r="S10" i="5"/>
  <c r="O10" i="5"/>
  <c r="K10" i="5"/>
  <c r="G10" i="5"/>
  <c r="C10" i="5"/>
  <c r="V9" i="5"/>
  <c r="R9" i="5"/>
  <c r="N9" i="5"/>
  <c r="J9" i="5"/>
  <c r="F9" i="5"/>
  <c r="U8" i="5"/>
  <c r="Q8" i="5"/>
  <c r="M8" i="5"/>
  <c r="I8" i="5"/>
  <c r="E8" i="5"/>
  <c r="T7" i="5"/>
  <c r="P7" i="5"/>
  <c r="L7" i="5"/>
  <c r="H7" i="5"/>
  <c r="D7" i="5"/>
  <c r="W6" i="5"/>
  <c r="S6" i="5"/>
  <c r="O6" i="5"/>
  <c r="K6" i="5"/>
  <c r="G6" i="5"/>
  <c r="C6" i="5"/>
  <c r="V5" i="5"/>
  <c r="R5" i="5"/>
  <c r="N5" i="5"/>
  <c r="J5" i="5"/>
  <c r="F5" i="5"/>
  <c r="U4" i="5"/>
  <c r="Q4" i="5"/>
  <c r="M4" i="5"/>
  <c r="I4" i="5"/>
  <c r="E4" i="5"/>
  <c r="T3" i="5"/>
  <c r="P3" i="5"/>
  <c r="L3" i="5"/>
  <c r="H3" i="5"/>
  <c r="D3" i="5"/>
  <c r="W2" i="5"/>
  <c r="S2" i="5"/>
  <c r="O2" i="5"/>
  <c r="K2" i="5"/>
  <c r="G2" i="5"/>
  <c r="C2" i="5"/>
  <c r="Y4" i="10"/>
  <c r="Q7" i="10"/>
  <c r="AG8" i="10"/>
  <c r="Y8" i="10"/>
  <c r="M8" i="10" s="1"/>
  <c r="Q12" i="10"/>
  <c r="Q15" i="10"/>
  <c r="AG16" i="10"/>
  <c r="Y16" i="10"/>
  <c r="Q20" i="10"/>
  <c r="Q3" i="10"/>
  <c r="Q8" i="10"/>
  <c r="Q11" i="10"/>
  <c r="AG12" i="10"/>
  <c r="Y12" i="10"/>
  <c r="Q16" i="10"/>
  <c r="Q19" i="10"/>
  <c r="AG20" i="10"/>
  <c r="Y20" i="10"/>
  <c r="M20" i="10" s="1"/>
  <c r="BU3" i="12"/>
  <c r="BU7" i="12"/>
  <c r="BU11" i="12"/>
  <c r="C3" i="6"/>
  <c r="M5" i="10" s="1"/>
  <c r="G3" i="6"/>
  <c r="K3" i="6"/>
  <c r="M16" i="10" s="1"/>
  <c r="O3" i="6"/>
  <c r="S3" i="6"/>
  <c r="BU10" i="12"/>
  <c r="W13" i="9"/>
  <c r="AE13" i="9"/>
  <c r="AM13" i="9"/>
  <c r="E14" i="9"/>
  <c r="U14" i="9"/>
  <c r="AK14" i="9"/>
  <c r="D3" i="6"/>
  <c r="H3" i="6"/>
  <c r="L3" i="6"/>
  <c r="P3" i="6"/>
  <c r="T3" i="6"/>
  <c r="BU5" i="12"/>
  <c r="BU9" i="12"/>
  <c r="E2" i="9"/>
  <c r="I2" i="9"/>
  <c r="M2" i="9"/>
  <c r="D3" i="9"/>
  <c r="H3" i="9"/>
  <c r="M3" i="9"/>
  <c r="E4" i="9"/>
  <c r="J4" i="9"/>
  <c r="G5" i="9"/>
  <c r="L5" i="9"/>
  <c r="C7" i="9"/>
  <c r="H8" i="9"/>
  <c r="H10" i="9"/>
  <c r="P10" i="9"/>
  <c r="X10" i="9"/>
  <c r="AF10" i="9"/>
  <c r="AN10" i="9"/>
  <c r="E11" i="9"/>
  <c r="M11" i="9"/>
  <c r="U11" i="9"/>
  <c r="AC11" i="9"/>
  <c r="AK11" i="9"/>
  <c r="G12" i="9"/>
  <c r="O12" i="9"/>
  <c r="W12" i="9"/>
  <c r="AE12" i="9"/>
  <c r="AM12" i="9"/>
  <c r="H13" i="9"/>
  <c r="P13" i="9"/>
  <c r="X13" i="9"/>
  <c r="AF13" i="9"/>
  <c r="AN13" i="9"/>
  <c r="I14" i="9"/>
  <c r="E3" i="6"/>
  <c r="M7" i="10" s="1"/>
  <c r="I3" i="6"/>
  <c r="M3" i="6"/>
  <c r="M15" i="10" s="1"/>
  <c r="F2" i="9"/>
  <c r="J2" i="9"/>
  <c r="E3" i="9"/>
  <c r="I3" i="9"/>
  <c r="F4" i="9"/>
  <c r="L4" i="9"/>
  <c r="C5" i="9"/>
  <c r="H5" i="9"/>
  <c r="M5" i="9"/>
  <c r="D7" i="9"/>
  <c r="C8" i="9"/>
  <c r="I10" i="9"/>
  <c r="Q10" i="9"/>
  <c r="Y10" i="9"/>
  <c r="AG10" i="9"/>
  <c r="AO10" i="9"/>
  <c r="F11" i="9"/>
  <c r="N11" i="9"/>
  <c r="V11" i="9"/>
  <c r="AD11" i="9"/>
  <c r="AL11" i="9"/>
  <c r="J12" i="9"/>
  <c r="R12" i="9"/>
  <c r="Z12" i="9"/>
  <c r="AH12" i="9"/>
  <c r="AP12" i="9"/>
  <c r="C13" i="9"/>
  <c r="K13" i="9"/>
  <c r="S13" i="9"/>
  <c r="AA13" i="9"/>
  <c r="AI13" i="9"/>
  <c r="M14" i="9"/>
  <c r="AO14" i="9"/>
  <c r="AN14" i="9"/>
  <c r="AJ14" i="9"/>
  <c r="AF14" i="9"/>
  <c r="AB14" i="9"/>
  <c r="X14" i="9"/>
  <c r="T14" i="9"/>
  <c r="P14" i="9"/>
  <c r="L14" i="9"/>
  <c r="H14" i="9"/>
  <c r="D14" i="9"/>
  <c r="AQ13" i="9"/>
  <c r="AQ14" i="9"/>
  <c r="AM14" i="9"/>
  <c r="AI14" i="9"/>
  <c r="AE14" i="9"/>
  <c r="AA14" i="9"/>
  <c r="W14" i="9"/>
  <c r="S14" i="9"/>
  <c r="O14" i="9"/>
  <c r="K14" i="9"/>
  <c r="G14" i="9"/>
  <c r="C14" i="9"/>
  <c r="AP13" i="9"/>
  <c r="AL13" i="9"/>
  <c r="AH13" i="9"/>
  <c r="AD13" i="9"/>
  <c r="Z13" i="9"/>
  <c r="V13" i="9"/>
  <c r="R13" i="9"/>
  <c r="N13" i="9"/>
  <c r="J13" i="9"/>
  <c r="F13" i="9"/>
  <c r="AO12" i="9"/>
  <c r="AK12" i="9"/>
  <c r="AG12" i="9"/>
  <c r="AC12" i="9"/>
  <c r="Y12" i="9"/>
  <c r="U12" i="9"/>
  <c r="Q12" i="9"/>
  <c r="M12" i="9"/>
  <c r="I12" i="9"/>
  <c r="E12" i="9"/>
  <c r="AN11" i="9"/>
  <c r="AJ11" i="9"/>
  <c r="AF11" i="9"/>
  <c r="AB11" i="9"/>
  <c r="X11" i="9"/>
  <c r="T11" i="9"/>
  <c r="P11" i="9"/>
  <c r="L11" i="9"/>
  <c r="H11" i="9"/>
  <c r="D11" i="9"/>
  <c r="AQ10" i="9"/>
  <c r="AM10" i="9"/>
  <c r="AI10" i="9"/>
  <c r="AE10" i="9"/>
  <c r="AA10" i="9"/>
  <c r="W10" i="9"/>
  <c r="S10" i="9"/>
  <c r="O10" i="9"/>
  <c r="K10" i="9"/>
  <c r="G10" i="9"/>
  <c r="C10" i="9"/>
  <c r="F8" i="9"/>
  <c r="E7" i="9"/>
  <c r="J5" i="9"/>
  <c r="F5" i="9"/>
  <c r="K4" i="9"/>
  <c r="G4" i="9"/>
  <c r="C4" i="9"/>
  <c r="L3" i="9"/>
  <c r="AP14" i="9"/>
  <c r="AL14" i="9"/>
  <c r="AH14" i="9"/>
  <c r="AD14" i="9"/>
  <c r="Z14" i="9"/>
  <c r="V14" i="9"/>
  <c r="R14" i="9"/>
  <c r="N14" i="9"/>
  <c r="J14" i="9"/>
  <c r="F14" i="9"/>
  <c r="AO13" i="9"/>
  <c r="AK13" i="9"/>
  <c r="AG13" i="9"/>
  <c r="AC13" i="9"/>
  <c r="Y13" i="9"/>
  <c r="U13" i="9"/>
  <c r="Q13" i="9"/>
  <c r="M13" i="9"/>
  <c r="I13" i="9"/>
  <c r="E13" i="9"/>
  <c r="AN12" i="9"/>
  <c r="AJ12" i="9"/>
  <c r="AF12" i="9"/>
  <c r="AB12" i="9"/>
  <c r="X12" i="9"/>
  <c r="T12" i="9"/>
  <c r="P12" i="9"/>
  <c r="L12" i="9"/>
  <c r="H12" i="9"/>
  <c r="D12" i="9"/>
  <c r="AQ11" i="9"/>
  <c r="AM11" i="9"/>
  <c r="AI11" i="9"/>
  <c r="AE11" i="9"/>
  <c r="AA11" i="9"/>
  <c r="W11" i="9"/>
  <c r="S11" i="9"/>
  <c r="O11" i="9"/>
  <c r="K11" i="9"/>
  <c r="G11" i="9"/>
  <c r="C11" i="9"/>
  <c r="AP10" i="9"/>
  <c r="AL10" i="9"/>
  <c r="AH10" i="9"/>
  <c r="AD10" i="9"/>
  <c r="Z10" i="9"/>
  <c r="V10" i="9"/>
  <c r="R10" i="9"/>
  <c r="N10" i="9"/>
  <c r="J10" i="9"/>
  <c r="F10" i="9"/>
  <c r="E8" i="9"/>
  <c r="H7" i="9"/>
  <c r="I49" i="3"/>
  <c r="I35" i="3"/>
  <c r="I37" i="3"/>
  <c r="I42" i="3"/>
  <c r="Z11" i="12"/>
  <c r="I25" i="3"/>
  <c r="I18" i="3"/>
  <c r="I27" i="3"/>
  <c r="I28" i="3"/>
  <c r="I5" i="3"/>
  <c r="I13" i="3"/>
  <c r="I17" i="3"/>
  <c r="I21" i="3"/>
  <c r="I6" i="3"/>
  <c r="I10" i="3"/>
  <c r="I14" i="3"/>
  <c r="I22" i="3"/>
  <c r="I3" i="3"/>
  <c r="I7" i="3"/>
  <c r="I15" i="3"/>
  <c r="I19" i="3"/>
  <c r="I4" i="3"/>
  <c r="I8" i="3"/>
  <c r="I12" i="3"/>
  <c r="I20" i="3"/>
  <c r="I24" i="3"/>
  <c r="I26" i="3"/>
  <c r="I9" i="3"/>
  <c r="I11" i="3"/>
  <c r="I23" i="3"/>
  <c r="I16" i="3"/>
  <c r="Z9" i="12"/>
  <c r="I40" i="3"/>
  <c r="I29" i="3"/>
  <c r="I43" i="3"/>
  <c r="I44" i="3"/>
  <c r="I45" i="3"/>
  <c r="I47" i="3"/>
  <c r="I39" i="3"/>
  <c r="I41" i="3"/>
  <c r="I31" i="3"/>
  <c r="I32" i="3"/>
  <c r="I33" i="3"/>
  <c r="I53" i="3"/>
  <c r="I36" i="3"/>
  <c r="I51" i="3"/>
  <c r="I48" i="3"/>
  <c r="I52" i="3"/>
  <c r="I30" i="3"/>
  <c r="I34" i="3"/>
  <c r="I38" i="3"/>
  <c r="I46" i="3"/>
  <c r="I50" i="3"/>
  <c r="I54" i="3"/>
  <c r="Z3" i="12"/>
  <c r="Z10" i="12"/>
  <c r="Z5" i="12"/>
  <c r="X4" i="12"/>
  <c r="X8" i="12"/>
  <c r="X12" i="12"/>
  <c r="X3" i="12"/>
  <c r="X7" i="12"/>
  <c r="X11" i="12"/>
  <c r="X6" i="12"/>
  <c r="X10" i="12"/>
  <c r="X5" i="12"/>
  <c r="X9" i="12"/>
  <c r="Z6" i="12"/>
  <c r="Z4" i="12"/>
  <c r="Z8" i="12"/>
  <c r="Z12" i="12"/>
  <c r="Z7" i="12"/>
  <c r="AA9" i="12" l="1"/>
  <c r="AF9" i="12" s="1"/>
  <c r="AA5" i="12"/>
  <c r="AF5" i="12" s="1"/>
  <c r="AA10" i="12"/>
  <c r="AF10" i="12" s="1"/>
  <c r="AA6" i="12"/>
  <c r="AF6" i="12" s="1"/>
  <c r="AA11" i="12"/>
  <c r="AF11" i="12" s="1"/>
  <c r="AA7" i="12"/>
  <c r="AF7" i="12" s="1"/>
  <c r="AA3" i="12"/>
  <c r="AF3" i="12" s="1"/>
  <c r="AA12" i="12"/>
  <c r="AF12" i="12" s="1"/>
  <c r="AA8" i="12"/>
  <c r="AF8" i="12" s="1"/>
  <c r="AA4" i="12"/>
  <c r="AF4" i="12" s="1"/>
  <c r="D27" i="2"/>
  <c r="D23" i="2"/>
  <c r="D19" i="2"/>
  <c r="D11" i="2"/>
  <c r="D7" i="2"/>
  <c r="D3" i="2"/>
  <c r="D25" i="2"/>
  <c r="D21" i="2"/>
  <c r="D24" i="2"/>
  <c r="D9" i="2"/>
  <c r="D26" i="2"/>
  <c r="D6" i="2"/>
  <c r="D5" i="2"/>
  <c r="D4" i="2"/>
  <c r="D14" i="2"/>
  <c r="D12" i="2"/>
  <c r="D20" i="2"/>
  <c r="D18" i="2"/>
  <c r="D17" i="2"/>
  <c r="D16" i="2"/>
  <c r="D2" i="2"/>
  <c r="D13" i="2"/>
  <c r="E15" i="2"/>
  <c r="E22" i="2"/>
  <c r="E10" i="2"/>
  <c r="E8" i="2"/>
  <c r="F8" i="2" s="1"/>
  <c r="E25" i="2"/>
  <c r="F25" i="2" s="1"/>
  <c r="E23" i="2"/>
  <c r="E19" i="2"/>
  <c r="F19" i="2" s="1"/>
  <c r="E11" i="2"/>
  <c r="F11" i="2" s="1"/>
  <c r="E7" i="2"/>
  <c r="E3" i="2"/>
  <c r="E18" i="2"/>
  <c r="E14" i="2"/>
  <c r="F14" i="2" s="1"/>
  <c r="E6" i="2"/>
  <c r="F6" i="2" s="1"/>
  <c r="E2" i="2"/>
  <c r="E21" i="2"/>
  <c r="F21" i="2" s="1"/>
  <c r="E13" i="2"/>
  <c r="F13" i="2" s="1"/>
  <c r="E9" i="2"/>
  <c r="E5" i="2"/>
  <c r="E20" i="2"/>
  <c r="F20" i="2" s="1"/>
  <c r="E16" i="2"/>
  <c r="F16" i="2" s="1"/>
  <c r="E12" i="2"/>
  <c r="F12" i="2" s="1"/>
  <c r="E4" i="2"/>
  <c r="E27" i="2"/>
  <c r="F27" i="2" s="1"/>
  <c r="E26" i="2"/>
  <c r="F26" i="2" s="1"/>
  <c r="E17" i="2"/>
  <c r="F17" i="2" s="1"/>
  <c r="E24" i="2"/>
  <c r="D15" i="2"/>
  <c r="D10" i="2"/>
  <c r="D8" i="2"/>
  <c r="D22" i="2"/>
  <c r="M11" i="10"/>
  <c r="M22" i="10"/>
  <c r="M18" i="10"/>
  <c r="M10" i="10"/>
  <c r="M6" i="10"/>
  <c r="M12" i="10"/>
  <c r="M4" i="10"/>
  <c r="M19" i="10"/>
  <c r="M3" i="10"/>
  <c r="M14" i="10"/>
  <c r="F18" i="2" l="1"/>
  <c r="F10" i="2"/>
  <c r="F24" i="2"/>
  <c r="F4" i="2"/>
  <c r="F5" i="2"/>
  <c r="F2" i="2"/>
  <c r="F3" i="2"/>
  <c r="F23" i="2"/>
  <c r="F22" i="2"/>
  <c r="F9" i="2"/>
  <c r="F7" i="2"/>
  <c r="F15" i="2"/>
</calcChain>
</file>

<file path=xl/comments1.xml><?xml version="1.0" encoding="utf-8"?>
<comments xmlns="http://schemas.openxmlformats.org/spreadsheetml/2006/main">
  <authors>
    <author>Ryan Cho</author>
  </authors>
  <commentList>
    <comment ref="A3" authorId="0" shapeId="0">
      <text>
        <r>
          <rPr>
            <b/>
            <sz val="9"/>
            <color indexed="81"/>
            <rFont val="Tahoma"/>
            <charset val="1"/>
          </rPr>
          <t>Ryan Cho:</t>
        </r>
        <r>
          <rPr>
            <sz val="9"/>
            <color indexed="81"/>
            <rFont val="Tahoma"/>
            <charset val="1"/>
          </rPr>
          <t xml:space="preserve">
Code/ISP
</t>
        </r>
      </text>
    </comment>
    <comment ref="A13" authorId="0" shapeId="0">
      <text>
        <r>
          <rPr>
            <b/>
            <sz val="9"/>
            <color indexed="81"/>
            <rFont val="Tahoma"/>
            <charset val="1"/>
          </rPr>
          <t>Ryan Cho:</t>
        </r>
        <r>
          <rPr>
            <sz val="9"/>
            <color indexed="81"/>
            <rFont val="Tahoma"/>
            <charset val="1"/>
          </rPr>
          <t xml:space="preserve">
Existing
</t>
        </r>
      </text>
    </comment>
  </commentList>
</comments>
</file>

<file path=xl/comments2.xml><?xml version="1.0" encoding="utf-8"?>
<comments xmlns="http://schemas.openxmlformats.org/spreadsheetml/2006/main">
  <authors>
    <author>Mike Ting</author>
    <author>Jason H Wang</author>
  </authors>
  <commentList>
    <comment ref="B24" authorId="0" shapeId="0">
      <text>
        <r>
          <rPr>
            <b/>
            <sz val="9"/>
            <color indexed="81"/>
            <rFont val="Tahoma"/>
            <family val="2"/>
          </rPr>
          <t>Mike Ting:</t>
        </r>
        <r>
          <rPr>
            <sz val="9"/>
            <color indexed="81"/>
            <rFont val="Tahoma"/>
            <family val="2"/>
          </rPr>
          <t xml:space="preserve">
various trade names for this, including Tuff Guard</t>
        </r>
      </text>
    </comment>
    <comment ref="B26" authorId="0" shapeId="0">
      <text>
        <r>
          <rPr>
            <b/>
            <sz val="9"/>
            <color indexed="81"/>
            <rFont val="Tahoma"/>
            <family val="2"/>
          </rPr>
          <t>Mike Ting:</t>
        </r>
        <r>
          <rPr>
            <sz val="9"/>
            <color indexed="81"/>
            <rFont val="Tahoma"/>
            <family val="2"/>
          </rPr>
          <t xml:space="preserve">
various trade names for this, including "ECO"</t>
        </r>
      </text>
    </comment>
    <comment ref="B34" authorId="0" shapeId="0">
      <text>
        <r>
          <rPr>
            <b/>
            <sz val="9"/>
            <color indexed="81"/>
            <rFont val="Tahoma"/>
            <family val="2"/>
          </rPr>
          <t>Mike Ting:</t>
        </r>
        <r>
          <rPr>
            <sz val="9"/>
            <color indexed="81"/>
            <rFont val="Tahoma"/>
            <family val="2"/>
          </rPr>
          <t xml:space="preserve">
defined as &gt;=35,000 hours</t>
        </r>
      </text>
    </comment>
    <comment ref="B44" authorId="0" shapeId="0">
      <text>
        <r>
          <rPr>
            <b/>
            <sz val="9"/>
            <color indexed="81"/>
            <rFont val="Tahoma"/>
            <family val="2"/>
          </rPr>
          <t>Mike Ting:</t>
        </r>
        <r>
          <rPr>
            <sz val="9"/>
            <color indexed="81"/>
            <rFont val="Tahoma"/>
            <family val="2"/>
          </rPr>
          <t xml:space="preserve">
various trade names for this, including Tuff Guard</t>
        </r>
      </text>
    </comment>
    <comment ref="B54" authorId="0" shapeId="0">
      <text>
        <r>
          <rPr>
            <b/>
            <sz val="9"/>
            <color indexed="81"/>
            <rFont val="Tahoma"/>
            <family val="2"/>
          </rPr>
          <t>Mike Ting:</t>
        </r>
        <r>
          <rPr>
            <sz val="9"/>
            <color indexed="81"/>
            <rFont val="Tahoma"/>
            <family val="2"/>
          </rPr>
          <t xml:space="preserve">
various trade names for this, including "ECO"</t>
        </r>
      </text>
    </comment>
    <comment ref="B56" authorId="0" shapeId="0">
      <text>
        <r>
          <rPr>
            <b/>
            <sz val="9"/>
            <color indexed="81"/>
            <rFont val="Tahoma"/>
            <family val="2"/>
          </rPr>
          <t>Mike Ting:</t>
        </r>
        <r>
          <rPr>
            <sz val="9"/>
            <color indexed="81"/>
            <rFont val="Tahoma"/>
            <family val="2"/>
          </rPr>
          <t xml:space="preserve">
various trade names for this, including Tuff Guard</t>
        </r>
      </text>
    </comment>
    <comment ref="B58" authorId="0" shapeId="0">
      <text>
        <r>
          <rPr>
            <b/>
            <sz val="9"/>
            <color indexed="81"/>
            <rFont val="Tahoma"/>
            <family val="2"/>
          </rPr>
          <t>Mike Ting:</t>
        </r>
        <r>
          <rPr>
            <sz val="9"/>
            <color indexed="81"/>
            <rFont val="Tahoma"/>
            <family val="2"/>
          </rPr>
          <t xml:space="preserve">
defined as &gt;=35,000 hours</t>
        </r>
      </text>
    </comment>
    <comment ref="E69" authorId="1" shapeId="0">
      <text>
        <r>
          <rPr>
            <b/>
            <sz val="9"/>
            <color indexed="81"/>
            <rFont val="Tahoma"/>
            <family val="2"/>
          </rPr>
          <t>Jason H Wang:</t>
        </r>
        <r>
          <rPr>
            <sz val="9"/>
            <color indexed="81"/>
            <rFont val="Tahoma"/>
            <family val="2"/>
          </rPr>
          <t xml:space="preserve">
WO017 uses its original model coefficients instead of its DEER/WP-equivalent Coefficients.</t>
        </r>
      </text>
    </comment>
    <comment ref="E70" authorId="1" shapeId="0">
      <text>
        <r>
          <rPr>
            <b/>
            <sz val="9"/>
            <color indexed="81"/>
            <rFont val="Tahoma"/>
            <family val="2"/>
          </rPr>
          <t>Jason H Wang:</t>
        </r>
        <r>
          <rPr>
            <sz val="9"/>
            <color indexed="81"/>
            <rFont val="Tahoma"/>
            <family val="2"/>
          </rPr>
          <t xml:space="preserve">
WO017 uses its original model coefficients instead of its DEER/WP-equivalent Coefficients.</t>
        </r>
      </text>
    </comment>
    <comment ref="E73" authorId="1" shapeId="0">
      <text>
        <r>
          <rPr>
            <b/>
            <sz val="9"/>
            <color indexed="81"/>
            <rFont val="Tahoma"/>
            <family val="2"/>
          </rPr>
          <t>Jason H Wang:</t>
        </r>
        <r>
          <rPr>
            <sz val="9"/>
            <color indexed="81"/>
            <rFont val="Tahoma"/>
            <family val="2"/>
          </rPr>
          <t xml:space="preserve">
WO017 uses its original model coefficients instead of its DEER/WP-equivalent Coefficients.</t>
        </r>
      </text>
    </comment>
  </commentList>
</comments>
</file>

<file path=xl/sharedStrings.xml><?xml version="1.0" encoding="utf-8"?>
<sst xmlns="http://schemas.openxmlformats.org/spreadsheetml/2006/main" count="1915" uniqueCount="378">
  <si>
    <t>Incandescent A-Lamp</t>
  </si>
  <si>
    <t>Channel</t>
  </si>
  <si>
    <t>Categorical</t>
  </si>
  <si>
    <t>Home Improvement</t>
  </si>
  <si>
    <t>Drug Store</t>
  </si>
  <si>
    <t>Grocery</t>
  </si>
  <si>
    <t>Hardware</t>
  </si>
  <si>
    <t>Mass Merchandise</t>
  </si>
  <si>
    <t>Membership Club</t>
  </si>
  <si>
    <t>EISA</t>
  </si>
  <si>
    <t>Binary</t>
  </si>
  <si>
    <t>Yes</t>
  </si>
  <si>
    <t>No</t>
  </si>
  <si>
    <t>Package size: 2 or more</t>
  </si>
  <si>
    <t>Package size: 3 or more</t>
  </si>
  <si>
    <t>Three-way</t>
  </si>
  <si>
    <t>National brand</t>
  </si>
  <si>
    <t>Expected Life (1000s of hours)</t>
  </si>
  <si>
    <t>Continuous</t>
  </si>
  <si>
    <t>.6-15</t>
  </si>
  <si>
    <t>Watts over 30</t>
  </si>
  <si>
    <t>0 - 120</t>
  </si>
  <si>
    <t>Watts over 75</t>
  </si>
  <si>
    <t>0 - 75</t>
  </si>
  <si>
    <t>Intercept</t>
  </si>
  <si>
    <t>Incandescent Reflector</t>
  </si>
  <si>
    <t>.75-8</t>
  </si>
  <si>
    <t>Watts</t>
  </si>
  <si>
    <t>12-150</t>
  </si>
  <si>
    <t>CFL A-Lamps and Twisters</t>
  </si>
  <si>
    <t>A-lamp Indicator</t>
  </si>
  <si>
    <t>Package size: 4 or more</t>
  </si>
  <si>
    <t>Dimmable</t>
  </si>
  <si>
    <t>National brand, no utility discount</t>
  </si>
  <si>
    <t>Utility discount, A-Lamp</t>
  </si>
  <si>
    <t>Utility discount, Twister</t>
  </si>
  <si>
    <t>1-15</t>
  </si>
  <si>
    <t>4-55</t>
  </si>
  <si>
    <t>Watts over 25</t>
  </si>
  <si>
    <t>0-30</t>
  </si>
  <si>
    <t>CFL Reflector</t>
  </si>
  <si>
    <t>Utility discount</t>
  </si>
  <si>
    <t>5-26</t>
  </si>
  <si>
    <t>10 Watt Dimming CFL</t>
  </si>
  <si>
    <t>11 Watt Dimming CFL</t>
  </si>
  <si>
    <t>13 Watt 3-Way CFL</t>
  </si>
  <si>
    <t>14 Watt Dimming CFL</t>
  </si>
  <si>
    <t>15 Watt 3-Way CFL</t>
  </si>
  <si>
    <t>15 Watt Dimming CFL</t>
  </si>
  <si>
    <t>15 Watt Dimming with Reflector CFL</t>
  </si>
  <si>
    <t>16 Watt Dimming CFL</t>
  </si>
  <si>
    <t>16 Watt Dimming with Reflector CFL</t>
  </si>
  <si>
    <t>18 Watt 3-Way CFL</t>
  </si>
  <si>
    <t>18 Watt Dimming CFL</t>
  </si>
  <si>
    <t>19 Watt Dimming CFL</t>
  </si>
  <si>
    <t>20 Watt Dimming CFL</t>
  </si>
  <si>
    <t>20 Watt Dimming with Reflector CFL</t>
  </si>
  <si>
    <t>23 Watt 3-Way CFL</t>
  </si>
  <si>
    <t>23 Watt Dimming CFL</t>
  </si>
  <si>
    <t>25 Watt 3-Way CFL</t>
  </si>
  <si>
    <t>25 Watt Dimming CFL</t>
  </si>
  <si>
    <t>26 Watt 3-Way CFL</t>
  </si>
  <si>
    <t>26 Watt Dimming CFL</t>
  </si>
  <si>
    <t>26 Watt Dimming with Reflector CFL</t>
  </si>
  <si>
    <t>28 Watt 3-Way CFL</t>
  </si>
  <si>
    <t>29 Watt 3-Way CFL</t>
  </si>
  <si>
    <t>32 Watt 3-Way CFL</t>
  </si>
  <si>
    <t>33 Watt 3-Way CFL</t>
  </si>
  <si>
    <t>40 Watt 3-Way CFL</t>
  </si>
  <si>
    <t>Solution Code</t>
  </si>
  <si>
    <t>LT-18824</t>
  </si>
  <si>
    <t>LT-60597</t>
  </si>
  <si>
    <t>LT-29056</t>
  </si>
  <si>
    <t>LT-10897</t>
  </si>
  <si>
    <t>LT-69222</t>
  </si>
  <si>
    <t>LT-71877</t>
  </si>
  <si>
    <t>LT-28745</t>
  </si>
  <si>
    <t>LT-36849</t>
  </si>
  <si>
    <t>LT-32612</t>
  </si>
  <si>
    <t>LT-29102</t>
  </si>
  <si>
    <t>LT-36578</t>
  </si>
  <si>
    <t>LT-48735</t>
  </si>
  <si>
    <t>LT-68121</t>
  </si>
  <si>
    <t>LT-59681</t>
  </si>
  <si>
    <t>LT-46984</t>
  </si>
  <si>
    <t>LT-92345</t>
  </si>
  <si>
    <t>LT-47544</t>
  </si>
  <si>
    <t>LT-50945</t>
  </si>
  <si>
    <t>LT-67349</t>
  </si>
  <si>
    <t>LT-28456</t>
  </si>
  <si>
    <t>LT-78932</t>
  </si>
  <si>
    <t>LT-67932</t>
  </si>
  <si>
    <t>LT-69524</t>
  </si>
  <si>
    <t>LT-72839</t>
  </si>
  <si>
    <t>LT-90414</t>
  </si>
  <si>
    <t>LT-89655</t>
  </si>
  <si>
    <t>Base Equipment Cost</t>
  </si>
  <si>
    <t>Measure Equipment Cost</t>
  </si>
  <si>
    <t>GMC and IMC</t>
  </si>
  <si>
    <t>Labor Cost</t>
  </si>
  <si>
    <t>Measure Name</t>
  </si>
  <si>
    <t>Lighting Type</t>
  </si>
  <si>
    <t>Wattage</t>
  </si>
  <si>
    <t>Three-Way</t>
  </si>
  <si>
    <t>Rated Life (hours)</t>
  </si>
  <si>
    <t>Incandescent Globe</t>
  </si>
  <si>
    <t>Watts &lt; 35</t>
  </si>
  <si>
    <t>Incandescent Torpedo</t>
  </si>
  <si>
    <t>(Do not delete these rows; see cells at right)</t>
  </si>
  <si>
    <t>CFL Globe</t>
  </si>
  <si>
    <t>CFL Torpedo</t>
  </si>
  <si>
    <t>0.75-15</t>
  </si>
  <si>
    <t>3-150</t>
  </si>
  <si>
    <t>1.095-5</t>
  </si>
  <si>
    <t>9-23</t>
  </si>
  <si>
    <t>2-25</t>
  </si>
  <si>
    <t>5-15</t>
  </si>
  <si>
    <t>LED A-Lamp</t>
  </si>
  <si>
    <t>National Brand</t>
  </si>
  <si>
    <t>Energy Star and no utility discount</t>
  </si>
  <si>
    <t>1.1-13</t>
  </si>
  <si>
    <t>N/A</t>
  </si>
  <si>
    <t>LED Reflector</t>
  </si>
  <si>
    <t>0.9-24</t>
  </si>
  <si>
    <t>LED Globe</t>
  </si>
  <si>
    <t>Energy Star</t>
  </si>
  <si>
    <t>0.012-0.05</t>
  </si>
  <si>
    <t>1-10</t>
  </si>
  <si>
    <t>LED Torpedo</t>
  </si>
  <si>
    <t>1.2-4</t>
  </si>
  <si>
    <t>(Do not delete this row; see cells at right)</t>
  </si>
  <si>
    <t>Data Type</t>
  </si>
  <si>
    <t>Shelf Survey</t>
  </si>
  <si>
    <t>% CA market</t>
  </si>
  <si>
    <t>Unknown</t>
  </si>
  <si>
    <t>N unit sales</t>
  </si>
  <si>
    <t>Contr. Markup</t>
  </si>
  <si>
    <t>Lighting - Lamps</t>
  </si>
  <si>
    <t>Lamp Type</t>
  </si>
  <si>
    <t>A-lamp</t>
  </si>
  <si>
    <t>Labor Hours</t>
  </si>
  <si>
    <t>Labor Hours per unit</t>
  </si>
  <si>
    <t>Labor Hourly Rate</t>
  </si>
  <si>
    <t>Markup</t>
  </si>
  <si>
    <t>Equipment Cost</t>
  </si>
  <si>
    <t>Labor Hourly Rate with Markup</t>
  </si>
  <si>
    <t>Total Labor Cost</t>
  </si>
  <si>
    <t>DIRECTIONS: Input columns C-H. Output is in I-L. Ignore M-AI</t>
  </si>
  <si>
    <t>HID Lamps</t>
  </si>
  <si>
    <t>25-1500</t>
  </si>
  <si>
    <t>Lumens per watt</t>
  </si>
  <si>
    <t>11-120</t>
  </si>
  <si>
    <t>Color Temp (K)</t>
  </si>
  <si>
    <t>3000-4300</t>
  </si>
  <si>
    <t>CRI</t>
  </si>
  <si>
    <t>60-93</t>
  </si>
  <si>
    <t>Start Type</t>
  </si>
  <si>
    <t>Probe</t>
  </si>
  <si>
    <t>Pulse</t>
  </si>
  <si>
    <t>Both</t>
  </si>
  <si>
    <t>Shape</t>
  </si>
  <si>
    <t>Elliptical</t>
  </si>
  <si>
    <t>PAR</t>
  </si>
  <si>
    <t>Tubular</t>
  </si>
  <si>
    <t>Rating</t>
  </si>
  <si>
    <t>E</t>
  </si>
  <si>
    <t>O</t>
  </si>
  <si>
    <t>S</t>
  </si>
  <si>
    <t>High Output</t>
  </si>
  <si>
    <t>Integrated Ballast</t>
  </si>
  <si>
    <t>Data Source</t>
  </si>
  <si>
    <t>DEG</t>
  </si>
  <si>
    <t>Distributor Prices</t>
  </si>
  <si>
    <t>Weighting</t>
  </si>
  <si>
    <t>None</t>
  </si>
  <si>
    <t>N observations</t>
  </si>
  <si>
    <t>R2</t>
  </si>
  <si>
    <t>MAE</t>
  </si>
  <si>
    <t>HID Fixtures</t>
  </si>
  <si>
    <t>Size</t>
  </si>
  <si>
    <t>14-22</t>
  </si>
  <si>
    <t>150-1000</t>
  </si>
  <si>
    <t>Manufacturer - Warehouse</t>
  </si>
  <si>
    <t>Manufacturer - Howard</t>
  </si>
  <si>
    <t>Acrylic Lens</t>
  </si>
  <si>
    <t>480V only</t>
  </si>
  <si>
    <t>DEG, Itron</t>
  </si>
  <si>
    <t>Lighting - HID</t>
  </si>
  <si>
    <t>Lamp</t>
  </si>
  <si>
    <t>Ballast</t>
  </si>
  <si>
    <t>Fixture</t>
  </si>
  <si>
    <t>Start TypeProbe</t>
  </si>
  <si>
    <t>Start TypePulse</t>
  </si>
  <si>
    <t>Start TypeBoth</t>
  </si>
  <si>
    <t>Include fixture in cost?</t>
  </si>
  <si>
    <t>Fixture size (inches)</t>
  </si>
  <si>
    <t>Dropdowns</t>
  </si>
  <si>
    <t>Labor</t>
  </si>
  <si>
    <t>Integrated BallastYes</t>
  </si>
  <si>
    <t>Integrated BallastNo</t>
  </si>
  <si>
    <t>Integrated Ballast?</t>
  </si>
  <si>
    <t>Misc. Costs</t>
  </si>
  <si>
    <t>Misc Costs</t>
  </si>
  <si>
    <t>25-32</t>
  </si>
  <si>
    <t>73-90</t>
  </si>
  <si>
    <t>15000-40000</t>
  </si>
  <si>
    <t>Efficacy (lumens/watt)</t>
  </si>
  <si>
    <t>56-105</t>
  </si>
  <si>
    <t>Manufacturer Earthtronics</t>
  </si>
  <si>
    <t xml:space="preserve">Yes </t>
  </si>
  <si>
    <t>Safety Coating</t>
  </si>
  <si>
    <t>Low Mercury</t>
  </si>
  <si>
    <t>15-28</t>
  </si>
  <si>
    <t>75-86</t>
  </si>
  <si>
    <t>75-95</t>
  </si>
  <si>
    <t>Extra Long Life</t>
  </si>
  <si>
    <t>51-86</t>
  </si>
  <si>
    <t>20000-36000</t>
  </si>
  <si>
    <t>92-107</t>
  </si>
  <si>
    <t>14-54</t>
  </si>
  <si>
    <t>82-85</t>
  </si>
  <si>
    <t>73-138</t>
  </si>
  <si>
    <t>Manufacturer GE</t>
  </si>
  <si>
    <t>Manufacturer Satco</t>
  </si>
  <si>
    <t>Manufacturer Sylvania</t>
  </si>
  <si>
    <t>Lighting - Ballasts</t>
  </si>
  <si>
    <t>Ballast Input Watts</t>
  </si>
  <si>
    <t>19 - 116</t>
  </si>
  <si>
    <t>Ballast Factor</t>
  </si>
  <si>
    <t>.74 - 1.18</t>
  </si>
  <si>
    <t>Programmed Start</t>
  </si>
  <si>
    <t>9 - 604</t>
  </si>
  <si>
    <t>.60 - 1.2</t>
  </si>
  <si>
    <t>Electronic Instant Start</t>
  </si>
  <si>
    <t>Magnetic Rapid Start</t>
  </si>
  <si>
    <t>Lighting - Fixtures</t>
  </si>
  <si>
    <t>Fixture length (inches)</t>
  </si>
  <si>
    <t>24-96</t>
  </si>
  <si>
    <t>Maximum Ballast Input Watts</t>
  </si>
  <si>
    <t>17-216</t>
  </si>
  <si>
    <t>Luminaire type - direct/indirect</t>
  </si>
  <si>
    <t>Luminaire type - trough</t>
  </si>
  <si>
    <t>Lamp type</t>
  </si>
  <si>
    <t>T5</t>
  </si>
  <si>
    <t>T8</t>
  </si>
  <si>
    <t>Dimmable ballast</t>
  </si>
  <si>
    <t>Manufacturer - Lamar</t>
  </si>
  <si>
    <t>Manufacturer - Litolier</t>
  </si>
  <si>
    <t>Manufacturer - Mercury</t>
  </si>
  <si>
    <t>21-216</t>
  </si>
  <si>
    <t>Luminaire type - parabolic troffer</t>
  </si>
  <si>
    <t>Luminaire type - troffer</t>
  </si>
  <si>
    <t>Ballast start type</t>
  </si>
  <si>
    <t>Programmed rapid start</t>
  </si>
  <si>
    <t>Instant start</t>
  </si>
  <si>
    <t>Louvered cover</t>
  </si>
  <si>
    <t>Size 96 inches</t>
  </si>
  <si>
    <t>17-236</t>
  </si>
  <si>
    <t>Manufacturer - Metalux</t>
  </si>
  <si>
    <t>Manfacturer - Simkar</t>
  </si>
  <si>
    <t>26-648</t>
  </si>
  <si>
    <t>Luminaire type - direct pendant</t>
  </si>
  <si>
    <t>Luminaire type - direct/indirect pendant</t>
  </si>
  <si>
    <t>Instant start ballast</t>
  </si>
  <si>
    <t>Programmed rapid start ballast</t>
  </si>
  <si>
    <t>Parabolic louvers</t>
  </si>
  <si>
    <t>Wire guard</t>
  </si>
  <si>
    <t>Manfacturer - Alera</t>
  </si>
  <si>
    <t>High Bay Linear Fluorescent Fixtures</t>
  </si>
  <si>
    <t>Number of lamps</t>
  </si>
  <si>
    <t xml:space="preserve"> 2 - 10 </t>
  </si>
  <si>
    <t>Lamp watts</t>
  </si>
  <si>
    <t>24-54</t>
  </si>
  <si>
    <t>Lens</t>
  </si>
  <si>
    <t>Occupancy sensor</t>
  </si>
  <si>
    <t>17-64 (full output)</t>
  </si>
  <si>
    <t>Emergency backup power</t>
  </si>
  <si>
    <t>Brand</t>
  </si>
  <si>
    <t>Atlite</t>
  </si>
  <si>
    <t>Lamar</t>
  </si>
  <si>
    <t>Lutron</t>
  </si>
  <si>
    <t>SureLites</t>
  </si>
  <si>
    <t>Linear Fluorescent T8 (48")</t>
  </si>
  <si>
    <t>Linear Fluorescent T8 (24" &amp; 36")</t>
  </si>
  <si>
    <t>Linear Fluorescent T8 (96")</t>
  </si>
  <si>
    <t>Linear Fluorescent T5 (all lengths)</t>
  </si>
  <si>
    <t>Linear Fluorescent Ballasts (CEE/NEMA certified)</t>
  </si>
  <si>
    <t>Linear Fluorescent Ballasts (non-CEE/NEMA certified)</t>
  </si>
  <si>
    <t>General Service Linear Fluorescent Fixtures (recessed w/cover)</t>
  </si>
  <si>
    <t>General Service Linear Fluorescent Fixtures (recessed no cover)</t>
  </si>
  <si>
    <t>General Service Linear Fluorescent Fixtures (surface mounted)</t>
  </si>
  <si>
    <t>General Service Linear Fluorescent Fixtures (suspended)</t>
  </si>
  <si>
    <t>Bi-Level Linear Fluorescent Fixtures (garage/stairwell lighting)</t>
  </si>
  <si>
    <t>HID Lamp, Fixture optional</t>
  </si>
  <si>
    <t>High bay?</t>
  </si>
  <si>
    <t>Labor Hours per unit - High bay</t>
  </si>
  <si>
    <t>Labor Hourly Rate - High bay</t>
  </si>
  <si>
    <t>Misc. Costs - High bay</t>
  </si>
  <si>
    <t>High bay</t>
  </si>
  <si>
    <t>Labor - High bay</t>
  </si>
  <si>
    <t>High bay? (affects labor cost only)</t>
  </si>
  <si>
    <t xml:space="preserve">Luminaire type - direct/indirectYes </t>
  </si>
  <si>
    <t>Luminaire type - direct/indirectNo</t>
  </si>
  <si>
    <t xml:space="preserve">Luminaire type - troughYes </t>
  </si>
  <si>
    <t>Luminaire type - troughNo</t>
  </si>
  <si>
    <t>Lamp typeT5</t>
  </si>
  <si>
    <t>Lamp typeT8</t>
  </si>
  <si>
    <t xml:space="preserve">Dimmable ballastYes </t>
  </si>
  <si>
    <t>Dimmable ballastNo</t>
  </si>
  <si>
    <t xml:space="preserve">Luminaire type - parabolic trofferYes </t>
  </si>
  <si>
    <t>Luminaire type - parabolic trofferNo</t>
  </si>
  <si>
    <t xml:space="preserve">Luminaire type - trofferYes </t>
  </si>
  <si>
    <t>Luminaire type - trofferNo</t>
  </si>
  <si>
    <t>Ballast start typeProgrammed rapid start</t>
  </si>
  <si>
    <t>Ballast start typeInstant start</t>
  </si>
  <si>
    <t xml:space="preserve">Size 96 inchesYes </t>
  </si>
  <si>
    <t>Size 96 inchesNo</t>
  </si>
  <si>
    <t xml:space="preserve">Luminaire type - direct pendantYes </t>
  </si>
  <si>
    <t>Luminaire type - direct pendantNo</t>
  </si>
  <si>
    <t xml:space="preserve">Luminaire type - direct/indirect pendantYes </t>
  </si>
  <si>
    <t>Luminaire type - direct/indirect pendantNo</t>
  </si>
  <si>
    <t xml:space="preserve">Instant start ballastYes </t>
  </si>
  <si>
    <t>Instant start ballastNo</t>
  </si>
  <si>
    <t xml:space="preserve">Programmed rapid start ballastYes </t>
  </si>
  <si>
    <t>Programmed rapid start ballastNo</t>
  </si>
  <si>
    <t xml:space="preserve">LensYes </t>
  </si>
  <si>
    <t>LensNo</t>
  </si>
  <si>
    <t xml:space="preserve">Occupancy sensorYes </t>
  </si>
  <si>
    <t>Occupancy sensorNo</t>
  </si>
  <si>
    <t>Recessed w/ cover</t>
  </si>
  <si>
    <t>Lamp Cost</t>
  </si>
  <si>
    <t>Ballast Cost</t>
  </si>
  <si>
    <t>Fixture Cost</t>
  </si>
  <si>
    <t>Total Equipment Cost</t>
  </si>
  <si>
    <t>Fixture type</t>
  </si>
  <si>
    <t>DIRECTIONS: Input columns C-L. Output is in M-Q. Ignore R-AK.</t>
  </si>
  <si>
    <t>Total Labor Cost (Labor + Misc)</t>
  </si>
  <si>
    <t>Lamp + Ballast</t>
  </si>
  <si>
    <t>Lamp + Fixture</t>
  </si>
  <si>
    <t>Lighting Product</t>
  </si>
  <si>
    <t>Do you want cost for Lamp + Ballast OR Lamp + Fixture?</t>
  </si>
  <si>
    <t>Dimmable ballast?</t>
  </si>
  <si>
    <t>Recessed no cover OR surface mounted</t>
  </si>
  <si>
    <t>Suspended</t>
  </si>
  <si>
    <t>Full Measure Cost</t>
  </si>
  <si>
    <t>DIRECTIONS: Input columns C-I. For Lamp + Ballast, input J and K. For Lamp + Fixture, input L-O and the corresponding color-coded fields in P-X. Output is in Y-AG. Ignore AH-CP.</t>
  </si>
  <si>
    <t>LT-41199</t>
  </si>
  <si>
    <t>LT-84912</t>
  </si>
  <si>
    <t>LT-55943</t>
  </si>
  <si>
    <t>LT-39676</t>
  </si>
  <si>
    <t>LT-92448</t>
  </si>
  <si>
    <t>LT-28754</t>
  </si>
  <si>
    <t>LT-38287</t>
  </si>
  <si>
    <t>LT-10232</t>
  </si>
  <si>
    <t>LT-26100</t>
  </si>
  <si>
    <t>LT-12866</t>
  </si>
  <si>
    <t>Up to 64 Watt Interior Fixture T5 Linear Fluorescent</t>
  </si>
  <si>
    <t xml:space="preserve">Up to 192 Watt Interior Fixture T5 Linear Fluorescent </t>
  </si>
  <si>
    <t xml:space="preserve">245 to 360 Watt (Tier 2) Interior Fixture T5 Linear Fluorescent  </t>
  </si>
  <si>
    <t xml:space="preserve">(6) 46in (3) Programmed Start Ballast - Normal Light Output - HO T5 Linear Fluorescent </t>
  </si>
  <si>
    <t xml:space="preserve">Up to 600 Watt Interior Fixture T5 Linear Fluorescent  </t>
  </si>
  <si>
    <t xml:space="preserve">Up to 244 Watt Interior Fixture T5 Linear Fluorescent </t>
  </si>
  <si>
    <t xml:space="preserve">(4) 46in (2) Programmed Start Ballast - Normal Light Output - HO T5 Linear Fluorescent </t>
  </si>
  <si>
    <t>Up to 244 Watt (Tier 1) Interior Fixture T5 Linear Fluorescent</t>
  </si>
  <si>
    <t>Up to 128 Watt Interior Fixture T5 Linear Fluorescent</t>
  </si>
  <si>
    <t>HID Fixture based on Lamp/Blst: MH-100w(128w); Any type of housing; Any direction of light; Total Watts = 128</t>
  </si>
  <si>
    <t>HID Fixture based on Lamp/Blst: PSMH-250w(288w); Any type of housing; Any direction of light; Total Watts = 288</t>
  </si>
  <si>
    <t>HID Fixture based on Lamp/Blst: PSMH-400w(456w); Any type of housing; Any direction of light; Total Watts = 456</t>
  </si>
  <si>
    <t>HID Fixture based on Lamp/Blst: PSMH-750w(818w); Any type of housing; Any direction of light; Total Watts = 818</t>
  </si>
  <si>
    <t>HID Fixture based on Lamp/Blst: PSMH-350w(400w); Any type of housing; Any direction of light; Total Watts = 400</t>
  </si>
  <si>
    <t>HID Fixture based on Lamp/Blst: PSMH-320w(365w); Any type of housing; Any direction of light; Total Watts = 365</t>
  </si>
  <si>
    <t>HID Fixture based on Lamp/Blst: MH-150w(190w); Any type of housing; Any direction of light; Total Watts = 190</t>
  </si>
  <si>
    <t>HID Fixture based on Lamp/Blst: MH-250w(295w); Any type of housing; Any direction of light; Total Watts = 295</t>
  </si>
  <si>
    <t>HID Fixture based on Lamp/Blst: MH-400w(458w); Any type of housing; Any direction of light; Total Watts = 458</t>
  </si>
  <si>
    <t>HID Fixture based on Lamp/Blst: MV-700w(780w); Any type of housing; Any direction of light; Total Watts = 780</t>
  </si>
  <si>
    <t>HID Fixture based on Lamp/Blst: MH-1000w(1080w); Any type of housing; Any direction of light; Total Watts = 1080</t>
  </si>
  <si>
    <t>HID Fixture based on Lamp/Blst: MH-350w(404w); Any type of housing; Any direction of light; Total Watts = 404</t>
  </si>
  <si>
    <t>HID Lamp and Ballast: HID Lamp: Mercury Vapor, Any shape, 400w, Universal position, 22805 lm, CRI = 45, rated hours = 24000 (1); HID Ballast: Constant Wattage Autotransformer, No dimming capability (1); Total Watts = 455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</si>
</sst>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(* #,##0.00_);_(* \(#,##0.00\);_(* &quot;-&quot;??_);_(@_)"/>
    <numFmt numFmtId="164" formatCode="0.000"/>
    <numFmt numFmtId="165" formatCode="&quot;$&quot;#,##0.00"/>
    <numFmt numFmtId="166" formatCode="0.0"/>
    <numFmt numFmtId="167" formatCode="[$-409]mmmm\-yy;@"/>
  </numFmts>
  <fonts count="23" x14ac:knownFonts="1">
    <font>
      <sz val="11"/>
      <color theme="1"/>
      <name val="Calibri"/>
      <family val="2"/>
      <scheme val="minor"/>
    </font>
    <font>
      <sz val="10"/>
      <color rgb="FF000000"/>
      <name val="Calibri"/>
      <family val="2"/>
      <scheme val="minor"/>
    </font>
    <font>
      <sz val="1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18"/>
      <color theme="0"/>
      <name val="Calibri"/>
      <family val="2"/>
      <scheme val="minor"/>
    </font>
    <font>
      <sz val="11"/>
      <color theme="0" tint="-0.34998626667073579"/>
      <name val="Calibri"/>
      <family val="2"/>
      <scheme val="minor"/>
    </font>
    <font>
      <sz val="10"/>
      <name val="Arial"/>
      <family val="2"/>
    </font>
    <font>
      <b/>
      <sz val="11"/>
      <color theme="0" tint="-0.34998626667073579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theme="0" tint="-0.14999847407452621"/>
      <name val="Calibri"/>
      <family val="2"/>
      <scheme val="minor"/>
    </font>
    <font>
      <sz val="11"/>
      <color theme="0" tint="-0.14999847407452621"/>
      <name val="Calibri"/>
      <family val="2"/>
      <scheme val="minor"/>
    </font>
    <font>
      <sz val="10"/>
      <color theme="0" tint="-0.14999847407452621"/>
      <name val="Calibri"/>
      <family val="2"/>
      <scheme val="minor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14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4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ck">
        <color auto="1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ck">
        <color auto="1"/>
      </right>
      <top/>
      <bottom/>
      <diagonal/>
    </border>
    <border>
      <left style="medium">
        <color indexed="64"/>
      </left>
      <right style="thick">
        <color auto="1"/>
      </right>
      <top/>
      <bottom style="thin">
        <color indexed="64"/>
      </bottom>
      <diagonal/>
    </border>
    <border>
      <left style="medium">
        <color auto="1"/>
      </left>
      <right style="thick">
        <color auto="1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auto="1"/>
      </left>
      <right style="thick">
        <color auto="1"/>
      </right>
      <top/>
      <bottom style="medium">
        <color indexed="64"/>
      </bottom>
      <diagonal/>
    </border>
    <border>
      <left/>
      <right/>
      <top/>
      <bottom style="medium">
        <color auto="1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auto="1"/>
      </left>
      <right style="thick">
        <color auto="1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thick">
        <color auto="1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auto="1"/>
      </left>
      <right style="thick">
        <color auto="1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rgb="FF4F493B"/>
      </bottom>
      <diagonal/>
    </border>
    <border>
      <left/>
      <right style="thin">
        <color rgb="FF4F493B"/>
      </right>
      <top/>
      <bottom style="thin">
        <color rgb="FF4F493B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rgb="FF4F493B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auto="1"/>
      </left>
      <right style="thick">
        <color auto="1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auto="1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ck">
        <color auto="1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ck">
        <color auto="1"/>
      </left>
      <right/>
      <top/>
      <bottom/>
      <diagonal/>
    </border>
    <border>
      <left style="thick">
        <color auto="1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4F493B"/>
      </bottom>
      <diagonal/>
    </border>
  </borders>
  <cellStyleXfs count="4">
    <xf numFmtId="0" fontId="0" fillId="0" borderId="0"/>
    <xf numFmtId="9" fontId="6" fillId="0" borderId="0" applyFont="0" applyFill="0" applyBorder="0" applyAlignment="0" applyProtection="0"/>
    <xf numFmtId="167" fontId="11" fillId="0" borderId="0"/>
    <xf numFmtId="43" fontId="6" fillId="0" borderId="0" applyFont="0" applyFill="0" applyBorder="0" applyAlignment="0" applyProtection="0"/>
  </cellStyleXfs>
  <cellXfs count="258">
    <xf numFmtId="0" fontId="0" fillId="0" borderId="0" xfId="0"/>
    <xf numFmtId="0" fontId="1" fillId="0" borderId="0" xfId="0" applyFont="1" applyFill="1" applyBorder="1" applyAlignment="1">
      <alignment vertical="center"/>
    </xf>
    <xf numFmtId="165" fontId="0" fillId="0" borderId="0" xfId="0" applyNumberFormat="1"/>
    <xf numFmtId="0" fontId="0" fillId="0" borderId="0" xfId="0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164" fontId="2" fillId="0" borderId="0" xfId="0" applyNumberFormat="1" applyFont="1" applyFill="1" applyBorder="1" applyAlignment="1">
      <alignment horizontal="left" vertical="top" wrapText="1"/>
    </xf>
    <xf numFmtId="1" fontId="2" fillId="0" borderId="0" xfId="0" applyNumberFormat="1" applyFont="1" applyFill="1" applyBorder="1" applyAlignment="1">
      <alignment horizontal="left" vertical="top" wrapText="1"/>
    </xf>
    <xf numFmtId="0" fontId="2" fillId="0" borderId="1" xfId="0" applyFont="1" applyFill="1" applyBorder="1" applyAlignment="1"/>
    <xf numFmtId="164" fontId="0" fillId="0" borderId="2" xfId="0" applyNumberFormat="1" applyFont="1" applyBorder="1" applyAlignment="1">
      <alignment horizontal="left"/>
    </xf>
    <xf numFmtId="0" fontId="5" fillId="0" borderId="1" xfId="0" applyFont="1" applyFill="1" applyBorder="1" applyAlignment="1"/>
    <xf numFmtId="0" fontId="5" fillId="0" borderId="1" xfId="0" applyFont="1" applyBorder="1" applyAlignment="1"/>
    <xf numFmtId="0" fontId="5" fillId="0" borderId="10" xfId="0" applyFont="1" applyFill="1" applyBorder="1" applyAlignment="1">
      <alignment horizontal="left" vertical="center" wrapText="1"/>
    </xf>
    <xf numFmtId="0" fontId="5" fillId="0" borderId="19" xfId="0" applyFont="1" applyBorder="1" applyAlignment="1">
      <alignment horizontal="left" vertical="center"/>
    </xf>
    <xf numFmtId="0" fontId="5" fillId="0" borderId="6" xfId="0" applyFont="1" applyBorder="1" applyAlignment="1">
      <alignment horizontal="left" vertical="center" wrapText="1"/>
    </xf>
    <xf numFmtId="0" fontId="5" fillId="0" borderId="16" xfId="0" applyFont="1" applyBorder="1" applyAlignment="1">
      <alignment horizontal="left" vertical="center"/>
    </xf>
    <xf numFmtId="0" fontId="5" fillId="0" borderId="1" xfId="0" applyFont="1" applyFill="1" applyBorder="1" applyAlignment="1">
      <alignment vertical="center"/>
    </xf>
    <xf numFmtId="0" fontId="4" fillId="3" borderId="20" xfId="0" applyFont="1" applyFill="1" applyBorder="1" applyAlignment="1">
      <alignment horizontal="left" vertical="center"/>
    </xf>
    <xf numFmtId="0" fontId="5" fillId="3" borderId="21" xfId="0" applyFont="1" applyFill="1" applyBorder="1" applyAlignment="1">
      <alignment vertical="center"/>
    </xf>
    <xf numFmtId="0" fontId="5" fillId="3" borderId="22" xfId="0" applyFont="1" applyFill="1" applyBorder="1" applyAlignment="1">
      <alignment horizontal="left" vertical="center"/>
    </xf>
    <xf numFmtId="0" fontId="5" fillId="3" borderId="22" xfId="0" applyFont="1" applyFill="1" applyBorder="1" applyAlignment="1">
      <alignment vertical="center"/>
    </xf>
    <xf numFmtId="0" fontId="5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vertical="center"/>
    </xf>
    <xf numFmtId="0" fontId="5" fillId="0" borderId="1" xfId="0" quotePrefix="1" applyNumberFormat="1" applyFont="1" applyFill="1" applyBorder="1" applyAlignment="1"/>
    <xf numFmtId="0" fontId="5" fillId="0" borderId="25" xfId="0" applyFont="1" applyFill="1" applyBorder="1" applyAlignment="1"/>
    <xf numFmtId="0" fontId="5" fillId="0" borderId="6" xfId="0" applyFont="1" applyFill="1" applyBorder="1" applyAlignment="1">
      <alignment vertical="center" wrapText="1"/>
    </xf>
    <xf numFmtId="0" fontId="5" fillId="0" borderId="19" xfId="0" applyFont="1" applyBorder="1" applyAlignment="1">
      <alignment vertical="center"/>
    </xf>
    <xf numFmtId="0" fontId="5" fillId="4" borderId="0" xfId="0" applyFont="1" applyFill="1" applyBorder="1" applyAlignment="1">
      <alignment horizontal="left"/>
    </xf>
    <xf numFmtId="0" fontId="5" fillId="4" borderId="0" xfId="0" applyFont="1" applyFill="1" applyBorder="1" applyAlignment="1"/>
    <xf numFmtId="0" fontId="5" fillId="0" borderId="1" xfId="0" quotePrefix="1" applyNumberFormat="1" applyFont="1" applyBorder="1" applyAlignment="1">
      <alignment horizontal="left" vertical="center"/>
    </xf>
    <xf numFmtId="0" fontId="5" fillId="0" borderId="1" xfId="0" quotePrefix="1" applyFont="1" applyBorder="1" applyAlignment="1">
      <alignment vertical="center"/>
    </xf>
    <xf numFmtId="0" fontId="5" fillId="0" borderId="8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/>
    </xf>
    <xf numFmtId="0" fontId="5" fillId="0" borderId="26" xfId="0" applyFont="1" applyFill="1" applyBorder="1" applyAlignment="1">
      <alignment vertical="center"/>
    </xf>
    <xf numFmtId="0" fontId="5" fillId="0" borderId="1" xfId="0" quotePrefix="1" applyFont="1" applyFill="1" applyBorder="1" applyAlignment="1"/>
    <xf numFmtId="0" fontId="5" fillId="0" borderId="1" xfId="0" quotePrefix="1" applyFont="1" applyFill="1" applyBorder="1" applyAlignment="1">
      <alignment vertical="center"/>
    </xf>
    <xf numFmtId="0" fontId="5" fillId="0" borderId="1" xfId="0" quotePrefix="1" applyFont="1" applyBorder="1" applyAlignment="1"/>
    <xf numFmtId="0" fontId="5" fillId="0" borderId="27" xfId="0" applyFont="1" applyFill="1" applyBorder="1" applyAlignment="1">
      <alignment horizontal="left" vertical="center" wrapText="1"/>
    </xf>
    <xf numFmtId="2" fontId="5" fillId="4" borderId="19" xfId="0" applyNumberFormat="1" applyFont="1" applyFill="1" applyBorder="1" applyAlignment="1">
      <alignment horizontal="left"/>
    </xf>
    <xf numFmtId="2" fontId="5" fillId="4" borderId="1" xfId="0" applyNumberFormat="1" applyFont="1" applyFill="1" applyBorder="1" applyAlignment="1">
      <alignment horizontal="left"/>
    </xf>
    <xf numFmtId="0" fontId="5" fillId="0" borderId="3" xfId="0" quotePrefix="1" applyFont="1" applyBorder="1" applyAlignment="1"/>
    <xf numFmtId="0" fontId="4" fillId="2" borderId="0" xfId="0" applyFont="1" applyFill="1" applyBorder="1" applyAlignment="1">
      <alignment horizontal="left" vertical="center" wrapText="1"/>
    </xf>
    <xf numFmtId="0" fontId="5" fillId="0" borderId="8" xfId="0" applyFont="1" applyFill="1" applyBorder="1" applyAlignment="1"/>
    <xf numFmtId="0" fontId="3" fillId="4" borderId="2" xfId="0" applyFont="1" applyFill="1" applyBorder="1" applyAlignment="1">
      <alignment vertical="center" wrapText="1"/>
    </xf>
    <xf numFmtId="0" fontId="0" fillId="0" borderId="2" xfId="0" applyFont="1" applyBorder="1"/>
    <xf numFmtId="0" fontId="3" fillId="4" borderId="2" xfId="0" applyFont="1" applyFill="1" applyBorder="1" applyAlignment="1">
      <alignment vertical="center"/>
    </xf>
    <xf numFmtId="0" fontId="0" fillId="0" borderId="2" xfId="0" applyFont="1" applyFill="1" applyBorder="1" applyAlignment="1">
      <alignment vertical="center"/>
    </xf>
    <xf numFmtId="0" fontId="3" fillId="4" borderId="2" xfId="0" applyFont="1" applyFill="1" applyBorder="1" applyAlignment="1">
      <alignment horizontal="left" vertical="center"/>
    </xf>
    <xf numFmtId="9" fontId="8" fillId="5" borderId="2" xfId="1" applyFont="1" applyFill="1" applyBorder="1" applyAlignment="1" applyProtection="1">
      <alignment horizontal="left" wrapText="1"/>
    </xf>
    <xf numFmtId="0" fontId="0" fillId="4" borderId="0" xfId="0" applyFont="1" applyFill="1" applyBorder="1" applyAlignment="1"/>
    <xf numFmtId="0" fontId="0" fillId="4" borderId="0" xfId="0" applyFont="1" applyFill="1" applyBorder="1" applyAlignment="1">
      <alignment vertical="center"/>
    </xf>
    <xf numFmtId="0" fontId="0" fillId="3" borderId="22" xfId="0" applyFont="1" applyFill="1" applyBorder="1" applyAlignment="1">
      <alignment horizontal="left"/>
    </xf>
    <xf numFmtId="0" fontId="0" fillId="4" borderId="0" xfId="0" applyFont="1" applyFill="1" applyBorder="1" applyAlignment="1">
      <alignment horizontal="left" vertical="center"/>
    </xf>
    <xf numFmtId="0" fontId="0" fillId="0" borderId="2" xfId="0" applyFill="1" applyBorder="1" applyAlignment="1">
      <alignment vertical="center"/>
    </xf>
    <xf numFmtId="0" fontId="9" fillId="3" borderId="20" xfId="0" applyFont="1" applyFill="1" applyBorder="1" applyAlignment="1">
      <alignment horizontal="left" vertical="center"/>
    </xf>
    <xf numFmtId="0" fontId="7" fillId="3" borderId="21" xfId="0" applyFont="1" applyFill="1" applyBorder="1" applyAlignment="1">
      <alignment vertical="center"/>
    </xf>
    <xf numFmtId="0" fontId="0" fillId="0" borderId="0" xfId="0" applyFill="1" applyBorder="1" applyAlignment="1">
      <alignment vertical="top"/>
    </xf>
    <xf numFmtId="0" fontId="5" fillId="0" borderId="0" xfId="0" applyFont="1" applyFill="1" applyBorder="1" applyAlignment="1">
      <alignment vertical="top" wrapText="1"/>
    </xf>
    <xf numFmtId="0" fontId="0" fillId="0" borderId="0" xfId="0" applyFont="1" applyFill="1" applyBorder="1" applyAlignment="1">
      <alignment vertical="top" wrapText="1"/>
    </xf>
    <xf numFmtId="164" fontId="0" fillId="0" borderId="0" xfId="0" applyNumberFormat="1"/>
    <xf numFmtId="0" fontId="2" fillId="0" borderId="4" xfId="0" applyFont="1" applyFill="1" applyBorder="1" applyAlignment="1">
      <alignment horizontal="left" vertical="top"/>
    </xf>
    <xf numFmtId="0" fontId="0" fillId="0" borderId="0" xfId="0" applyAlignment="1">
      <alignment horizontal="left" vertical="top"/>
    </xf>
    <xf numFmtId="0" fontId="2" fillId="0" borderId="0" xfId="0" applyFont="1" applyFill="1" applyBorder="1" applyAlignment="1">
      <alignment horizontal="left" vertical="top"/>
    </xf>
    <xf numFmtId="0" fontId="10" fillId="0" borderId="0" xfId="0" applyFont="1" applyAlignment="1">
      <alignment horizontal="left" vertical="top"/>
    </xf>
    <xf numFmtId="0" fontId="10" fillId="0" borderId="0" xfId="0" applyFont="1"/>
    <xf numFmtId="0" fontId="12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0" fillId="0" borderId="10" xfId="0" applyFont="1" applyBorder="1" applyAlignment="1"/>
    <xf numFmtId="0" fontId="0" fillId="0" borderId="19" xfId="0" applyFont="1" applyBorder="1" applyAlignment="1">
      <alignment horizontal="left" vertical="center"/>
    </xf>
    <xf numFmtId="0" fontId="8" fillId="5" borderId="1" xfId="0" applyNumberFormat="1" applyFont="1" applyFill="1" applyBorder="1" applyAlignment="1" applyProtection="1">
      <alignment horizontal="left" wrapText="1"/>
    </xf>
    <xf numFmtId="0" fontId="3" fillId="4" borderId="19" xfId="0" applyFont="1" applyFill="1" applyBorder="1" applyAlignment="1">
      <alignment vertical="center" wrapText="1"/>
    </xf>
    <xf numFmtId="0" fontId="0" fillId="0" borderId="19" xfId="0" applyFont="1" applyBorder="1" applyAlignment="1">
      <alignment horizontal="left"/>
    </xf>
    <xf numFmtId="0" fontId="0" fillId="0" borderId="2" xfId="0" applyFont="1" applyFill="1" applyBorder="1" applyAlignment="1">
      <alignment horizontal="left"/>
    </xf>
    <xf numFmtId="0" fontId="3" fillId="4" borderId="19" xfId="0" applyFont="1" applyFill="1" applyBorder="1" applyAlignment="1">
      <alignment horizontal="left" vertical="center" wrapText="1"/>
    </xf>
    <xf numFmtId="0" fontId="0" fillId="0" borderId="28" xfId="0" applyFont="1" applyFill="1" applyBorder="1" applyAlignment="1">
      <alignment horizontal="left" vertical="center"/>
    </xf>
    <xf numFmtId="0" fontId="0" fillId="0" borderId="2" xfId="0" applyFont="1" applyFill="1" applyBorder="1" applyAlignment="1">
      <alignment horizontal="left" vertical="center"/>
    </xf>
    <xf numFmtId="0" fontId="3" fillId="4" borderId="2" xfId="0" applyFont="1" applyFill="1" applyBorder="1" applyAlignment="1">
      <alignment horizontal="left" vertical="center" wrapText="1"/>
    </xf>
    <xf numFmtId="3" fontId="0" fillId="0" borderId="19" xfId="0" applyNumberFormat="1" applyFont="1" applyBorder="1" applyAlignment="1">
      <alignment horizontal="left"/>
    </xf>
    <xf numFmtId="164" fontId="0" fillId="0" borderId="19" xfId="0" applyNumberFormat="1" applyFont="1" applyBorder="1" applyAlignment="1">
      <alignment horizontal="left"/>
    </xf>
    <xf numFmtId="164" fontId="8" fillId="5" borderId="29" xfId="0" applyNumberFormat="1" applyFont="1" applyFill="1" applyBorder="1" applyAlignment="1" applyProtection="1">
      <alignment horizontal="left" wrapText="1"/>
    </xf>
    <xf numFmtId="0" fontId="3" fillId="4" borderId="19" xfId="0" applyFont="1" applyFill="1" applyBorder="1" applyAlignment="1">
      <alignment horizontal="left" vertical="center"/>
    </xf>
    <xf numFmtId="0" fontId="8" fillId="5" borderId="30" xfId="0" applyNumberFormat="1" applyFont="1" applyFill="1" applyBorder="1" applyAlignment="1" applyProtection="1">
      <alignment horizontal="left" wrapText="1"/>
    </xf>
    <xf numFmtId="9" fontId="8" fillId="0" borderId="2" xfId="1" applyFont="1" applyFill="1" applyBorder="1" applyAlignment="1" applyProtection="1">
      <alignment horizontal="left" wrapText="1"/>
    </xf>
    <xf numFmtId="0" fontId="0" fillId="0" borderId="9" xfId="0" applyFont="1" applyBorder="1" applyAlignment="1"/>
    <xf numFmtId="0" fontId="0" fillId="0" borderId="18" xfId="0" applyFont="1" applyBorder="1" applyAlignment="1">
      <alignment horizontal="left" vertical="center"/>
    </xf>
    <xf numFmtId="0" fontId="8" fillId="0" borderId="32" xfId="0" applyNumberFormat="1" applyFont="1" applyFill="1" applyBorder="1" applyAlignment="1" applyProtection="1">
      <alignment horizontal="left" wrapText="1"/>
    </xf>
    <xf numFmtId="0" fontId="3" fillId="4" borderId="18" xfId="0" applyFont="1" applyFill="1" applyBorder="1" applyAlignment="1">
      <alignment horizontal="left" vertical="center" wrapText="1"/>
    </xf>
    <xf numFmtId="0" fontId="3" fillId="4" borderId="14" xfId="0" applyFont="1" applyFill="1" applyBorder="1" applyAlignment="1">
      <alignment horizontal="left" vertical="center" wrapText="1"/>
    </xf>
    <xf numFmtId="0" fontId="0" fillId="0" borderId="19" xfId="0" applyBorder="1" applyAlignment="1">
      <alignment horizontal="left"/>
    </xf>
    <xf numFmtId="164" fontId="8" fillId="5" borderId="30" xfId="0" applyNumberFormat="1" applyFont="1" applyFill="1" applyBorder="1" applyAlignment="1" applyProtection="1">
      <alignment horizontal="left" wrapText="1"/>
    </xf>
    <xf numFmtId="0" fontId="8" fillId="5" borderId="34" xfId="0" applyNumberFormat="1" applyFont="1" applyFill="1" applyBorder="1" applyAlignment="1" applyProtection="1">
      <alignment horizontal="left" wrapText="1"/>
    </xf>
    <xf numFmtId="0" fontId="0" fillId="0" borderId="1" xfId="0" applyBorder="1" applyAlignment="1">
      <alignment horizontal="left" vertical="center"/>
    </xf>
    <xf numFmtId="0" fontId="0" fillId="0" borderId="0" xfId="0" applyFont="1" applyBorder="1" applyAlignment="1"/>
    <xf numFmtId="0" fontId="0" fillId="0" borderId="0" xfId="0" applyBorder="1"/>
    <xf numFmtId="0" fontId="0" fillId="0" borderId="0" xfId="0" applyFill="1" applyBorder="1"/>
    <xf numFmtId="0" fontId="0" fillId="0" borderId="36" xfId="0" applyFont="1" applyBorder="1" applyAlignment="1">
      <alignment horizontal="left"/>
    </xf>
    <xf numFmtId="0" fontId="0" fillId="0" borderId="19" xfId="0" applyFont="1" applyFill="1" applyBorder="1" applyAlignment="1">
      <alignment horizontal="left"/>
    </xf>
    <xf numFmtId="0" fontId="0" fillId="0" borderId="1" xfId="0" applyFont="1" applyFill="1" applyBorder="1" applyAlignment="1"/>
    <xf numFmtId="0" fontId="0" fillId="0" borderId="10" xfId="0" applyFont="1" applyBorder="1" applyAlignment="1">
      <alignment horizontal="left"/>
    </xf>
    <xf numFmtId="0" fontId="0" fillId="0" borderId="1" xfId="0" applyFont="1" applyBorder="1" applyAlignment="1"/>
    <xf numFmtId="0" fontId="0" fillId="0" borderId="26" xfId="0" applyFont="1" applyBorder="1" applyAlignment="1"/>
    <xf numFmtId="0" fontId="3" fillId="4" borderId="1" xfId="0" applyFont="1" applyFill="1" applyBorder="1" applyAlignment="1">
      <alignment horizontal="left" vertical="center" wrapText="1"/>
    </xf>
    <xf numFmtId="0" fontId="0" fillId="0" borderId="2" xfId="0" applyFont="1" applyBorder="1" applyAlignment="1">
      <alignment horizontal="left" vertical="center"/>
    </xf>
    <xf numFmtId="0" fontId="0" fillId="0" borderId="1" xfId="0" applyFont="1" applyFill="1" applyBorder="1" applyAlignment="1">
      <alignment horizontal="left" vertical="center"/>
    </xf>
    <xf numFmtId="0" fontId="0" fillId="0" borderId="1" xfId="0" applyFont="1" applyFill="1" applyBorder="1" applyAlignment="1">
      <alignment horizontal="left"/>
    </xf>
    <xf numFmtId="0" fontId="8" fillId="5" borderId="2" xfId="0" applyNumberFormat="1" applyFont="1" applyFill="1" applyBorder="1" applyAlignment="1" applyProtection="1">
      <alignment horizontal="left" wrapText="1"/>
    </xf>
    <xf numFmtId="0" fontId="3" fillId="4" borderId="1" xfId="0" applyFont="1" applyFill="1" applyBorder="1" applyAlignment="1">
      <alignment horizontal="left" vertical="center"/>
    </xf>
    <xf numFmtId="0" fontId="8" fillId="5" borderId="26" xfId="0" applyNumberFormat="1" applyFont="1" applyFill="1" applyBorder="1" applyAlignment="1" applyProtection="1">
      <alignment horizontal="left" wrapText="1"/>
    </xf>
    <xf numFmtId="9" fontId="8" fillId="5" borderId="38" xfId="1" applyFont="1" applyFill="1" applyBorder="1" applyAlignment="1" applyProtection="1">
      <alignment horizontal="left" wrapText="1"/>
    </xf>
    <xf numFmtId="0" fontId="0" fillId="0" borderId="18" xfId="0" applyFont="1" applyFill="1" applyBorder="1" applyAlignment="1">
      <alignment horizontal="left" vertical="center"/>
    </xf>
    <xf numFmtId="0" fontId="0" fillId="0" borderId="32" xfId="0" applyFont="1" applyFill="1" applyBorder="1" applyAlignment="1"/>
    <xf numFmtId="0" fontId="0" fillId="0" borderId="19" xfId="0" applyFont="1" applyFill="1" applyBorder="1" applyAlignment="1">
      <alignment horizontal="left" vertical="center"/>
    </xf>
    <xf numFmtId="0" fontId="0" fillId="4" borderId="0" xfId="0" applyFont="1" applyFill="1" applyBorder="1" applyAlignment="1">
      <alignment horizontal="left"/>
    </xf>
    <xf numFmtId="0" fontId="3" fillId="4" borderId="32" xfId="0" applyFont="1" applyFill="1" applyBorder="1" applyAlignment="1">
      <alignment horizontal="left" vertical="center" wrapText="1"/>
    </xf>
    <xf numFmtId="164" fontId="8" fillId="5" borderId="1" xfId="0" applyNumberFormat="1" applyFont="1" applyFill="1" applyBorder="1" applyAlignment="1" applyProtection="1">
      <alignment horizontal="left" wrapText="1"/>
    </xf>
    <xf numFmtId="0" fontId="8" fillId="5" borderId="35" xfId="0" applyNumberFormat="1" applyFont="1" applyFill="1" applyBorder="1" applyAlignment="1" applyProtection="1">
      <alignment horizontal="left" wrapText="1"/>
    </xf>
    <xf numFmtId="9" fontId="8" fillId="5" borderId="39" xfId="1" applyFont="1" applyFill="1" applyBorder="1" applyAlignment="1" applyProtection="1">
      <alignment horizontal="left" wrapText="1"/>
    </xf>
    <xf numFmtId="164" fontId="0" fillId="3" borderId="22" xfId="0" applyNumberFormat="1" applyFont="1" applyFill="1" applyBorder="1" applyAlignment="1">
      <alignment horizontal="left"/>
    </xf>
    <xf numFmtId="0" fontId="3" fillId="3" borderId="20" xfId="0" applyFont="1" applyFill="1" applyBorder="1" applyAlignment="1">
      <alignment horizontal="left" vertical="center"/>
    </xf>
    <xf numFmtId="0" fontId="0" fillId="3" borderId="21" xfId="0" applyFont="1" applyFill="1" applyBorder="1" applyAlignment="1">
      <alignment vertical="center"/>
    </xf>
    <xf numFmtId="0" fontId="0" fillId="3" borderId="22" xfId="0" applyFont="1" applyFill="1" applyBorder="1" applyAlignment="1">
      <alignment horizontal="left" vertical="center"/>
    </xf>
    <xf numFmtId="0" fontId="0" fillId="3" borderId="22" xfId="0" applyFont="1" applyFill="1" applyBorder="1" applyAlignment="1">
      <alignment vertical="center"/>
    </xf>
    <xf numFmtId="0" fontId="0" fillId="3" borderId="15" xfId="0" applyFont="1" applyFill="1" applyBorder="1" applyAlignment="1">
      <alignment vertical="center"/>
    </xf>
    <xf numFmtId="0" fontId="0" fillId="3" borderId="11" xfId="0" applyFont="1" applyFill="1" applyBorder="1" applyAlignment="1">
      <alignment horizontal="left" vertical="center"/>
    </xf>
    <xf numFmtId="0" fontId="0" fillId="3" borderId="11" xfId="0" applyFont="1" applyFill="1" applyBorder="1" applyAlignment="1">
      <alignment vertical="center"/>
    </xf>
    <xf numFmtId="0" fontId="0" fillId="0" borderId="32" xfId="0" applyFont="1" applyBorder="1" applyAlignment="1"/>
    <xf numFmtId="0" fontId="0" fillId="0" borderId="3" xfId="0" applyFont="1" applyBorder="1" applyAlignment="1"/>
    <xf numFmtId="0" fontId="0" fillId="3" borderId="11" xfId="0" applyFont="1" applyFill="1" applyBorder="1" applyAlignment="1">
      <alignment horizontal="left"/>
    </xf>
    <xf numFmtId="0" fontId="0" fillId="0" borderId="2" xfId="0" applyFont="1" applyBorder="1" applyAlignment="1">
      <alignment horizontal="left"/>
    </xf>
    <xf numFmtId="0" fontId="0" fillId="0" borderId="36" xfId="0" applyFont="1" applyBorder="1" applyAlignment="1"/>
    <xf numFmtId="0" fontId="0" fillId="0" borderId="40" xfId="0" applyFont="1" applyBorder="1" applyAlignment="1">
      <alignment horizontal="left"/>
    </xf>
    <xf numFmtId="0" fontId="13" fillId="3" borderId="20" xfId="0" applyFont="1" applyFill="1" applyBorder="1" applyAlignment="1">
      <alignment horizontal="left" vertical="center"/>
    </xf>
    <xf numFmtId="0" fontId="0" fillId="0" borderId="25" xfId="0" applyFont="1" applyBorder="1" applyAlignment="1"/>
    <xf numFmtId="0" fontId="0" fillId="0" borderId="1" xfId="0" applyFont="1" applyBorder="1" applyAlignment="1">
      <alignment horizontal="left" vertical="center"/>
    </xf>
    <xf numFmtId="0" fontId="3" fillId="4" borderId="25" xfId="0" applyFont="1" applyFill="1" applyBorder="1" applyAlignment="1">
      <alignment horizontal="left" vertical="center" wrapText="1"/>
    </xf>
    <xf numFmtId="0" fontId="3" fillId="4" borderId="41" xfId="0" applyFont="1" applyFill="1" applyBorder="1" applyAlignment="1">
      <alignment horizontal="left" vertical="center" wrapText="1"/>
    </xf>
    <xf numFmtId="0" fontId="0" fillId="0" borderId="40" xfId="0" applyFont="1" applyFill="1" applyBorder="1" applyAlignment="1">
      <alignment horizontal="left" vertical="center"/>
    </xf>
    <xf numFmtId="0" fontId="0" fillId="0" borderId="25" xfId="0" applyFont="1" applyFill="1" applyBorder="1" applyAlignment="1"/>
    <xf numFmtId="0" fontId="0" fillId="0" borderId="1" xfId="0" applyBorder="1" applyAlignment="1"/>
    <xf numFmtId="0" fontId="0" fillId="4" borderId="27" xfId="0" applyFont="1" applyFill="1" applyBorder="1" applyAlignment="1">
      <alignment vertical="center"/>
    </xf>
    <xf numFmtId="0" fontId="0" fillId="4" borderId="43" xfId="0" applyFont="1" applyFill="1" applyBorder="1" applyAlignment="1">
      <alignment horizontal="left" vertical="center"/>
    </xf>
    <xf numFmtId="0" fontId="0" fillId="4" borderId="43" xfId="0" applyFont="1" applyFill="1" applyBorder="1" applyAlignment="1"/>
    <xf numFmtId="0" fontId="0" fillId="4" borderId="44" xfId="0" applyFont="1" applyFill="1" applyBorder="1" applyAlignment="1">
      <alignment horizontal="left" vertical="center"/>
    </xf>
    <xf numFmtId="0" fontId="0" fillId="4" borderId="45" xfId="0" applyFont="1" applyFill="1" applyBorder="1" applyAlignment="1"/>
    <xf numFmtId="0" fontId="0" fillId="4" borderId="46" xfId="0" applyFont="1" applyFill="1" applyBorder="1" applyAlignment="1">
      <alignment horizontal="left" vertical="center"/>
    </xf>
    <xf numFmtId="0" fontId="0" fillId="4" borderId="47" xfId="0" applyFont="1" applyFill="1" applyBorder="1" applyAlignment="1">
      <alignment horizontal="left" vertical="center"/>
    </xf>
    <xf numFmtId="0" fontId="0" fillId="4" borderId="13" xfId="0" applyFont="1" applyFill="1" applyBorder="1" applyAlignment="1"/>
    <xf numFmtId="0" fontId="0" fillId="0" borderId="25" xfId="0" applyFont="1" applyFill="1" applyBorder="1" applyAlignment="1">
      <alignment horizontal="left"/>
    </xf>
    <xf numFmtId="16" fontId="0" fillId="0" borderId="1" xfId="0" applyNumberFormat="1" applyFont="1" applyBorder="1" applyAlignment="1"/>
    <xf numFmtId="0" fontId="8" fillId="5" borderId="32" xfId="0" applyNumberFormat="1" applyFont="1" applyFill="1" applyBorder="1" applyAlignment="1" applyProtection="1">
      <alignment horizontal="left" wrapText="1"/>
    </xf>
    <xf numFmtId="0" fontId="0" fillId="0" borderId="8" xfId="0" applyFont="1" applyFill="1" applyBorder="1" applyAlignment="1"/>
    <xf numFmtId="2" fontId="8" fillId="5" borderId="2" xfId="0" applyNumberFormat="1" applyFont="1" applyFill="1" applyBorder="1" applyAlignment="1" applyProtection="1">
      <alignment horizontal="left" wrapText="1"/>
    </xf>
    <xf numFmtId="0" fontId="8" fillId="5" borderId="48" xfId="0" applyNumberFormat="1" applyFont="1" applyFill="1" applyBorder="1" applyAlignment="1" applyProtection="1">
      <alignment horizontal="left" wrapText="1"/>
    </xf>
    <xf numFmtId="0" fontId="0" fillId="0" borderId="25" xfId="0" applyFont="1" applyFill="1" applyBorder="1" applyAlignment="1">
      <alignment horizontal="left" vertical="center"/>
    </xf>
    <xf numFmtId="2" fontId="0" fillId="0" borderId="0" xfId="0" applyNumberFormat="1"/>
    <xf numFmtId="0" fontId="0" fillId="8" borderId="40" xfId="0" applyFont="1" applyFill="1" applyBorder="1" applyAlignment="1">
      <alignment horizontal="left"/>
    </xf>
    <xf numFmtId="0" fontId="0" fillId="8" borderId="19" xfId="0" applyFont="1" applyFill="1" applyBorder="1" applyAlignment="1">
      <alignment horizontal="left"/>
    </xf>
    <xf numFmtId="1" fontId="16" fillId="0" borderId="0" xfId="0" applyNumberFormat="1" applyFont="1" applyFill="1" applyBorder="1" applyAlignment="1">
      <alignment horizontal="left" vertical="top" wrapText="1"/>
    </xf>
    <xf numFmtId="0" fontId="18" fillId="0" borderId="0" xfId="0" applyFont="1" applyFill="1" applyBorder="1" applyAlignment="1">
      <alignment horizontal="left" vertical="top" wrapText="1"/>
    </xf>
    <xf numFmtId="9" fontId="0" fillId="0" borderId="0" xfId="0" applyNumberFormat="1"/>
    <xf numFmtId="0" fontId="17" fillId="0" borderId="0" xfId="0" applyFont="1"/>
    <xf numFmtId="0" fontId="5" fillId="0" borderId="0" xfId="0" applyFont="1"/>
    <xf numFmtId="0" fontId="5" fillId="11" borderId="0" xfId="0" applyFont="1" applyFill="1"/>
    <xf numFmtId="0" fontId="5" fillId="0" borderId="0" xfId="0" applyFont="1" applyAlignment="1">
      <alignment wrapText="1"/>
    </xf>
    <xf numFmtId="0" fontId="5" fillId="10" borderId="0" xfId="0" applyFont="1" applyFill="1" applyAlignment="1"/>
    <xf numFmtId="0" fontId="5" fillId="10" borderId="0" xfId="0" applyFont="1" applyFill="1"/>
    <xf numFmtId="0" fontId="5" fillId="6" borderId="0" xfId="0" applyFont="1" applyFill="1"/>
    <xf numFmtId="0" fontId="5" fillId="12" borderId="0" xfId="0" applyFont="1" applyFill="1"/>
    <xf numFmtId="0" fontId="5" fillId="9" borderId="0" xfId="0" applyFont="1" applyFill="1"/>
    <xf numFmtId="165" fontId="5" fillId="0" borderId="0" xfId="0" applyNumberFormat="1" applyFont="1"/>
    <xf numFmtId="0" fontId="17" fillId="0" borderId="0" xfId="0" applyFont="1" applyAlignment="1">
      <alignment horizontal="left" vertical="top" wrapText="1"/>
    </xf>
    <xf numFmtId="165" fontId="17" fillId="7" borderId="0" xfId="0" applyNumberFormat="1" applyFont="1" applyFill="1" applyAlignment="1">
      <alignment horizontal="left" vertical="top" wrapText="1"/>
    </xf>
    <xf numFmtId="0" fontId="5" fillId="0" borderId="0" xfId="0" applyFont="1" applyBorder="1" applyAlignment="1">
      <alignment horizontal="left" vertical="top" wrapText="1"/>
    </xf>
    <xf numFmtId="165" fontId="5" fillId="0" borderId="0" xfId="0" applyNumberFormat="1" applyFont="1" applyBorder="1" applyAlignment="1">
      <alignment horizontal="left" vertical="top" wrapText="1"/>
    </xf>
    <xf numFmtId="165" fontId="5" fillId="0" borderId="0" xfId="3" applyNumberFormat="1" applyFont="1" applyBorder="1" applyAlignment="1">
      <alignment horizontal="left" vertical="top" wrapText="1"/>
    </xf>
    <xf numFmtId="0" fontId="17" fillId="0" borderId="0" xfId="0" applyFont="1" applyAlignment="1">
      <alignment horizontal="left" vertical="top"/>
    </xf>
    <xf numFmtId="0" fontId="5" fillId="0" borderId="0" xfId="0" applyFont="1" applyAlignment="1">
      <alignment horizontal="left" vertical="top" wrapText="1"/>
    </xf>
    <xf numFmtId="165" fontId="5" fillId="0" borderId="0" xfId="0" applyNumberFormat="1" applyFont="1" applyAlignment="1">
      <alignment horizontal="left" vertical="top" wrapText="1"/>
    </xf>
    <xf numFmtId="2" fontId="5" fillId="0" borderId="0" xfId="0" applyNumberFormat="1" applyFont="1" applyAlignment="1">
      <alignment horizontal="left" vertical="top" wrapText="1"/>
    </xf>
    <xf numFmtId="0" fontId="5" fillId="0" borderId="0" xfId="0" applyFont="1" applyAlignment="1">
      <alignment horizontal="left" vertical="top"/>
    </xf>
    <xf numFmtId="0" fontId="5" fillId="0" borderId="0" xfId="0" applyFont="1" applyFill="1"/>
    <xf numFmtId="2" fontId="2" fillId="0" borderId="0" xfId="0" applyNumberFormat="1" applyFont="1" applyFill="1" applyBorder="1" applyAlignment="1">
      <alignment horizontal="left" vertical="top" wrapText="1"/>
    </xf>
    <xf numFmtId="2" fontId="5" fillId="0" borderId="0" xfId="3" applyNumberFormat="1" applyFont="1" applyBorder="1" applyAlignment="1">
      <alignment horizontal="left" vertical="top" wrapText="1"/>
    </xf>
    <xf numFmtId="0" fontId="5" fillId="0" borderId="0" xfId="0" applyFont="1" applyBorder="1" applyAlignment="1">
      <alignment horizontal="left" vertical="top"/>
    </xf>
    <xf numFmtId="0" fontId="5" fillId="0" borderId="0" xfId="0" applyFont="1" applyBorder="1" applyAlignment="1">
      <alignment vertical="top" wrapText="1"/>
    </xf>
    <xf numFmtId="0" fontId="20" fillId="0" borderId="0" xfId="0" applyFont="1"/>
    <xf numFmtId="0" fontId="18" fillId="0" borderId="0" xfId="0" applyFont="1" applyAlignment="1">
      <alignment horizontal="left" vertical="top" wrapText="1"/>
    </xf>
    <xf numFmtId="0" fontId="20" fillId="0" borderId="0" xfId="0" applyFont="1" applyAlignment="1">
      <alignment horizontal="left" vertical="top" wrapText="1"/>
    </xf>
    <xf numFmtId="0" fontId="20" fillId="6" borderId="0" xfId="0" applyFont="1" applyFill="1" applyAlignment="1">
      <alignment horizontal="left" vertical="top" wrapText="1"/>
    </xf>
    <xf numFmtId="166" fontId="20" fillId="6" borderId="0" xfId="0" applyNumberFormat="1" applyFont="1" applyFill="1" applyAlignment="1">
      <alignment horizontal="left" vertical="top" wrapText="1"/>
    </xf>
    <xf numFmtId="0" fontId="19" fillId="0" borderId="0" xfId="0" applyFont="1"/>
    <xf numFmtId="0" fontId="20" fillId="0" borderId="0" xfId="0" applyFont="1" applyFill="1"/>
    <xf numFmtId="0" fontId="20" fillId="0" borderId="0" xfId="0" applyFont="1" applyFill="1" applyAlignment="1">
      <alignment horizontal="left" vertical="top" wrapText="1"/>
    </xf>
    <xf numFmtId="1" fontId="20" fillId="6" borderId="0" xfId="0" applyNumberFormat="1" applyFont="1" applyFill="1" applyAlignment="1">
      <alignment horizontal="left" vertical="top" wrapText="1"/>
    </xf>
    <xf numFmtId="0" fontId="20" fillId="0" borderId="0" xfId="0" applyFont="1" applyAlignment="1">
      <alignment horizontal="left" vertical="top"/>
    </xf>
    <xf numFmtId="0" fontId="20" fillId="6" borderId="0" xfId="0" applyFont="1" applyFill="1" applyAlignment="1">
      <alignment horizontal="left" vertical="top"/>
    </xf>
    <xf numFmtId="1" fontId="20" fillId="6" borderId="0" xfId="0" applyNumberFormat="1" applyFont="1" applyFill="1" applyAlignment="1">
      <alignment horizontal="left" vertical="top"/>
    </xf>
    <xf numFmtId="0" fontId="20" fillId="0" borderId="0" xfId="0" applyFont="1" applyFill="1" applyBorder="1" applyAlignment="1">
      <alignment horizontal="left" vertical="top" wrapText="1"/>
    </xf>
    <xf numFmtId="1" fontId="20" fillId="6" borderId="0" xfId="0" applyNumberFormat="1" applyFont="1" applyFill="1" applyBorder="1" applyAlignment="1">
      <alignment horizontal="left" vertical="top" wrapText="1"/>
    </xf>
    <xf numFmtId="0" fontId="20" fillId="6" borderId="0" xfId="0" applyFont="1" applyFill="1" applyBorder="1" applyAlignment="1">
      <alignment horizontal="left" vertical="top"/>
    </xf>
    <xf numFmtId="0" fontId="20" fillId="0" borderId="0" xfId="0" applyFont="1" applyBorder="1" applyAlignment="1">
      <alignment horizontal="left" vertical="top"/>
    </xf>
    <xf numFmtId="1" fontId="20" fillId="6" borderId="0" xfId="0" applyNumberFormat="1" applyFont="1" applyFill="1" applyBorder="1" applyAlignment="1">
      <alignment horizontal="left" vertical="top"/>
    </xf>
    <xf numFmtId="1" fontId="2" fillId="0" borderId="0" xfId="0" applyNumberFormat="1" applyFont="1" applyFill="1" applyBorder="1" applyAlignment="1">
      <alignment horizontal="center" vertical="top" wrapText="1"/>
    </xf>
    <xf numFmtId="0" fontId="0" fillId="0" borderId="0" xfId="0" applyAlignment="1"/>
    <xf numFmtId="0" fontId="0" fillId="13" borderId="0" xfId="0" applyFill="1" applyAlignment="1"/>
    <xf numFmtId="0" fontId="0" fillId="12" borderId="0" xfId="0" applyFill="1" applyAlignment="1"/>
    <xf numFmtId="0" fontId="5" fillId="0" borderId="16" xfId="0" applyFont="1" applyBorder="1" applyAlignment="1">
      <alignment horizontal="left" vertical="center"/>
    </xf>
    <xf numFmtId="0" fontId="5" fillId="0" borderId="18" xfId="0" applyFont="1" applyBorder="1" applyAlignment="1">
      <alignment horizontal="left" vertical="center"/>
    </xf>
    <xf numFmtId="0" fontId="5" fillId="0" borderId="23" xfId="0" applyFont="1" applyBorder="1" applyAlignment="1">
      <alignment horizontal="left" vertical="center"/>
    </xf>
    <xf numFmtId="0" fontId="5" fillId="0" borderId="17" xfId="0" applyFont="1" applyBorder="1" applyAlignment="1">
      <alignment horizontal="left" vertical="center"/>
    </xf>
    <xf numFmtId="0" fontId="2" fillId="0" borderId="16" xfId="0" applyFont="1" applyBorder="1" applyAlignment="1">
      <alignment horizontal="left" vertical="center"/>
    </xf>
    <xf numFmtId="0" fontId="2" fillId="0" borderId="18" xfId="0" applyFont="1" applyBorder="1" applyAlignment="1">
      <alignment horizontal="left" vertical="center"/>
    </xf>
    <xf numFmtId="0" fontId="5" fillId="0" borderId="24" xfId="0" applyFont="1" applyBorder="1" applyAlignment="1">
      <alignment horizontal="left" vertical="center"/>
    </xf>
    <xf numFmtId="0" fontId="4" fillId="2" borderId="11" xfId="0" applyFont="1" applyFill="1" applyBorder="1" applyAlignment="1">
      <alignment horizontal="left" vertical="center" wrapText="1"/>
    </xf>
    <xf numFmtId="0" fontId="4" fillId="2" borderId="0" xfId="0" applyFont="1" applyFill="1" applyBorder="1" applyAlignment="1">
      <alignment horizontal="left" vertical="center" wrapText="1"/>
    </xf>
    <xf numFmtId="0" fontId="4" fillId="2" borderId="13" xfId="0" applyFont="1" applyFill="1" applyBorder="1" applyAlignment="1">
      <alignment horizontal="left" vertical="center" wrapText="1"/>
    </xf>
    <xf numFmtId="0" fontId="5" fillId="0" borderId="6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left" vertical="center" wrapText="1"/>
    </xf>
    <xf numFmtId="0" fontId="5" fillId="0" borderId="9" xfId="0" applyFont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7" xfId="0" applyFont="1" applyFill="1" applyBorder="1" applyAlignment="1">
      <alignment horizontal="left" vertical="center" wrapText="1"/>
    </xf>
    <xf numFmtId="0" fontId="4" fillId="2" borderId="14" xfId="0" applyFont="1" applyFill="1" applyBorder="1" applyAlignment="1">
      <alignment horizontal="left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left" vertical="center" wrapText="1"/>
    </xf>
    <xf numFmtId="0" fontId="0" fillId="0" borderId="19" xfId="0" applyFont="1" applyBorder="1" applyAlignment="1">
      <alignment horizontal="left" vertical="center"/>
    </xf>
    <xf numFmtId="0" fontId="13" fillId="2" borderId="31" xfId="0" applyFont="1" applyFill="1" applyBorder="1" applyAlignment="1">
      <alignment horizontal="left" vertical="center" wrapText="1"/>
    </xf>
    <xf numFmtId="0" fontId="13" fillId="2" borderId="33" xfId="0" applyFont="1" applyFill="1" applyBorder="1" applyAlignment="1">
      <alignment horizontal="left" vertical="center" wrapText="1"/>
    </xf>
    <xf numFmtId="0" fontId="0" fillId="0" borderId="10" xfId="0" applyFont="1" applyBorder="1" applyAlignment="1">
      <alignment horizontal="left" vertical="center"/>
    </xf>
    <xf numFmtId="0" fontId="13" fillId="2" borderId="11" xfId="0" applyFont="1" applyFill="1" applyBorder="1" applyAlignment="1">
      <alignment horizontal="left" vertical="center" wrapText="1"/>
    </xf>
    <xf numFmtId="0" fontId="13" fillId="2" borderId="0" xfId="0" applyFont="1" applyFill="1" applyBorder="1" applyAlignment="1">
      <alignment horizontal="left" vertical="center" wrapText="1"/>
    </xf>
    <xf numFmtId="0" fontId="0" fillId="0" borderId="6" xfId="0" applyFont="1" applyBorder="1" applyAlignment="1">
      <alignment horizontal="center" vertical="center" wrapText="1"/>
    </xf>
    <xf numFmtId="0" fontId="0" fillId="0" borderId="8" xfId="0" applyFont="1" applyBorder="1" applyAlignment="1">
      <alignment horizontal="center" vertical="center" wrapText="1"/>
    </xf>
    <xf numFmtId="0" fontId="0" fillId="0" borderId="12" xfId="0" applyFont="1" applyBorder="1" applyAlignment="1">
      <alignment horizontal="center" vertical="center" wrapText="1"/>
    </xf>
    <xf numFmtId="0" fontId="0" fillId="0" borderId="10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0" fillId="0" borderId="16" xfId="0" applyFont="1" applyBorder="1" applyAlignment="1">
      <alignment horizontal="left" vertical="center"/>
    </xf>
    <xf numFmtId="0" fontId="13" fillId="2" borderId="31" xfId="0" applyFont="1" applyFill="1" applyBorder="1" applyAlignment="1">
      <alignment horizontal="left" vertical="center"/>
    </xf>
    <xf numFmtId="0" fontId="13" fillId="2" borderId="33" xfId="0" applyFont="1" applyFill="1" applyBorder="1" applyAlignment="1">
      <alignment horizontal="left" vertical="center"/>
    </xf>
    <xf numFmtId="0" fontId="13" fillId="2" borderId="42" xfId="0" applyFont="1" applyFill="1" applyBorder="1" applyAlignment="1">
      <alignment horizontal="left" vertical="center"/>
    </xf>
    <xf numFmtId="0" fontId="13" fillId="2" borderId="42" xfId="0" applyFont="1" applyFill="1" applyBorder="1" applyAlignment="1">
      <alignment horizontal="left" vertical="center" wrapText="1"/>
    </xf>
    <xf numFmtId="0" fontId="13" fillId="2" borderId="0" xfId="0" applyFont="1" applyFill="1" applyAlignment="1">
      <alignment horizontal="left" vertical="center"/>
    </xf>
    <xf numFmtId="0" fontId="0" fillId="0" borderId="8" xfId="0" applyFont="1" applyBorder="1" applyAlignment="1">
      <alignment vertical="center"/>
    </xf>
    <xf numFmtId="0" fontId="13" fillId="2" borderId="0" xfId="0" applyFont="1" applyFill="1" applyAlignment="1">
      <alignment horizontal="left" vertical="center" wrapText="1"/>
    </xf>
    <xf numFmtId="0" fontId="0" fillId="0" borderId="6" xfId="0" applyFont="1" applyBorder="1" applyAlignment="1">
      <alignment horizontal="center" wrapText="1"/>
    </xf>
    <xf numFmtId="0" fontId="0" fillId="0" borderId="12" xfId="0" applyFont="1" applyBorder="1" applyAlignment="1">
      <alignment horizontal="center" wrapText="1"/>
    </xf>
    <xf numFmtId="0" fontId="0" fillId="8" borderId="19" xfId="0" applyFont="1" applyFill="1" applyBorder="1" applyAlignment="1">
      <alignment horizontal="left" vertical="center"/>
    </xf>
    <xf numFmtId="0" fontId="13" fillId="2" borderId="0" xfId="0" applyFont="1" applyFill="1" applyBorder="1" applyAlignment="1">
      <alignment horizontal="left" vertical="center"/>
    </xf>
    <xf numFmtId="0" fontId="13" fillId="2" borderId="13" xfId="0" applyFont="1" applyFill="1" applyBorder="1" applyAlignment="1">
      <alignment horizontal="left" vertical="center"/>
    </xf>
    <xf numFmtId="0" fontId="0" fillId="0" borderId="10" xfId="0" applyFont="1" applyFill="1" applyBorder="1" applyAlignment="1">
      <alignment vertical="center"/>
    </xf>
    <xf numFmtId="0" fontId="0" fillId="0" borderId="27" xfId="0" applyFont="1" applyFill="1" applyBorder="1" applyAlignment="1">
      <alignment vertical="center"/>
    </xf>
    <xf numFmtId="0" fontId="0" fillId="0" borderId="9" xfId="0" applyFont="1" applyBorder="1" applyAlignment="1">
      <alignment horizontal="left" vertical="center"/>
    </xf>
    <xf numFmtId="0" fontId="0" fillId="0" borderId="37" xfId="0" applyFont="1" applyBorder="1" applyAlignment="1">
      <alignment horizontal="left" vertical="center"/>
    </xf>
    <xf numFmtId="0" fontId="0" fillId="0" borderId="0" xfId="0" applyBorder="1" applyAlignment="1">
      <alignment horizontal="left"/>
    </xf>
    <xf numFmtId="0" fontId="0" fillId="0" borderId="13" xfId="0" applyBorder="1" applyAlignment="1">
      <alignment horizontal="left"/>
    </xf>
    <xf numFmtId="0" fontId="0" fillId="0" borderId="9" xfId="0" applyFont="1" applyBorder="1" applyAlignment="1">
      <alignment vertical="center"/>
    </xf>
    <xf numFmtId="0" fontId="13" fillId="2" borderId="13" xfId="0" applyFont="1" applyFill="1" applyBorder="1" applyAlignment="1">
      <alignment horizontal="left" vertical="center" wrapText="1"/>
    </xf>
    <xf numFmtId="0" fontId="0" fillId="0" borderId="27" xfId="0" applyFont="1" applyBorder="1" applyAlignment="1">
      <alignment horizontal="left" vertical="center"/>
    </xf>
  </cellXfs>
  <cellStyles count="4">
    <cellStyle name="Comma" xfId="3" builtinId="3"/>
    <cellStyle name="Normal" xfId="0" builtinId="0"/>
    <cellStyle name="Normal 25" xfId="2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7"/>
  <sheetViews>
    <sheetView workbookViewId="0">
      <selection activeCell="D16" sqref="D16"/>
    </sheetView>
  </sheetViews>
  <sheetFormatPr defaultRowHeight="14.4" x14ac:dyDescent="0.3"/>
  <cols>
    <col min="1" max="1" width="19.109375" customWidth="1"/>
    <col min="2" max="2" width="29.6640625" bestFit="1" customWidth="1"/>
    <col min="3" max="3" width="15.6640625" customWidth="1"/>
    <col min="4" max="4" width="17.6640625" customWidth="1"/>
    <col min="5" max="5" width="17" customWidth="1"/>
    <col min="6" max="6" width="9.6640625" customWidth="1"/>
  </cols>
  <sheetData>
    <row r="1" spans="1:6" s="3" customFormat="1" ht="28.95" customHeight="1" x14ac:dyDescent="0.25">
      <c r="A1" s="4" t="s">
        <v>69</v>
      </c>
      <c r="B1" s="4" t="s">
        <v>100</v>
      </c>
      <c r="C1" s="4" t="s">
        <v>99</v>
      </c>
      <c r="D1" s="4" t="s">
        <v>96</v>
      </c>
      <c r="E1" s="4" t="s">
        <v>97</v>
      </c>
      <c r="F1" s="4" t="s">
        <v>98</v>
      </c>
    </row>
    <row r="2" spans="1:6" ht="15" x14ac:dyDescent="0.25">
      <c r="A2" s="1" t="s">
        <v>70</v>
      </c>
      <c r="B2" s="1" t="s">
        <v>43</v>
      </c>
      <c r="C2" s="2">
        <f>67.88*0.08</f>
        <v>5.4303999999999997</v>
      </c>
      <c r="D2" s="2">
        <f ca="1">'LED,CFL,Inc Lamp - Calculator'!I29</f>
        <v>1.5116765288286025</v>
      </c>
      <c r="E2" s="2">
        <f ca="1">'LED,CFL,Inc Lamp - Calculator'!I3</f>
        <v>8.6611158137312856</v>
      </c>
      <c r="F2" s="2">
        <f ca="1">E2-D2</f>
        <v>7.1494392849026829</v>
      </c>
    </row>
    <row r="3" spans="1:6" ht="15" x14ac:dyDescent="0.25">
      <c r="A3" s="1" t="s">
        <v>71</v>
      </c>
      <c r="B3" s="1" t="s">
        <v>44</v>
      </c>
      <c r="C3" s="2">
        <f t="shared" ref="C3:C27" si="0">67.88*0.08</f>
        <v>5.4303999999999997</v>
      </c>
      <c r="D3" s="2">
        <f ca="1">'LED,CFL,Inc Lamp - Calculator'!I30</f>
        <v>1.5116765288286025</v>
      </c>
      <c r="E3" s="2">
        <f ca="1">'LED,CFL,Inc Lamp - Calculator'!I4</f>
        <v>8.7276158137312869</v>
      </c>
      <c r="F3" s="2">
        <f t="shared" ref="F3:F27" ca="1" si="1">E3-D3</f>
        <v>7.2159392849026842</v>
      </c>
    </row>
    <row r="4" spans="1:6" ht="15" x14ac:dyDescent="0.25">
      <c r="A4" s="1" t="s">
        <v>72</v>
      </c>
      <c r="B4" s="1" t="s">
        <v>45</v>
      </c>
      <c r="C4" s="2">
        <f t="shared" si="0"/>
        <v>5.4303999999999997</v>
      </c>
      <c r="D4" s="2">
        <f ca="1">'LED,CFL,Inc Lamp - Calculator'!I31</f>
        <v>1.9734765288286025</v>
      </c>
      <c r="E4" s="2">
        <f ca="1">'LED,CFL,Inc Lamp - Calculator'!I5</f>
        <v>9.8062158137312849</v>
      </c>
      <c r="F4" s="2">
        <f t="shared" ca="1" si="1"/>
        <v>7.8327392849026829</v>
      </c>
    </row>
    <row r="5" spans="1:6" ht="15" x14ac:dyDescent="0.25">
      <c r="A5" s="1" t="s">
        <v>73</v>
      </c>
      <c r="B5" s="1" t="s">
        <v>46</v>
      </c>
      <c r="C5" s="2">
        <f t="shared" si="0"/>
        <v>5.4303999999999997</v>
      </c>
      <c r="D5" s="2">
        <f ca="1">'LED,CFL,Inc Lamp - Calculator'!I32</f>
        <v>1.5116765288286025</v>
      </c>
      <c r="E5" s="2">
        <f ca="1">'LED,CFL,Inc Lamp - Calculator'!I6</f>
        <v>8.9271158137312874</v>
      </c>
      <c r="F5" s="2">
        <f t="shared" ca="1" si="1"/>
        <v>7.4154392849026847</v>
      </c>
    </row>
    <row r="6" spans="1:6" ht="15" x14ac:dyDescent="0.25">
      <c r="A6" s="1" t="s">
        <v>74</v>
      </c>
      <c r="B6" s="1" t="s">
        <v>47</v>
      </c>
      <c r="C6" s="2">
        <f t="shared" si="0"/>
        <v>5.4303999999999997</v>
      </c>
      <c r="D6" s="2">
        <f ca="1">'LED,CFL,Inc Lamp - Calculator'!I33</f>
        <v>1.9734765288286025</v>
      </c>
      <c r="E6" s="2">
        <f ca="1">'LED,CFL,Inc Lamp - Calculator'!I7</f>
        <v>9.939215813731284</v>
      </c>
      <c r="F6" s="2">
        <f t="shared" ca="1" si="1"/>
        <v>7.965739284902682</v>
      </c>
    </row>
    <row r="7" spans="1:6" ht="15" x14ac:dyDescent="0.25">
      <c r="A7" s="1" t="s">
        <v>75</v>
      </c>
      <c r="B7" s="1" t="s">
        <v>48</v>
      </c>
      <c r="C7" s="2">
        <f t="shared" si="0"/>
        <v>5.4303999999999997</v>
      </c>
      <c r="D7" s="2">
        <f ca="1">'LED,CFL,Inc Lamp - Calculator'!I34</f>
        <v>1.5116765288286025</v>
      </c>
      <c r="E7" s="2">
        <f ca="1">'LED,CFL,Inc Lamp - Calculator'!I8</f>
        <v>8.9936158137312852</v>
      </c>
      <c r="F7" s="2">
        <f t="shared" ca="1" si="1"/>
        <v>7.4819392849026825</v>
      </c>
    </row>
    <row r="8" spans="1:6" ht="15" x14ac:dyDescent="0.25">
      <c r="A8" s="1" t="s">
        <v>76</v>
      </c>
      <c r="B8" s="1" t="s">
        <v>49</v>
      </c>
      <c r="C8" s="2">
        <f t="shared" si="0"/>
        <v>5.4303999999999997</v>
      </c>
      <c r="D8" s="2">
        <f ca="1">'LED,CFL,Inc Lamp - Calculator'!I35</f>
        <v>6.1587992647146574</v>
      </c>
      <c r="E8" s="2">
        <f ca="1">'LED,CFL,Inc Lamp - Calculator'!I9</f>
        <v>11.881271548704515</v>
      </c>
      <c r="F8" s="2">
        <f t="shared" ca="1" si="1"/>
        <v>5.7224722839898572</v>
      </c>
    </row>
    <row r="9" spans="1:6" ht="15" x14ac:dyDescent="0.25">
      <c r="A9" s="1" t="s">
        <v>77</v>
      </c>
      <c r="B9" s="1" t="s">
        <v>50</v>
      </c>
      <c r="C9" s="2">
        <f t="shared" si="0"/>
        <v>5.4303999999999997</v>
      </c>
      <c r="D9" s="2">
        <f ca="1">'LED,CFL,Inc Lamp - Calculator'!I36</f>
        <v>1.5116765288286025</v>
      </c>
      <c r="E9" s="2">
        <f ca="1">'LED,CFL,Inc Lamp - Calculator'!I10</f>
        <v>9.0601158137312865</v>
      </c>
      <c r="F9" s="2">
        <f t="shared" ca="1" si="1"/>
        <v>7.5484392849026838</v>
      </c>
    </row>
    <row r="10" spans="1:6" ht="15" x14ac:dyDescent="0.25">
      <c r="A10" s="1" t="s">
        <v>78</v>
      </c>
      <c r="B10" s="1" t="s">
        <v>51</v>
      </c>
      <c r="C10" s="2">
        <f t="shared" si="0"/>
        <v>5.4303999999999997</v>
      </c>
      <c r="D10" s="2">
        <f ca="1">'LED,CFL,Inc Lamp - Calculator'!I37</f>
        <v>6.1587992647146574</v>
      </c>
      <c r="E10" s="2">
        <f ca="1">'LED,CFL,Inc Lamp - Calculator'!I11</f>
        <v>12.028571548704514</v>
      </c>
      <c r="F10" s="2">
        <f t="shared" ca="1" si="1"/>
        <v>5.8697722839898567</v>
      </c>
    </row>
    <row r="11" spans="1:6" ht="15" x14ac:dyDescent="0.25">
      <c r="A11" s="1" t="s">
        <v>79</v>
      </c>
      <c r="B11" s="1" t="s">
        <v>52</v>
      </c>
      <c r="C11" s="2">
        <f t="shared" si="0"/>
        <v>5.4303999999999997</v>
      </c>
      <c r="D11" s="2">
        <f ca="1">'LED,CFL,Inc Lamp - Calculator'!I38</f>
        <v>2.1114765288286024</v>
      </c>
      <c r="E11" s="2">
        <f ca="1">'LED,CFL,Inc Lamp - Calculator'!I12</f>
        <v>10.138715813731284</v>
      </c>
      <c r="F11" s="2">
        <f t="shared" ca="1" si="1"/>
        <v>8.0272392849026826</v>
      </c>
    </row>
    <row r="12" spans="1:6" ht="15" x14ac:dyDescent="0.25">
      <c r="A12" s="1" t="s">
        <v>80</v>
      </c>
      <c r="B12" s="1" t="s">
        <v>53</v>
      </c>
      <c r="C12" s="2">
        <f t="shared" si="0"/>
        <v>5.4303999999999997</v>
      </c>
      <c r="D12" s="2">
        <f ca="1">'LED,CFL,Inc Lamp - Calculator'!I39</f>
        <v>1.6496765288286024</v>
      </c>
      <c r="E12" s="2">
        <f ca="1">'LED,CFL,Inc Lamp - Calculator'!I13</f>
        <v>9.1931158137312856</v>
      </c>
      <c r="F12" s="2">
        <f t="shared" ca="1" si="1"/>
        <v>7.543439284902683</v>
      </c>
    </row>
    <row r="13" spans="1:6" ht="15" x14ac:dyDescent="0.25">
      <c r="A13" s="1" t="s">
        <v>81</v>
      </c>
      <c r="B13" s="1" t="s">
        <v>54</v>
      </c>
      <c r="C13" s="2">
        <f t="shared" si="0"/>
        <v>5.4303999999999997</v>
      </c>
      <c r="D13" s="2">
        <f ca="1">'LED,CFL,Inc Lamp - Calculator'!I40</f>
        <v>1.6496765288286024</v>
      </c>
      <c r="E13" s="2">
        <f ca="1">'LED,CFL,Inc Lamp - Calculator'!I14</f>
        <v>9.2596158137312869</v>
      </c>
      <c r="F13" s="2">
        <f t="shared" ca="1" si="1"/>
        <v>7.6099392849026843</v>
      </c>
    </row>
    <row r="14" spans="1:6" ht="15" x14ac:dyDescent="0.25">
      <c r="A14" s="1" t="s">
        <v>82</v>
      </c>
      <c r="B14" s="1" t="s">
        <v>55</v>
      </c>
      <c r="C14" s="2">
        <f t="shared" si="0"/>
        <v>5.4303999999999997</v>
      </c>
      <c r="D14" s="2">
        <f ca="1">'LED,CFL,Inc Lamp - Calculator'!I41</f>
        <v>1.6496765288286024</v>
      </c>
      <c r="E14" s="2">
        <f ca="1">'LED,CFL,Inc Lamp - Calculator'!I15</f>
        <v>9.3261158137312847</v>
      </c>
      <c r="F14" s="2">
        <f t="shared" ca="1" si="1"/>
        <v>7.6764392849026821</v>
      </c>
    </row>
    <row r="15" spans="1:6" ht="15" x14ac:dyDescent="0.25">
      <c r="A15" s="1" t="s">
        <v>83</v>
      </c>
      <c r="B15" s="1" t="s">
        <v>56</v>
      </c>
      <c r="C15" s="2">
        <f t="shared" si="0"/>
        <v>5.4303999999999997</v>
      </c>
      <c r="D15" s="2">
        <f ca="1">'LED,CFL,Inc Lamp - Calculator'!I42</f>
        <v>6.314799264714658</v>
      </c>
      <c r="E15" s="2">
        <f ca="1">'LED,CFL,Inc Lamp - Calculator'!I16</f>
        <v>12.617771548704514</v>
      </c>
      <c r="F15" s="2">
        <f t="shared" ca="1" si="1"/>
        <v>6.3029722839898561</v>
      </c>
    </row>
    <row r="16" spans="1:6" ht="15" x14ac:dyDescent="0.25">
      <c r="A16" s="1" t="s">
        <v>84</v>
      </c>
      <c r="B16" s="1" t="s">
        <v>57</v>
      </c>
      <c r="C16" s="2">
        <f t="shared" si="0"/>
        <v>5.4303999999999997</v>
      </c>
      <c r="D16" s="2">
        <f ca="1">'LED,CFL,Inc Lamp - Calculator'!I43</f>
        <v>2.1214765288286022</v>
      </c>
      <c r="E16" s="2">
        <f ca="1">'LED,CFL,Inc Lamp - Calculator'!I17</f>
        <v>10.471215813731284</v>
      </c>
      <c r="F16" s="2">
        <f t="shared" ca="1" si="1"/>
        <v>8.3497392849026824</v>
      </c>
    </row>
    <row r="17" spans="1:6" ht="15" x14ac:dyDescent="0.25">
      <c r="A17" s="1" t="s">
        <v>85</v>
      </c>
      <c r="B17" s="1" t="s">
        <v>58</v>
      </c>
      <c r="C17" s="2">
        <f t="shared" si="0"/>
        <v>5.4303999999999997</v>
      </c>
      <c r="D17" s="2">
        <f ca="1">'LED,CFL,Inc Lamp - Calculator'!I44</f>
        <v>1.6596765288286026</v>
      </c>
      <c r="E17" s="2">
        <f ca="1">'LED,CFL,Inc Lamp - Calculator'!I18</f>
        <v>9.5256158137312852</v>
      </c>
      <c r="F17" s="2">
        <f t="shared" ca="1" si="1"/>
        <v>7.8659392849026828</v>
      </c>
    </row>
    <row r="18" spans="1:6" ht="15" x14ac:dyDescent="0.25">
      <c r="A18" s="1" t="s">
        <v>86</v>
      </c>
      <c r="B18" s="1" t="s">
        <v>59</v>
      </c>
      <c r="C18" s="2">
        <f t="shared" si="0"/>
        <v>5.4303999999999997</v>
      </c>
      <c r="D18" s="2">
        <f ca="1">'LED,CFL,Inc Lamp - Calculator'!I45</f>
        <v>2.1214765288286022</v>
      </c>
      <c r="E18" s="2">
        <f ca="1">'LED,CFL,Inc Lamp - Calculator'!I19</f>
        <v>10.604215813731283</v>
      </c>
      <c r="F18" s="2">
        <f t="shared" ca="1" si="1"/>
        <v>8.4827392849026815</v>
      </c>
    </row>
    <row r="19" spans="1:6" ht="15" x14ac:dyDescent="0.25">
      <c r="A19" s="1" t="s">
        <v>87</v>
      </c>
      <c r="B19" s="1" t="s">
        <v>60</v>
      </c>
      <c r="C19" s="2">
        <f t="shared" si="0"/>
        <v>5.4303999999999997</v>
      </c>
      <c r="D19" s="2">
        <f ca="1">'LED,CFL,Inc Lamp - Calculator'!I46</f>
        <v>1.6596765288286026</v>
      </c>
      <c r="E19" s="2">
        <f ca="1">'LED,CFL,Inc Lamp - Calculator'!I20</f>
        <v>9.6586158137312843</v>
      </c>
      <c r="F19" s="2">
        <f t="shared" ca="1" si="1"/>
        <v>7.9989392849026819</v>
      </c>
    </row>
    <row r="20" spans="1:6" ht="15" x14ac:dyDescent="0.25">
      <c r="A20" s="1" t="s">
        <v>88</v>
      </c>
      <c r="B20" s="1" t="s">
        <v>61</v>
      </c>
      <c r="C20" s="2">
        <f t="shared" si="0"/>
        <v>5.4303999999999997</v>
      </c>
      <c r="D20" s="2">
        <f ca="1">'LED,CFL,Inc Lamp - Calculator'!I47</f>
        <v>2.1214765288286022</v>
      </c>
      <c r="E20" s="2">
        <f ca="1">'LED,CFL,Inc Lamp - Calculator'!I21</f>
        <v>10.764215813731285</v>
      </c>
      <c r="F20" s="2">
        <f t="shared" ca="1" si="1"/>
        <v>8.6427392849026834</v>
      </c>
    </row>
    <row r="21" spans="1:6" ht="15" x14ac:dyDescent="0.25">
      <c r="A21" s="1" t="s">
        <v>89</v>
      </c>
      <c r="B21" s="1" t="s">
        <v>62</v>
      </c>
      <c r="C21" s="2">
        <f t="shared" si="0"/>
        <v>5.4303999999999997</v>
      </c>
      <c r="D21" s="2">
        <f ca="1">'LED,CFL,Inc Lamp - Calculator'!I48</f>
        <v>1.6596765288286026</v>
      </c>
      <c r="E21" s="2">
        <f ca="1">'LED,CFL,Inc Lamp - Calculator'!I22</f>
        <v>9.8186158137312862</v>
      </c>
      <c r="F21" s="2">
        <f t="shared" ca="1" si="1"/>
        <v>8.1589392849026829</v>
      </c>
    </row>
    <row r="22" spans="1:6" ht="15" x14ac:dyDescent="0.25">
      <c r="A22" s="1" t="s">
        <v>90</v>
      </c>
      <c r="B22" s="1" t="s">
        <v>63</v>
      </c>
      <c r="C22" s="2">
        <f t="shared" si="0"/>
        <v>5.4303999999999997</v>
      </c>
      <c r="D22" s="2">
        <f ca="1">'LED,CFL,Inc Lamp - Calculator'!I49</f>
        <v>6.5747992647146578</v>
      </c>
      <c r="E22" s="2">
        <f ca="1">'LED,CFL,Inc Lamp - Calculator'!I23</f>
        <v>13.501571548704515</v>
      </c>
      <c r="F22" s="2">
        <f t="shared" ca="1" si="1"/>
        <v>6.9267722839898571</v>
      </c>
    </row>
    <row r="23" spans="1:6" ht="15" x14ac:dyDescent="0.25">
      <c r="A23" s="1" t="s">
        <v>91</v>
      </c>
      <c r="B23" s="1" t="s">
        <v>64</v>
      </c>
      <c r="C23" s="2">
        <f t="shared" si="0"/>
        <v>5.4303999999999997</v>
      </c>
      <c r="D23" s="2">
        <f ca="1">'LED,CFL,Inc Lamp - Calculator'!I50</f>
        <v>2.1214765288286022</v>
      </c>
      <c r="E23" s="2">
        <f ca="1">'LED,CFL,Inc Lamp - Calculator'!I24</f>
        <v>11.084215813731284</v>
      </c>
      <c r="F23" s="2">
        <f t="shared" ca="1" si="1"/>
        <v>8.9627392849026819</v>
      </c>
    </row>
    <row r="24" spans="1:6" ht="15" x14ac:dyDescent="0.25">
      <c r="A24" s="1" t="s">
        <v>92</v>
      </c>
      <c r="B24" s="1" t="s">
        <v>65</v>
      </c>
      <c r="C24" s="2">
        <f t="shared" si="0"/>
        <v>5.4303999999999997</v>
      </c>
      <c r="D24" s="2">
        <f ca="1">'LED,CFL,Inc Lamp - Calculator'!I51</f>
        <v>2.1214765288286022</v>
      </c>
      <c r="E24" s="2">
        <f ca="1">'LED,CFL,Inc Lamp - Calculator'!I25</f>
        <v>11.244215813731286</v>
      </c>
      <c r="F24" s="2">
        <f t="shared" ca="1" si="1"/>
        <v>9.1227392849026838</v>
      </c>
    </row>
    <row r="25" spans="1:6" ht="15" x14ac:dyDescent="0.25">
      <c r="A25" s="1" t="s">
        <v>93</v>
      </c>
      <c r="B25" s="1" t="s">
        <v>66</v>
      </c>
      <c r="C25" s="2">
        <f t="shared" si="0"/>
        <v>5.4303999999999997</v>
      </c>
      <c r="D25" s="2">
        <f ca="1">'LED,CFL,Inc Lamp - Calculator'!I52</f>
        <v>2.1214765288286022</v>
      </c>
      <c r="E25" s="2">
        <f ca="1">'LED,CFL,Inc Lamp - Calculator'!I26</f>
        <v>11.724215813731286</v>
      </c>
      <c r="F25" s="2">
        <f t="shared" ca="1" si="1"/>
        <v>9.6027392849026842</v>
      </c>
    </row>
    <row r="26" spans="1:6" ht="15" x14ac:dyDescent="0.25">
      <c r="A26" s="1" t="s">
        <v>94</v>
      </c>
      <c r="B26" s="1" t="s">
        <v>67</v>
      </c>
      <c r="C26" s="2">
        <f t="shared" si="0"/>
        <v>5.4303999999999997</v>
      </c>
      <c r="D26" s="2">
        <f ca="1">'LED,CFL,Inc Lamp - Calculator'!I53</f>
        <v>2.1214765288286022</v>
      </c>
      <c r="E26" s="2">
        <f ca="1">'LED,CFL,Inc Lamp - Calculator'!I27</f>
        <v>11.884215813731283</v>
      </c>
      <c r="F26" s="2">
        <f t="shared" ca="1" si="1"/>
        <v>9.7627392849026808</v>
      </c>
    </row>
    <row r="27" spans="1:6" ht="15" x14ac:dyDescent="0.25">
      <c r="A27" s="1" t="s">
        <v>95</v>
      </c>
      <c r="B27" s="1" t="s">
        <v>68</v>
      </c>
      <c r="C27" s="2">
        <f t="shared" si="0"/>
        <v>5.4303999999999997</v>
      </c>
      <c r="D27" s="2">
        <f ca="1">'LED,CFL,Inc Lamp - Calculator'!I54</f>
        <v>2.1214765288286022</v>
      </c>
      <c r="E27" s="2">
        <f ca="1">'LED,CFL,Inc Lamp - Calculator'!I28</f>
        <v>13.004215813731285</v>
      </c>
      <c r="F27" s="2">
        <f t="shared" ca="1" si="1"/>
        <v>10.882739284902684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54"/>
  <sheetViews>
    <sheetView workbookViewId="0">
      <selection activeCell="C3" sqref="C3"/>
    </sheetView>
  </sheetViews>
  <sheetFormatPr defaultRowHeight="14.4" x14ac:dyDescent="0.3"/>
  <cols>
    <col min="1" max="1" width="12.33203125" bestFit="1" customWidth="1"/>
    <col min="2" max="2" width="37.6640625" customWidth="1"/>
    <col min="3" max="3" width="24.33203125" customWidth="1"/>
    <col min="6" max="6" width="10" bestFit="1" customWidth="1"/>
    <col min="7" max="7" width="10.33203125" customWidth="1"/>
    <col min="8" max="8" width="15.44140625" bestFit="1" customWidth="1"/>
    <col min="9" max="9" width="11.5546875" style="2" bestFit="1" customWidth="1"/>
    <col min="10" max="12" width="11.5546875" style="2" customWidth="1"/>
    <col min="13" max="34" width="8.88671875" style="189"/>
  </cols>
  <sheetData>
    <row r="1" spans="1:35" ht="15" x14ac:dyDescent="0.25">
      <c r="A1" s="159" t="s">
        <v>147</v>
      </c>
      <c r="B1" s="160"/>
      <c r="C1" s="160"/>
      <c r="D1" s="160"/>
      <c r="E1" s="160"/>
      <c r="F1" s="160"/>
      <c r="G1" s="160"/>
      <c r="H1" s="160"/>
      <c r="I1" s="168"/>
      <c r="J1" s="168"/>
      <c r="K1" s="168"/>
      <c r="L1" s="168"/>
      <c r="M1" s="184"/>
      <c r="N1" s="184"/>
      <c r="O1" s="184"/>
      <c r="P1" s="184"/>
      <c r="Q1" s="184"/>
      <c r="R1" s="184"/>
      <c r="S1" s="184"/>
      <c r="T1" s="184"/>
      <c r="U1" s="184"/>
      <c r="V1" s="184"/>
      <c r="W1" s="184"/>
      <c r="X1" s="184"/>
      <c r="Y1" s="184"/>
      <c r="Z1" s="184"/>
      <c r="AA1" s="184"/>
      <c r="AB1" s="184"/>
      <c r="AC1" s="184"/>
      <c r="AD1" s="184"/>
      <c r="AE1" s="184"/>
      <c r="AF1" s="184"/>
      <c r="AG1" s="184"/>
      <c r="AH1" s="184"/>
    </row>
    <row r="2" spans="1:35" s="65" customFormat="1" ht="51" x14ac:dyDescent="0.25">
      <c r="A2" s="169" t="s">
        <v>69</v>
      </c>
      <c r="B2" s="169" t="s">
        <v>100</v>
      </c>
      <c r="C2" s="169" t="s">
        <v>101</v>
      </c>
      <c r="D2" s="169" t="s">
        <v>102</v>
      </c>
      <c r="E2" s="169" t="s">
        <v>139</v>
      </c>
      <c r="F2" s="169" t="s">
        <v>103</v>
      </c>
      <c r="G2" s="169" t="s">
        <v>32</v>
      </c>
      <c r="H2" s="169" t="s">
        <v>104</v>
      </c>
      <c r="I2" s="170" t="s">
        <v>144</v>
      </c>
      <c r="J2" s="170" t="s">
        <v>140</v>
      </c>
      <c r="K2" s="170" t="s">
        <v>145</v>
      </c>
      <c r="L2" s="170" t="s">
        <v>146</v>
      </c>
      <c r="M2" s="157" t="s">
        <v>24</v>
      </c>
      <c r="N2" s="157" t="s">
        <v>1</v>
      </c>
      <c r="O2" s="157" t="s">
        <v>9</v>
      </c>
      <c r="P2" s="157" t="s">
        <v>13</v>
      </c>
      <c r="Q2" s="157" t="s">
        <v>14</v>
      </c>
      <c r="R2" s="157" t="s">
        <v>31</v>
      </c>
      <c r="S2" s="157" t="s">
        <v>15</v>
      </c>
      <c r="T2" s="157" t="s">
        <v>32</v>
      </c>
      <c r="U2" s="157" t="s">
        <v>16</v>
      </c>
      <c r="V2" s="157" t="s">
        <v>17</v>
      </c>
      <c r="W2" s="157" t="s">
        <v>20</v>
      </c>
      <c r="X2" s="157" t="s">
        <v>22</v>
      </c>
      <c r="Y2" s="157" t="s">
        <v>27</v>
      </c>
      <c r="Z2" s="157" t="s">
        <v>106</v>
      </c>
      <c r="AA2" s="157" t="s">
        <v>30</v>
      </c>
      <c r="AB2" s="157" t="s">
        <v>33</v>
      </c>
      <c r="AC2" s="157" t="s">
        <v>34</v>
      </c>
      <c r="AD2" s="157" t="s">
        <v>35</v>
      </c>
      <c r="AE2" s="157" t="s">
        <v>38</v>
      </c>
      <c r="AF2" s="185" t="s">
        <v>41</v>
      </c>
      <c r="AG2" s="185" t="s">
        <v>119</v>
      </c>
      <c r="AH2" s="185" t="s">
        <v>125</v>
      </c>
      <c r="AI2" s="64"/>
    </row>
    <row r="3" spans="1:35" s="60" customFormat="1" ht="15" x14ac:dyDescent="0.25">
      <c r="A3" s="59" t="s">
        <v>70</v>
      </c>
      <c r="B3" s="5" t="s">
        <v>43</v>
      </c>
      <c r="C3" s="175" t="s">
        <v>29</v>
      </c>
      <c r="D3" s="6">
        <v>10</v>
      </c>
      <c r="E3" s="175" t="s">
        <v>12</v>
      </c>
      <c r="F3" s="175" t="s">
        <v>12</v>
      </c>
      <c r="G3" s="175" t="s">
        <v>11</v>
      </c>
      <c r="H3" s="175">
        <v>10000</v>
      </c>
      <c r="I3" s="176">
        <f ca="1">SUMPRODUCT($M3:$AH3,INDIRECT("'LED,CFL,Inc Lamp - WO017'!$B"&amp;TEXT(MATCH($C3,'LED,CFL,Inc Lamp - WO017'!$A$2:$A$13,0)+1,0)&amp;":$W"&amp;TEXT(MATCH($C3,'LED,CFL,Inc Lamp - WO017'!$A$2:$A$13,0)+1,0)))</f>
        <v>8.6611158137312856</v>
      </c>
      <c r="J3" s="177">
        <f>INDEX('LED,CFL,Inc Lamp - WO017'!$X$2:$X$13,MATCH('LED,CFL,Inc Lamp - Calculator'!$C3,'LED,CFL,Inc Lamp - WO017'!$A$2:$A$13,0))</f>
        <v>7.9629999999999992E-2</v>
      </c>
      <c r="K3" s="176">
        <f>INDEX('LED,CFL,Inc Lamp - WO017'!$AA$2:$AA$13,MATCH('LED,CFL,Inc Lamp - Calculator'!$C3,'LED,CFL,Inc Lamp - WO017'!$A$2:$A$13,0))</f>
        <v>72.260416710552065</v>
      </c>
      <c r="L3" s="176">
        <f>K3*J3</f>
        <v>5.7540969826612605</v>
      </c>
      <c r="M3" s="186">
        <v>1</v>
      </c>
      <c r="N3" s="186">
        <v>1</v>
      </c>
      <c r="O3" s="186">
        <v>1</v>
      </c>
      <c r="P3" s="186">
        <v>1</v>
      </c>
      <c r="Q3" s="186">
        <v>1</v>
      </c>
      <c r="R3" s="186">
        <v>1</v>
      </c>
      <c r="S3" s="187">
        <f>IF($F3="Yes",1,0)</f>
        <v>0</v>
      </c>
      <c r="T3" s="187">
        <f>IF($G3="Yes",1,0)</f>
        <v>1</v>
      </c>
      <c r="U3" s="186">
        <v>1</v>
      </c>
      <c r="V3" s="188">
        <f>H3/1000</f>
        <v>10</v>
      </c>
      <c r="W3" s="187">
        <f>MAX($D3-30,0)</f>
        <v>0</v>
      </c>
      <c r="X3" s="187">
        <f>MAX($D3-75,0)</f>
        <v>0</v>
      </c>
      <c r="Y3" s="187">
        <f>$D3</f>
        <v>10</v>
      </c>
      <c r="Z3" s="187">
        <f>IF($D3&lt;35,1,0)</f>
        <v>1</v>
      </c>
      <c r="AA3" s="187">
        <f>IF($E3="Yes",1,0)</f>
        <v>0</v>
      </c>
      <c r="AB3" s="186">
        <v>1</v>
      </c>
      <c r="AC3" s="186">
        <v>0</v>
      </c>
      <c r="AD3" s="186">
        <v>0</v>
      </c>
      <c r="AE3" s="187">
        <f>MAX($D3-25,0)</f>
        <v>0</v>
      </c>
      <c r="AF3" s="186">
        <v>0</v>
      </c>
      <c r="AG3" s="186">
        <v>1</v>
      </c>
      <c r="AH3" s="186">
        <v>1</v>
      </c>
      <c r="AI3" s="62"/>
    </row>
    <row r="4" spans="1:35" s="60" customFormat="1" ht="15" x14ac:dyDescent="0.25">
      <c r="A4" s="61" t="s">
        <v>71</v>
      </c>
      <c r="B4" s="5" t="s">
        <v>44</v>
      </c>
      <c r="C4" s="175" t="s">
        <v>29</v>
      </c>
      <c r="D4" s="6">
        <v>11</v>
      </c>
      <c r="E4" s="175" t="s">
        <v>12</v>
      </c>
      <c r="F4" s="175" t="s">
        <v>12</v>
      </c>
      <c r="G4" s="175" t="s">
        <v>11</v>
      </c>
      <c r="H4" s="175">
        <v>10000</v>
      </c>
      <c r="I4" s="176">
        <f ca="1">SUMPRODUCT($M4:$AH4,INDIRECT("'LED,CFL,Inc Lamp - WO017'!$B"&amp;TEXT(MATCH($C4,'LED,CFL,Inc Lamp - WO017'!$A$2:$A$13,0)+1,0)&amp;":$W"&amp;TEXT(MATCH($C4,'LED,CFL,Inc Lamp - WO017'!$A$2:$A$13,0)+1,0)))</f>
        <v>8.7276158137312869</v>
      </c>
      <c r="J4" s="177">
        <f>INDEX('LED,CFL,Inc Lamp - WO017'!$X$2:$X$13,MATCH('LED,CFL,Inc Lamp - Calculator'!$C4,'LED,CFL,Inc Lamp - WO017'!$A$2:$A$13,0))</f>
        <v>7.9629999999999992E-2</v>
      </c>
      <c r="K4" s="176">
        <f>INDEX('LED,CFL,Inc Lamp - WO017'!$AA$2:$AA$13,MATCH('LED,CFL,Inc Lamp - Calculator'!$C4,'LED,CFL,Inc Lamp - WO017'!$A$2:$A$13,0))</f>
        <v>72.260416710552065</v>
      </c>
      <c r="L4" s="176">
        <f t="shared" ref="L4:L54" si="0">K4*J4</f>
        <v>5.7540969826612605</v>
      </c>
      <c r="M4" s="186">
        <v>1</v>
      </c>
      <c r="N4" s="186">
        <v>1</v>
      </c>
      <c r="O4" s="186">
        <v>1</v>
      </c>
      <c r="P4" s="186">
        <v>1</v>
      </c>
      <c r="Q4" s="186">
        <v>1</v>
      </c>
      <c r="R4" s="186">
        <v>1</v>
      </c>
      <c r="S4" s="187">
        <f t="shared" ref="S4:S54" si="1">IF($F4="Yes",1,0)</f>
        <v>0</v>
      </c>
      <c r="T4" s="187">
        <f t="shared" ref="T4:T54" si="2">IF($G4="Yes",1,0)</f>
        <v>1</v>
      </c>
      <c r="U4" s="186">
        <v>1</v>
      </c>
      <c r="V4" s="188">
        <f t="shared" ref="V4:V28" si="3">H4/1000</f>
        <v>10</v>
      </c>
      <c r="W4" s="187">
        <f t="shared" ref="W4:W54" si="4">MAX($D4-30,0)</f>
        <v>0</v>
      </c>
      <c r="X4" s="187">
        <f t="shared" ref="X4:X54" si="5">MAX($D4-75,0)</f>
        <v>0</v>
      </c>
      <c r="Y4" s="187">
        <f t="shared" ref="Y4:Y54" si="6">$D4</f>
        <v>11</v>
      </c>
      <c r="Z4" s="187">
        <f t="shared" ref="Z4:Z54" si="7">IF($D4&lt;35,1,0)</f>
        <v>1</v>
      </c>
      <c r="AA4" s="187">
        <f t="shared" ref="AA4:AA54" si="8">IF($E4="Yes",1,0)</f>
        <v>0</v>
      </c>
      <c r="AB4" s="186">
        <v>1</v>
      </c>
      <c r="AC4" s="186">
        <v>0</v>
      </c>
      <c r="AD4" s="186">
        <v>0</v>
      </c>
      <c r="AE4" s="187">
        <f t="shared" ref="AE4:AE54" si="9">MAX($D4-25,0)</f>
        <v>0</v>
      </c>
      <c r="AF4" s="186">
        <v>0</v>
      </c>
      <c r="AG4" s="186">
        <v>1</v>
      </c>
      <c r="AH4" s="186">
        <v>1</v>
      </c>
      <c r="AI4" s="62"/>
    </row>
    <row r="5" spans="1:35" s="60" customFormat="1" ht="15" x14ac:dyDescent="0.25">
      <c r="A5" s="61" t="s">
        <v>72</v>
      </c>
      <c r="B5" s="5" t="s">
        <v>45</v>
      </c>
      <c r="C5" s="175" t="s">
        <v>29</v>
      </c>
      <c r="D5" s="6">
        <v>13</v>
      </c>
      <c r="E5" s="175" t="s">
        <v>12</v>
      </c>
      <c r="F5" s="175" t="s">
        <v>11</v>
      </c>
      <c r="G5" s="175" t="s">
        <v>12</v>
      </c>
      <c r="H5" s="175">
        <v>10000</v>
      </c>
      <c r="I5" s="176">
        <f ca="1">SUMPRODUCT($M5:$AH5,INDIRECT("'LED,CFL,Inc Lamp - WO017'!$B"&amp;TEXT(MATCH($C5,'LED,CFL,Inc Lamp - WO017'!$A$2:$A$13,0)+1,0)&amp;":$W"&amp;TEXT(MATCH($C5,'LED,CFL,Inc Lamp - WO017'!$A$2:$A$13,0)+1,0)))</f>
        <v>9.8062158137312849</v>
      </c>
      <c r="J5" s="177">
        <f>INDEX('LED,CFL,Inc Lamp - WO017'!$X$2:$X$13,MATCH('LED,CFL,Inc Lamp - Calculator'!$C5,'LED,CFL,Inc Lamp - WO017'!$A$2:$A$13,0))</f>
        <v>7.9629999999999992E-2</v>
      </c>
      <c r="K5" s="176">
        <f>INDEX('LED,CFL,Inc Lamp - WO017'!$AA$2:$AA$13,MATCH('LED,CFL,Inc Lamp - Calculator'!$C5,'LED,CFL,Inc Lamp - WO017'!$A$2:$A$13,0))</f>
        <v>72.260416710552065</v>
      </c>
      <c r="L5" s="176">
        <f t="shared" si="0"/>
        <v>5.7540969826612605</v>
      </c>
      <c r="M5" s="186">
        <v>1</v>
      </c>
      <c r="N5" s="186">
        <v>1</v>
      </c>
      <c r="O5" s="186">
        <v>1</v>
      </c>
      <c r="P5" s="186">
        <v>1</v>
      </c>
      <c r="Q5" s="186">
        <v>1</v>
      </c>
      <c r="R5" s="186">
        <v>1</v>
      </c>
      <c r="S5" s="187">
        <f t="shared" si="1"/>
        <v>1</v>
      </c>
      <c r="T5" s="187">
        <f t="shared" si="2"/>
        <v>0</v>
      </c>
      <c r="U5" s="186">
        <v>1</v>
      </c>
      <c r="V5" s="188">
        <f t="shared" si="3"/>
        <v>10</v>
      </c>
      <c r="W5" s="187">
        <f t="shared" si="4"/>
        <v>0</v>
      </c>
      <c r="X5" s="187">
        <f t="shared" si="5"/>
        <v>0</v>
      </c>
      <c r="Y5" s="187">
        <f t="shared" si="6"/>
        <v>13</v>
      </c>
      <c r="Z5" s="187">
        <f t="shared" si="7"/>
        <v>1</v>
      </c>
      <c r="AA5" s="187">
        <f t="shared" si="8"/>
        <v>0</v>
      </c>
      <c r="AB5" s="186">
        <v>1</v>
      </c>
      <c r="AC5" s="186">
        <v>0</v>
      </c>
      <c r="AD5" s="186">
        <v>0</v>
      </c>
      <c r="AE5" s="187">
        <f t="shared" si="9"/>
        <v>0</v>
      </c>
      <c r="AF5" s="186">
        <v>0</v>
      </c>
      <c r="AG5" s="186">
        <v>1</v>
      </c>
      <c r="AH5" s="186">
        <v>1</v>
      </c>
    </row>
    <row r="6" spans="1:35" s="60" customFormat="1" ht="15" x14ac:dyDescent="0.25">
      <c r="A6" s="61" t="s">
        <v>73</v>
      </c>
      <c r="B6" s="5" t="s">
        <v>46</v>
      </c>
      <c r="C6" s="175" t="s">
        <v>29</v>
      </c>
      <c r="D6" s="6">
        <v>14</v>
      </c>
      <c r="E6" s="175" t="s">
        <v>12</v>
      </c>
      <c r="F6" s="175" t="s">
        <v>12</v>
      </c>
      <c r="G6" s="175" t="s">
        <v>11</v>
      </c>
      <c r="H6" s="175">
        <v>10000</v>
      </c>
      <c r="I6" s="176">
        <f ca="1">SUMPRODUCT($M6:$AH6,INDIRECT("'LED,CFL,Inc Lamp - WO017'!$B"&amp;TEXT(MATCH($C6,'LED,CFL,Inc Lamp - WO017'!$A$2:$A$13,0)+1,0)&amp;":$W"&amp;TEXT(MATCH($C6,'LED,CFL,Inc Lamp - WO017'!$A$2:$A$13,0)+1,0)))</f>
        <v>8.9271158137312874</v>
      </c>
      <c r="J6" s="177">
        <f>INDEX('LED,CFL,Inc Lamp - WO017'!$X$2:$X$13,MATCH('LED,CFL,Inc Lamp - Calculator'!$C6,'LED,CFL,Inc Lamp - WO017'!$A$2:$A$13,0))</f>
        <v>7.9629999999999992E-2</v>
      </c>
      <c r="K6" s="176">
        <f>INDEX('LED,CFL,Inc Lamp - WO017'!$AA$2:$AA$13,MATCH('LED,CFL,Inc Lamp - Calculator'!$C6,'LED,CFL,Inc Lamp - WO017'!$A$2:$A$13,0))</f>
        <v>72.260416710552065</v>
      </c>
      <c r="L6" s="176">
        <f t="shared" si="0"/>
        <v>5.7540969826612605</v>
      </c>
      <c r="M6" s="186">
        <v>1</v>
      </c>
      <c r="N6" s="186">
        <v>1</v>
      </c>
      <c r="O6" s="186">
        <v>1</v>
      </c>
      <c r="P6" s="186">
        <v>1</v>
      </c>
      <c r="Q6" s="186">
        <v>1</v>
      </c>
      <c r="R6" s="186">
        <v>1</v>
      </c>
      <c r="S6" s="187">
        <f t="shared" si="1"/>
        <v>0</v>
      </c>
      <c r="T6" s="187">
        <f t="shared" si="2"/>
        <v>1</v>
      </c>
      <c r="U6" s="186">
        <v>1</v>
      </c>
      <c r="V6" s="188">
        <f t="shared" si="3"/>
        <v>10</v>
      </c>
      <c r="W6" s="187">
        <f t="shared" si="4"/>
        <v>0</v>
      </c>
      <c r="X6" s="187">
        <f t="shared" si="5"/>
        <v>0</v>
      </c>
      <c r="Y6" s="187">
        <f t="shared" si="6"/>
        <v>14</v>
      </c>
      <c r="Z6" s="187">
        <f t="shared" si="7"/>
        <v>1</v>
      </c>
      <c r="AA6" s="187">
        <f t="shared" si="8"/>
        <v>0</v>
      </c>
      <c r="AB6" s="186">
        <v>1</v>
      </c>
      <c r="AC6" s="186">
        <v>0</v>
      </c>
      <c r="AD6" s="186">
        <v>0</v>
      </c>
      <c r="AE6" s="187">
        <f t="shared" si="9"/>
        <v>0</v>
      </c>
      <c r="AF6" s="186">
        <v>0</v>
      </c>
      <c r="AG6" s="186">
        <v>1</v>
      </c>
      <c r="AH6" s="186">
        <v>1</v>
      </c>
    </row>
    <row r="7" spans="1:35" s="60" customFormat="1" ht="15" x14ac:dyDescent="0.25">
      <c r="A7" s="61" t="s">
        <v>74</v>
      </c>
      <c r="B7" s="5" t="s">
        <v>47</v>
      </c>
      <c r="C7" s="175" t="s">
        <v>29</v>
      </c>
      <c r="D7" s="6">
        <v>15</v>
      </c>
      <c r="E7" s="175" t="s">
        <v>12</v>
      </c>
      <c r="F7" s="175" t="s">
        <v>11</v>
      </c>
      <c r="G7" s="175" t="s">
        <v>12</v>
      </c>
      <c r="H7" s="175">
        <v>10000</v>
      </c>
      <c r="I7" s="176">
        <f ca="1">SUMPRODUCT($M7:$AH7,INDIRECT("'LED,CFL,Inc Lamp - WO017'!$B"&amp;TEXT(MATCH($C7,'LED,CFL,Inc Lamp - WO017'!$A$2:$A$13,0)+1,0)&amp;":$W"&amp;TEXT(MATCH($C7,'LED,CFL,Inc Lamp - WO017'!$A$2:$A$13,0)+1,0)))</f>
        <v>9.939215813731284</v>
      </c>
      <c r="J7" s="177">
        <f>INDEX('LED,CFL,Inc Lamp - WO017'!$X$2:$X$13,MATCH('LED,CFL,Inc Lamp - Calculator'!$C7,'LED,CFL,Inc Lamp - WO017'!$A$2:$A$13,0))</f>
        <v>7.9629999999999992E-2</v>
      </c>
      <c r="K7" s="176">
        <f>INDEX('LED,CFL,Inc Lamp - WO017'!$AA$2:$AA$13,MATCH('LED,CFL,Inc Lamp - Calculator'!$C7,'LED,CFL,Inc Lamp - WO017'!$A$2:$A$13,0))</f>
        <v>72.260416710552065</v>
      </c>
      <c r="L7" s="176">
        <f t="shared" si="0"/>
        <v>5.7540969826612605</v>
      </c>
      <c r="M7" s="186">
        <v>1</v>
      </c>
      <c r="N7" s="186">
        <v>1</v>
      </c>
      <c r="O7" s="186">
        <v>1</v>
      </c>
      <c r="P7" s="186">
        <v>1</v>
      </c>
      <c r="Q7" s="186">
        <v>1</v>
      </c>
      <c r="R7" s="186">
        <v>1</v>
      </c>
      <c r="S7" s="187">
        <f t="shared" si="1"/>
        <v>1</v>
      </c>
      <c r="T7" s="187">
        <f t="shared" si="2"/>
        <v>0</v>
      </c>
      <c r="U7" s="186">
        <v>1</v>
      </c>
      <c r="V7" s="188">
        <f t="shared" si="3"/>
        <v>10</v>
      </c>
      <c r="W7" s="187">
        <f t="shared" si="4"/>
        <v>0</v>
      </c>
      <c r="X7" s="187">
        <f t="shared" si="5"/>
        <v>0</v>
      </c>
      <c r="Y7" s="187">
        <f t="shared" si="6"/>
        <v>15</v>
      </c>
      <c r="Z7" s="187">
        <f t="shared" si="7"/>
        <v>1</v>
      </c>
      <c r="AA7" s="187">
        <f t="shared" si="8"/>
        <v>0</v>
      </c>
      <c r="AB7" s="186">
        <v>1</v>
      </c>
      <c r="AC7" s="186">
        <v>0</v>
      </c>
      <c r="AD7" s="186">
        <v>0</v>
      </c>
      <c r="AE7" s="187">
        <f t="shared" si="9"/>
        <v>0</v>
      </c>
      <c r="AF7" s="186">
        <v>0</v>
      </c>
      <c r="AG7" s="186">
        <v>1</v>
      </c>
      <c r="AH7" s="186">
        <v>1</v>
      </c>
    </row>
    <row r="8" spans="1:35" s="60" customFormat="1" ht="15" x14ac:dyDescent="0.25">
      <c r="A8" s="61" t="s">
        <v>75</v>
      </c>
      <c r="B8" s="5" t="s">
        <v>48</v>
      </c>
      <c r="C8" s="175" t="s">
        <v>29</v>
      </c>
      <c r="D8" s="6">
        <v>15</v>
      </c>
      <c r="E8" s="175" t="s">
        <v>12</v>
      </c>
      <c r="F8" s="175" t="s">
        <v>12</v>
      </c>
      <c r="G8" s="175" t="s">
        <v>11</v>
      </c>
      <c r="H8" s="175">
        <v>10000</v>
      </c>
      <c r="I8" s="176">
        <f ca="1">SUMPRODUCT($M8:$AH8,INDIRECT("'LED,CFL,Inc Lamp - WO017'!$B"&amp;TEXT(MATCH($C8,'LED,CFL,Inc Lamp - WO017'!$A$2:$A$13,0)+1,0)&amp;":$W"&amp;TEXT(MATCH($C8,'LED,CFL,Inc Lamp - WO017'!$A$2:$A$13,0)+1,0)))</f>
        <v>8.9936158137312852</v>
      </c>
      <c r="J8" s="177">
        <f>INDEX('LED,CFL,Inc Lamp - WO017'!$X$2:$X$13,MATCH('LED,CFL,Inc Lamp - Calculator'!$C8,'LED,CFL,Inc Lamp - WO017'!$A$2:$A$13,0))</f>
        <v>7.9629999999999992E-2</v>
      </c>
      <c r="K8" s="176">
        <f>INDEX('LED,CFL,Inc Lamp - WO017'!$AA$2:$AA$13,MATCH('LED,CFL,Inc Lamp - Calculator'!$C8,'LED,CFL,Inc Lamp - WO017'!$A$2:$A$13,0))</f>
        <v>72.260416710552065</v>
      </c>
      <c r="L8" s="176">
        <f t="shared" si="0"/>
        <v>5.7540969826612605</v>
      </c>
      <c r="M8" s="186">
        <v>1</v>
      </c>
      <c r="N8" s="186">
        <v>1</v>
      </c>
      <c r="O8" s="186">
        <v>1</v>
      </c>
      <c r="P8" s="186">
        <v>1</v>
      </c>
      <c r="Q8" s="186">
        <v>1</v>
      </c>
      <c r="R8" s="186">
        <v>1</v>
      </c>
      <c r="S8" s="187">
        <f t="shared" si="1"/>
        <v>0</v>
      </c>
      <c r="T8" s="187">
        <f t="shared" si="2"/>
        <v>1</v>
      </c>
      <c r="U8" s="186">
        <v>1</v>
      </c>
      <c r="V8" s="188">
        <f t="shared" si="3"/>
        <v>10</v>
      </c>
      <c r="W8" s="187">
        <f t="shared" si="4"/>
        <v>0</v>
      </c>
      <c r="X8" s="187">
        <f t="shared" si="5"/>
        <v>0</v>
      </c>
      <c r="Y8" s="187">
        <f t="shared" si="6"/>
        <v>15</v>
      </c>
      <c r="Z8" s="187">
        <f t="shared" si="7"/>
        <v>1</v>
      </c>
      <c r="AA8" s="187">
        <f t="shared" si="8"/>
        <v>0</v>
      </c>
      <c r="AB8" s="186">
        <v>1</v>
      </c>
      <c r="AC8" s="186">
        <v>0</v>
      </c>
      <c r="AD8" s="186">
        <v>0</v>
      </c>
      <c r="AE8" s="187">
        <f t="shared" si="9"/>
        <v>0</v>
      </c>
      <c r="AF8" s="186">
        <v>0</v>
      </c>
      <c r="AG8" s="186">
        <v>1</v>
      </c>
      <c r="AH8" s="186">
        <v>1</v>
      </c>
    </row>
    <row r="9" spans="1:35" s="60" customFormat="1" ht="15" x14ac:dyDescent="0.25">
      <c r="A9" s="61" t="s">
        <v>76</v>
      </c>
      <c r="B9" s="5" t="s">
        <v>49</v>
      </c>
      <c r="C9" s="175" t="s">
        <v>40</v>
      </c>
      <c r="D9" s="6">
        <v>15</v>
      </c>
      <c r="E9" s="175" t="s">
        <v>12</v>
      </c>
      <c r="F9" s="175" t="s">
        <v>12</v>
      </c>
      <c r="G9" s="175" t="s">
        <v>11</v>
      </c>
      <c r="H9" s="175">
        <v>10000</v>
      </c>
      <c r="I9" s="176">
        <f ca="1">SUMPRODUCT($M9:$AH9,INDIRECT("'LED,CFL,Inc Lamp - WO017'!$B"&amp;TEXT(MATCH($C9,'LED,CFL,Inc Lamp - WO017'!$A$2:$A$13,0)+1,0)&amp;":$W"&amp;TEXT(MATCH($C9,'LED,CFL,Inc Lamp - WO017'!$A$2:$A$13,0)+1,0)))</f>
        <v>11.881271548704515</v>
      </c>
      <c r="J9" s="177">
        <f>INDEX('LED,CFL,Inc Lamp - WO017'!$X$2:$X$13,MATCH('LED,CFL,Inc Lamp - Calculator'!$C9,'LED,CFL,Inc Lamp - WO017'!$A$2:$A$13,0))</f>
        <v>6.2E-2</v>
      </c>
      <c r="K9" s="176">
        <f>INDEX('LED,CFL,Inc Lamp - WO017'!$AA$2:$AA$13,MATCH('LED,CFL,Inc Lamp - Calculator'!$C9,'LED,CFL,Inc Lamp - WO017'!$A$2:$A$13,0))</f>
        <v>72.260416710552065</v>
      </c>
      <c r="L9" s="176">
        <f t="shared" si="0"/>
        <v>4.4801458360542279</v>
      </c>
      <c r="M9" s="186">
        <v>1</v>
      </c>
      <c r="N9" s="186">
        <v>1</v>
      </c>
      <c r="O9" s="186">
        <v>1</v>
      </c>
      <c r="P9" s="186">
        <v>1</v>
      </c>
      <c r="Q9" s="186">
        <v>1</v>
      </c>
      <c r="R9" s="186">
        <v>1</v>
      </c>
      <c r="S9" s="187">
        <f t="shared" si="1"/>
        <v>0</v>
      </c>
      <c r="T9" s="187">
        <f t="shared" si="2"/>
        <v>1</v>
      </c>
      <c r="U9" s="186">
        <v>1</v>
      </c>
      <c r="V9" s="188">
        <f t="shared" si="3"/>
        <v>10</v>
      </c>
      <c r="W9" s="187">
        <f t="shared" si="4"/>
        <v>0</v>
      </c>
      <c r="X9" s="187">
        <f t="shared" si="5"/>
        <v>0</v>
      </c>
      <c r="Y9" s="187">
        <f t="shared" si="6"/>
        <v>15</v>
      </c>
      <c r="Z9" s="187">
        <f t="shared" si="7"/>
        <v>1</v>
      </c>
      <c r="AA9" s="187">
        <f t="shared" si="8"/>
        <v>0</v>
      </c>
      <c r="AB9" s="186">
        <v>1</v>
      </c>
      <c r="AC9" s="186">
        <v>0</v>
      </c>
      <c r="AD9" s="186">
        <v>0</v>
      </c>
      <c r="AE9" s="187">
        <f t="shared" si="9"/>
        <v>0</v>
      </c>
      <c r="AF9" s="186">
        <v>0</v>
      </c>
      <c r="AG9" s="186">
        <v>1</v>
      </c>
      <c r="AH9" s="186">
        <v>1</v>
      </c>
    </row>
    <row r="10" spans="1:35" s="60" customFormat="1" ht="15" x14ac:dyDescent="0.25">
      <c r="A10" s="61" t="s">
        <v>77</v>
      </c>
      <c r="B10" s="5" t="s">
        <v>50</v>
      </c>
      <c r="C10" s="175" t="s">
        <v>29</v>
      </c>
      <c r="D10" s="6">
        <v>16</v>
      </c>
      <c r="E10" s="175" t="s">
        <v>12</v>
      </c>
      <c r="F10" s="175" t="s">
        <v>12</v>
      </c>
      <c r="G10" s="175" t="s">
        <v>11</v>
      </c>
      <c r="H10" s="175">
        <v>10000</v>
      </c>
      <c r="I10" s="176">
        <f ca="1">SUMPRODUCT($M10:$AH10,INDIRECT("'LED,CFL,Inc Lamp - WO017'!$B"&amp;TEXT(MATCH($C10,'LED,CFL,Inc Lamp - WO017'!$A$2:$A$13,0)+1,0)&amp;":$W"&amp;TEXT(MATCH($C10,'LED,CFL,Inc Lamp - WO017'!$A$2:$A$13,0)+1,0)))</f>
        <v>9.0601158137312865</v>
      </c>
      <c r="J10" s="177">
        <f>INDEX('LED,CFL,Inc Lamp - WO017'!$X$2:$X$13,MATCH('LED,CFL,Inc Lamp - Calculator'!$C10,'LED,CFL,Inc Lamp - WO017'!$A$2:$A$13,0))</f>
        <v>7.9629999999999992E-2</v>
      </c>
      <c r="K10" s="176">
        <f>INDEX('LED,CFL,Inc Lamp - WO017'!$AA$2:$AA$13,MATCH('LED,CFL,Inc Lamp - Calculator'!$C10,'LED,CFL,Inc Lamp - WO017'!$A$2:$A$13,0))</f>
        <v>72.260416710552065</v>
      </c>
      <c r="L10" s="176">
        <f t="shared" si="0"/>
        <v>5.7540969826612605</v>
      </c>
      <c r="M10" s="186">
        <v>1</v>
      </c>
      <c r="N10" s="186">
        <v>1</v>
      </c>
      <c r="O10" s="186">
        <v>1</v>
      </c>
      <c r="P10" s="186">
        <v>1</v>
      </c>
      <c r="Q10" s="186">
        <v>1</v>
      </c>
      <c r="R10" s="186">
        <v>1</v>
      </c>
      <c r="S10" s="187">
        <f t="shared" si="1"/>
        <v>0</v>
      </c>
      <c r="T10" s="187">
        <f t="shared" si="2"/>
        <v>1</v>
      </c>
      <c r="U10" s="186">
        <v>1</v>
      </c>
      <c r="V10" s="188">
        <f t="shared" si="3"/>
        <v>10</v>
      </c>
      <c r="W10" s="187">
        <f t="shared" si="4"/>
        <v>0</v>
      </c>
      <c r="X10" s="187">
        <f t="shared" si="5"/>
        <v>0</v>
      </c>
      <c r="Y10" s="187">
        <f t="shared" si="6"/>
        <v>16</v>
      </c>
      <c r="Z10" s="187">
        <f t="shared" si="7"/>
        <v>1</v>
      </c>
      <c r="AA10" s="187">
        <f t="shared" si="8"/>
        <v>0</v>
      </c>
      <c r="AB10" s="186">
        <v>1</v>
      </c>
      <c r="AC10" s="186">
        <v>0</v>
      </c>
      <c r="AD10" s="186">
        <v>0</v>
      </c>
      <c r="AE10" s="187">
        <f t="shared" si="9"/>
        <v>0</v>
      </c>
      <c r="AF10" s="186">
        <v>0</v>
      </c>
      <c r="AG10" s="186">
        <v>1</v>
      </c>
      <c r="AH10" s="186">
        <v>1</v>
      </c>
    </row>
    <row r="11" spans="1:35" s="60" customFormat="1" ht="15" x14ac:dyDescent="0.25">
      <c r="A11" s="61" t="s">
        <v>78</v>
      </c>
      <c r="B11" s="5" t="s">
        <v>51</v>
      </c>
      <c r="C11" s="175" t="s">
        <v>40</v>
      </c>
      <c r="D11" s="6">
        <v>16</v>
      </c>
      <c r="E11" s="175" t="s">
        <v>12</v>
      </c>
      <c r="F11" s="175" t="s">
        <v>12</v>
      </c>
      <c r="G11" s="175" t="s">
        <v>11</v>
      </c>
      <c r="H11" s="175">
        <v>10000</v>
      </c>
      <c r="I11" s="176">
        <f ca="1">SUMPRODUCT($M11:$AH11,INDIRECT("'LED,CFL,Inc Lamp - WO017'!$B"&amp;TEXT(MATCH($C11,'LED,CFL,Inc Lamp - WO017'!$A$2:$A$13,0)+1,0)&amp;":$W"&amp;TEXT(MATCH($C11,'LED,CFL,Inc Lamp - WO017'!$A$2:$A$13,0)+1,0)))</f>
        <v>12.028571548704514</v>
      </c>
      <c r="J11" s="177">
        <f>INDEX('LED,CFL,Inc Lamp - WO017'!$X$2:$X$13,MATCH('LED,CFL,Inc Lamp - Calculator'!$C11,'LED,CFL,Inc Lamp - WO017'!$A$2:$A$13,0))</f>
        <v>6.2E-2</v>
      </c>
      <c r="K11" s="176">
        <f>INDEX('LED,CFL,Inc Lamp - WO017'!$AA$2:$AA$13,MATCH('LED,CFL,Inc Lamp - Calculator'!$C11,'LED,CFL,Inc Lamp - WO017'!$A$2:$A$13,0))</f>
        <v>72.260416710552065</v>
      </c>
      <c r="L11" s="176">
        <f t="shared" si="0"/>
        <v>4.4801458360542279</v>
      </c>
      <c r="M11" s="186">
        <v>1</v>
      </c>
      <c r="N11" s="186">
        <v>1</v>
      </c>
      <c r="O11" s="186">
        <v>1</v>
      </c>
      <c r="P11" s="186">
        <v>1</v>
      </c>
      <c r="Q11" s="186">
        <v>1</v>
      </c>
      <c r="R11" s="186">
        <v>1</v>
      </c>
      <c r="S11" s="187">
        <f t="shared" si="1"/>
        <v>0</v>
      </c>
      <c r="T11" s="187">
        <f t="shared" si="2"/>
        <v>1</v>
      </c>
      <c r="U11" s="186">
        <v>1</v>
      </c>
      <c r="V11" s="188">
        <f t="shared" si="3"/>
        <v>10</v>
      </c>
      <c r="W11" s="187">
        <f t="shared" si="4"/>
        <v>0</v>
      </c>
      <c r="X11" s="187">
        <f t="shared" si="5"/>
        <v>0</v>
      </c>
      <c r="Y11" s="187">
        <f t="shared" si="6"/>
        <v>16</v>
      </c>
      <c r="Z11" s="187">
        <f t="shared" si="7"/>
        <v>1</v>
      </c>
      <c r="AA11" s="187">
        <f t="shared" si="8"/>
        <v>0</v>
      </c>
      <c r="AB11" s="186">
        <v>1</v>
      </c>
      <c r="AC11" s="186">
        <v>0</v>
      </c>
      <c r="AD11" s="186">
        <v>0</v>
      </c>
      <c r="AE11" s="187">
        <f t="shared" si="9"/>
        <v>0</v>
      </c>
      <c r="AF11" s="186">
        <v>0</v>
      </c>
      <c r="AG11" s="186">
        <v>1</v>
      </c>
      <c r="AH11" s="186">
        <v>1</v>
      </c>
    </row>
    <row r="12" spans="1:35" s="60" customFormat="1" ht="15" x14ac:dyDescent="0.25">
      <c r="A12" s="61" t="s">
        <v>79</v>
      </c>
      <c r="B12" s="5" t="s">
        <v>52</v>
      </c>
      <c r="C12" s="175" t="s">
        <v>29</v>
      </c>
      <c r="D12" s="6">
        <v>18</v>
      </c>
      <c r="E12" s="175" t="s">
        <v>12</v>
      </c>
      <c r="F12" s="175" t="s">
        <v>11</v>
      </c>
      <c r="G12" s="175" t="s">
        <v>12</v>
      </c>
      <c r="H12" s="175">
        <v>10000</v>
      </c>
      <c r="I12" s="176">
        <f ca="1">SUMPRODUCT($M12:$AH12,INDIRECT("'LED,CFL,Inc Lamp - WO017'!$B"&amp;TEXT(MATCH($C12,'LED,CFL,Inc Lamp - WO017'!$A$2:$A$13,0)+1,0)&amp;":$W"&amp;TEXT(MATCH($C12,'LED,CFL,Inc Lamp - WO017'!$A$2:$A$13,0)+1,0)))</f>
        <v>10.138715813731284</v>
      </c>
      <c r="J12" s="177">
        <f>INDEX('LED,CFL,Inc Lamp - WO017'!$X$2:$X$13,MATCH('LED,CFL,Inc Lamp - Calculator'!$C12,'LED,CFL,Inc Lamp - WO017'!$A$2:$A$13,0))</f>
        <v>7.9629999999999992E-2</v>
      </c>
      <c r="K12" s="176">
        <f>INDEX('LED,CFL,Inc Lamp - WO017'!$AA$2:$AA$13,MATCH('LED,CFL,Inc Lamp - Calculator'!$C12,'LED,CFL,Inc Lamp - WO017'!$A$2:$A$13,0))</f>
        <v>72.260416710552065</v>
      </c>
      <c r="L12" s="176">
        <f t="shared" si="0"/>
        <v>5.7540969826612605</v>
      </c>
      <c r="M12" s="186">
        <v>1</v>
      </c>
      <c r="N12" s="186">
        <v>1</v>
      </c>
      <c r="O12" s="186">
        <v>1</v>
      </c>
      <c r="P12" s="186">
        <v>1</v>
      </c>
      <c r="Q12" s="186">
        <v>1</v>
      </c>
      <c r="R12" s="186">
        <v>1</v>
      </c>
      <c r="S12" s="187">
        <f t="shared" si="1"/>
        <v>1</v>
      </c>
      <c r="T12" s="187">
        <f t="shared" si="2"/>
        <v>0</v>
      </c>
      <c r="U12" s="186">
        <v>1</v>
      </c>
      <c r="V12" s="188">
        <f t="shared" si="3"/>
        <v>10</v>
      </c>
      <c r="W12" s="187">
        <f t="shared" si="4"/>
        <v>0</v>
      </c>
      <c r="X12" s="187">
        <f t="shared" si="5"/>
        <v>0</v>
      </c>
      <c r="Y12" s="187">
        <f t="shared" si="6"/>
        <v>18</v>
      </c>
      <c r="Z12" s="187">
        <f t="shared" si="7"/>
        <v>1</v>
      </c>
      <c r="AA12" s="187">
        <f t="shared" si="8"/>
        <v>0</v>
      </c>
      <c r="AB12" s="186">
        <v>1</v>
      </c>
      <c r="AC12" s="186">
        <v>0</v>
      </c>
      <c r="AD12" s="186">
        <v>0</v>
      </c>
      <c r="AE12" s="187">
        <f t="shared" si="9"/>
        <v>0</v>
      </c>
      <c r="AF12" s="186">
        <v>0</v>
      </c>
      <c r="AG12" s="186">
        <v>1</v>
      </c>
      <c r="AH12" s="186">
        <v>1</v>
      </c>
    </row>
    <row r="13" spans="1:35" s="60" customFormat="1" ht="15" x14ac:dyDescent="0.25">
      <c r="A13" s="61" t="s">
        <v>80</v>
      </c>
      <c r="B13" s="5" t="s">
        <v>53</v>
      </c>
      <c r="C13" s="175" t="s">
        <v>29</v>
      </c>
      <c r="D13" s="6">
        <v>18</v>
      </c>
      <c r="E13" s="175" t="s">
        <v>12</v>
      </c>
      <c r="F13" s="175" t="s">
        <v>12</v>
      </c>
      <c r="G13" s="175" t="s">
        <v>11</v>
      </c>
      <c r="H13" s="175">
        <v>10000</v>
      </c>
      <c r="I13" s="176">
        <f ca="1">SUMPRODUCT($M13:$AH13,INDIRECT("'LED,CFL,Inc Lamp - WO017'!$B"&amp;TEXT(MATCH($C13,'LED,CFL,Inc Lamp - WO017'!$A$2:$A$13,0)+1,0)&amp;":$W"&amp;TEXT(MATCH($C13,'LED,CFL,Inc Lamp - WO017'!$A$2:$A$13,0)+1,0)))</f>
        <v>9.1931158137312856</v>
      </c>
      <c r="J13" s="177">
        <f>INDEX('LED,CFL,Inc Lamp - WO017'!$X$2:$X$13,MATCH('LED,CFL,Inc Lamp - Calculator'!$C13,'LED,CFL,Inc Lamp - WO017'!$A$2:$A$13,0))</f>
        <v>7.9629999999999992E-2</v>
      </c>
      <c r="K13" s="176">
        <f>INDEX('LED,CFL,Inc Lamp - WO017'!$AA$2:$AA$13,MATCH('LED,CFL,Inc Lamp - Calculator'!$C13,'LED,CFL,Inc Lamp - WO017'!$A$2:$A$13,0))</f>
        <v>72.260416710552065</v>
      </c>
      <c r="L13" s="176">
        <f t="shared" si="0"/>
        <v>5.7540969826612605</v>
      </c>
      <c r="M13" s="186">
        <v>1</v>
      </c>
      <c r="N13" s="186">
        <v>1</v>
      </c>
      <c r="O13" s="186">
        <v>1</v>
      </c>
      <c r="P13" s="186">
        <v>1</v>
      </c>
      <c r="Q13" s="186">
        <v>1</v>
      </c>
      <c r="R13" s="186">
        <v>1</v>
      </c>
      <c r="S13" s="187">
        <f t="shared" si="1"/>
        <v>0</v>
      </c>
      <c r="T13" s="187">
        <f t="shared" si="2"/>
        <v>1</v>
      </c>
      <c r="U13" s="186">
        <v>1</v>
      </c>
      <c r="V13" s="188">
        <f t="shared" si="3"/>
        <v>10</v>
      </c>
      <c r="W13" s="187">
        <f t="shared" si="4"/>
        <v>0</v>
      </c>
      <c r="X13" s="187">
        <f t="shared" si="5"/>
        <v>0</v>
      </c>
      <c r="Y13" s="187">
        <f t="shared" si="6"/>
        <v>18</v>
      </c>
      <c r="Z13" s="187">
        <f t="shared" si="7"/>
        <v>1</v>
      </c>
      <c r="AA13" s="187">
        <f t="shared" si="8"/>
        <v>0</v>
      </c>
      <c r="AB13" s="186">
        <v>1</v>
      </c>
      <c r="AC13" s="186">
        <v>0</v>
      </c>
      <c r="AD13" s="186">
        <v>0</v>
      </c>
      <c r="AE13" s="187">
        <f t="shared" si="9"/>
        <v>0</v>
      </c>
      <c r="AF13" s="186">
        <v>0</v>
      </c>
      <c r="AG13" s="186">
        <v>1</v>
      </c>
      <c r="AH13" s="186">
        <v>1</v>
      </c>
    </row>
    <row r="14" spans="1:35" s="60" customFormat="1" x14ac:dyDescent="0.3">
      <c r="A14" s="61" t="s">
        <v>81</v>
      </c>
      <c r="B14" s="5" t="s">
        <v>54</v>
      </c>
      <c r="C14" s="175" t="s">
        <v>29</v>
      </c>
      <c r="D14" s="6">
        <v>19</v>
      </c>
      <c r="E14" s="175" t="s">
        <v>12</v>
      </c>
      <c r="F14" s="175" t="s">
        <v>12</v>
      </c>
      <c r="G14" s="175" t="s">
        <v>11</v>
      </c>
      <c r="H14" s="175">
        <v>10000</v>
      </c>
      <c r="I14" s="176">
        <f ca="1">SUMPRODUCT($M14:$AH14,INDIRECT("'LED,CFL,Inc Lamp - WO017'!$B"&amp;TEXT(MATCH($C14,'LED,CFL,Inc Lamp - WO017'!$A$2:$A$13,0)+1,0)&amp;":$W"&amp;TEXT(MATCH($C14,'LED,CFL,Inc Lamp - WO017'!$A$2:$A$13,0)+1,0)))</f>
        <v>9.2596158137312869</v>
      </c>
      <c r="J14" s="177">
        <f>INDEX('LED,CFL,Inc Lamp - WO017'!$X$2:$X$13,MATCH('LED,CFL,Inc Lamp - Calculator'!$C14,'LED,CFL,Inc Lamp - WO017'!$A$2:$A$13,0))</f>
        <v>7.9629999999999992E-2</v>
      </c>
      <c r="K14" s="176">
        <f>INDEX('LED,CFL,Inc Lamp - WO017'!$AA$2:$AA$13,MATCH('LED,CFL,Inc Lamp - Calculator'!$C14,'LED,CFL,Inc Lamp - WO017'!$A$2:$A$13,0))</f>
        <v>72.260416710552065</v>
      </c>
      <c r="L14" s="176">
        <f t="shared" si="0"/>
        <v>5.7540969826612605</v>
      </c>
      <c r="M14" s="186">
        <v>1</v>
      </c>
      <c r="N14" s="186">
        <v>1</v>
      </c>
      <c r="O14" s="186">
        <v>1</v>
      </c>
      <c r="P14" s="186">
        <v>1</v>
      </c>
      <c r="Q14" s="186">
        <v>1</v>
      </c>
      <c r="R14" s="186">
        <v>1</v>
      </c>
      <c r="S14" s="187">
        <f t="shared" si="1"/>
        <v>0</v>
      </c>
      <c r="T14" s="187">
        <f t="shared" si="2"/>
        <v>1</v>
      </c>
      <c r="U14" s="186">
        <v>1</v>
      </c>
      <c r="V14" s="188">
        <f t="shared" si="3"/>
        <v>10</v>
      </c>
      <c r="W14" s="187">
        <f t="shared" si="4"/>
        <v>0</v>
      </c>
      <c r="X14" s="187">
        <f t="shared" si="5"/>
        <v>0</v>
      </c>
      <c r="Y14" s="187">
        <f t="shared" si="6"/>
        <v>19</v>
      </c>
      <c r="Z14" s="187">
        <f t="shared" si="7"/>
        <v>1</v>
      </c>
      <c r="AA14" s="187">
        <f t="shared" si="8"/>
        <v>0</v>
      </c>
      <c r="AB14" s="186">
        <v>1</v>
      </c>
      <c r="AC14" s="186">
        <v>0</v>
      </c>
      <c r="AD14" s="186">
        <v>0</v>
      </c>
      <c r="AE14" s="187">
        <f t="shared" si="9"/>
        <v>0</v>
      </c>
      <c r="AF14" s="186">
        <v>0</v>
      </c>
      <c r="AG14" s="186">
        <v>1</v>
      </c>
      <c r="AH14" s="186">
        <v>1</v>
      </c>
    </row>
    <row r="15" spans="1:35" s="60" customFormat="1" x14ac:dyDescent="0.3">
      <c r="A15" s="61" t="s">
        <v>82</v>
      </c>
      <c r="B15" s="5" t="s">
        <v>55</v>
      </c>
      <c r="C15" s="175" t="s">
        <v>29</v>
      </c>
      <c r="D15" s="6">
        <v>20</v>
      </c>
      <c r="E15" s="175" t="s">
        <v>12</v>
      </c>
      <c r="F15" s="175" t="s">
        <v>12</v>
      </c>
      <c r="G15" s="175" t="s">
        <v>11</v>
      </c>
      <c r="H15" s="175">
        <v>10000</v>
      </c>
      <c r="I15" s="176">
        <f ca="1">SUMPRODUCT($M15:$AH15,INDIRECT("'LED,CFL,Inc Lamp - WO017'!$B"&amp;TEXT(MATCH($C15,'LED,CFL,Inc Lamp - WO017'!$A$2:$A$13,0)+1,0)&amp;":$W"&amp;TEXT(MATCH($C15,'LED,CFL,Inc Lamp - WO017'!$A$2:$A$13,0)+1,0)))</f>
        <v>9.3261158137312847</v>
      </c>
      <c r="J15" s="177">
        <f>INDEX('LED,CFL,Inc Lamp - WO017'!$X$2:$X$13,MATCH('LED,CFL,Inc Lamp - Calculator'!$C15,'LED,CFL,Inc Lamp - WO017'!$A$2:$A$13,0))</f>
        <v>7.9629999999999992E-2</v>
      </c>
      <c r="K15" s="176">
        <f>INDEX('LED,CFL,Inc Lamp - WO017'!$AA$2:$AA$13,MATCH('LED,CFL,Inc Lamp - Calculator'!$C15,'LED,CFL,Inc Lamp - WO017'!$A$2:$A$13,0))</f>
        <v>72.260416710552065</v>
      </c>
      <c r="L15" s="176">
        <f t="shared" si="0"/>
        <v>5.7540969826612605</v>
      </c>
      <c r="M15" s="186">
        <v>1</v>
      </c>
      <c r="N15" s="186">
        <v>1</v>
      </c>
      <c r="O15" s="186">
        <v>1</v>
      </c>
      <c r="P15" s="186">
        <v>1</v>
      </c>
      <c r="Q15" s="186">
        <v>1</v>
      </c>
      <c r="R15" s="186">
        <v>1</v>
      </c>
      <c r="S15" s="187">
        <f t="shared" si="1"/>
        <v>0</v>
      </c>
      <c r="T15" s="187">
        <f t="shared" si="2"/>
        <v>1</v>
      </c>
      <c r="U15" s="186">
        <v>1</v>
      </c>
      <c r="V15" s="188">
        <f t="shared" si="3"/>
        <v>10</v>
      </c>
      <c r="W15" s="187">
        <f t="shared" si="4"/>
        <v>0</v>
      </c>
      <c r="X15" s="187">
        <f t="shared" si="5"/>
        <v>0</v>
      </c>
      <c r="Y15" s="187">
        <f t="shared" si="6"/>
        <v>20</v>
      </c>
      <c r="Z15" s="187">
        <f t="shared" si="7"/>
        <v>1</v>
      </c>
      <c r="AA15" s="187">
        <f t="shared" si="8"/>
        <v>0</v>
      </c>
      <c r="AB15" s="186">
        <v>1</v>
      </c>
      <c r="AC15" s="186">
        <v>0</v>
      </c>
      <c r="AD15" s="186">
        <v>0</v>
      </c>
      <c r="AE15" s="187">
        <f t="shared" si="9"/>
        <v>0</v>
      </c>
      <c r="AF15" s="186">
        <v>0</v>
      </c>
      <c r="AG15" s="186">
        <v>1</v>
      </c>
      <c r="AH15" s="186">
        <v>1</v>
      </c>
    </row>
    <row r="16" spans="1:35" s="60" customFormat="1" x14ac:dyDescent="0.3">
      <c r="A16" s="61" t="s">
        <v>83</v>
      </c>
      <c r="B16" s="5" t="s">
        <v>56</v>
      </c>
      <c r="C16" s="175" t="s">
        <v>40</v>
      </c>
      <c r="D16" s="6">
        <v>20</v>
      </c>
      <c r="E16" s="175" t="s">
        <v>12</v>
      </c>
      <c r="F16" s="175" t="s">
        <v>12</v>
      </c>
      <c r="G16" s="175" t="s">
        <v>11</v>
      </c>
      <c r="H16" s="175">
        <v>10000</v>
      </c>
      <c r="I16" s="176">
        <f ca="1">SUMPRODUCT($M16:$AH16,INDIRECT("'LED,CFL,Inc Lamp - WO017'!$B"&amp;TEXT(MATCH($C16,'LED,CFL,Inc Lamp - WO017'!$A$2:$A$13,0)+1,0)&amp;":$W"&amp;TEXT(MATCH($C16,'LED,CFL,Inc Lamp - WO017'!$A$2:$A$13,0)+1,0)))</f>
        <v>12.617771548704514</v>
      </c>
      <c r="J16" s="177">
        <f>INDEX('LED,CFL,Inc Lamp - WO017'!$X$2:$X$13,MATCH('LED,CFL,Inc Lamp - Calculator'!$C16,'LED,CFL,Inc Lamp - WO017'!$A$2:$A$13,0))</f>
        <v>6.2E-2</v>
      </c>
      <c r="K16" s="176">
        <f>INDEX('LED,CFL,Inc Lamp - WO017'!$AA$2:$AA$13,MATCH('LED,CFL,Inc Lamp - Calculator'!$C16,'LED,CFL,Inc Lamp - WO017'!$A$2:$A$13,0))</f>
        <v>72.260416710552065</v>
      </c>
      <c r="L16" s="176">
        <f t="shared" si="0"/>
        <v>4.4801458360542279</v>
      </c>
      <c r="M16" s="186">
        <v>1</v>
      </c>
      <c r="N16" s="186">
        <v>1</v>
      </c>
      <c r="O16" s="186">
        <v>1</v>
      </c>
      <c r="P16" s="186">
        <v>1</v>
      </c>
      <c r="Q16" s="186">
        <v>1</v>
      </c>
      <c r="R16" s="186">
        <v>1</v>
      </c>
      <c r="S16" s="187">
        <f t="shared" si="1"/>
        <v>0</v>
      </c>
      <c r="T16" s="187">
        <f t="shared" si="2"/>
        <v>1</v>
      </c>
      <c r="U16" s="186">
        <v>1</v>
      </c>
      <c r="V16" s="188">
        <f t="shared" si="3"/>
        <v>10</v>
      </c>
      <c r="W16" s="187">
        <f t="shared" si="4"/>
        <v>0</v>
      </c>
      <c r="X16" s="187">
        <f t="shared" si="5"/>
        <v>0</v>
      </c>
      <c r="Y16" s="187">
        <f t="shared" si="6"/>
        <v>20</v>
      </c>
      <c r="Z16" s="187">
        <f t="shared" si="7"/>
        <v>1</v>
      </c>
      <c r="AA16" s="187">
        <f t="shared" si="8"/>
        <v>0</v>
      </c>
      <c r="AB16" s="186">
        <v>1</v>
      </c>
      <c r="AC16" s="186">
        <v>0</v>
      </c>
      <c r="AD16" s="186">
        <v>0</v>
      </c>
      <c r="AE16" s="187">
        <f t="shared" si="9"/>
        <v>0</v>
      </c>
      <c r="AF16" s="186">
        <v>0</v>
      </c>
      <c r="AG16" s="186">
        <v>1</v>
      </c>
      <c r="AH16" s="186">
        <v>1</v>
      </c>
    </row>
    <row r="17" spans="1:34" s="60" customFormat="1" x14ac:dyDescent="0.3">
      <c r="A17" s="61" t="s">
        <v>84</v>
      </c>
      <c r="B17" s="5" t="s">
        <v>57</v>
      </c>
      <c r="C17" s="175" t="s">
        <v>29</v>
      </c>
      <c r="D17" s="6">
        <v>23</v>
      </c>
      <c r="E17" s="175" t="s">
        <v>12</v>
      </c>
      <c r="F17" s="175" t="s">
        <v>11</v>
      </c>
      <c r="G17" s="175" t="s">
        <v>12</v>
      </c>
      <c r="H17" s="175">
        <v>10000</v>
      </c>
      <c r="I17" s="176">
        <f ca="1">SUMPRODUCT($M17:$AH17,INDIRECT("'LED,CFL,Inc Lamp - WO017'!$B"&amp;TEXT(MATCH($C17,'LED,CFL,Inc Lamp - WO017'!$A$2:$A$13,0)+1,0)&amp;":$W"&amp;TEXT(MATCH($C17,'LED,CFL,Inc Lamp - WO017'!$A$2:$A$13,0)+1,0)))</f>
        <v>10.471215813731284</v>
      </c>
      <c r="J17" s="177">
        <f>INDEX('LED,CFL,Inc Lamp - WO017'!$X$2:$X$13,MATCH('LED,CFL,Inc Lamp - Calculator'!$C17,'LED,CFL,Inc Lamp - WO017'!$A$2:$A$13,0))</f>
        <v>7.9629999999999992E-2</v>
      </c>
      <c r="K17" s="176">
        <f>INDEX('LED,CFL,Inc Lamp - WO017'!$AA$2:$AA$13,MATCH('LED,CFL,Inc Lamp - Calculator'!$C17,'LED,CFL,Inc Lamp - WO017'!$A$2:$A$13,0))</f>
        <v>72.260416710552065</v>
      </c>
      <c r="L17" s="176">
        <f t="shared" si="0"/>
        <v>5.7540969826612605</v>
      </c>
      <c r="M17" s="186">
        <v>1</v>
      </c>
      <c r="N17" s="186">
        <v>1</v>
      </c>
      <c r="O17" s="186">
        <v>1</v>
      </c>
      <c r="P17" s="186">
        <v>1</v>
      </c>
      <c r="Q17" s="186">
        <v>1</v>
      </c>
      <c r="R17" s="186">
        <v>1</v>
      </c>
      <c r="S17" s="187">
        <f t="shared" si="1"/>
        <v>1</v>
      </c>
      <c r="T17" s="187">
        <f t="shared" si="2"/>
        <v>0</v>
      </c>
      <c r="U17" s="186">
        <v>1</v>
      </c>
      <c r="V17" s="188">
        <f t="shared" si="3"/>
        <v>10</v>
      </c>
      <c r="W17" s="187">
        <f t="shared" si="4"/>
        <v>0</v>
      </c>
      <c r="X17" s="187">
        <f t="shared" si="5"/>
        <v>0</v>
      </c>
      <c r="Y17" s="187">
        <f t="shared" si="6"/>
        <v>23</v>
      </c>
      <c r="Z17" s="187">
        <f t="shared" si="7"/>
        <v>1</v>
      </c>
      <c r="AA17" s="187">
        <f t="shared" si="8"/>
        <v>0</v>
      </c>
      <c r="AB17" s="186">
        <v>1</v>
      </c>
      <c r="AC17" s="186">
        <v>0</v>
      </c>
      <c r="AD17" s="186">
        <v>0</v>
      </c>
      <c r="AE17" s="187">
        <f t="shared" si="9"/>
        <v>0</v>
      </c>
      <c r="AF17" s="186">
        <v>0</v>
      </c>
      <c r="AG17" s="186">
        <v>1</v>
      </c>
      <c r="AH17" s="186">
        <v>1</v>
      </c>
    </row>
    <row r="18" spans="1:34" s="60" customFormat="1" x14ac:dyDescent="0.3">
      <c r="A18" s="61" t="s">
        <v>85</v>
      </c>
      <c r="B18" s="5" t="s">
        <v>58</v>
      </c>
      <c r="C18" s="175" t="s">
        <v>29</v>
      </c>
      <c r="D18" s="6">
        <v>23</v>
      </c>
      <c r="E18" s="175" t="s">
        <v>12</v>
      </c>
      <c r="F18" s="175" t="s">
        <v>12</v>
      </c>
      <c r="G18" s="175" t="s">
        <v>11</v>
      </c>
      <c r="H18" s="175">
        <v>10000</v>
      </c>
      <c r="I18" s="176">
        <f ca="1">SUMPRODUCT($M18:$AH18,INDIRECT("'LED,CFL,Inc Lamp - WO017'!$B"&amp;TEXT(MATCH($C18,'LED,CFL,Inc Lamp - WO017'!$A$2:$A$13,0)+1,0)&amp;":$W"&amp;TEXT(MATCH($C18,'LED,CFL,Inc Lamp - WO017'!$A$2:$A$13,0)+1,0)))</f>
        <v>9.5256158137312852</v>
      </c>
      <c r="J18" s="177">
        <f>INDEX('LED,CFL,Inc Lamp - WO017'!$X$2:$X$13,MATCH('LED,CFL,Inc Lamp - Calculator'!$C18,'LED,CFL,Inc Lamp - WO017'!$A$2:$A$13,0))</f>
        <v>7.9629999999999992E-2</v>
      </c>
      <c r="K18" s="176">
        <f>INDEX('LED,CFL,Inc Lamp - WO017'!$AA$2:$AA$13,MATCH('LED,CFL,Inc Lamp - Calculator'!$C18,'LED,CFL,Inc Lamp - WO017'!$A$2:$A$13,0))</f>
        <v>72.260416710552065</v>
      </c>
      <c r="L18" s="176">
        <f t="shared" si="0"/>
        <v>5.7540969826612605</v>
      </c>
      <c r="M18" s="186">
        <v>1</v>
      </c>
      <c r="N18" s="186">
        <v>1</v>
      </c>
      <c r="O18" s="186">
        <v>1</v>
      </c>
      <c r="P18" s="186">
        <v>1</v>
      </c>
      <c r="Q18" s="186">
        <v>1</v>
      </c>
      <c r="R18" s="186">
        <v>1</v>
      </c>
      <c r="S18" s="187">
        <f t="shared" si="1"/>
        <v>0</v>
      </c>
      <c r="T18" s="187">
        <f t="shared" si="2"/>
        <v>1</v>
      </c>
      <c r="U18" s="186">
        <v>1</v>
      </c>
      <c r="V18" s="188">
        <f t="shared" si="3"/>
        <v>10</v>
      </c>
      <c r="W18" s="187">
        <f t="shared" si="4"/>
        <v>0</v>
      </c>
      <c r="X18" s="187">
        <f t="shared" si="5"/>
        <v>0</v>
      </c>
      <c r="Y18" s="187">
        <f t="shared" si="6"/>
        <v>23</v>
      </c>
      <c r="Z18" s="187">
        <f t="shared" si="7"/>
        <v>1</v>
      </c>
      <c r="AA18" s="187">
        <f t="shared" si="8"/>
        <v>0</v>
      </c>
      <c r="AB18" s="186">
        <v>1</v>
      </c>
      <c r="AC18" s="186">
        <v>0</v>
      </c>
      <c r="AD18" s="186">
        <v>0</v>
      </c>
      <c r="AE18" s="187">
        <f t="shared" si="9"/>
        <v>0</v>
      </c>
      <c r="AF18" s="186">
        <v>0</v>
      </c>
      <c r="AG18" s="186">
        <v>1</v>
      </c>
      <c r="AH18" s="186">
        <v>1</v>
      </c>
    </row>
    <row r="19" spans="1:34" s="60" customFormat="1" x14ac:dyDescent="0.3">
      <c r="A19" s="61" t="s">
        <v>86</v>
      </c>
      <c r="B19" s="5" t="s">
        <v>59</v>
      </c>
      <c r="C19" s="175" t="s">
        <v>29</v>
      </c>
      <c r="D19" s="6">
        <v>25</v>
      </c>
      <c r="E19" s="175" t="s">
        <v>12</v>
      </c>
      <c r="F19" s="175" t="s">
        <v>11</v>
      </c>
      <c r="G19" s="175" t="s">
        <v>12</v>
      </c>
      <c r="H19" s="175">
        <v>10000</v>
      </c>
      <c r="I19" s="176">
        <f ca="1">SUMPRODUCT($M19:$AH19,INDIRECT("'LED,CFL,Inc Lamp - WO017'!$B"&amp;TEXT(MATCH($C19,'LED,CFL,Inc Lamp - WO017'!$A$2:$A$13,0)+1,0)&amp;":$W"&amp;TEXT(MATCH($C19,'LED,CFL,Inc Lamp - WO017'!$A$2:$A$13,0)+1,0)))</f>
        <v>10.604215813731283</v>
      </c>
      <c r="J19" s="177">
        <f>INDEX('LED,CFL,Inc Lamp - WO017'!$X$2:$X$13,MATCH('LED,CFL,Inc Lamp - Calculator'!$C19,'LED,CFL,Inc Lamp - WO017'!$A$2:$A$13,0))</f>
        <v>7.9629999999999992E-2</v>
      </c>
      <c r="K19" s="176">
        <f>INDEX('LED,CFL,Inc Lamp - WO017'!$AA$2:$AA$13,MATCH('LED,CFL,Inc Lamp - Calculator'!$C19,'LED,CFL,Inc Lamp - WO017'!$A$2:$A$13,0))</f>
        <v>72.260416710552065</v>
      </c>
      <c r="L19" s="176">
        <f t="shared" si="0"/>
        <v>5.7540969826612605</v>
      </c>
      <c r="M19" s="186">
        <v>1</v>
      </c>
      <c r="N19" s="186">
        <v>1</v>
      </c>
      <c r="O19" s="186">
        <v>1</v>
      </c>
      <c r="P19" s="186">
        <v>1</v>
      </c>
      <c r="Q19" s="186">
        <v>1</v>
      </c>
      <c r="R19" s="186">
        <v>1</v>
      </c>
      <c r="S19" s="187">
        <f t="shared" si="1"/>
        <v>1</v>
      </c>
      <c r="T19" s="187">
        <f t="shared" si="2"/>
        <v>0</v>
      </c>
      <c r="U19" s="186">
        <v>1</v>
      </c>
      <c r="V19" s="188">
        <f t="shared" si="3"/>
        <v>10</v>
      </c>
      <c r="W19" s="187">
        <f t="shared" si="4"/>
        <v>0</v>
      </c>
      <c r="X19" s="187">
        <f t="shared" si="5"/>
        <v>0</v>
      </c>
      <c r="Y19" s="187">
        <f t="shared" si="6"/>
        <v>25</v>
      </c>
      <c r="Z19" s="187">
        <f t="shared" si="7"/>
        <v>1</v>
      </c>
      <c r="AA19" s="187">
        <f t="shared" si="8"/>
        <v>0</v>
      </c>
      <c r="AB19" s="186">
        <v>1</v>
      </c>
      <c r="AC19" s="186">
        <v>0</v>
      </c>
      <c r="AD19" s="186">
        <v>0</v>
      </c>
      <c r="AE19" s="187">
        <f t="shared" si="9"/>
        <v>0</v>
      </c>
      <c r="AF19" s="186">
        <v>0</v>
      </c>
      <c r="AG19" s="186">
        <v>1</v>
      </c>
      <c r="AH19" s="186">
        <v>1</v>
      </c>
    </row>
    <row r="20" spans="1:34" s="60" customFormat="1" x14ac:dyDescent="0.3">
      <c r="A20" s="61" t="s">
        <v>87</v>
      </c>
      <c r="B20" s="5" t="s">
        <v>60</v>
      </c>
      <c r="C20" s="175" t="s">
        <v>29</v>
      </c>
      <c r="D20" s="6">
        <v>25</v>
      </c>
      <c r="E20" s="175" t="s">
        <v>12</v>
      </c>
      <c r="F20" s="175" t="s">
        <v>12</v>
      </c>
      <c r="G20" s="175" t="s">
        <v>11</v>
      </c>
      <c r="H20" s="175">
        <v>10000</v>
      </c>
      <c r="I20" s="176">
        <f ca="1">SUMPRODUCT($M20:$AH20,INDIRECT("'LED,CFL,Inc Lamp - WO017'!$B"&amp;TEXT(MATCH($C20,'LED,CFL,Inc Lamp - WO017'!$A$2:$A$13,0)+1,0)&amp;":$W"&amp;TEXT(MATCH($C20,'LED,CFL,Inc Lamp - WO017'!$A$2:$A$13,0)+1,0)))</f>
        <v>9.6586158137312843</v>
      </c>
      <c r="J20" s="177">
        <f>INDEX('LED,CFL,Inc Lamp - WO017'!$X$2:$X$13,MATCH('LED,CFL,Inc Lamp - Calculator'!$C20,'LED,CFL,Inc Lamp - WO017'!$A$2:$A$13,0))</f>
        <v>7.9629999999999992E-2</v>
      </c>
      <c r="K20" s="176">
        <f>INDEX('LED,CFL,Inc Lamp - WO017'!$AA$2:$AA$13,MATCH('LED,CFL,Inc Lamp - Calculator'!$C20,'LED,CFL,Inc Lamp - WO017'!$A$2:$A$13,0))</f>
        <v>72.260416710552065</v>
      </c>
      <c r="L20" s="176">
        <f t="shared" si="0"/>
        <v>5.7540969826612605</v>
      </c>
      <c r="M20" s="186">
        <v>1</v>
      </c>
      <c r="N20" s="186">
        <v>1</v>
      </c>
      <c r="O20" s="186">
        <v>1</v>
      </c>
      <c r="P20" s="186">
        <v>1</v>
      </c>
      <c r="Q20" s="186">
        <v>1</v>
      </c>
      <c r="R20" s="186">
        <v>1</v>
      </c>
      <c r="S20" s="187">
        <f t="shared" si="1"/>
        <v>0</v>
      </c>
      <c r="T20" s="187">
        <f t="shared" si="2"/>
        <v>1</v>
      </c>
      <c r="U20" s="186">
        <v>1</v>
      </c>
      <c r="V20" s="188">
        <f t="shared" si="3"/>
        <v>10</v>
      </c>
      <c r="W20" s="187">
        <f t="shared" si="4"/>
        <v>0</v>
      </c>
      <c r="X20" s="187">
        <f t="shared" si="5"/>
        <v>0</v>
      </c>
      <c r="Y20" s="187">
        <f t="shared" si="6"/>
        <v>25</v>
      </c>
      <c r="Z20" s="187">
        <f t="shared" si="7"/>
        <v>1</v>
      </c>
      <c r="AA20" s="187">
        <f t="shared" si="8"/>
        <v>0</v>
      </c>
      <c r="AB20" s="186">
        <v>1</v>
      </c>
      <c r="AC20" s="186">
        <v>0</v>
      </c>
      <c r="AD20" s="186">
        <v>0</v>
      </c>
      <c r="AE20" s="187">
        <f t="shared" si="9"/>
        <v>0</v>
      </c>
      <c r="AF20" s="186">
        <v>0</v>
      </c>
      <c r="AG20" s="186">
        <v>1</v>
      </c>
      <c r="AH20" s="186">
        <v>1</v>
      </c>
    </row>
    <row r="21" spans="1:34" s="60" customFormat="1" x14ac:dyDescent="0.3">
      <c r="A21" s="61" t="s">
        <v>88</v>
      </c>
      <c r="B21" s="5" t="s">
        <v>61</v>
      </c>
      <c r="C21" s="175" t="s">
        <v>29</v>
      </c>
      <c r="D21" s="6">
        <v>26</v>
      </c>
      <c r="E21" s="175" t="s">
        <v>12</v>
      </c>
      <c r="F21" s="175" t="s">
        <v>11</v>
      </c>
      <c r="G21" s="175" t="s">
        <v>12</v>
      </c>
      <c r="H21" s="175">
        <v>10000</v>
      </c>
      <c r="I21" s="176">
        <f ca="1">SUMPRODUCT($M21:$AH21,INDIRECT("'LED,CFL,Inc Lamp - WO017'!$B"&amp;TEXT(MATCH($C21,'LED,CFL,Inc Lamp - WO017'!$A$2:$A$13,0)+1,0)&amp;":$W"&amp;TEXT(MATCH($C21,'LED,CFL,Inc Lamp - WO017'!$A$2:$A$13,0)+1,0)))</f>
        <v>10.764215813731285</v>
      </c>
      <c r="J21" s="177">
        <f>INDEX('LED,CFL,Inc Lamp - WO017'!$X$2:$X$13,MATCH('LED,CFL,Inc Lamp - Calculator'!$C21,'LED,CFL,Inc Lamp - WO017'!$A$2:$A$13,0))</f>
        <v>7.9629999999999992E-2</v>
      </c>
      <c r="K21" s="176">
        <f>INDEX('LED,CFL,Inc Lamp - WO017'!$AA$2:$AA$13,MATCH('LED,CFL,Inc Lamp - Calculator'!$C21,'LED,CFL,Inc Lamp - WO017'!$A$2:$A$13,0))</f>
        <v>72.260416710552065</v>
      </c>
      <c r="L21" s="176">
        <f t="shared" si="0"/>
        <v>5.7540969826612605</v>
      </c>
      <c r="M21" s="186">
        <v>1</v>
      </c>
      <c r="N21" s="186">
        <v>1</v>
      </c>
      <c r="O21" s="186">
        <v>1</v>
      </c>
      <c r="P21" s="186">
        <v>1</v>
      </c>
      <c r="Q21" s="186">
        <v>1</v>
      </c>
      <c r="R21" s="186">
        <v>1</v>
      </c>
      <c r="S21" s="187">
        <f t="shared" si="1"/>
        <v>1</v>
      </c>
      <c r="T21" s="187">
        <f t="shared" si="2"/>
        <v>0</v>
      </c>
      <c r="U21" s="186">
        <v>1</v>
      </c>
      <c r="V21" s="188">
        <f t="shared" si="3"/>
        <v>10</v>
      </c>
      <c r="W21" s="187">
        <f t="shared" si="4"/>
        <v>0</v>
      </c>
      <c r="X21" s="187">
        <f t="shared" si="5"/>
        <v>0</v>
      </c>
      <c r="Y21" s="187">
        <f t="shared" si="6"/>
        <v>26</v>
      </c>
      <c r="Z21" s="187">
        <f t="shared" si="7"/>
        <v>1</v>
      </c>
      <c r="AA21" s="187">
        <f t="shared" si="8"/>
        <v>0</v>
      </c>
      <c r="AB21" s="186">
        <v>1</v>
      </c>
      <c r="AC21" s="186">
        <v>0</v>
      </c>
      <c r="AD21" s="186">
        <v>0</v>
      </c>
      <c r="AE21" s="187">
        <f t="shared" si="9"/>
        <v>1</v>
      </c>
      <c r="AF21" s="186">
        <v>0</v>
      </c>
      <c r="AG21" s="186">
        <v>1</v>
      </c>
      <c r="AH21" s="186">
        <v>1</v>
      </c>
    </row>
    <row r="22" spans="1:34" s="60" customFormat="1" x14ac:dyDescent="0.3">
      <c r="A22" s="61" t="s">
        <v>89</v>
      </c>
      <c r="B22" s="5" t="s">
        <v>62</v>
      </c>
      <c r="C22" s="175" t="s">
        <v>29</v>
      </c>
      <c r="D22" s="6">
        <v>26</v>
      </c>
      <c r="E22" s="175" t="s">
        <v>12</v>
      </c>
      <c r="F22" s="175" t="s">
        <v>12</v>
      </c>
      <c r="G22" s="175" t="s">
        <v>11</v>
      </c>
      <c r="H22" s="175">
        <v>10000</v>
      </c>
      <c r="I22" s="176">
        <f ca="1">SUMPRODUCT($M22:$AH22,INDIRECT("'LED,CFL,Inc Lamp - WO017'!$B"&amp;TEXT(MATCH($C22,'LED,CFL,Inc Lamp - WO017'!$A$2:$A$13,0)+1,0)&amp;":$W"&amp;TEXT(MATCH($C22,'LED,CFL,Inc Lamp - WO017'!$A$2:$A$13,0)+1,0)))</f>
        <v>9.8186158137312862</v>
      </c>
      <c r="J22" s="177">
        <f>INDEX('LED,CFL,Inc Lamp - WO017'!$X$2:$X$13,MATCH('LED,CFL,Inc Lamp - Calculator'!$C22,'LED,CFL,Inc Lamp - WO017'!$A$2:$A$13,0))</f>
        <v>7.9629999999999992E-2</v>
      </c>
      <c r="K22" s="176">
        <f>INDEX('LED,CFL,Inc Lamp - WO017'!$AA$2:$AA$13,MATCH('LED,CFL,Inc Lamp - Calculator'!$C22,'LED,CFL,Inc Lamp - WO017'!$A$2:$A$13,0))</f>
        <v>72.260416710552065</v>
      </c>
      <c r="L22" s="176">
        <f t="shared" si="0"/>
        <v>5.7540969826612605</v>
      </c>
      <c r="M22" s="186">
        <v>1</v>
      </c>
      <c r="N22" s="186">
        <v>1</v>
      </c>
      <c r="O22" s="186">
        <v>1</v>
      </c>
      <c r="P22" s="186">
        <v>1</v>
      </c>
      <c r="Q22" s="186">
        <v>1</v>
      </c>
      <c r="R22" s="186">
        <v>1</v>
      </c>
      <c r="S22" s="187">
        <f t="shared" si="1"/>
        <v>0</v>
      </c>
      <c r="T22" s="187">
        <f t="shared" si="2"/>
        <v>1</v>
      </c>
      <c r="U22" s="186">
        <v>1</v>
      </c>
      <c r="V22" s="188">
        <f t="shared" si="3"/>
        <v>10</v>
      </c>
      <c r="W22" s="187">
        <f t="shared" si="4"/>
        <v>0</v>
      </c>
      <c r="X22" s="187">
        <f t="shared" si="5"/>
        <v>0</v>
      </c>
      <c r="Y22" s="187">
        <f t="shared" si="6"/>
        <v>26</v>
      </c>
      <c r="Z22" s="187">
        <f t="shared" si="7"/>
        <v>1</v>
      </c>
      <c r="AA22" s="187">
        <f t="shared" si="8"/>
        <v>0</v>
      </c>
      <c r="AB22" s="186">
        <v>1</v>
      </c>
      <c r="AC22" s="186">
        <v>0</v>
      </c>
      <c r="AD22" s="186">
        <v>0</v>
      </c>
      <c r="AE22" s="187">
        <f t="shared" si="9"/>
        <v>1</v>
      </c>
      <c r="AF22" s="186">
        <v>0</v>
      </c>
      <c r="AG22" s="186">
        <v>1</v>
      </c>
      <c r="AH22" s="186">
        <v>1</v>
      </c>
    </row>
    <row r="23" spans="1:34" s="60" customFormat="1" x14ac:dyDescent="0.3">
      <c r="A23" s="61" t="s">
        <v>90</v>
      </c>
      <c r="B23" s="5" t="s">
        <v>63</v>
      </c>
      <c r="C23" s="175" t="s">
        <v>40</v>
      </c>
      <c r="D23" s="6">
        <v>26</v>
      </c>
      <c r="E23" s="175" t="s">
        <v>12</v>
      </c>
      <c r="F23" s="175" t="s">
        <v>12</v>
      </c>
      <c r="G23" s="175" t="s">
        <v>11</v>
      </c>
      <c r="H23" s="175">
        <v>10000</v>
      </c>
      <c r="I23" s="176">
        <f ca="1">SUMPRODUCT($M23:$AH23,INDIRECT("'LED,CFL,Inc Lamp - WO017'!$B"&amp;TEXT(MATCH($C23,'LED,CFL,Inc Lamp - WO017'!$A$2:$A$13,0)+1,0)&amp;":$W"&amp;TEXT(MATCH($C23,'LED,CFL,Inc Lamp - WO017'!$A$2:$A$13,0)+1,0)))</f>
        <v>13.501571548704515</v>
      </c>
      <c r="J23" s="177">
        <f>INDEX('LED,CFL,Inc Lamp - WO017'!$X$2:$X$13,MATCH('LED,CFL,Inc Lamp - Calculator'!$C23,'LED,CFL,Inc Lamp - WO017'!$A$2:$A$13,0))</f>
        <v>6.2E-2</v>
      </c>
      <c r="K23" s="176">
        <f>INDEX('LED,CFL,Inc Lamp - WO017'!$AA$2:$AA$13,MATCH('LED,CFL,Inc Lamp - Calculator'!$C23,'LED,CFL,Inc Lamp - WO017'!$A$2:$A$13,0))</f>
        <v>72.260416710552065</v>
      </c>
      <c r="L23" s="176">
        <f t="shared" si="0"/>
        <v>4.4801458360542279</v>
      </c>
      <c r="M23" s="186">
        <v>1</v>
      </c>
      <c r="N23" s="186">
        <v>1</v>
      </c>
      <c r="O23" s="186">
        <v>1</v>
      </c>
      <c r="P23" s="186">
        <v>1</v>
      </c>
      <c r="Q23" s="186">
        <v>1</v>
      </c>
      <c r="R23" s="186">
        <v>1</v>
      </c>
      <c r="S23" s="187">
        <f t="shared" si="1"/>
        <v>0</v>
      </c>
      <c r="T23" s="187">
        <f t="shared" si="2"/>
        <v>1</v>
      </c>
      <c r="U23" s="186">
        <v>1</v>
      </c>
      <c r="V23" s="188">
        <f t="shared" si="3"/>
        <v>10</v>
      </c>
      <c r="W23" s="187">
        <f t="shared" si="4"/>
        <v>0</v>
      </c>
      <c r="X23" s="187">
        <f t="shared" si="5"/>
        <v>0</v>
      </c>
      <c r="Y23" s="187">
        <f t="shared" si="6"/>
        <v>26</v>
      </c>
      <c r="Z23" s="187">
        <f t="shared" si="7"/>
        <v>1</v>
      </c>
      <c r="AA23" s="187">
        <f t="shared" si="8"/>
        <v>0</v>
      </c>
      <c r="AB23" s="186">
        <v>1</v>
      </c>
      <c r="AC23" s="186">
        <v>0</v>
      </c>
      <c r="AD23" s="186">
        <v>0</v>
      </c>
      <c r="AE23" s="187">
        <f t="shared" si="9"/>
        <v>1</v>
      </c>
      <c r="AF23" s="186">
        <v>0</v>
      </c>
      <c r="AG23" s="186">
        <v>1</v>
      </c>
      <c r="AH23" s="186">
        <v>1</v>
      </c>
    </row>
    <row r="24" spans="1:34" s="60" customFormat="1" x14ac:dyDescent="0.3">
      <c r="A24" s="61" t="s">
        <v>91</v>
      </c>
      <c r="B24" s="5" t="s">
        <v>64</v>
      </c>
      <c r="C24" s="175" t="s">
        <v>29</v>
      </c>
      <c r="D24" s="6">
        <v>28</v>
      </c>
      <c r="E24" s="175" t="s">
        <v>12</v>
      </c>
      <c r="F24" s="175" t="s">
        <v>11</v>
      </c>
      <c r="G24" s="175" t="s">
        <v>12</v>
      </c>
      <c r="H24" s="175">
        <v>10000</v>
      </c>
      <c r="I24" s="176">
        <f ca="1">SUMPRODUCT($M24:$AH24,INDIRECT("'LED,CFL,Inc Lamp - WO017'!$B"&amp;TEXT(MATCH($C24,'LED,CFL,Inc Lamp - WO017'!$A$2:$A$13,0)+1,0)&amp;":$W"&amp;TEXT(MATCH($C24,'LED,CFL,Inc Lamp - WO017'!$A$2:$A$13,0)+1,0)))</f>
        <v>11.084215813731284</v>
      </c>
      <c r="J24" s="177">
        <f>INDEX('LED,CFL,Inc Lamp - WO017'!$X$2:$X$13,MATCH('LED,CFL,Inc Lamp - Calculator'!$C24,'LED,CFL,Inc Lamp - WO017'!$A$2:$A$13,0))</f>
        <v>7.9629999999999992E-2</v>
      </c>
      <c r="K24" s="176">
        <f>INDEX('LED,CFL,Inc Lamp - WO017'!$AA$2:$AA$13,MATCH('LED,CFL,Inc Lamp - Calculator'!$C24,'LED,CFL,Inc Lamp - WO017'!$A$2:$A$13,0))</f>
        <v>72.260416710552065</v>
      </c>
      <c r="L24" s="176">
        <f t="shared" si="0"/>
        <v>5.7540969826612605</v>
      </c>
      <c r="M24" s="186">
        <v>1</v>
      </c>
      <c r="N24" s="186">
        <v>1</v>
      </c>
      <c r="O24" s="186">
        <v>1</v>
      </c>
      <c r="P24" s="186">
        <v>1</v>
      </c>
      <c r="Q24" s="186">
        <v>1</v>
      </c>
      <c r="R24" s="186">
        <v>1</v>
      </c>
      <c r="S24" s="187">
        <f t="shared" si="1"/>
        <v>1</v>
      </c>
      <c r="T24" s="187">
        <f t="shared" si="2"/>
        <v>0</v>
      </c>
      <c r="U24" s="186">
        <v>1</v>
      </c>
      <c r="V24" s="188">
        <f t="shared" si="3"/>
        <v>10</v>
      </c>
      <c r="W24" s="187">
        <f t="shared" si="4"/>
        <v>0</v>
      </c>
      <c r="X24" s="187">
        <f t="shared" si="5"/>
        <v>0</v>
      </c>
      <c r="Y24" s="187">
        <f t="shared" si="6"/>
        <v>28</v>
      </c>
      <c r="Z24" s="187">
        <f t="shared" si="7"/>
        <v>1</v>
      </c>
      <c r="AA24" s="187">
        <f t="shared" si="8"/>
        <v>0</v>
      </c>
      <c r="AB24" s="186">
        <v>1</v>
      </c>
      <c r="AC24" s="186">
        <v>0</v>
      </c>
      <c r="AD24" s="186">
        <v>0</v>
      </c>
      <c r="AE24" s="187">
        <f t="shared" si="9"/>
        <v>3</v>
      </c>
      <c r="AF24" s="186">
        <v>0</v>
      </c>
      <c r="AG24" s="186">
        <v>1</v>
      </c>
      <c r="AH24" s="186">
        <v>1</v>
      </c>
    </row>
    <row r="25" spans="1:34" s="60" customFormat="1" x14ac:dyDescent="0.3">
      <c r="A25" s="61" t="s">
        <v>92</v>
      </c>
      <c r="B25" s="5" t="s">
        <v>65</v>
      </c>
      <c r="C25" s="175" t="s">
        <v>29</v>
      </c>
      <c r="D25" s="6">
        <v>29</v>
      </c>
      <c r="E25" s="175" t="s">
        <v>12</v>
      </c>
      <c r="F25" s="175" t="s">
        <v>11</v>
      </c>
      <c r="G25" s="175" t="s">
        <v>12</v>
      </c>
      <c r="H25" s="175">
        <v>10000</v>
      </c>
      <c r="I25" s="176">
        <f ca="1">SUMPRODUCT($M25:$AH25,INDIRECT("'LED,CFL,Inc Lamp - WO017'!$B"&amp;TEXT(MATCH($C25,'LED,CFL,Inc Lamp - WO017'!$A$2:$A$13,0)+1,0)&amp;":$W"&amp;TEXT(MATCH($C25,'LED,CFL,Inc Lamp - WO017'!$A$2:$A$13,0)+1,0)))</f>
        <v>11.244215813731286</v>
      </c>
      <c r="J25" s="177">
        <f>INDEX('LED,CFL,Inc Lamp - WO017'!$X$2:$X$13,MATCH('LED,CFL,Inc Lamp - Calculator'!$C25,'LED,CFL,Inc Lamp - WO017'!$A$2:$A$13,0))</f>
        <v>7.9629999999999992E-2</v>
      </c>
      <c r="K25" s="176">
        <f>INDEX('LED,CFL,Inc Lamp - WO017'!$AA$2:$AA$13,MATCH('LED,CFL,Inc Lamp - Calculator'!$C25,'LED,CFL,Inc Lamp - WO017'!$A$2:$A$13,0))</f>
        <v>72.260416710552065</v>
      </c>
      <c r="L25" s="176">
        <f t="shared" si="0"/>
        <v>5.7540969826612605</v>
      </c>
      <c r="M25" s="186">
        <v>1</v>
      </c>
      <c r="N25" s="186">
        <v>1</v>
      </c>
      <c r="O25" s="186">
        <v>1</v>
      </c>
      <c r="P25" s="186">
        <v>1</v>
      </c>
      <c r="Q25" s="186">
        <v>1</v>
      </c>
      <c r="R25" s="186">
        <v>1</v>
      </c>
      <c r="S25" s="187">
        <f t="shared" si="1"/>
        <v>1</v>
      </c>
      <c r="T25" s="187">
        <f t="shared" si="2"/>
        <v>0</v>
      </c>
      <c r="U25" s="186">
        <v>1</v>
      </c>
      <c r="V25" s="188">
        <f t="shared" si="3"/>
        <v>10</v>
      </c>
      <c r="W25" s="187">
        <f t="shared" si="4"/>
        <v>0</v>
      </c>
      <c r="X25" s="187">
        <f t="shared" si="5"/>
        <v>0</v>
      </c>
      <c r="Y25" s="187">
        <f t="shared" si="6"/>
        <v>29</v>
      </c>
      <c r="Z25" s="187">
        <f t="shared" si="7"/>
        <v>1</v>
      </c>
      <c r="AA25" s="187">
        <f t="shared" si="8"/>
        <v>0</v>
      </c>
      <c r="AB25" s="186">
        <v>1</v>
      </c>
      <c r="AC25" s="186">
        <v>0</v>
      </c>
      <c r="AD25" s="186">
        <v>0</v>
      </c>
      <c r="AE25" s="187">
        <f t="shared" si="9"/>
        <v>4</v>
      </c>
      <c r="AF25" s="186">
        <v>0</v>
      </c>
      <c r="AG25" s="186">
        <v>1</v>
      </c>
      <c r="AH25" s="186">
        <v>1</v>
      </c>
    </row>
    <row r="26" spans="1:34" s="60" customFormat="1" x14ac:dyDescent="0.3">
      <c r="A26" s="61" t="s">
        <v>93</v>
      </c>
      <c r="B26" s="5" t="s">
        <v>66</v>
      </c>
      <c r="C26" s="175" t="s">
        <v>29</v>
      </c>
      <c r="D26" s="6">
        <v>32</v>
      </c>
      <c r="E26" s="175" t="s">
        <v>12</v>
      </c>
      <c r="F26" s="175" t="s">
        <v>11</v>
      </c>
      <c r="G26" s="175" t="s">
        <v>12</v>
      </c>
      <c r="H26" s="175">
        <v>10000</v>
      </c>
      <c r="I26" s="176">
        <f ca="1">SUMPRODUCT($M26:$AH26,INDIRECT("'LED,CFL,Inc Lamp - WO017'!$B"&amp;TEXT(MATCH($C26,'LED,CFL,Inc Lamp - WO017'!$A$2:$A$13,0)+1,0)&amp;":$W"&amp;TEXT(MATCH($C26,'LED,CFL,Inc Lamp - WO017'!$A$2:$A$13,0)+1,0)))</f>
        <v>11.724215813731286</v>
      </c>
      <c r="J26" s="177">
        <f>INDEX('LED,CFL,Inc Lamp - WO017'!$X$2:$X$13,MATCH('LED,CFL,Inc Lamp - Calculator'!$C26,'LED,CFL,Inc Lamp - WO017'!$A$2:$A$13,0))</f>
        <v>7.9629999999999992E-2</v>
      </c>
      <c r="K26" s="176">
        <f>INDEX('LED,CFL,Inc Lamp - WO017'!$AA$2:$AA$13,MATCH('LED,CFL,Inc Lamp - Calculator'!$C26,'LED,CFL,Inc Lamp - WO017'!$A$2:$A$13,0))</f>
        <v>72.260416710552065</v>
      </c>
      <c r="L26" s="176">
        <f t="shared" si="0"/>
        <v>5.7540969826612605</v>
      </c>
      <c r="M26" s="186">
        <v>1</v>
      </c>
      <c r="N26" s="186">
        <v>1</v>
      </c>
      <c r="O26" s="186">
        <v>1</v>
      </c>
      <c r="P26" s="186">
        <v>1</v>
      </c>
      <c r="Q26" s="186">
        <v>1</v>
      </c>
      <c r="R26" s="186">
        <v>1</v>
      </c>
      <c r="S26" s="187">
        <f t="shared" si="1"/>
        <v>1</v>
      </c>
      <c r="T26" s="187">
        <f t="shared" si="2"/>
        <v>0</v>
      </c>
      <c r="U26" s="186">
        <v>1</v>
      </c>
      <c r="V26" s="188">
        <f t="shared" si="3"/>
        <v>10</v>
      </c>
      <c r="W26" s="187">
        <f t="shared" si="4"/>
        <v>2</v>
      </c>
      <c r="X26" s="187">
        <f t="shared" si="5"/>
        <v>0</v>
      </c>
      <c r="Y26" s="187">
        <f t="shared" si="6"/>
        <v>32</v>
      </c>
      <c r="Z26" s="187">
        <f t="shared" si="7"/>
        <v>1</v>
      </c>
      <c r="AA26" s="187">
        <f t="shared" si="8"/>
        <v>0</v>
      </c>
      <c r="AB26" s="186">
        <v>1</v>
      </c>
      <c r="AC26" s="186">
        <v>0</v>
      </c>
      <c r="AD26" s="186">
        <v>0</v>
      </c>
      <c r="AE26" s="187">
        <f t="shared" si="9"/>
        <v>7</v>
      </c>
      <c r="AF26" s="186">
        <v>0</v>
      </c>
      <c r="AG26" s="186">
        <v>1</v>
      </c>
      <c r="AH26" s="186">
        <v>1</v>
      </c>
    </row>
    <row r="27" spans="1:34" s="60" customFormat="1" x14ac:dyDescent="0.3">
      <c r="A27" s="61" t="s">
        <v>94</v>
      </c>
      <c r="B27" s="5" t="s">
        <v>67</v>
      </c>
      <c r="C27" s="175" t="s">
        <v>29</v>
      </c>
      <c r="D27" s="6">
        <v>33</v>
      </c>
      <c r="E27" s="175" t="s">
        <v>12</v>
      </c>
      <c r="F27" s="175" t="s">
        <v>11</v>
      </c>
      <c r="G27" s="175" t="s">
        <v>12</v>
      </c>
      <c r="H27" s="175">
        <v>10000</v>
      </c>
      <c r="I27" s="176">
        <f ca="1">SUMPRODUCT($M27:$AH27,INDIRECT("'LED,CFL,Inc Lamp - WO017'!$B"&amp;TEXT(MATCH($C27,'LED,CFL,Inc Lamp - WO017'!$A$2:$A$13,0)+1,0)&amp;":$W"&amp;TEXT(MATCH($C27,'LED,CFL,Inc Lamp - WO017'!$A$2:$A$13,0)+1,0)))</f>
        <v>11.884215813731283</v>
      </c>
      <c r="J27" s="177">
        <f>INDEX('LED,CFL,Inc Lamp - WO017'!$X$2:$X$13,MATCH('LED,CFL,Inc Lamp - Calculator'!$C27,'LED,CFL,Inc Lamp - WO017'!$A$2:$A$13,0))</f>
        <v>7.9629999999999992E-2</v>
      </c>
      <c r="K27" s="176">
        <f>INDEX('LED,CFL,Inc Lamp - WO017'!$AA$2:$AA$13,MATCH('LED,CFL,Inc Lamp - Calculator'!$C27,'LED,CFL,Inc Lamp - WO017'!$A$2:$A$13,0))</f>
        <v>72.260416710552065</v>
      </c>
      <c r="L27" s="176">
        <f t="shared" si="0"/>
        <v>5.7540969826612605</v>
      </c>
      <c r="M27" s="186">
        <v>1</v>
      </c>
      <c r="N27" s="186">
        <v>1</v>
      </c>
      <c r="O27" s="186">
        <v>1</v>
      </c>
      <c r="P27" s="186">
        <v>1</v>
      </c>
      <c r="Q27" s="186">
        <v>1</v>
      </c>
      <c r="R27" s="186">
        <v>1</v>
      </c>
      <c r="S27" s="187">
        <f t="shared" si="1"/>
        <v>1</v>
      </c>
      <c r="T27" s="187">
        <f t="shared" si="2"/>
        <v>0</v>
      </c>
      <c r="U27" s="186">
        <v>1</v>
      </c>
      <c r="V27" s="188">
        <f t="shared" si="3"/>
        <v>10</v>
      </c>
      <c r="W27" s="187">
        <f t="shared" si="4"/>
        <v>3</v>
      </c>
      <c r="X27" s="187">
        <f t="shared" si="5"/>
        <v>0</v>
      </c>
      <c r="Y27" s="187">
        <f t="shared" si="6"/>
        <v>33</v>
      </c>
      <c r="Z27" s="187">
        <f t="shared" si="7"/>
        <v>1</v>
      </c>
      <c r="AA27" s="187">
        <f t="shared" si="8"/>
        <v>0</v>
      </c>
      <c r="AB27" s="186">
        <v>1</v>
      </c>
      <c r="AC27" s="186">
        <v>0</v>
      </c>
      <c r="AD27" s="186">
        <v>0</v>
      </c>
      <c r="AE27" s="187">
        <f t="shared" si="9"/>
        <v>8</v>
      </c>
      <c r="AF27" s="186">
        <v>0</v>
      </c>
      <c r="AG27" s="186">
        <v>1</v>
      </c>
      <c r="AH27" s="186">
        <v>1</v>
      </c>
    </row>
    <row r="28" spans="1:34" s="60" customFormat="1" x14ac:dyDescent="0.3">
      <c r="A28" s="61" t="s">
        <v>95</v>
      </c>
      <c r="B28" s="5" t="s">
        <v>68</v>
      </c>
      <c r="C28" s="175" t="s">
        <v>29</v>
      </c>
      <c r="D28" s="6">
        <v>40</v>
      </c>
      <c r="E28" s="175" t="s">
        <v>12</v>
      </c>
      <c r="F28" s="175" t="s">
        <v>11</v>
      </c>
      <c r="G28" s="175" t="s">
        <v>12</v>
      </c>
      <c r="H28" s="175">
        <v>10000</v>
      </c>
      <c r="I28" s="176">
        <f ca="1">SUMPRODUCT($M28:$AH28,INDIRECT("'LED,CFL,Inc Lamp - WO017'!$B"&amp;TEXT(MATCH($C28,'LED,CFL,Inc Lamp - WO017'!$A$2:$A$13,0)+1,0)&amp;":$W"&amp;TEXT(MATCH($C28,'LED,CFL,Inc Lamp - WO017'!$A$2:$A$13,0)+1,0)))</f>
        <v>13.004215813731285</v>
      </c>
      <c r="J28" s="177">
        <f>INDEX('LED,CFL,Inc Lamp - WO017'!$X$2:$X$13,MATCH('LED,CFL,Inc Lamp - Calculator'!$C28,'LED,CFL,Inc Lamp - WO017'!$A$2:$A$13,0))</f>
        <v>7.9629999999999992E-2</v>
      </c>
      <c r="K28" s="176">
        <f>INDEX('LED,CFL,Inc Lamp - WO017'!$AA$2:$AA$13,MATCH('LED,CFL,Inc Lamp - Calculator'!$C28,'LED,CFL,Inc Lamp - WO017'!$A$2:$A$13,0))</f>
        <v>72.260416710552065</v>
      </c>
      <c r="L28" s="176">
        <f t="shared" si="0"/>
        <v>5.7540969826612605</v>
      </c>
      <c r="M28" s="186">
        <v>1</v>
      </c>
      <c r="N28" s="186">
        <v>1</v>
      </c>
      <c r="O28" s="186">
        <v>1</v>
      </c>
      <c r="P28" s="186">
        <v>1</v>
      </c>
      <c r="Q28" s="186">
        <v>1</v>
      </c>
      <c r="R28" s="186">
        <v>1</v>
      </c>
      <c r="S28" s="187">
        <f t="shared" si="1"/>
        <v>1</v>
      </c>
      <c r="T28" s="187">
        <f t="shared" si="2"/>
        <v>0</v>
      </c>
      <c r="U28" s="186">
        <v>1</v>
      </c>
      <c r="V28" s="188">
        <f t="shared" si="3"/>
        <v>10</v>
      </c>
      <c r="W28" s="187">
        <f t="shared" si="4"/>
        <v>10</v>
      </c>
      <c r="X28" s="187">
        <f t="shared" si="5"/>
        <v>0</v>
      </c>
      <c r="Y28" s="187">
        <f t="shared" si="6"/>
        <v>40</v>
      </c>
      <c r="Z28" s="187">
        <f t="shared" si="7"/>
        <v>0</v>
      </c>
      <c r="AA28" s="187">
        <f t="shared" si="8"/>
        <v>0</v>
      </c>
      <c r="AB28" s="186">
        <v>1</v>
      </c>
      <c r="AC28" s="186">
        <v>0</v>
      </c>
      <c r="AD28" s="186">
        <v>0</v>
      </c>
      <c r="AE28" s="187">
        <f t="shared" si="9"/>
        <v>15</v>
      </c>
      <c r="AF28" s="186">
        <v>0</v>
      </c>
      <c r="AG28" s="186">
        <v>1</v>
      </c>
      <c r="AH28" s="186">
        <v>1</v>
      </c>
    </row>
    <row r="29" spans="1:34" x14ac:dyDescent="0.3">
      <c r="A29" s="59" t="s">
        <v>70</v>
      </c>
      <c r="B29" s="5" t="s">
        <v>43</v>
      </c>
      <c r="C29" s="175" t="s">
        <v>0</v>
      </c>
      <c r="D29" s="6">
        <v>60</v>
      </c>
      <c r="E29" s="175" t="s">
        <v>11</v>
      </c>
      <c r="F29" s="175" t="s">
        <v>12</v>
      </c>
      <c r="G29" s="175" t="s">
        <v>11</v>
      </c>
      <c r="H29" s="175">
        <v>2000</v>
      </c>
      <c r="I29" s="176">
        <f ca="1">SUMPRODUCT($M29:$AH29,INDIRECT("'LED,CFL,Inc Lamp - WO017'!$B"&amp;TEXT(MATCH($C29,'LED,CFL,Inc Lamp - WO017'!$A$2:$A$13,0)+1,0)&amp;":$W"&amp;TEXT(MATCH($C29,'LED,CFL,Inc Lamp - WO017'!$A$2:$A$13,0)+1,0)))</f>
        <v>1.5116765288286025</v>
      </c>
      <c r="J29" s="177">
        <f>INDEX('LED,CFL,Inc Lamp - WO017'!$X$2:$X$13,MATCH('LED,CFL,Inc Lamp - Calculator'!$C29,'LED,CFL,Inc Lamp - WO017'!$A$2:$A$13,0))</f>
        <v>7.9629999999999992E-2</v>
      </c>
      <c r="K29" s="176">
        <f>INDEX('LED,CFL,Inc Lamp - WO017'!$AA$2:$AA$13,MATCH('LED,CFL,Inc Lamp - Calculator'!$C29,'LED,CFL,Inc Lamp - WO017'!$A$2:$A$13,0))</f>
        <v>72.260416710552065</v>
      </c>
      <c r="L29" s="176">
        <f t="shared" si="0"/>
        <v>5.7540969826612605</v>
      </c>
      <c r="M29" s="186">
        <v>1</v>
      </c>
      <c r="N29" s="186">
        <v>1</v>
      </c>
      <c r="O29" s="186">
        <v>1</v>
      </c>
      <c r="P29" s="186">
        <v>1</v>
      </c>
      <c r="Q29" s="186">
        <v>1</v>
      </c>
      <c r="R29" s="186">
        <v>1</v>
      </c>
      <c r="S29" s="187">
        <f>IF($F29="Yes",1,0)</f>
        <v>0</v>
      </c>
      <c r="T29" s="187">
        <f>IF($G29="Yes",1,0)</f>
        <v>1</v>
      </c>
      <c r="U29" s="186">
        <v>1</v>
      </c>
      <c r="V29" s="188">
        <f>H29/1000</f>
        <v>2</v>
      </c>
      <c r="W29" s="187">
        <f>MAX($D29-30,0)</f>
        <v>30</v>
      </c>
      <c r="X29" s="187">
        <f>MAX($D29-75,0)</f>
        <v>0</v>
      </c>
      <c r="Y29" s="187">
        <f>$D29</f>
        <v>60</v>
      </c>
      <c r="Z29" s="187">
        <f>IF($D29&lt;35,1,0)</f>
        <v>0</v>
      </c>
      <c r="AA29" s="187">
        <f>IF($E29="Yes",1,0)</f>
        <v>1</v>
      </c>
      <c r="AB29" s="186">
        <v>1</v>
      </c>
      <c r="AC29" s="186">
        <v>0</v>
      </c>
      <c r="AD29" s="186">
        <v>0</v>
      </c>
      <c r="AE29" s="187">
        <f>MAX($D29-25,0)</f>
        <v>35</v>
      </c>
      <c r="AF29" s="186">
        <v>0</v>
      </c>
      <c r="AG29" s="186">
        <v>1</v>
      </c>
      <c r="AH29" s="186">
        <v>1</v>
      </c>
    </row>
    <row r="30" spans="1:34" x14ac:dyDescent="0.3">
      <c r="A30" s="61" t="s">
        <v>71</v>
      </c>
      <c r="B30" s="5" t="s">
        <v>44</v>
      </c>
      <c r="C30" s="175" t="s">
        <v>0</v>
      </c>
      <c r="D30" s="6">
        <v>60</v>
      </c>
      <c r="E30" s="175" t="s">
        <v>11</v>
      </c>
      <c r="F30" s="175" t="s">
        <v>12</v>
      </c>
      <c r="G30" s="175" t="s">
        <v>11</v>
      </c>
      <c r="H30" s="175">
        <v>2000</v>
      </c>
      <c r="I30" s="176">
        <f ca="1">SUMPRODUCT($M30:$AH30,INDIRECT("'LED,CFL,Inc Lamp - WO017'!$B"&amp;TEXT(MATCH($C30,'LED,CFL,Inc Lamp - WO017'!$A$2:$A$13,0)+1,0)&amp;":$W"&amp;TEXT(MATCH($C30,'LED,CFL,Inc Lamp - WO017'!$A$2:$A$13,0)+1,0)))</f>
        <v>1.5116765288286025</v>
      </c>
      <c r="J30" s="177">
        <f>INDEX('LED,CFL,Inc Lamp - WO017'!$X$2:$X$13,MATCH('LED,CFL,Inc Lamp - Calculator'!$C30,'LED,CFL,Inc Lamp - WO017'!$A$2:$A$13,0))</f>
        <v>7.9629999999999992E-2</v>
      </c>
      <c r="K30" s="176">
        <f>INDEX('LED,CFL,Inc Lamp - WO017'!$AA$2:$AA$13,MATCH('LED,CFL,Inc Lamp - Calculator'!$C30,'LED,CFL,Inc Lamp - WO017'!$A$2:$A$13,0))</f>
        <v>72.260416710552065</v>
      </c>
      <c r="L30" s="176">
        <f t="shared" si="0"/>
        <v>5.7540969826612605</v>
      </c>
      <c r="M30" s="186">
        <v>1</v>
      </c>
      <c r="N30" s="186">
        <v>1</v>
      </c>
      <c r="O30" s="186">
        <v>1</v>
      </c>
      <c r="P30" s="186">
        <v>1</v>
      </c>
      <c r="Q30" s="186">
        <v>1</v>
      </c>
      <c r="R30" s="186">
        <v>1</v>
      </c>
      <c r="S30" s="187">
        <f t="shared" si="1"/>
        <v>0</v>
      </c>
      <c r="T30" s="187">
        <f t="shared" si="2"/>
        <v>1</v>
      </c>
      <c r="U30" s="186">
        <v>1</v>
      </c>
      <c r="V30" s="188">
        <f t="shared" ref="V30:V54" si="10">H30/1000</f>
        <v>2</v>
      </c>
      <c r="W30" s="187">
        <f t="shared" si="4"/>
        <v>30</v>
      </c>
      <c r="X30" s="187">
        <f t="shared" si="5"/>
        <v>0</v>
      </c>
      <c r="Y30" s="187">
        <f t="shared" si="6"/>
        <v>60</v>
      </c>
      <c r="Z30" s="187">
        <f t="shared" si="7"/>
        <v>0</v>
      </c>
      <c r="AA30" s="187">
        <f t="shared" si="8"/>
        <v>1</v>
      </c>
      <c r="AB30" s="186">
        <v>1</v>
      </c>
      <c r="AC30" s="186">
        <v>0</v>
      </c>
      <c r="AD30" s="186">
        <v>0</v>
      </c>
      <c r="AE30" s="187">
        <f t="shared" si="9"/>
        <v>35</v>
      </c>
      <c r="AF30" s="186">
        <v>0</v>
      </c>
      <c r="AG30" s="186">
        <v>1</v>
      </c>
      <c r="AH30" s="186">
        <v>1</v>
      </c>
    </row>
    <row r="31" spans="1:34" x14ac:dyDescent="0.3">
      <c r="A31" s="61" t="s">
        <v>72</v>
      </c>
      <c r="B31" s="5" t="s">
        <v>45</v>
      </c>
      <c r="C31" s="175" t="s">
        <v>0</v>
      </c>
      <c r="D31" s="6">
        <v>60</v>
      </c>
      <c r="E31" s="175" t="s">
        <v>11</v>
      </c>
      <c r="F31" s="175" t="s">
        <v>11</v>
      </c>
      <c r="G31" s="175" t="s">
        <v>12</v>
      </c>
      <c r="H31" s="175">
        <v>2000</v>
      </c>
      <c r="I31" s="176">
        <f ca="1">SUMPRODUCT($M31:$AH31,INDIRECT("'LED,CFL,Inc Lamp - WO017'!$B"&amp;TEXT(MATCH($C31,'LED,CFL,Inc Lamp - WO017'!$A$2:$A$13,0)+1,0)&amp;":$W"&amp;TEXT(MATCH($C31,'LED,CFL,Inc Lamp - WO017'!$A$2:$A$13,0)+1,0)))</f>
        <v>1.9734765288286025</v>
      </c>
      <c r="J31" s="177">
        <f>INDEX('LED,CFL,Inc Lamp - WO017'!$X$2:$X$13,MATCH('LED,CFL,Inc Lamp - Calculator'!$C31,'LED,CFL,Inc Lamp - WO017'!$A$2:$A$13,0))</f>
        <v>7.9629999999999992E-2</v>
      </c>
      <c r="K31" s="176">
        <f>INDEX('LED,CFL,Inc Lamp - WO017'!$AA$2:$AA$13,MATCH('LED,CFL,Inc Lamp - Calculator'!$C31,'LED,CFL,Inc Lamp - WO017'!$A$2:$A$13,0))</f>
        <v>72.260416710552065</v>
      </c>
      <c r="L31" s="176">
        <f t="shared" si="0"/>
        <v>5.7540969826612605</v>
      </c>
      <c r="M31" s="186">
        <v>1</v>
      </c>
      <c r="N31" s="186">
        <v>1</v>
      </c>
      <c r="O31" s="186">
        <v>1</v>
      </c>
      <c r="P31" s="186">
        <v>1</v>
      </c>
      <c r="Q31" s="186">
        <v>1</v>
      </c>
      <c r="R31" s="186">
        <v>1</v>
      </c>
      <c r="S31" s="187">
        <f t="shared" si="1"/>
        <v>1</v>
      </c>
      <c r="T31" s="187">
        <f t="shared" si="2"/>
        <v>0</v>
      </c>
      <c r="U31" s="186">
        <v>1</v>
      </c>
      <c r="V31" s="188">
        <f t="shared" si="10"/>
        <v>2</v>
      </c>
      <c r="W31" s="187">
        <f t="shared" si="4"/>
        <v>30</v>
      </c>
      <c r="X31" s="187">
        <f t="shared" si="5"/>
        <v>0</v>
      </c>
      <c r="Y31" s="187">
        <f t="shared" si="6"/>
        <v>60</v>
      </c>
      <c r="Z31" s="187">
        <f t="shared" si="7"/>
        <v>0</v>
      </c>
      <c r="AA31" s="187">
        <f t="shared" si="8"/>
        <v>1</v>
      </c>
      <c r="AB31" s="186">
        <v>1</v>
      </c>
      <c r="AC31" s="186">
        <v>0</v>
      </c>
      <c r="AD31" s="186">
        <v>0</v>
      </c>
      <c r="AE31" s="187">
        <f t="shared" si="9"/>
        <v>35</v>
      </c>
      <c r="AF31" s="186">
        <v>0</v>
      </c>
      <c r="AG31" s="186">
        <v>1</v>
      </c>
      <c r="AH31" s="186">
        <v>1</v>
      </c>
    </row>
    <row r="32" spans="1:34" x14ac:dyDescent="0.3">
      <c r="A32" s="61" t="s">
        <v>73</v>
      </c>
      <c r="B32" s="5" t="s">
        <v>46</v>
      </c>
      <c r="C32" s="175" t="s">
        <v>0</v>
      </c>
      <c r="D32" s="6">
        <v>60</v>
      </c>
      <c r="E32" s="175" t="s">
        <v>11</v>
      </c>
      <c r="F32" s="175" t="s">
        <v>12</v>
      </c>
      <c r="G32" s="175" t="s">
        <v>11</v>
      </c>
      <c r="H32" s="175">
        <v>2000</v>
      </c>
      <c r="I32" s="176">
        <f ca="1">SUMPRODUCT($M32:$AH32,INDIRECT("'LED,CFL,Inc Lamp - WO017'!$B"&amp;TEXT(MATCH($C32,'LED,CFL,Inc Lamp - WO017'!$A$2:$A$13,0)+1,0)&amp;":$W"&amp;TEXT(MATCH($C32,'LED,CFL,Inc Lamp - WO017'!$A$2:$A$13,0)+1,0)))</f>
        <v>1.5116765288286025</v>
      </c>
      <c r="J32" s="177">
        <f>INDEX('LED,CFL,Inc Lamp - WO017'!$X$2:$X$13,MATCH('LED,CFL,Inc Lamp - Calculator'!$C32,'LED,CFL,Inc Lamp - WO017'!$A$2:$A$13,0))</f>
        <v>7.9629999999999992E-2</v>
      </c>
      <c r="K32" s="176">
        <f>INDEX('LED,CFL,Inc Lamp - WO017'!$AA$2:$AA$13,MATCH('LED,CFL,Inc Lamp - Calculator'!$C32,'LED,CFL,Inc Lamp - WO017'!$A$2:$A$13,0))</f>
        <v>72.260416710552065</v>
      </c>
      <c r="L32" s="176">
        <f t="shared" si="0"/>
        <v>5.7540969826612605</v>
      </c>
      <c r="M32" s="186">
        <v>1</v>
      </c>
      <c r="N32" s="186">
        <v>1</v>
      </c>
      <c r="O32" s="186">
        <v>1</v>
      </c>
      <c r="P32" s="186">
        <v>1</v>
      </c>
      <c r="Q32" s="186">
        <v>1</v>
      </c>
      <c r="R32" s="186">
        <v>1</v>
      </c>
      <c r="S32" s="187">
        <f t="shared" si="1"/>
        <v>0</v>
      </c>
      <c r="T32" s="187">
        <f t="shared" si="2"/>
        <v>1</v>
      </c>
      <c r="U32" s="186">
        <v>1</v>
      </c>
      <c r="V32" s="188">
        <f t="shared" si="10"/>
        <v>2</v>
      </c>
      <c r="W32" s="187">
        <f t="shared" si="4"/>
        <v>30</v>
      </c>
      <c r="X32" s="187">
        <f t="shared" si="5"/>
        <v>0</v>
      </c>
      <c r="Y32" s="187">
        <f t="shared" si="6"/>
        <v>60</v>
      </c>
      <c r="Z32" s="187">
        <f t="shared" si="7"/>
        <v>0</v>
      </c>
      <c r="AA32" s="187">
        <f t="shared" si="8"/>
        <v>1</v>
      </c>
      <c r="AB32" s="186">
        <v>1</v>
      </c>
      <c r="AC32" s="186">
        <v>0</v>
      </c>
      <c r="AD32" s="186">
        <v>0</v>
      </c>
      <c r="AE32" s="187">
        <f t="shared" si="9"/>
        <v>35</v>
      </c>
      <c r="AF32" s="186">
        <v>0</v>
      </c>
      <c r="AG32" s="186">
        <v>1</v>
      </c>
      <c r="AH32" s="186">
        <v>1</v>
      </c>
    </row>
    <row r="33" spans="1:34" x14ac:dyDescent="0.3">
      <c r="A33" s="61" t="s">
        <v>74</v>
      </c>
      <c r="B33" s="5" t="s">
        <v>47</v>
      </c>
      <c r="C33" s="175" t="s">
        <v>0</v>
      </c>
      <c r="D33" s="6">
        <v>60</v>
      </c>
      <c r="E33" s="175" t="s">
        <v>11</v>
      </c>
      <c r="F33" s="175" t="s">
        <v>11</v>
      </c>
      <c r="G33" s="175" t="s">
        <v>12</v>
      </c>
      <c r="H33" s="175">
        <v>2000</v>
      </c>
      <c r="I33" s="176">
        <f ca="1">SUMPRODUCT($M33:$AH33,INDIRECT("'LED,CFL,Inc Lamp - WO017'!$B"&amp;TEXT(MATCH($C33,'LED,CFL,Inc Lamp - WO017'!$A$2:$A$13,0)+1,0)&amp;":$W"&amp;TEXT(MATCH($C33,'LED,CFL,Inc Lamp - WO017'!$A$2:$A$13,0)+1,0)))</f>
        <v>1.9734765288286025</v>
      </c>
      <c r="J33" s="177">
        <f>INDEX('LED,CFL,Inc Lamp - WO017'!$X$2:$X$13,MATCH('LED,CFL,Inc Lamp - Calculator'!$C33,'LED,CFL,Inc Lamp - WO017'!$A$2:$A$13,0))</f>
        <v>7.9629999999999992E-2</v>
      </c>
      <c r="K33" s="176">
        <f>INDEX('LED,CFL,Inc Lamp - WO017'!$AA$2:$AA$13,MATCH('LED,CFL,Inc Lamp - Calculator'!$C33,'LED,CFL,Inc Lamp - WO017'!$A$2:$A$13,0))</f>
        <v>72.260416710552065</v>
      </c>
      <c r="L33" s="176">
        <f t="shared" si="0"/>
        <v>5.7540969826612605</v>
      </c>
      <c r="M33" s="186">
        <v>1</v>
      </c>
      <c r="N33" s="186">
        <v>1</v>
      </c>
      <c r="O33" s="186">
        <v>1</v>
      </c>
      <c r="P33" s="186">
        <v>1</v>
      </c>
      <c r="Q33" s="186">
        <v>1</v>
      </c>
      <c r="R33" s="186">
        <v>1</v>
      </c>
      <c r="S33" s="187">
        <f t="shared" si="1"/>
        <v>1</v>
      </c>
      <c r="T33" s="187">
        <f t="shared" si="2"/>
        <v>0</v>
      </c>
      <c r="U33" s="186">
        <v>1</v>
      </c>
      <c r="V33" s="188">
        <f t="shared" si="10"/>
        <v>2</v>
      </c>
      <c r="W33" s="187">
        <f t="shared" si="4"/>
        <v>30</v>
      </c>
      <c r="X33" s="187">
        <f t="shared" si="5"/>
        <v>0</v>
      </c>
      <c r="Y33" s="187">
        <f t="shared" si="6"/>
        <v>60</v>
      </c>
      <c r="Z33" s="187">
        <f t="shared" si="7"/>
        <v>0</v>
      </c>
      <c r="AA33" s="187">
        <f t="shared" si="8"/>
        <v>1</v>
      </c>
      <c r="AB33" s="186">
        <v>1</v>
      </c>
      <c r="AC33" s="186">
        <v>0</v>
      </c>
      <c r="AD33" s="186">
        <v>0</v>
      </c>
      <c r="AE33" s="187">
        <f t="shared" si="9"/>
        <v>35</v>
      </c>
      <c r="AF33" s="186">
        <v>0</v>
      </c>
      <c r="AG33" s="186">
        <v>1</v>
      </c>
      <c r="AH33" s="186">
        <v>1</v>
      </c>
    </row>
    <row r="34" spans="1:34" x14ac:dyDescent="0.3">
      <c r="A34" s="61" t="s">
        <v>75</v>
      </c>
      <c r="B34" s="5" t="s">
        <v>48</v>
      </c>
      <c r="C34" s="175" t="s">
        <v>0</v>
      </c>
      <c r="D34" s="6">
        <v>60</v>
      </c>
      <c r="E34" s="175" t="s">
        <v>11</v>
      </c>
      <c r="F34" s="175" t="s">
        <v>12</v>
      </c>
      <c r="G34" s="175" t="s">
        <v>11</v>
      </c>
      <c r="H34" s="175">
        <v>2000</v>
      </c>
      <c r="I34" s="176">
        <f ca="1">SUMPRODUCT($M34:$AH34,INDIRECT("'LED,CFL,Inc Lamp - WO017'!$B"&amp;TEXT(MATCH($C34,'LED,CFL,Inc Lamp - WO017'!$A$2:$A$13,0)+1,0)&amp;":$W"&amp;TEXT(MATCH($C34,'LED,CFL,Inc Lamp - WO017'!$A$2:$A$13,0)+1,0)))</f>
        <v>1.5116765288286025</v>
      </c>
      <c r="J34" s="177">
        <f>INDEX('LED,CFL,Inc Lamp - WO017'!$X$2:$X$13,MATCH('LED,CFL,Inc Lamp - Calculator'!$C34,'LED,CFL,Inc Lamp - WO017'!$A$2:$A$13,0))</f>
        <v>7.9629999999999992E-2</v>
      </c>
      <c r="K34" s="176">
        <f>INDEX('LED,CFL,Inc Lamp - WO017'!$AA$2:$AA$13,MATCH('LED,CFL,Inc Lamp - Calculator'!$C34,'LED,CFL,Inc Lamp - WO017'!$A$2:$A$13,0))</f>
        <v>72.260416710552065</v>
      </c>
      <c r="L34" s="176">
        <f t="shared" si="0"/>
        <v>5.7540969826612605</v>
      </c>
      <c r="M34" s="186">
        <v>1</v>
      </c>
      <c r="N34" s="186">
        <v>1</v>
      </c>
      <c r="O34" s="186">
        <v>1</v>
      </c>
      <c r="P34" s="186">
        <v>1</v>
      </c>
      <c r="Q34" s="186">
        <v>1</v>
      </c>
      <c r="R34" s="186">
        <v>1</v>
      </c>
      <c r="S34" s="187">
        <f t="shared" si="1"/>
        <v>0</v>
      </c>
      <c r="T34" s="187">
        <f t="shared" si="2"/>
        <v>1</v>
      </c>
      <c r="U34" s="186">
        <v>1</v>
      </c>
      <c r="V34" s="188">
        <f t="shared" si="10"/>
        <v>2</v>
      </c>
      <c r="W34" s="187">
        <f t="shared" si="4"/>
        <v>30</v>
      </c>
      <c r="X34" s="187">
        <f t="shared" si="5"/>
        <v>0</v>
      </c>
      <c r="Y34" s="187">
        <f t="shared" si="6"/>
        <v>60</v>
      </c>
      <c r="Z34" s="187">
        <f t="shared" si="7"/>
        <v>0</v>
      </c>
      <c r="AA34" s="187">
        <f t="shared" si="8"/>
        <v>1</v>
      </c>
      <c r="AB34" s="186">
        <v>1</v>
      </c>
      <c r="AC34" s="186">
        <v>0</v>
      </c>
      <c r="AD34" s="186">
        <v>0</v>
      </c>
      <c r="AE34" s="187">
        <f t="shared" si="9"/>
        <v>35</v>
      </c>
      <c r="AF34" s="186">
        <v>0</v>
      </c>
      <c r="AG34" s="186">
        <v>1</v>
      </c>
      <c r="AH34" s="186">
        <v>1</v>
      </c>
    </row>
    <row r="35" spans="1:34" x14ac:dyDescent="0.3">
      <c r="A35" s="61" t="s">
        <v>76</v>
      </c>
      <c r="B35" s="5" t="s">
        <v>49</v>
      </c>
      <c r="C35" s="175" t="s">
        <v>25</v>
      </c>
      <c r="D35" s="6">
        <v>60</v>
      </c>
      <c r="E35" s="175" t="s">
        <v>11</v>
      </c>
      <c r="F35" s="175" t="s">
        <v>12</v>
      </c>
      <c r="G35" s="175" t="s">
        <v>11</v>
      </c>
      <c r="H35" s="175">
        <v>2000</v>
      </c>
      <c r="I35" s="176">
        <f ca="1">SUMPRODUCT($M35:$AH35,INDIRECT("'LED,CFL,Inc Lamp - WO017'!$B"&amp;TEXT(MATCH($C35,'LED,CFL,Inc Lamp - WO017'!$A$2:$A$13,0)+1,0)&amp;":$W"&amp;TEXT(MATCH($C35,'LED,CFL,Inc Lamp - WO017'!$A$2:$A$13,0)+1,0)))</f>
        <v>6.1587992647146574</v>
      </c>
      <c r="J35" s="177">
        <f>INDEX('LED,CFL,Inc Lamp - WO017'!$X$2:$X$13,MATCH('LED,CFL,Inc Lamp - Calculator'!$C35,'LED,CFL,Inc Lamp - WO017'!$A$2:$A$13,0))</f>
        <v>6.2E-2</v>
      </c>
      <c r="K35" s="176">
        <f>INDEX('LED,CFL,Inc Lamp - WO017'!$AA$2:$AA$13,MATCH('LED,CFL,Inc Lamp - Calculator'!$C35,'LED,CFL,Inc Lamp - WO017'!$A$2:$A$13,0))</f>
        <v>72.260416710552065</v>
      </c>
      <c r="L35" s="176">
        <f t="shared" si="0"/>
        <v>4.4801458360542279</v>
      </c>
      <c r="M35" s="186">
        <v>1</v>
      </c>
      <c r="N35" s="186">
        <v>1</v>
      </c>
      <c r="O35" s="186">
        <v>1</v>
      </c>
      <c r="P35" s="186">
        <v>1</v>
      </c>
      <c r="Q35" s="186">
        <v>1</v>
      </c>
      <c r="R35" s="186">
        <v>1</v>
      </c>
      <c r="S35" s="187">
        <f t="shared" si="1"/>
        <v>0</v>
      </c>
      <c r="T35" s="187">
        <f t="shared" si="2"/>
        <v>1</v>
      </c>
      <c r="U35" s="186">
        <v>1</v>
      </c>
      <c r="V35" s="188">
        <f t="shared" si="10"/>
        <v>2</v>
      </c>
      <c r="W35" s="187">
        <f t="shared" si="4"/>
        <v>30</v>
      </c>
      <c r="X35" s="187">
        <f t="shared" si="5"/>
        <v>0</v>
      </c>
      <c r="Y35" s="187">
        <f t="shared" si="6"/>
        <v>60</v>
      </c>
      <c r="Z35" s="187">
        <f t="shared" si="7"/>
        <v>0</v>
      </c>
      <c r="AA35" s="187">
        <f t="shared" si="8"/>
        <v>1</v>
      </c>
      <c r="AB35" s="186">
        <v>1</v>
      </c>
      <c r="AC35" s="186">
        <v>0</v>
      </c>
      <c r="AD35" s="186">
        <v>0</v>
      </c>
      <c r="AE35" s="187">
        <f t="shared" si="9"/>
        <v>35</v>
      </c>
      <c r="AF35" s="186">
        <v>0</v>
      </c>
      <c r="AG35" s="186">
        <v>1</v>
      </c>
      <c r="AH35" s="186">
        <v>1</v>
      </c>
    </row>
    <row r="36" spans="1:34" x14ac:dyDescent="0.3">
      <c r="A36" s="61" t="s">
        <v>77</v>
      </c>
      <c r="B36" s="5" t="s">
        <v>50</v>
      </c>
      <c r="C36" s="175" t="s">
        <v>0</v>
      </c>
      <c r="D36" s="6">
        <v>60</v>
      </c>
      <c r="E36" s="175" t="s">
        <v>11</v>
      </c>
      <c r="F36" s="175" t="s">
        <v>12</v>
      </c>
      <c r="G36" s="175" t="s">
        <v>11</v>
      </c>
      <c r="H36" s="175">
        <v>2000</v>
      </c>
      <c r="I36" s="176">
        <f ca="1">SUMPRODUCT($M36:$AH36,INDIRECT("'LED,CFL,Inc Lamp - WO017'!$B"&amp;TEXT(MATCH($C36,'LED,CFL,Inc Lamp - WO017'!$A$2:$A$13,0)+1,0)&amp;":$W"&amp;TEXT(MATCH($C36,'LED,CFL,Inc Lamp - WO017'!$A$2:$A$13,0)+1,0)))</f>
        <v>1.5116765288286025</v>
      </c>
      <c r="J36" s="177">
        <f>INDEX('LED,CFL,Inc Lamp - WO017'!$X$2:$X$13,MATCH('LED,CFL,Inc Lamp - Calculator'!$C36,'LED,CFL,Inc Lamp - WO017'!$A$2:$A$13,0))</f>
        <v>7.9629999999999992E-2</v>
      </c>
      <c r="K36" s="176">
        <f>INDEX('LED,CFL,Inc Lamp - WO017'!$AA$2:$AA$13,MATCH('LED,CFL,Inc Lamp - Calculator'!$C36,'LED,CFL,Inc Lamp - WO017'!$A$2:$A$13,0))</f>
        <v>72.260416710552065</v>
      </c>
      <c r="L36" s="176">
        <f t="shared" si="0"/>
        <v>5.7540969826612605</v>
      </c>
      <c r="M36" s="186">
        <v>1</v>
      </c>
      <c r="N36" s="186">
        <v>1</v>
      </c>
      <c r="O36" s="186">
        <v>1</v>
      </c>
      <c r="P36" s="186">
        <v>1</v>
      </c>
      <c r="Q36" s="186">
        <v>1</v>
      </c>
      <c r="R36" s="186">
        <v>1</v>
      </c>
      <c r="S36" s="187">
        <f t="shared" si="1"/>
        <v>0</v>
      </c>
      <c r="T36" s="187">
        <f t="shared" si="2"/>
        <v>1</v>
      </c>
      <c r="U36" s="186">
        <v>1</v>
      </c>
      <c r="V36" s="188">
        <f t="shared" si="10"/>
        <v>2</v>
      </c>
      <c r="W36" s="187">
        <f t="shared" si="4"/>
        <v>30</v>
      </c>
      <c r="X36" s="187">
        <f t="shared" si="5"/>
        <v>0</v>
      </c>
      <c r="Y36" s="187">
        <f t="shared" si="6"/>
        <v>60</v>
      </c>
      <c r="Z36" s="187">
        <f t="shared" si="7"/>
        <v>0</v>
      </c>
      <c r="AA36" s="187">
        <f t="shared" si="8"/>
        <v>1</v>
      </c>
      <c r="AB36" s="186">
        <v>1</v>
      </c>
      <c r="AC36" s="186">
        <v>0</v>
      </c>
      <c r="AD36" s="186">
        <v>0</v>
      </c>
      <c r="AE36" s="187">
        <f t="shared" si="9"/>
        <v>35</v>
      </c>
      <c r="AF36" s="186">
        <v>0</v>
      </c>
      <c r="AG36" s="186">
        <v>1</v>
      </c>
      <c r="AH36" s="186">
        <v>1</v>
      </c>
    </row>
    <row r="37" spans="1:34" x14ac:dyDescent="0.3">
      <c r="A37" s="61" t="s">
        <v>78</v>
      </c>
      <c r="B37" s="5" t="s">
        <v>51</v>
      </c>
      <c r="C37" s="175" t="s">
        <v>25</v>
      </c>
      <c r="D37" s="6">
        <v>60</v>
      </c>
      <c r="E37" s="175" t="s">
        <v>11</v>
      </c>
      <c r="F37" s="175" t="s">
        <v>12</v>
      </c>
      <c r="G37" s="175" t="s">
        <v>11</v>
      </c>
      <c r="H37" s="175">
        <v>2000</v>
      </c>
      <c r="I37" s="176">
        <f ca="1">SUMPRODUCT($M37:$AH37,INDIRECT("'LED,CFL,Inc Lamp - WO017'!$B"&amp;TEXT(MATCH($C37,'LED,CFL,Inc Lamp - WO017'!$A$2:$A$13,0)+1,0)&amp;":$W"&amp;TEXT(MATCH($C37,'LED,CFL,Inc Lamp - WO017'!$A$2:$A$13,0)+1,0)))</f>
        <v>6.1587992647146574</v>
      </c>
      <c r="J37" s="177">
        <f>INDEX('LED,CFL,Inc Lamp - WO017'!$X$2:$X$13,MATCH('LED,CFL,Inc Lamp - Calculator'!$C37,'LED,CFL,Inc Lamp - WO017'!$A$2:$A$13,0))</f>
        <v>6.2E-2</v>
      </c>
      <c r="K37" s="176">
        <f>INDEX('LED,CFL,Inc Lamp - WO017'!$AA$2:$AA$13,MATCH('LED,CFL,Inc Lamp - Calculator'!$C37,'LED,CFL,Inc Lamp - WO017'!$A$2:$A$13,0))</f>
        <v>72.260416710552065</v>
      </c>
      <c r="L37" s="176">
        <f t="shared" si="0"/>
        <v>4.4801458360542279</v>
      </c>
      <c r="M37" s="186">
        <v>1</v>
      </c>
      <c r="N37" s="186">
        <v>1</v>
      </c>
      <c r="O37" s="186">
        <v>1</v>
      </c>
      <c r="P37" s="186">
        <v>1</v>
      </c>
      <c r="Q37" s="186">
        <v>1</v>
      </c>
      <c r="R37" s="186">
        <v>1</v>
      </c>
      <c r="S37" s="187">
        <f t="shared" si="1"/>
        <v>0</v>
      </c>
      <c r="T37" s="187">
        <f t="shared" si="2"/>
        <v>1</v>
      </c>
      <c r="U37" s="186">
        <v>1</v>
      </c>
      <c r="V37" s="188">
        <f t="shared" si="10"/>
        <v>2</v>
      </c>
      <c r="W37" s="187">
        <f t="shared" si="4"/>
        <v>30</v>
      </c>
      <c r="X37" s="187">
        <f t="shared" si="5"/>
        <v>0</v>
      </c>
      <c r="Y37" s="187">
        <f t="shared" si="6"/>
        <v>60</v>
      </c>
      <c r="Z37" s="187">
        <f t="shared" si="7"/>
        <v>0</v>
      </c>
      <c r="AA37" s="187">
        <f t="shared" si="8"/>
        <v>1</v>
      </c>
      <c r="AB37" s="186">
        <v>1</v>
      </c>
      <c r="AC37" s="186">
        <v>0</v>
      </c>
      <c r="AD37" s="186">
        <v>0</v>
      </c>
      <c r="AE37" s="187">
        <f t="shared" si="9"/>
        <v>35</v>
      </c>
      <c r="AF37" s="186">
        <v>0</v>
      </c>
      <c r="AG37" s="186">
        <v>1</v>
      </c>
      <c r="AH37" s="186">
        <v>1</v>
      </c>
    </row>
    <row r="38" spans="1:34" x14ac:dyDescent="0.3">
      <c r="A38" s="61" t="s">
        <v>79</v>
      </c>
      <c r="B38" s="5" t="s">
        <v>52</v>
      </c>
      <c r="C38" s="175" t="s">
        <v>0</v>
      </c>
      <c r="D38" s="6">
        <v>75</v>
      </c>
      <c r="E38" s="175" t="s">
        <v>11</v>
      </c>
      <c r="F38" s="175" t="s">
        <v>11</v>
      </c>
      <c r="G38" s="175" t="s">
        <v>12</v>
      </c>
      <c r="H38" s="175">
        <v>2000</v>
      </c>
      <c r="I38" s="176">
        <f ca="1">SUMPRODUCT($M38:$AH38,INDIRECT("'LED,CFL,Inc Lamp - WO017'!$B"&amp;TEXT(MATCH($C38,'LED,CFL,Inc Lamp - WO017'!$A$2:$A$13,0)+1,0)&amp;":$W"&amp;TEXT(MATCH($C38,'LED,CFL,Inc Lamp - WO017'!$A$2:$A$13,0)+1,0)))</f>
        <v>2.1114765288286024</v>
      </c>
      <c r="J38" s="177">
        <f>INDEX('LED,CFL,Inc Lamp - WO017'!$X$2:$X$13,MATCH('LED,CFL,Inc Lamp - Calculator'!$C38,'LED,CFL,Inc Lamp - WO017'!$A$2:$A$13,0))</f>
        <v>7.9629999999999992E-2</v>
      </c>
      <c r="K38" s="176">
        <f>INDEX('LED,CFL,Inc Lamp - WO017'!$AA$2:$AA$13,MATCH('LED,CFL,Inc Lamp - Calculator'!$C38,'LED,CFL,Inc Lamp - WO017'!$A$2:$A$13,0))</f>
        <v>72.260416710552065</v>
      </c>
      <c r="L38" s="176">
        <f t="shared" si="0"/>
        <v>5.7540969826612605</v>
      </c>
      <c r="M38" s="186">
        <v>1</v>
      </c>
      <c r="N38" s="186">
        <v>1</v>
      </c>
      <c r="O38" s="186">
        <v>1</v>
      </c>
      <c r="P38" s="186">
        <v>1</v>
      </c>
      <c r="Q38" s="186">
        <v>1</v>
      </c>
      <c r="R38" s="186">
        <v>1</v>
      </c>
      <c r="S38" s="187">
        <f t="shared" si="1"/>
        <v>1</v>
      </c>
      <c r="T38" s="187">
        <f t="shared" si="2"/>
        <v>0</v>
      </c>
      <c r="U38" s="186">
        <v>1</v>
      </c>
      <c r="V38" s="188">
        <f t="shared" si="10"/>
        <v>2</v>
      </c>
      <c r="W38" s="187">
        <f t="shared" si="4"/>
        <v>45</v>
      </c>
      <c r="X38" s="187">
        <f t="shared" si="5"/>
        <v>0</v>
      </c>
      <c r="Y38" s="187">
        <f t="shared" si="6"/>
        <v>75</v>
      </c>
      <c r="Z38" s="187">
        <f t="shared" si="7"/>
        <v>0</v>
      </c>
      <c r="AA38" s="187">
        <f t="shared" si="8"/>
        <v>1</v>
      </c>
      <c r="AB38" s="186">
        <v>1</v>
      </c>
      <c r="AC38" s="186">
        <v>0</v>
      </c>
      <c r="AD38" s="186">
        <v>0</v>
      </c>
      <c r="AE38" s="187">
        <f t="shared" si="9"/>
        <v>50</v>
      </c>
      <c r="AF38" s="186">
        <v>0</v>
      </c>
      <c r="AG38" s="186">
        <v>1</v>
      </c>
      <c r="AH38" s="186">
        <v>1</v>
      </c>
    </row>
    <row r="39" spans="1:34" x14ac:dyDescent="0.3">
      <c r="A39" s="61" t="s">
        <v>80</v>
      </c>
      <c r="B39" s="5" t="s">
        <v>53</v>
      </c>
      <c r="C39" s="175" t="s">
        <v>0</v>
      </c>
      <c r="D39" s="6">
        <v>75</v>
      </c>
      <c r="E39" s="175" t="s">
        <v>11</v>
      </c>
      <c r="F39" s="175" t="s">
        <v>12</v>
      </c>
      <c r="G39" s="175" t="s">
        <v>11</v>
      </c>
      <c r="H39" s="175">
        <v>2000</v>
      </c>
      <c r="I39" s="176">
        <f ca="1">SUMPRODUCT($M39:$AH39,INDIRECT("'LED,CFL,Inc Lamp - WO017'!$B"&amp;TEXT(MATCH($C39,'LED,CFL,Inc Lamp - WO017'!$A$2:$A$13,0)+1,0)&amp;":$W"&amp;TEXT(MATCH($C39,'LED,CFL,Inc Lamp - WO017'!$A$2:$A$13,0)+1,0)))</f>
        <v>1.6496765288286024</v>
      </c>
      <c r="J39" s="177">
        <f>INDEX('LED,CFL,Inc Lamp - WO017'!$X$2:$X$13,MATCH('LED,CFL,Inc Lamp - Calculator'!$C39,'LED,CFL,Inc Lamp - WO017'!$A$2:$A$13,0))</f>
        <v>7.9629999999999992E-2</v>
      </c>
      <c r="K39" s="176">
        <f>INDEX('LED,CFL,Inc Lamp - WO017'!$AA$2:$AA$13,MATCH('LED,CFL,Inc Lamp - Calculator'!$C39,'LED,CFL,Inc Lamp - WO017'!$A$2:$A$13,0))</f>
        <v>72.260416710552065</v>
      </c>
      <c r="L39" s="176">
        <f t="shared" si="0"/>
        <v>5.7540969826612605</v>
      </c>
      <c r="M39" s="186">
        <v>1</v>
      </c>
      <c r="N39" s="186">
        <v>1</v>
      </c>
      <c r="O39" s="186">
        <v>1</v>
      </c>
      <c r="P39" s="186">
        <v>1</v>
      </c>
      <c r="Q39" s="186">
        <v>1</v>
      </c>
      <c r="R39" s="186">
        <v>1</v>
      </c>
      <c r="S39" s="187">
        <f t="shared" si="1"/>
        <v>0</v>
      </c>
      <c r="T39" s="187">
        <f t="shared" si="2"/>
        <v>1</v>
      </c>
      <c r="U39" s="186">
        <v>1</v>
      </c>
      <c r="V39" s="188">
        <f t="shared" si="10"/>
        <v>2</v>
      </c>
      <c r="W39" s="187">
        <f t="shared" si="4"/>
        <v>45</v>
      </c>
      <c r="X39" s="187">
        <f t="shared" si="5"/>
        <v>0</v>
      </c>
      <c r="Y39" s="187">
        <f t="shared" si="6"/>
        <v>75</v>
      </c>
      <c r="Z39" s="187">
        <f t="shared" si="7"/>
        <v>0</v>
      </c>
      <c r="AA39" s="187">
        <f t="shared" si="8"/>
        <v>1</v>
      </c>
      <c r="AB39" s="186">
        <v>1</v>
      </c>
      <c r="AC39" s="186">
        <v>0</v>
      </c>
      <c r="AD39" s="186">
        <v>0</v>
      </c>
      <c r="AE39" s="187">
        <f t="shared" si="9"/>
        <v>50</v>
      </c>
      <c r="AF39" s="186">
        <v>0</v>
      </c>
      <c r="AG39" s="186">
        <v>1</v>
      </c>
      <c r="AH39" s="186">
        <v>1</v>
      </c>
    </row>
    <row r="40" spans="1:34" x14ac:dyDescent="0.3">
      <c r="A40" s="61" t="s">
        <v>81</v>
      </c>
      <c r="B40" s="5" t="s">
        <v>54</v>
      </c>
      <c r="C40" s="175" t="s">
        <v>0</v>
      </c>
      <c r="D40" s="6">
        <v>75</v>
      </c>
      <c r="E40" s="175" t="s">
        <v>11</v>
      </c>
      <c r="F40" s="175" t="s">
        <v>12</v>
      </c>
      <c r="G40" s="175" t="s">
        <v>11</v>
      </c>
      <c r="H40" s="175">
        <v>2000</v>
      </c>
      <c r="I40" s="176">
        <f ca="1">SUMPRODUCT($M40:$AH40,INDIRECT("'LED,CFL,Inc Lamp - WO017'!$B"&amp;TEXT(MATCH($C40,'LED,CFL,Inc Lamp - WO017'!$A$2:$A$13,0)+1,0)&amp;":$W"&amp;TEXT(MATCH($C40,'LED,CFL,Inc Lamp - WO017'!$A$2:$A$13,0)+1,0)))</f>
        <v>1.6496765288286024</v>
      </c>
      <c r="J40" s="177">
        <f>INDEX('LED,CFL,Inc Lamp - WO017'!$X$2:$X$13,MATCH('LED,CFL,Inc Lamp - Calculator'!$C40,'LED,CFL,Inc Lamp - WO017'!$A$2:$A$13,0))</f>
        <v>7.9629999999999992E-2</v>
      </c>
      <c r="K40" s="176">
        <f>INDEX('LED,CFL,Inc Lamp - WO017'!$AA$2:$AA$13,MATCH('LED,CFL,Inc Lamp - Calculator'!$C40,'LED,CFL,Inc Lamp - WO017'!$A$2:$A$13,0))</f>
        <v>72.260416710552065</v>
      </c>
      <c r="L40" s="176">
        <f t="shared" si="0"/>
        <v>5.7540969826612605</v>
      </c>
      <c r="M40" s="186">
        <v>1</v>
      </c>
      <c r="N40" s="186">
        <v>1</v>
      </c>
      <c r="O40" s="186">
        <v>1</v>
      </c>
      <c r="P40" s="186">
        <v>1</v>
      </c>
      <c r="Q40" s="186">
        <v>1</v>
      </c>
      <c r="R40" s="186">
        <v>1</v>
      </c>
      <c r="S40" s="187">
        <f t="shared" si="1"/>
        <v>0</v>
      </c>
      <c r="T40" s="187">
        <f t="shared" si="2"/>
        <v>1</v>
      </c>
      <c r="U40" s="186">
        <v>1</v>
      </c>
      <c r="V40" s="188">
        <f t="shared" si="10"/>
        <v>2</v>
      </c>
      <c r="W40" s="187">
        <f t="shared" si="4"/>
        <v>45</v>
      </c>
      <c r="X40" s="187">
        <f t="shared" si="5"/>
        <v>0</v>
      </c>
      <c r="Y40" s="187">
        <f t="shared" si="6"/>
        <v>75</v>
      </c>
      <c r="Z40" s="187">
        <f t="shared" si="7"/>
        <v>0</v>
      </c>
      <c r="AA40" s="187">
        <f t="shared" si="8"/>
        <v>1</v>
      </c>
      <c r="AB40" s="186">
        <v>1</v>
      </c>
      <c r="AC40" s="186">
        <v>0</v>
      </c>
      <c r="AD40" s="186">
        <v>0</v>
      </c>
      <c r="AE40" s="187">
        <f t="shared" si="9"/>
        <v>50</v>
      </c>
      <c r="AF40" s="186">
        <v>0</v>
      </c>
      <c r="AG40" s="186">
        <v>1</v>
      </c>
      <c r="AH40" s="186">
        <v>1</v>
      </c>
    </row>
    <row r="41" spans="1:34" x14ac:dyDescent="0.3">
      <c r="A41" s="61" t="s">
        <v>82</v>
      </c>
      <c r="B41" s="5" t="s">
        <v>55</v>
      </c>
      <c r="C41" s="175" t="s">
        <v>0</v>
      </c>
      <c r="D41" s="6">
        <v>75</v>
      </c>
      <c r="E41" s="175" t="s">
        <v>11</v>
      </c>
      <c r="F41" s="175" t="s">
        <v>12</v>
      </c>
      <c r="G41" s="175" t="s">
        <v>11</v>
      </c>
      <c r="H41" s="175">
        <v>2000</v>
      </c>
      <c r="I41" s="176">
        <f ca="1">SUMPRODUCT($M41:$AH41,INDIRECT("'LED,CFL,Inc Lamp - WO017'!$B"&amp;TEXT(MATCH($C41,'LED,CFL,Inc Lamp - WO017'!$A$2:$A$13,0)+1,0)&amp;":$W"&amp;TEXT(MATCH($C41,'LED,CFL,Inc Lamp - WO017'!$A$2:$A$13,0)+1,0)))</f>
        <v>1.6496765288286024</v>
      </c>
      <c r="J41" s="177">
        <f>INDEX('LED,CFL,Inc Lamp - WO017'!$X$2:$X$13,MATCH('LED,CFL,Inc Lamp - Calculator'!$C41,'LED,CFL,Inc Lamp - WO017'!$A$2:$A$13,0))</f>
        <v>7.9629999999999992E-2</v>
      </c>
      <c r="K41" s="176">
        <f>INDEX('LED,CFL,Inc Lamp - WO017'!$AA$2:$AA$13,MATCH('LED,CFL,Inc Lamp - Calculator'!$C41,'LED,CFL,Inc Lamp - WO017'!$A$2:$A$13,0))</f>
        <v>72.260416710552065</v>
      </c>
      <c r="L41" s="176">
        <f t="shared" si="0"/>
        <v>5.7540969826612605</v>
      </c>
      <c r="M41" s="186">
        <v>1</v>
      </c>
      <c r="N41" s="186">
        <v>1</v>
      </c>
      <c r="O41" s="186">
        <v>1</v>
      </c>
      <c r="P41" s="186">
        <v>1</v>
      </c>
      <c r="Q41" s="186">
        <v>1</v>
      </c>
      <c r="R41" s="186">
        <v>1</v>
      </c>
      <c r="S41" s="187">
        <f t="shared" si="1"/>
        <v>0</v>
      </c>
      <c r="T41" s="187">
        <f t="shared" si="2"/>
        <v>1</v>
      </c>
      <c r="U41" s="186">
        <v>1</v>
      </c>
      <c r="V41" s="188">
        <f t="shared" si="10"/>
        <v>2</v>
      </c>
      <c r="W41" s="187">
        <f t="shared" si="4"/>
        <v>45</v>
      </c>
      <c r="X41" s="187">
        <f t="shared" si="5"/>
        <v>0</v>
      </c>
      <c r="Y41" s="187">
        <f t="shared" si="6"/>
        <v>75</v>
      </c>
      <c r="Z41" s="187">
        <f t="shared" si="7"/>
        <v>0</v>
      </c>
      <c r="AA41" s="187">
        <f t="shared" si="8"/>
        <v>1</v>
      </c>
      <c r="AB41" s="186">
        <v>1</v>
      </c>
      <c r="AC41" s="186">
        <v>0</v>
      </c>
      <c r="AD41" s="186">
        <v>0</v>
      </c>
      <c r="AE41" s="187">
        <f t="shared" si="9"/>
        <v>50</v>
      </c>
      <c r="AF41" s="186">
        <v>0</v>
      </c>
      <c r="AG41" s="186">
        <v>1</v>
      </c>
      <c r="AH41" s="186">
        <v>1</v>
      </c>
    </row>
    <row r="42" spans="1:34" x14ac:dyDescent="0.3">
      <c r="A42" s="61" t="s">
        <v>83</v>
      </c>
      <c r="B42" s="5" t="s">
        <v>56</v>
      </c>
      <c r="C42" s="175" t="s">
        <v>25</v>
      </c>
      <c r="D42" s="6">
        <v>75</v>
      </c>
      <c r="E42" s="175" t="s">
        <v>11</v>
      </c>
      <c r="F42" s="175" t="s">
        <v>12</v>
      </c>
      <c r="G42" s="175" t="s">
        <v>11</v>
      </c>
      <c r="H42" s="175">
        <v>2000</v>
      </c>
      <c r="I42" s="176">
        <f ca="1">SUMPRODUCT($M42:$AH42,INDIRECT("'LED,CFL,Inc Lamp - WO017'!$B"&amp;TEXT(MATCH($C42,'LED,CFL,Inc Lamp - WO017'!$A$2:$A$13,0)+1,0)&amp;":$W"&amp;TEXT(MATCH($C42,'LED,CFL,Inc Lamp - WO017'!$A$2:$A$13,0)+1,0)))</f>
        <v>6.314799264714658</v>
      </c>
      <c r="J42" s="177">
        <f>INDEX('LED,CFL,Inc Lamp - WO017'!$X$2:$X$13,MATCH('LED,CFL,Inc Lamp - Calculator'!$C42,'LED,CFL,Inc Lamp - WO017'!$A$2:$A$13,0))</f>
        <v>6.2E-2</v>
      </c>
      <c r="K42" s="176">
        <f>INDEX('LED,CFL,Inc Lamp - WO017'!$AA$2:$AA$13,MATCH('LED,CFL,Inc Lamp - Calculator'!$C42,'LED,CFL,Inc Lamp - WO017'!$A$2:$A$13,0))</f>
        <v>72.260416710552065</v>
      </c>
      <c r="L42" s="176">
        <f t="shared" si="0"/>
        <v>4.4801458360542279</v>
      </c>
      <c r="M42" s="186">
        <v>1</v>
      </c>
      <c r="N42" s="186">
        <v>1</v>
      </c>
      <c r="O42" s="186">
        <v>1</v>
      </c>
      <c r="P42" s="186">
        <v>1</v>
      </c>
      <c r="Q42" s="186">
        <v>1</v>
      </c>
      <c r="R42" s="186">
        <v>1</v>
      </c>
      <c r="S42" s="187">
        <f t="shared" si="1"/>
        <v>0</v>
      </c>
      <c r="T42" s="187">
        <f t="shared" si="2"/>
        <v>1</v>
      </c>
      <c r="U42" s="186">
        <v>1</v>
      </c>
      <c r="V42" s="188">
        <f t="shared" si="10"/>
        <v>2</v>
      </c>
      <c r="W42" s="187">
        <f t="shared" si="4"/>
        <v>45</v>
      </c>
      <c r="X42" s="187">
        <f t="shared" si="5"/>
        <v>0</v>
      </c>
      <c r="Y42" s="187">
        <f t="shared" si="6"/>
        <v>75</v>
      </c>
      <c r="Z42" s="187">
        <f t="shared" si="7"/>
        <v>0</v>
      </c>
      <c r="AA42" s="187">
        <f t="shared" si="8"/>
        <v>1</v>
      </c>
      <c r="AB42" s="186">
        <v>1</v>
      </c>
      <c r="AC42" s="186">
        <v>0</v>
      </c>
      <c r="AD42" s="186">
        <v>0</v>
      </c>
      <c r="AE42" s="187">
        <f t="shared" si="9"/>
        <v>50</v>
      </c>
      <c r="AF42" s="186">
        <v>0</v>
      </c>
      <c r="AG42" s="186">
        <v>1</v>
      </c>
      <c r="AH42" s="186">
        <v>1</v>
      </c>
    </row>
    <row r="43" spans="1:34" x14ac:dyDescent="0.3">
      <c r="A43" s="61" t="s">
        <v>84</v>
      </c>
      <c r="B43" s="5" t="s">
        <v>57</v>
      </c>
      <c r="C43" s="175" t="s">
        <v>0</v>
      </c>
      <c r="D43" s="6">
        <v>100</v>
      </c>
      <c r="E43" s="175" t="s">
        <v>11</v>
      </c>
      <c r="F43" s="175" t="s">
        <v>11</v>
      </c>
      <c r="G43" s="175" t="s">
        <v>12</v>
      </c>
      <c r="H43" s="175">
        <v>2000</v>
      </c>
      <c r="I43" s="176">
        <f ca="1">SUMPRODUCT($M43:$AH43,INDIRECT("'LED,CFL,Inc Lamp - WO017'!$B"&amp;TEXT(MATCH($C43,'LED,CFL,Inc Lamp - WO017'!$A$2:$A$13,0)+1,0)&amp;":$W"&amp;TEXT(MATCH($C43,'LED,CFL,Inc Lamp - WO017'!$A$2:$A$13,0)+1,0)))</f>
        <v>2.1214765288286022</v>
      </c>
      <c r="J43" s="177">
        <f>INDEX('LED,CFL,Inc Lamp - WO017'!$X$2:$X$13,MATCH('LED,CFL,Inc Lamp - Calculator'!$C43,'LED,CFL,Inc Lamp - WO017'!$A$2:$A$13,0))</f>
        <v>7.9629999999999992E-2</v>
      </c>
      <c r="K43" s="176">
        <f>INDEX('LED,CFL,Inc Lamp - WO017'!$AA$2:$AA$13,MATCH('LED,CFL,Inc Lamp - Calculator'!$C43,'LED,CFL,Inc Lamp - WO017'!$A$2:$A$13,0))</f>
        <v>72.260416710552065</v>
      </c>
      <c r="L43" s="176">
        <f t="shared" si="0"/>
        <v>5.7540969826612605</v>
      </c>
      <c r="M43" s="186">
        <v>1</v>
      </c>
      <c r="N43" s="186">
        <v>1</v>
      </c>
      <c r="O43" s="186">
        <v>1</v>
      </c>
      <c r="P43" s="186">
        <v>1</v>
      </c>
      <c r="Q43" s="186">
        <v>1</v>
      </c>
      <c r="R43" s="186">
        <v>1</v>
      </c>
      <c r="S43" s="187">
        <f t="shared" si="1"/>
        <v>1</v>
      </c>
      <c r="T43" s="187">
        <f t="shared" si="2"/>
        <v>0</v>
      </c>
      <c r="U43" s="186">
        <v>1</v>
      </c>
      <c r="V43" s="188">
        <f t="shared" si="10"/>
        <v>2</v>
      </c>
      <c r="W43" s="187">
        <f t="shared" si="4"/>
        <v>70</v>
      </c>
      <c r="X43" s="187">
        <f t="shared" si="5"/>
        <v>25</v>
      </c>
      <c r="Y43" s="187">
        <f t="shared" si="6"/>
        <v>100</v>
      </c>
      <c r="Z43" s="187">
        <f t="shared" si="7"/>
        <v>0</v>
      </c>
      <c r="AA43" s="187">
        <f t="shared" si="8"/>
        <v>1</v>
      </c>
      <c r="AB43" s="186">
        <v>1</v>
      </c>
      <c r="AC43" s="186">
        <v>0</v>
      </c>
      <c r="AD43" s="186">
        <v>0</v>
      </c>
      <c r="AE43" s="187">
        <f t="shared" si="9"/>
        <v>75</v>
      </c>
      <c r="AF43" s="186">
        <v>0</v>
      </c>
      <c r="AG43" s="186">
        <v>1</v>
      </c>
      <c r="AH43" s="186">
        <v>1</v>
      </c>
    </row>
    <row r="44" spans="1:34" x14ac:dyDescent="0.3">
      <c r="A44" s="61" t="s">
        <v>85</v>
      </c>
      <c r="B44" s="5" t="s">
        <v>58</v>
      </c>
      <c r="C44" s="175" t="s">
        <v>0</v>
      </c>
      <c r="D44" s="6">
        <v>100</v>
      </c>
      <c r="E44" s="175" t="s">
        <v>11</v>
      </c>
      <c r="F44" s="175" t="s">
        <v>12</v>
      </c>
      <c r="G44" s="175" t="s">
        <v>11</v>
      </c>
      <c r="H44" s="175">
        <v>2000</v>
      </c>
      <c r="I44" s="176">
        <f ca="1">SUMPRODUCT($M44:$AH44,INDIRECT("'LED,CFL,Inc Lamp - WO017'!$B"&amp;TEXT(MATCH($C44,'LED,CFL,Inc Lamp - WO017'!$A$2:$A$13,0)+1,0)&amp;":$W"&amp;TEXT(MATCH($C44,'LED,CFL,Inc Lamp - WO017'!$A$2:$A$13,0)+1,0)))</f>
        <v>1.6596765288286026</v>
      </c>
      <c r="J44" s="177">
        <f>INDEX('LED,CFL,Inc Lamp - WO017'!$X$2:$X$13,MATCH('LED,CFL,Inc Lamp - Calculator'!$C44,'LED,CFL,Inc Lamp - WO017'!$A$2:$A$13,0))</f>
        <v>7.9629999999999992E-2</v>
      </c>
      <c r="K44" s="176">
        <f>INDEX('LED,CFL,Inc Lamp - WO017'!$AA$2:$AA$13,MATCH('LED,CFL,Inc Lamp - Calculator'!$C44,'LED,CFL,Inc Lamp - WO017'!$A$2:$A$13,0))</f>
        <v>72.260416710552065</v>
      </c>
      <c r="L44" s="176">
        <f t="shared" si="0"/>
        <v>5.7540969826612605</v>
      </c>
      <c r="M44" s="186">
        <v>1</v>
      </c>
      <c r="N44" s="186">
        <v>1</v>
      </c>
      <c r="O44" s="186">
        <v>1</v>
      </c>
      <c r="P44" s="186">
        <v>1</v>
      </c>
      <c r="Q44" s="186">
        <v>1</v>
      </c>
      <c r="R44" s="186">
        <v>1</v>
      </c>
      <c r="S44" s="187">
        <f t="shared" si="1"/>
        <v>0</v>
      </c>
      <c r="T44" s="187">
        <f t="shared" si="2"/>
        <v>1</v>
      </c>
      <c r="U44" s="186">
        <v>1</v>
      </c>
      <c r="V44" s="188">
        <f t="shared" si="10"/>
        <v>2</v>
      </c>
      <c r="W44" s="187">
        <f t="shared" si="4"/>
        <v>70</v>
      </c>
      <c r="X44" s="187">
        <f t="shared" si="5"/>
        <v>25</v>
      </c>
      <c r="Y44" s="187">
        <f t="shared" si="6"/>
        <v>100</v>
      </c>
      <c r="Z44" s="187">
        <f t="shared" si="7"/>
        <v>0</v>
      </c>
      <c r="AA44" s="187">
        <f t="shared" si="8"/>
        <v>1</v>
      </c>
      <c r="AB44" s="186">
        <v>1</v>
      </c>
      <c r="AC44" s="186">
        <v>0</v>
      </c>
      <c r="AD44" s="186">
        <v>0</v>
      </c>
      <c r="AE44" s="187">
        <f t="shared" si="9"/>
        <v>75</v>
      </c>
      <c r="AF44" s="186">
        <v>0</v>
      </c>
      <c r="AG44" s="186">
        <v>1</v>
      </c>
      <c r="AH44" s="186">
        <v>1</v>
      </c>
    </row>
    <row r="45" spans="1:34" x14ac:dyDescent="0.3">
      <c r="A45" s="61" t="s">
        <v>86</v>
      </c>
      <c r="B45" s="5" t="s">
        <v>59</v>
      </c>
      <c r="C45" s="175" t="s">
        <v>0</v>
      </c>
      <c r="D45" s="6">
        <v>100</v>
      </c>
      <c r="E45" s="175" t="s">
        <v>11</v>
      </c>
      <c r="F45" s="175" t="s">
        <v>11</v>
      </c>
      <c r="G45" s="175" t="s">
        <v>12</v>
      </c>
      <c r="H45" s="175">
        <v>2000</v>
      </c>
      <c r="I45" s="176">
        <f ca="1">SUMPRODUCT($M45:$AH45,INDIRECT("'LED,CFL,Inc Lamp - WO017'!$B"&amp;TEXT(MATCH($C45,'LED,CFL,Inc Lamp - WO017'!$A$2:$A$13,0)+1,0)&amp;":$W"&amp;TEXT(MATCH($C45,'LED,CFL,Inc Lamp - WO017'!$A$2:$A$13,0)+1,0)))</f>
        <v>2.1214765288286022</v>
      </c>
      <c r="J45" s="177">
        <f>INDEX('LED,CFL,Inc Lamp - WO017'!$X$2:$X$13,MATCH('LED,CFL,Inc Lamp - Calculator'!$C45,'LED,CFL,Inc Lamp - WO017'!$A$2:$A$13,0))</f>
        <v>7.9629999999999992E-2</v>
      </c>
      <c r="K45" s="176">
        <f>INDEX('LED,CFL,Inc Lamp - WO017'!$AA$2:$AA$13,MATCH('LED,CFL,Inc Lamp - Calculator'!$C45,'LED,CFL,Inc Lamp - WO017'!$A$2:$A$13,0))</f>
        <v>72.260416710552065</v>
      </c>
      <c r="L45" s="176">
        <f t="shared" si="0"/>
        <v>5.7540969826612605</v>
      </c>
      <c r="M45" s="186">
        <v>1</v>
      </c>
      <c r="N45" s="186">
        <v>1</v>
      </c>
      <c r="O45" s="186">
        <v>1</v>
      </c>
      <c r="P45" s="186">
        <v>1</v>
      </c>
      <c r="Q45" s="186">
        <v>1</v>
      </c>
      <c r="R45" s="186">
        <v>1</v>
      </c>
      <c r="S45" s="187">
        <f t="shared" si="1"/>
        <v>1</v>
      </c>
      <c r="T45" s="187">
        <f t="shared" si="2"/>
        <v>0</v>
      </c>
      <c r="U45" s="186">
        <v>1</v>
      </c>
      <c r="V45" s="188">
        <f t="shared" si="10"/>
        <v>2</v>
      </c>
      <c r="W45" s="187">
        <f t="shared" si="4"/>
        <v>70</v>
      </c>
      <c r="X45" s="187">
        <f t="shared" si="5"/>
        <v>25</v>
      </c>
      <c r="Y45" s="187">
        <f t="shared" si="6"/>
        <v>100</v>
      </c>
      <c r="Z45" s="187">
        <f t="shared" si="7"/>
        <v>0</v>
      </c>
      <c r="AA45" s="187">
        <f t="shared" si="8"/>
        <v>1</v>
      </c>
      <c r="AB45" s="186">
        <v>1</v>
      </c>
      <c r="AC45" s="186">
        <v>0</v>
      </c>
      <c r="AD45" s="186">
        <v>0</v>
      </c>
      <c r="AE45" s="187">
        <f t="shared" si="9"/>
        <v>75</v>
      </c>
      <c r="AF45" s="186">
        <v>0</v>
      </c>
      <c r="AG45" s="186">
        <v>1</v>
      </c>
      <c r="AH45" s="186">
        <v>1</v>
      </c>
    </row>
    <row r="46" spans="1:34" x14ac:dyDescent="0.3">
      <c r="A46" s="61" t="s">
        <v>87</v>
      </c>
      <c r="B46" s="5" t="s">
        <v>60</v>
      </c>
      <c r="C46" s="175" t="s">
        <v>0</v>
      </c>
      <c r="D46" s="6">
        <v>100</v>
      </c>
      <c r="E46" s="175" t="s">
        <v>11</v>
      </c>
      <c r="F46" s="175" t="s">
        <v>12</v>
      </c>
      <c r="G46" s="175" t="s">
        <v>11</v>
      </c>
      <c r="H46" s="175">
        <v>2000</v>
      </c>
      <c r="I46" s="176">
        <f ca="1">SUMPRODUCT($M46:$AH46,INDIRECT("'LED,CFL,Inc Lamp - WO017'!$B"&amp;TEXT(MATCH($C46,'LED,CFL,Inc Lamp - WO017'!$A$2:$A$13,0)+1,0)&amp;":$W"&amp;TEXT(MATCH($C46,'LED,CFL,Inc Lamp - WO017'!$A$2:$A$13,0)+1,0)))</f>
        <v>1.6596765288286026</v>
      </c>
      <c r="J46" s="177">
        <f>INDEX('LED,CFL,Inc Lamp - WO017'!$X$2:$X$13,MATCH('LED,CFL,Inc Lamp - Calculator'!$C46,'LED,CFL,Inc Lamp - WO017'!$A$2:$A$13,0))</f>
        <v>7.9629999999999992E-2</v>
      </c>
      <c r="K46" s="176">
        <f>INDEX('LED,CFL,Inc Lamp - WO017'!$AA$2:$AA$13,MATCH('LED,CFL,Inc Lamp - Calculator'!$C46,'LED,CFL,Inc Lamp - WO017'!$A$2:$A$13,0))</f>
        <v>72.260416710552065</v>
      </c>
      <c r="L46" s="176">
        <f t="shared" si="0"/>
        <v>5.7540969826612605</v>
      </c>
      <c r="M46" s="186">
        <v>1</v>
      </c>
      <c r="N46" s="186">
        <v>1</v>
      </c>
      <c r="O46" s="186">
        <v>1</v>
      </c>
      <c r="P46" s="186">
        <v>1</v>
      </c>
      <c r="Q46" s="186">
        <v>1</v>
      </c>
      <c r="R46" s="186">
        <v>1</v>
      </c>
      <c r="S46" s="187">
        <f t="shared" si="1"/>
        <v>0</v>
      </c>
      <c r="T46" s="187">
        <f t="shared" si="2"/>
        <v>1</v>
      </c>
      <c r="U46" s="186">
        <v>1</v>
      </c>
      <c r="V46" s="188">
        <f t="shared" si="10"/>
        <v>2</v>
      </c>
      <c r="W46" s="187">
        <f t="shared" si="4"/>
        <v>70</v>
      </c>
      <c r="X46" s="187">
        <f t="shared" si="5"/>
        <v>25</v>
      </c>
      <c r="Y46" s="187">
        <f t="shared" si="6"/>
        <v>100</v>
      </c>
      <c r="Z46" s="187">
        <f t="shared" si="7"/>
        <v>0</v>
      </c>
      <c r="AA46" s="187">
        <f t="shared" si="8"/>
        <v>1</v>
      </c>
      <c r="AB46" s="186">
        <v>1</v>
      </c>
      <c r="AC46" s="186">
        <v>0</v>
      </c>
      <c r="AD46" s="186">
        <v>0</v>
      </c>
      <c r="AE46" s="187">
        <f t="shared" si="9"/>
        <v>75</v>
      </c>
      <c r="AF46" s="186">
        <v>0</v>
      </c>
      <c r="AG46" s="186">
        <v>1</v>
      </c>
      <c r="AH46" s="186">
        <v>1</v>
      </c>
    </row>
    <row r="47" spans="1:34" x14ac:dyDescent="0.3">
      <c r="A47" s="61" t="s">
        <v>88</v>
      </c>
      <c r="B47" s="5" t="s">
        <v>61</v>
      </c>
      <c r="C47" s="175" t="s">
        <v>0</v>
      </c>
      <c r="D47" s="6">
        <v>100</v>
      </c>
      <c r="E47" s="175" t="s">
        <v>11</v>
      </c>
      <c r="F47" s="175" t="s">
        <v>11</v>
      </c>
      <c r="G47" s="175" t="s">
        <v>12</v>
      </c>
      <c r="H47" s="175">
        <v>2000</v>
      </c>
      <c r="I47" s="176">
        <f ca="1">SUMPRODUCT($M47:$AH47,INDIRECT("'LED,CFL,Inc Lamp - WO017'!$B"&amp;TEXT(MATCH($C47,'LED,CFL,Inc Lamp - WO017'!$A$2:$A$13,0)+1,0)&amp;":$W"&amp;TEXT(MATCH($C47,'LED,CFL,Inc Lamp - WO017'!$A$2:$A$13,0)+1,0)))</f>
        <v>2.1214765288286022</v>
      </c>
      <c r="J47" s="177">
        <f>INDEX('LED,CFL,Inc Lamp - WO017'!$X$2:$X$13,MATCH('LED,CFL,Inc Lamp - Calculator'!$C47,'LED,CFL,Inc Lamp - WO017'!$A$2:$A$13,0))</f>
        <v>7.9629999999999992E-2</v>
      </c>
      <c r="K47" s="176">
        <f>INDEX('LED,CFL,Inc Lamp - WO017'!$AA$2:$AA$13,MATCH('LED,CFL,Inc Lamp - Calculator'!$C47,'LED,CFL,Inc Lamp - WO017'!$A$2:$A$13,0))</f>
        <v>72.260416710552065</v>
      </c>
      <c r="L47" s="176">
        <f t="shared" si="0"/>
        <v>5.7540969826612605</v>
      </c>
      <c r="M47" s="186">
        <v>1</v>
      </c>
      <c r="N47" s="186">
        <v>1</v>
      </c>
      <c r="O47" s="186">
        <v>1</v>
      </c>
      <c r="P47" s="186">
        <v>1</v>
      </c>
      <c r="Q47" s="186">
        <v>1</v>
      </c>
      <c r="R47" s="186">
        <v>1</v>
      </c>
      <c r="S47" s="187">
        <f t="shared" si="1"/>
        <v>1</v>
      </c>
      <c r="T47" s="187">
        <f t="shared" si="2"/>
        <v>0</v>
      </c>
      <c r="U47" s="186">
        <v>1</v>
      </c>
      <c r="V47" s="188">
        <f t="shared" si="10"/>
        <v>2</v>
      </c>
      <c r="W47" s="187">
        <f t="shared" si="4"/>
        <v>70</v>
      </c>
      <c r="X47" s="187">
        <f t="shared" si="5"/>
        <v>25</v>
      </c>
      <c r="Y47" s="187">
        <f t="shared" si="6"/>
        <v>100</v>
      </c>
      <c r="Z47" s="187">
        <f t="shared" si="7"/>
        <v>0</v>
      </c>
      <c r="AA47" s="187">
        <f t="shared" si="8"/>
        <v>1</v>
      </c>
      <c r="AB47" s="186">
        <v>1</v>
      </c>
      <c r="AC47" s="186">
        <v>0</v>
      </c>
      <c r="AD47" s="186">
        <v>0</v>
      </c>
      <c r="AE47" s="187">
        <f t="shared" si="9"/>
        <v>75</v>
      </c>
      <c r="AF47" s="186">
        <v>0</v>
      </c>
      <c r="AG47" s="186">
        <v>1</v>
      </c>
      <c r="AH47" s="186">
        <v>1</v>
      </c>
    </row>
    <row r="48" spans="1:34" x14ac:dyDescent="0.3">
      <c r="A48" s="61" t="s">
        <v>89</v>
      </c>
      <c r="B48" s="5" t="s">
        <v>62</v>
      </c>
      <c r="C48" s="175" t="s">
        <v>0</v>
      </c>
      <c r="D48" s="6">
        <v>100</v>
      </c>
      <c r="E48" s="175" t="s">
        <v>11</v>
      </c>
      <c r="F48" s="175" t="s">
        <v>12</v>
      </c>
      <c r="G48" s="175" t="s">
        <v>11</v>
      </c>
      <c r="H48" s="175">
        <v>2000</v>
      </c>
      <c r="I48" s="176">
        <f ca="1">SUMPRODUCT($M48:$AH48,INDIRECT("'LED,CFL,Inc Lamp - WO017'!$B"&amp;TEXT(MATCH($C48,'LED,CFL,Inc Lamp - WO017'!$A$2:$A$13,0)+1,0)&amp;":$W"&amp;TEXT(MATCH($C48,'LED,CFL,Inc Lamp - WO017'!$A$2:$A$13,0)+1,0)))</f>
        <v>1.6596765288286026</v>
      </c>
      <c r="J48" s="177">
        <f>INDEX('LED,CFL,Inc Lamp - WO017'!$X$2:$X$13,MATCH('LED,CFL,Inc Lamp - Calculator'!$C48,'LED,CFL,Inc Lamp - WO017'!$A$2:$A$13,0))</f>
        <v>7.9629999999999992E-2</v>
      </c>
      <c r="K48" s="176">
        <f>INDEX('LED,CFL,Inc Lamp - WO017'!$AA$2:$AA$13,MATCH('LED,CFL,Inc Lamp - Calculator'!$C48,'LED,CFL,Inc Lamp - WO017'!$A$2:$A$13,0))</f>
        <v>72.260416710552065</v>
      </c>
      <c r="L48" s="176">
        <f t="shared" si="0"/>
        <v>5.7540969826612605</v>
      </c>
      <c r="M48" s="186">
        <v>1</v>
      </c>
      <c r="N48" s="186">
        <v>1</v>
      </c>
      <c r="O48" s="186">
        <v>1</v>
      </c>
      <c r="P48" s="186">
        <v>1</v>
      </c>
      <c r="Q48" s="186">
        <v>1</v>
      </c>
      <c r="R48" s="186">
        <v>1</v>
      </c>
      <c r="S48" s="187">
        <f t="shared" si="1"/>
        <v>0</v>
      </c>
      <c r="T48" s="187">
        <f t="shared" si="2"/>
        <v>1</v>
      </c>
      <c r="U48" s="186">
        <v>1</v>
      </c>
      <c r="V48" s="188">
        <f t="shared" si="10"/>
        <v>2</v>
      </c>
      <c r="W48" s="187">
        <f t="shared" si="4"/>
        <v>70</v>
      </c>
      <c r="X48" s="187">
        <f t="shared" si="5"/>
        <v>25</v>
      </c>
      <c r="Y48" s="187">
        <f t="shared" si="6"/>
        <v>100</v>
      </c>
      <c r="Z48" s="187">
        <f t="shared" si="7"/>
        <v>0</v>
      </c>
      <c r="AA48" s="187">
        <f t="shared" si="8"/>
        <v>1</v>
      </c>
      <c r="AB48" s="186">
        <v>1</v>
      </c>
      <c r="AC48" s="186">
        <v>0</v>
      </c>
      <c r="AD48" s="186">
        <v>0</v>
      </c>
      <c r="AE48" s="187">
        <f t="shared" si="9"/>
        <v>75</v>
      </c>
      <c r="AF48" s="186">
        <v>0</v>
      </c>
      <c r="AG48" s="186">
        <v>1</v>
      </c>
      <c r="AH48" s="186">
        <v>1</v>
      </c>
    </row>
    <row r="49" spans="1:34" x14ac:dyDescent="0.3">
      <c r="A49" s="61" t="s">
        <v>90</v>
      </c>
      <c r="B49" s="5" t="s">
        <v>63</v>
      </c>
      <c r="C49" s="175" t="s">
        <v>25</v>
      </c>
      <c r="D49" s="6">
        <v>100</v>
      </c>
      <c r="E49" s="175" t="s">
        <v>11</v>
      </c>
      <c r="F49" s="175" t="s">
        <v>12</v>
      </c>
      <c r="G49" s="175" t="s">
        <v>11</v>
      </c>
      <c r="H49" s="175">
        <v>2000</v>
      </c>
      <c r="I49" s="176">
        <f ca="1">SUMPRODUCT($M49:$AH49,INDIRECT("'LED,CFL,Inc Lamp - WO017'!$B"&amp;TEXT(MATCH($C49,'LED,CFL,Inc Lamp - WO017'!$A$2:$A$13,0)+1,0)&amp;":$W"&amp;TEXT(MATCH($C49,'LED,CFL,Inc Lamp - WO017'!$A$2:$A$13,0)+1,0)))</f>
        <v>6.5747992647146578</v>
      </c>
      <c r="J49" s="177">
        <f>INDEX('LED,CFL,Inc Lamp - WO017'!$X$2:$X$13,MATCH('LED,CFL,Inc Lamp - Calculator'!$C49,'LED,CFL,Inc Lamp - WO017'!$A$2:$A$13,0))</f>
        <v>6.2E-2</v>
      </c>
      <c r="K49" s="176">
        <f>INDEX('LED,CFL,Inc Lamp - WO017'!$AA$2:$AA$13,MATCH('LED,CFL,Inc Lamp - Calculator'!$C49,'LED,CFL,Inc Lamp - WO017'!$A$2:$A$13,0))</f>
        <v>72.260416710552065</v>
      </c>
      <c r="L49" s="176">
        <f t="shared" si="0"/>
        <v>4.4801458360542279</v>
      </c>
      <c r="M49" s="186">
        <v>1</v>
      </c>
      <c r="N49" s="186">
        <v>1</v>
      </c>
      <c r="O49" s="186">
        <v>1</v>
      </c>
      <c r="P49" s="186">
        <v>1</v>
      </c>
      <c r="Q49" s="186">
        <v>1</v>
      </c>
      <c r="R49" s="186">
        <v>1</v>
      </c>
      <c r="S49" s="187">
        <f t="shared" si="1"/>
        <v>0</v>
      </c>
      <c r="T49" s="187">
        <f t="shared" si="2"/>
        <v>1</v>
      </c>
      <c r="U49" s="186">
        <v>1</v>
      </c>
      <c r="V49" s="188">
        <f t="shared" si="10"/>
        <v>2</v>
      </c>
      <c r="W49" s="187">
        <f t="shared" si="4"/>
        <v>70</v>
      </c>
      <c r="X49" s="187">
        <f t="shared" si="5"/>
        <v>25</v>
      </c>
      <c r="Y49" s="187">
        <f t="shared" si="6"/>
        <v>100</v>
      </c>
      <c r="Z49" s="187">
        <f t="shared" si="7"/>
        <v>0</v>
      </c>
      <c r="AA49" s="187">
        <f t="shared" si="8"/>
        <v>1</v>
      </c>
      <c r="AB49" s="186">
        <v>1</v>
      </c>
      <c r="AC49" s="186">
        <v>0</v>
      </c>
      <c r="AD49" s="186">
        <v>0</v>
      </c>
      <c r="AE49" s="187">
        <f t="shared" si="9"/>
        <v>75</v>
      </c>
      <c r="AF49" s="186">
        <v>0</v>
      </c>
      <c r="AG49" s="186">
        <v>1</v>
      </c>
      <c r="AH49" s="186">
        <v>1</v>
      </c>
    </row>
    <row r="50" spans="1:34" x14ac:dyDescent="0.3">
      <c r="A50" s="61" t="s">
        <v>91</v>
      </c>
      <c r="B50" s="5" t="s">
        <v>64</v>
      </c>
      <c r="C50" s="175" t="s">
        <v>0</v>
      </c>
      <c r="D50" s="6">
        <v>100</v>
      </c>
      <c r="E50" s="175" t="s">
        <v>11</v>
      </c>
      <c r="F50" s="175" t="s">
        <v>11</v>
      </c>
      <c r="G50" s="175" t="s">
        <v>12</v>
      </c>
      <c r="H50" s="175">
        <v>2000</v>
      </c>
      <c r="I50" s="176">
        <f ca="1">SUMPRODUCT($M50:$AH50,INDIRECT("'LED,CFL,Inc Lamp - WO017'!$B"&amp;TEXT(MATCH($C50,'LED,CFL,Inc Lamp - WO017'!$A$2:$A$13,0)+1,0)&amp;":$W"&amp;TEXT(MATCH($C50,'LED,CFL,Inc Lamp - WO017'!$A$2:$A$13,0)+1,0)))</f>
        <v>2.1214765288286022</v>
      </c>
      <c r="J50" s="177">
        <f>INDEX('LED,CFL,Inc Lamp - WO017'!$X$2:$X$13,MATCH('LED,CFL,Inc Lamp - Calculator'!$C50,'LED,CFL,Inc Lamp - WO017'!$A$2:$A$13,0))</f>
        <v>7.9629999999999992E-2</v>
      </c>
      <c r="K50" s="176">
        <f>INDEX('LED,CFL,Inc Lamp - WO017'!$AA$2:$AA$13,MATCH('LED,CFL,Inc Lamp - Calculator'!$C50,'LED,CFL,Inc Lamp - WO017'!$A$2:$A$13,0))</f>
        <v>72.260416710552065</v>
      </c>
      <c r="L50" s="176">
        <f t="shared" si="0"/>
        <v>5.7540969826612605</v>
      </c>
      <c r="M50" s="186">
        <v>1</v>
      </c>
      <c r="N50" s="186">
        <v>1</v>
      </c>
      <c r="O50" s="186">
        <v>1</v>
      </c>
      <c r="P50" s="186">
        <v>1</v>
      </c>
      <c r="Q50" s="186">
        <v>1</v>
      </c>
      <c r="R50" s="186">
        <v>1</v>
      </c>
      <c r="S50" s="187">
        <f t="shared" si="1"/>
        <v>1</v>
      </c>
      <c r="T50" s="187">
        <f t="shared" si="2"/>
        <v>0</v>
      </c>
      <c r="U50" s="186">
        <v>1</v>
      </c>
      <c r="V50" s="188">
        <f t="shared" si="10"/>
        <v>2</v>
      </c>
      <c r="W50" s="187">
        <f t="shared" si="4"/>
        <v>70</v>
      </c>
      <c r="X50" s="187">
        <f t="shared" si="5"/>
        <v>25</v>
      </c>
      <c r="Y50" s="187">
        <f t="shared" si="6"/>
        <v>100</v>
      </c>
      <c r="Z50" s="187">
        <f t="shared" si="7"/>
        <v>0</v>
      </c>
      <c r="AA50" s="187">
        <f t="shared" si="8"/>
        <v>1</v>
      </c>
      <c r="AB50" s="186">
        <v>1</v>
      </c>
      <c r="AC50" s="186">
        <v>0</v>
      </c>
      <c r="AD50" s="186">
        <v>0</v>
      </c>
      <c r="AE50" s="187">
        <f t="shared" si="9"/>
        <v>75</v>
      </c>
      <c r="AF50" s="186">
        <v>0</v>
      </c>
      <c r="AG50" s="186">
        <v>1</v>
      </c>
      <c r="AH50" s="186">
        <v>1</v>
      </c>
    </row>
    <row r="51" spans="1:34" x14ac:dyDescent="0.3">
      <c r="A51" s="61" t="s">
        <v>92</v>
      </c>
      <c r="B51" s="5" t="s">
        <v>65</v>
      </c>
      <c r="C51" s="175" t="s">
        <v>0</v>
      </c>
      <c r="D51" s="6">
        <v>100</v>
      </c>
      <c r="E51" s="175" t="s">
        <v>11</v>
      </c>
      <c r="F51" s="175" t="s">
        <v>11</v>
      </c>
      <c r="G51" s="175" t="s">
        <v>12</v>
      </c>
      <c r="H51" s="175">
        <v>2000</v>
      </c>
      <c r="I51" s="176">
        <f ca="1">SUMPRODUCT($M51:$AH51,INDIRECT("'LED,CFL,Inc Lamp - WO017'!$B"&amp;TEXT(MATCH($C51,'LED,CFL,Inc Lamp - WO017'!$A$2:$A$13,0)+1,0)&amp;":$W"&amp;TEXT(MATCH($C51,'LED,CFL,Inc Lamp - WO017'!$A$2:$A$13,0)+1,0)))</f>
        <v>2.1214765288286022</v>
      </c>
      <c r="J51" s="177">
        <f>INDEX('LED,CFL,Inc Lamp - WO017'!$X$2:$X$13,MATCH('LED,CFL,Inc Lamp - Calculator'!$C51,'LED,CFL,Inc Lamp - WO017'!$A$2:$A$13,0))</f>
        <v>7.9629999999999992E-2</v>
      </c>
      <c r="K51" s="176">
        <f>INDEX('LED,CFL,Inc Lamp - WO017'!$AA$2:$AA$13,MATCH('LED,CFL,Inc Lamp - Calculator'!$C51,'LED,CFL,Inc Lamp - WO017'!$A$2:$A$13,0))</f>
        <v>72.260416710552065</v>
      </c>
      <c r="L51" s="176">
        <f t="shared" si="0"/>
        <v>5.7540969826612605</v>
      </c>
      <c r="M51" s="186">
        <v>1</v>
      </c>
      <c r="N51" s="186">
        <v>1</v>
      </c>
      <c r="O51" s="186">
        <v>1</v>
      </c>
      <c r="P51" s="186">
        <v>1</v>
      </c>
      <c r="Q51" s="186">
        <v>1</v>
      </c>
      <c r="R51" s="186">
        <v>1</v>
      </c>
      <c r="S51" s="187">
        <f t="shared" si="1"/>
        <v>1</v>
      </c>
      <c r="T51" s="187">
        <f t="shared" si="2"/>
        <v>0</v>
      </c>
      <c r="U51" s="186">
        <v>1</v>
      </c>
      <c r="V51" s="188">
        <f t="shared" si="10"/>
        <v>2</v>
      </c>
      <c r="W51" s="187">
        <f t="shared" si="4"/>
        <v>70</v>
      </c>
      <c r="X51" s="187">
        <f t="shared" si="5"/>
        <v>25</v>
      </c>
      <c r="Y51" s="187">
        <f t="shared" si="6"/>
        <v>100</v>
      </c>
      <c r="Z51" s="187">
        <f t="shared" si="7"/>
        <v>0</v>
      </c>
      <c r="AA51" s="187">
        <f t="shared" si="8"/>
        <v>1</v>
      </c>
      <c r="AB51" s="186">
        <v>1</v>
      </c>
      <c r="AC51" s="186">
        <v>0</v>
      </c>
      <c r="AD51" s="186">
        <v>0</v>
      </c>
      <c r="AE51" s="187">
        <f t="shared" si="9"/>
        <v>75</v>
      </c>
      <c r="AF51" s="186">
        <v>0</v>
      </c>
      <c r="AG51" s="186">
        <v>1</v>
      </c>
      <c r="AH51" s="186">
        <v>1</v>
      </c>
    </row>
    <row r="52" spans="1:34" x14ac:dyDescent="0.3">
      <c r="A52" s="61" t="s">
        <v>93</v>
      </c>
      <c r="B52" s="5" t="s">
        <v>66</v>
      </c>
      <c r="C52" s="175" t="s">
        <v>0</v>
      </c>
      <c r="D52" s="6">
        <v>100</v>
      </c>
      <c r="E52" s="175" t="s">
        <v>11</v>
      </c>
      <c r="F52" s="175" t="s">
        <v>11</v>
      </c>
      <c r="G52" s="175" t="s">
        <v>12</v>
      </c>
      <c r="H52" s="175">
        <v>2000</v>
      </c>
      <c r="I52" s="176">
        <f ca="1">SUMPRODUCT($M52:$AH52,INDIRECT("'LED,CFL,Inc Lamp - WO017'!$B"&amp;TEXT(MATCH($C52,'LED,CFL,Inc Lamp - WO017'!$A$2:$A$13,0)+1,0)&amp;":$W"&amp;TEXT(MATCH($C52,'LED,CFL,Inc Lamp - WO017'!$A$2:$A$13,0)+1,0)))</f>
        <v>2.1214765288286022</v>
      </c>
      <c r="J52" s="177">
        <f>INDEX('LED,CFL,Inc Lamp - WO017'!$X$2:$X$13,MATCH('LED,CFL,Inc Lamp - Calculator'!$C52,'LED,CFL,Inc Lamp - WO017'!$A$2:$A$13,0))</f>
        <v>7.9629999999999992E-2</v>
      </c>
      <c r="K52" s="176">
        <f>INDEX('LED,CFL,Inc Lamp - WO017'!$AA$2:$AA$13,MATCH('LED,CFL,Inc Lamp - Calculator'!$C52,'LED,CFL,Inc Lamp - WO017'!$A$2:$A$13,0))</f>
        <v>72.260416710552065</v>
      </c>
      <c r="L52" s="176">
        <f t="shared" si="0"/>
        <v>5.7540969826612605</v>
      </c>
      <c r="M52" s="186">
        <v>1</v>
      </c>
      <c r="N52" s="186">
        <v>1</v>
      </c>
      <c r="O52" s="186">
        <v>1</v>
      </c>
      <c r="P52" s="186">
        <v>1</v>
      </c>
      <c r="Q52" s="186">
        <v>1</v>
      </c>
      <c r="R52" s="186">
        <v>1</v>
      </c>
      <c r="S52" s="187">
        <f t="shared" si="1"/>
        <v>1</v>
      </c>
      <c r="T52" s="187">
        <f t="shared" si="2"/>
        <v>0</v>
      </c>
      <c r="U52" s="186">
        <v>1</v>
      </c>
      <c r="V52" s="188">
        <f t="shared" si="10"/>
        <v>2</v>
      </c>
      <c r="W52" s="187">
        <f t="shared" si="4"/>
        <v>70</v>
      </c>
      <c r="X52" s="187">
        <f t="shared" si="5"/>
        <v>25</v>
      </c>
      <c r="Y52" s="187">
        <f t="shared" si="6"/>
        <v>100</v>
      </c>
      <c r="Z52" s="187">
        <f t="shared" si="7"/>
        <v>0</v>
      </c>
      <c r="AA52" s="187">
        <f t="shared" si="8"/>
        <v>1</v>
      </c>
      <c r="AB52" s="186">
        <v>1</v>
      </c>
      <c r="AC52" s="186">
        <v>0</v>
      </c>
      <c r="AD52" s="186">
        <v>0</v>
      </c>
      <c r="AE52" s="187">
        <f t="shared" si="9"/>
        <v>75</v>
      </c>
      <c r="AF52" s="186">
        <v>0</v>
      </c>
      <c r="AG52" s="186">
        <v>1</v>
      </c>
      <c r="AH52" s="186">
        <v>1</v>
      </c>
    </row>
    <row r="53" spans="1:34" x14ac:dyDescent="0.3">
      <c r="A53" s="61" t="s">
        <v>94</v>
      </c>
      <c r="B53" s="5" t="s">
        <v>67</v>
      </c>
      <c r="C53" s="175" t="s">
        <v>0</v>
      </c>
      <c r="D53" s="6">
        <v>100</v>
      </c>
      <c r="E53" s="175" t="s">
        <v>11</v>
      </c>
      <c r="F53" s="175" t="s">
        <v>11</v>
      </c>
      <c r="G53" s="175" t="s">
        <v>12</v>
      </c>
      <c r="H53" s="175">
        <v>2000</v>
      </c>
      <c r="I53" s="176">
        <f ca="1">SUMPRODUCT($M53:$AH53,INDIRECT("'LED,CFL,Inc Lamp - WO017'!$B"&amp;TEXT(MATCH($C53,'LED,CFL,Inc Lamp - WO017'!$A$2:$A$13,0)+1,0)&amp;":$W"&amp;TEXT(MATCH($C53,'LED,CFL,Inc Lamp - WO017'!$A$2:$A$13,0)+1,0)))</f>
        <v>2.1214765288286022</v>
      </c>
      <c r="J53" s="177">
        <f>INDEX('LED,CFL,Inc Lamp - WO017'!$X$2:$X$13,MATCH('LED,CFL,Inc Lamp - Calculator'!$C53,'LED,CFL,Inc Lamp - WO017'!$A$2:$A$13,0))</f>
        <v>7.9629999999999992E-2</v>
      </c>
      <c r="K53" s="176">
        <f>INDEX('LED,CFL,Inc Lamp - WO017'!$AA$2:$AA$13,MATCH('LED,CFL,Inc Lamp - Calculator'!$C53,'LED,CFL,Inc Lamp - WO017'!$A$2:$A$13,0))</f>
        <v>72.260416710552065</v>
      </c>
      <c r="L53" s="176">
        <f t="shared" si="0"/>
        <v>5.7540969826612605</v>
      </c>
      <c r="M53" s="186">
        <v>1</v>
      </c>
      <c r="N53" s="186">
        <v>1</v>
      </c>
      <c r="O53" s="186">
        <v>1</v>
      </c>
      <c r="P53" s="186">
        <v>1</v>
      </c>
      <c r="Q53" s="186">
        <v>1</v>
      </c>
      <c r="R53" s="186">
        <v>1</v>
      </c>
      <c r="S53" s="187">
        <f t="shared" si="1"/>
        <v>1</v>
      </c>
      <c r="T53" s="187">
        <f t="shared" si="2"/>
        <v>0</v>
      </c>
      <c r="U53" s="186">
        <v>1</v>
      </c>
      <c r="V53" s="188">
        <f t="shared" si="10"/>
        <v>2</v>
      </c>
      <c r="W53" s="187">
        <f t="shared" si="4"/>
        <v>70</v>
      </c>
      <c r="X53" s="187">
        <f t="shared" si="5"/>
        <v>25</v>
      </c>
      <c r="Y53" s="187">
        <f t="shared" si="6"/>
        <v>100</v>
      </c>
      <c r="Z53" s="187">
        <f t="shared" si="7"/>
        <v>0</v>
      </c>
      <c r="AA53" s="187">
        <f t="shared" si="8"/>
        <v>1</v>
      </c>
      <c r="AB53" s="186">
        <v>1</v>
      </c>
      <c r="AC53" s="186">
        <v>0</v>
      </c>
      <c r="AD53" s="186">
        <v>0</v>
      </c>
      <c r="AE53" s="187">
        <f t="shared" si="9"/>
        <v>75</v>
      </c>
      <c r="AF53" s="186">
        <v>0</v>
      </c>
      <c r="AG53" s="186">
        <v>1</v>
      </c>
      <c r="AH53" s="186">
        <v>1</v>
      </c>
    </row>
    <row r="54" spans="1:34" x14ac:dyDescent="0.3">
      <c r="A54" s="61" t="s">
        <v>95</v>
      </c>
      <c r="B54" s="5" t="s">
        <v>68</v>
      </c>
      <c r="C54" s="175" t="s">
        <v>0</v>
      </c>
      <c r="D54" s="6">
        <v>100</v>
      </c>
      <c r="E54" s="175" t="s">
        <v>11</v>
      </c>
      <c r="F54" s="175" t="s">
        <v>11</v>
      </c>
      <c r="G54" s="175" t="s">
        <v>12</v>
      </c>
      <c r="H54" s="175">
        <v>2000</v>
      </c>
      <c r="I54" s="176">
        <f ca="1">SUMPRODUCT($M54:$AH54,INDIRECT("'LED,CFL,Inc Lamp - WO017'!$B"&amp;TEXT(MATCH($C54,'LED,CFL,Inc Lamp - WO017'!$A$2:$A$13,0)+1,0)&amp;":$W"&amp;TEXT(MATCH($C54,'LED,CFL,Inc Lamp - WO017'!$A$2:$A$13,0)+1,0)))</f>
        <v>2.1214765288286022</v>
      </c>
      <c r="J54" s="177">
        <f>INDEX('LED,CFL,Inc Lamp - WO017'!$X$2:$X$13,MATCH('LED,CFL,Inc Lamp - Calculator'!$C54,'LED,CFL,Inc Lamp - WO017'!$A$2:$A$13,0))</f>
        <v>7.9629999999999992E-2</v>
      </c>
      <c r="K54" s="176">
        <f>INDEX('LED,CFL,Inc Lamp - WO017'!$AA$2:$AA$13,MATCH('LED,CFL,Inc Lamp - Calculator'!$C54,'LED,CFL,Inc Lamp - WO017'!$A$2:$A$13,0))</f>
        <v>72.260416710552065</v>
      </c>
      <c r="L54" s="176">
        <f t="shared" si="0"/>
        <v>5.7540969826612605</v>
      </c>
      <c r="M54" s="186">
        <v>1</v>
      </c>
      <c r="N54" s="186">
        <v>1</v>
      </c>
      <c r="O54" s="186">
        <v>1</v>
      </c>
      <c r="P54" s="186">
        <v>1</v>
      </c>
      <c r="Q54" s="186">
        <v>1</v>
      </c>
      <c r="R54" s="186">
        <v>1</v>
      </c>
      <c r="S54" s="187">
        <f t="shared" si="1"/>
        <v>1</v>
      </c>
      <c r="T54" s="187">
        <f t="shared" si="2"/>
        <v>0</v>
      </c>
      <c r="U54" s="186">
        <v>1</v>
      </c>
      <c r="V54" s="188">
        <f t="shared" si="10"/>
        <v>2</v>
      </c>
      <c r="W54" s="187">
        <f t="shared" si="4"/>
        <v>70</v>
      </c>
      <c r="X54" s="187">
        <f t="shared" si="5"/>
        <v>25</v>
      </c>
      <c r="Y54" s="187">
        <f t="shared" si="6"/>
        <v>100</v>
      </c>
      <c r="Z54" s="187">
        <f t="shared" si="7"/>
        <v>0</v>
      </c>
      <c r="AA54" s="187">
        <f t="shared" si="8"/>
        <v>1</v>
      </c>
      <c r="AB54" s="186">
        <v>1</v>
      </c>
      <c r="AC54" s="186">
        <v>0</v>
      </c>
      <c r="AD54" s="186">
        <v>0</v>
      </c>
      <c r="AE54" s="187">
        <f t="shared" si="9"/>
        <v>75</v>
      </c>
      <c r="AF54" s="186">
        <v>0</v>
      </c>
      <c r="AG54" s="186">
        <v>1</v>
      </c>
      <c r="AH54" s="186">
        <v>1</v>
      </c>
    </row>
  </sheetData>
  <pageMargins left="0.7" right="0.7" top="0.75" bottom="0.75" header="0.3" footer="0.3"/>
  <pageSetup orientation="portrait" verticalDpi="0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'LED,CFL,Inc Lamp - WO017'!$K$18:$K$19</xm:f>
          </x14:formula1>
          <xm:sqref>E3:G54</xm:sqref>
        </x14:dataValidation>
        <x14:dataValidation type="list" allowBlank="1" showInputMessage="1" showErrorMessage="1">
          <x14:formula1>
            <xm:f>'LED,CFL,Inc Lamp - WO017'!$A$2:$A$13</xm:f>
          </x14:formula1>
          <xm:sqref>C3:C54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98"/>
  <sheetViews>
    <sheetView tabSelected="1" topLeftCell="C1" zoomScale="85" zoomScaleNormal="85" workbookViewId="0">
      <selection activeCell="J15" sqref="J15"/>
    </sheetView>
  </sheetViews>
  <sheetFormatPr defaultRowHeight="14.4" x14ac:dyDescent="0.3"/>
  <cols>
    <col min="1" max="1" width="22.33203125" bestFit="1" customWidth="1"/>
    <col min="2" max="2" width="27.33203125" customWidth="1"/>
    <col min="3" max="3" width="9.88671875" bestFit="1" customWidth="1"/>
    <col min="4" max="4" width="16.6640625" bestFit="1" customWidth="1"/>
    <col min="5" max="5" width="9.88671875" bestFit="1" customWidth="1"/>
    <col min="6" max="6" width="13.44140625" bestFit="1" customWidth="1"/>
    <col min="10" max="10" width="10.109375" customWidth="1"/>
    <col min="20" max="20" width="10.109375" bestFit="1" customWidth="1"/>
    <col min="23" max="23" width="10.109375" bestFit="1" customWidth="1"/>
  </cols>
  <sheetData>
    <row r="1" spans="1:27" s="55" customFormat="1" ht="55.2" customHeight="1" x14ac:dyDescent="0.25">
      <c r="A1" s="55" t="s">
        <v>138</v>
      </c>
      <c r="B1" s="55" t="s">
        <v>24</v>
      </c>
      <c r="C1" s="55" t="s">
        <v>1</v>
      </c>
      <c r="D1" s="55" t="s">
        <v>9</v>
      </c>
      <c r="E1" s="56" t="s">
        <v>13</v>
      </c>
      <c r="F1" s="56" t="s">
        <v>14</v>
      </c>
      <c r="G1" s="56" t="s">
        <v>31</v>
      </c>
      <c r="H1" s="56" t="s">
        <v>15</v>
      </c>
      <c r="I1" s="56" t="s">
        <v>32</v>
      </c>
      <c r="J1" s="56" t="s">
        <v>16</v>
      </c>
      <c r="K1" s="56" t="s">
        <v>17</v>
      </c>
      <c r="L1" s="56" t="s">
        <v>20</v>
      </c>
      <c r="M1" s="56" t="s">
        <v>22</v>
      </c>
      <c r="N1" s="56" t="s">
        <v>27</v>
      </c>
      <c r="O1" s="55" t="s">
        <v>106</v>
      </c>
      <c r="P1" s="55" t="s">
        <v>30</v>
      </c>
      <c r="Q1" s="57" t="s">
        <v>33</v>
      </c>
      <c r="R1" s="57" t="s">
        <v>34</v>
      </c>
      <c r="S1" s="57" t="s">
        <v>35</v>
      </c>
      <c r="T1" s="57" t="s">
        <v>38</v>
      </c>
      <c r="U1" s="55" t="s">
        <v>41</v>
      </c>
      <c r="V1" s="57" t="s">
        <v>119</v>
      </c>
      <c r="W1" s="55" t="s">
        <v>125</v>
      </c>
      <c r="X1" s="55" t="s">
        <v>141</v>
      </c>
      <c r="Y1" s="55" t="s">
        <v>142</v>
      </c>
      <c r="Z1" s="55" t="s">
        <v>143</v>
      </c>
      <c r="AA1" s="55" t="s">
        <v>145</v>
      </c>
    </row>
    <row r="2" spans="1:27" ht="15" x14ac:dyDescent="0.25">
      <c r="A2" t="s">
        <v>0</v>
      </c>
      <c r="B2" s="58">
        <f>F25</f>
        <v>2.1320000000000001</v>
      </c>
      <c r="C2">
        <f>IFERROR(INDEX($E$18:$E$197,MATCH($A2&amp;C$1,$G$18:$G$197,0)),"")</f>
        <v>0.23660871331703187</v>
      </c>
      <c r="D2">
        <f t="shared" ref="D2:W13" si="0">IFERROR(INDEX($E$18:$E$197,MATCH($A2&amp;D$1,$G$18:$G$197,0)),"")</f>
        <v>0.33389999999999997</v>
      </c>
      <c r="E2">
        <f t="shared" si="0"/>
        <v>-1.5510102196833333</v>
      </c>
      <c r="F2">
        <f t="shared" si="0"/>
        <v>-0.91182594348326618</v>
      </c>
      <c r="G2" t="str">
        <f t="shared" si="0"/>
        <v/>
      </c>
      <c r="H2">
        <f t="shared" si="0"/>
        <v>0.46179999999999999</v>
      </c>
      <c r="I2" t="str">
        <f t="shared" si="0"/>
        <v/>
      </c>
      <c r="J2">
        <f t="shared" si="0"/>
        <v>0.59860397867817006</v>
      </c>
      <c r="K2">
        <f t="shared" si="0"/>
        <v>0.19869999999999999</v>
      </c>
      <c r="L2">
        <f t="shared" si="0"/>
        <v>9.1999999999999998E-3</v>
      </c>
      <c r="M2">
        <f t="shared" si="0"/>
        <v>-8.8000000000000005E-3</v>
      </c>
      <c r="N2" t="str">
        <f t="shared" si="0"/>
        <v/>
      </c>
      <c r="O2" t="str">
        <f t="shared" si="0"/>
        <v/>
      </c>
      <c r="P2" t="str">
        <f t="shared" si="0"/>
        <v/>
      </c>
      <c r="Q2" t="str">
        <f t="shared" si="0"/>
        <v/>
      </c>
      <c r="R2" t="str">
        <f t="shared" si="0"/>
        <v/>
      </c>
      <c r="S2" t="str">
        <f t="shared" si="0"/>
        <v/>
      </c>
      <c r="T2" t="str">
        <f t="shared" si="0"/>
        <v/>
      </c>
      <c r="U2" t="str">
        <f t="shared" si="0"/>
        <v/>
      </c>
      <c r="V2" t="str">
        <f t="shared" si="0"/>
        <v/>
      </c>
      <c r="W2" t="str">
        <f t="shared" si="0"/>
        <v/>
      </c>
      <c r="X2">
        <v>7.9629999999999992E-2</v>
      </c>
      <c r="Y2" s="55">
        <v>58.274529605283924</v>
      </c>
      <c r="Z2" s="55">
        <v>0.24</v>
      </c>
      <c r="AA2">
        <f>Y2*(1+Z2)</f>
        <v>72.260416710552065</v>
      </c>
    </row>
    <row r="3" spans="1:27" ht="15" x14ac:dyDescent="0.25">
      <c r="A3" t="s">
        <v>25</v>
      </c>
      <c r="B3" s="58">
        <f>F45</f>
        <v>3.984</v>
      </c>
      <c r="C3">
        <f t="shared" ref="C3:T13" si="1">IFERROR(INDEX($E$18:$E$197,MATCH($A3&amp;C$1,$G$18:$G$197,0)),"")</f>
        <v>0.38771064565686919</v>
      </c>
      <c r="D3" t="str">
        <f t="shared" si="1"/>
        <v/>
      </c>
      <c r="E3">
        <f t="shared" si="1"/>
        <v>-0.78677521815365226</v>
      </c>
      <c r="F3">
        <f t="shared" si="1"/>
        <v>-0.21974082679833565</v>
      </c>
      <c r="G3" t="str">
        <f t="shared" si="1"/>
        <v/>
      </c>
      <c r="H3" t="str">
        <f t="shared" si="1"/>
        <v/>
      </c>
      <c r="I3" t="str">
        <f t="shared" si="1"/>
        <v/>
      </c>
      <c r="J3">
        <f t="shared" si="1"/>
        <v>0.98820466400977591</v>
      </c>
      <c r="K3">
        <f t="shared" si="1"/>
        <v>0.5907</v>
      </c>
      <c r="L3" t="str">
        <f t="shared" si="1"/>
        <v/>
      </c>
      <c r="M3" t="str">
        <f t="shared" si="1"/>
        <v/>
      </c>
      <c r="N3">
        <f t="shared" si="1"/>
        <v>1.04E-2</v>
      </c>
      <c r="O3" t="str">
        <f t="shared" si="1"/>
        <v/>
      </c>
      <c r="P3" t="str">
        <f t="shared" si="1"/>
        <v/>
      </c>
      <c r="Q3" t="str">
        <f t="shared" si="1"/>
        <v/>
      </c>
      <c r="R3" t="str">
        <f t="shared" si="1"/>
        <v/>
      </c>
      <c r="S3" t="str">
        <f t="shared" si="1"/>
        <v/>
      </c>
      <c r="T3" t="str">
        <f t="shared" si="1"/>
        <v/>
      </c>
      <c r="U3" t="str">
        <f t="shared" si="0"/>
        <v/>
      </c>
      <c r="V3" t="str">
        <f t="shared" si="0"/>
        <v/>
      </c>
      <c r="W3" t="str">
        <f t="shared" si="0"/>
        <v/>
      </c>
      <c r="X3">
        <v>6.2E-2</v>
      </c>
      <c r="Y3">
        <v>58.274529605283924</v>
      </c>
      <c r="Z3" s="55">
        <v>0.24</v>
      </c>
      <c r="AA3">
        <f t="shared" ref="AA3:AA13" si="2">Y3*(1+Z3)</f>
        <v>72.260416710552065</v>
      </c>
    </row>
    <row r="4" spans="1:27" ht="15" x14ac:dyDescent="0.25">
      <c r="A4" t="s">
        <v>105</v>
      </c>
      <c r="B4" s="58">
        <f>F60</f>
        <v>2.4649999999999999</v>
      </c>
      <c r="C4">
        <f t="shared" si="1"/>
        <v>0.30083311708216776</v>
      </c>
      <c r="D4" t="str">
        <f t="shared" si="0"/>
        <v/>
      </c>
      <c r="E4">
        <f t="shared" si="0"/>
        <v>-0.72266441459518249</v>
      </c>
      <c r="F4">
        <f t="shared" si="0"/>
        <v>-1.8190183849112342E-2</v>
      </c>
      <c r="G4" t="str">
        <f t="shared" si="0"/>
        <v/>
      </c>
      <c r="H4" t="str">
        <f t="shared" si="0"/>
        <v/>
      </c>
      <c r="I4" t="str">
        <f t="shared" si="0"/>
        <v/>
      </c>
      <c r="J4">
        <f t="shared" si="0"/>
        <v>0.42404011642723755</v>
      </c>
      <c r="K4">
        <f t="shared" si="0"/>
        <v>0.96650000000000003</v>
      </c>
      <c r="L4" t="str">
        <f t="shared" si="0"/>
        <v/>
      </c>
      <c r="M4" t="str">
        <f t="shared" si="0"/>
        <v/>
      </c>
      <c r="N4">
        <f t="shared" si="0"/>
        <v>9.2999999999999992E-3</v>
      </c>
      <c r="O4">
        <f t="shared" si="0"/>
        <v>-1.2746999999999999</v>
      </c>
      <c r="P4" t="str">
        <f t="shared" si="0"/>
        <v/>
      </c>
      <c r="Q4" t="str">
        <f t="shared" si="0"/>
        <v/>
      </c>
      <c r="R4" t="str">
        <f t="shared" si="0"/>
        <v/>
      </c>
      <c r="S4" t="str">
        <f t="shared" si="0"/>
        <v/>
      </c>
      <c r="T4" t="str">
        <f t="shared" si="0"/>
        <v/>
      </c>
      <c r="U4" t="str">
        <f t="shared" si="0"/>
        <v/>
      </c>
      <c r="V4" t="str">
        <f t="shared" si="0"/>
        <v/>
      </c>
      <c r="W4" t="str">
        <f t="shared" si="0"/>
        <v/>
      </c>
      <c r="X4">
        <v>0.05</v>
      </c>
      <c r="Y4">
        <v>58.274529605283924</v>
      </c>
      <c r="Z4" s="55">
        <v>0.24</v>
      </c>
      <c r="AA4">
        <f t="shared" si="2"/>
        <v>72.260416710552065</v>
      </c>
    </row>
    <row r="5" spans="1:27" ht="15" x14ac:dyDescent="0.25">
      <c r="A5" t="s">
        <v>107</v>
      </c>
      <c r="B5" s="58">
        <f>F76</f>
        <v>3.743026</v>
      </c>
      <c r="C5">
        <f t="shared" si="1"/>
        <v>0.250270944</v>
      </c>
      <c r="D5" t="str">
        <f t="shared" si="0"/>
        <v/>
      </c>
      <c r="E5">
        <f t="shared" si="0"/>
        <v>-2.4540961096530203</v>
      </c>
      <c r="F5" t="str">
        <f t="shared" si="0"/>
        <v/>
      </c>
      <c r="G5" t="str">
        <f t="shared" si="0"/>
        <v/>
      </c>
      <c r="H5" t="str">
        <f t="shared" si="0"/>
        <v/>
      </c>
      <c r="I5" t="str">
        <f t="shared" si="0"/>
        <v/>
      </c>
      <c r="J5" t="str">
        <f t="shared" si="0"/>
        <v/>
      </c>
      <c r="K5">
        <f t="shared" si="0"/>
        <v>0.25744499999999998</v>
      </c>
      <c r="L5" t="str">
        <f t="shared" si="0"/>
        <v/>
      </c>
      <c r="M5" t="str">
        <f t="shared" si="0"/>
        <v/>
      </c>
      <c r="N5">
        <f t="shared" si="0"/>
        <v>-4.9910000000000004E-4</v>
      </c>
      <c r="O5" t="str">
        <f t="shared" si="0"/>
        <v/>
      </c>
      <c r="P5" t="str">
        <f t="shared" si="0"/>
        <v/>
      </c>
      <c r="Q5" t="str">
        <f t="shared" si="0"/>
        <v/>
      </c>
      <c r="R5" t="str">
        <f t="shared" si="0"/>
        <v/>
      </c>
      <c r="S5" t="str">
        <f t="shared" si="0"/>
        <v/>
      </c>
      <c r="T5" t="str">
        <f t="shared" si="0"/>
        <v/>
      </c>
      <c r="U5" t="str">
        <f t="shared" si="0"/>
        <v/>
      </c>
      <c r="V5" t="str">
        <f t="shared" si="0"/>
        <v/>
      </c>
      <c r="W5" t="str">
        <f t="shared" si="0"/>
        <v/>
      </c>
      <c r="X5">
        <v>7.9629999999999992E-2</v>
      </c>
      <c r="Y5">
        <v>58.274529605283924</v>
      </c>
      <c r="Z5" s="55">
        <v>0.24</v>
      </c>
      <c r="AA5">
        <f t="shared" si="2"/>
        <v>72.260416710552065</v>
      </c>
    </row>
    <row r="6" spans="1:27" ht="15" x14ac:dyDescent="0.25">
      <c r="A6" t="s">
        <v>29</v>
      </c>
      <c r="B6" s="58">
        <f>F87</f>
        <v>3.0430000000000001</v>
      </c>
      <c r="C6">
        <f t="shared" si="1"/>
        <v>-0.14966150225589619</v>
      </c>
      <c r="D6" t="str">
        <f t="shared" si="0"/>
        <v/>
      </c>
      <c r="E6">
        <f t="shared" si="0"/>
        <v>-1.3650539486991144</v>
      </c>
      <c r="F6" t="str">
        <f t="shared" si="0"/>
        <v/>
      </c>
      <c r="G6">
        <f t="shared" si="0"/>
        <v>-0.48019025242705482</v>
      </c>
      <c r="H6">
        <f t="shared" si="0"/>
        <v>6.7507000000000001</v>
      </c>
      <c r="I6">
        <f t="shared" si="0"/>
        <v>5.8051000000000004</v>
      </c>
      <c r="J6" t="str">
        <f t="shared" si="0"/>
        <v/>
      </c>
      <c r="K6">
        <f t="shared" si="0"/>
        <v>6.1600000000000002E-2</v>
      </c>
      <c r="L6" t="str">
        <f t="shared" si="0"/>
        <v/>
      </c>
      <c r="M6" t="str">
        <f t="shared" si="0"/>
        <v/>
      </c>
      <c r="N6">
        <f t="shared" si="0"/>
        <v>6.6500000000000004E-2</v>
      </c>
      <c r="O6" t="str">
        <f t="shared" si="0"/>
        <v/>
      </c>
      <c r="P6">
        <f t="shared" si="0"/>
        <v>1.8411</v>
      </c>
      <c r="Q6">
        <f t="shared" si="0"/>
        <v>0.52692151711335011</v>
      </c>
      <c r="R6">
        <f t="shared" si="0"/>
        <v>-3.5152999999999999</v>
      </c>
      <c r="S6">
        <f t="shared" si="0"/>
        <v>-1.8039000000000001</v>
      </c>
      <c r="T6">
        <f t="shared" si="0"/>
        <v>9.35E-2</v>
      </c>
      <c r="U6" t="str">
        <f t="shared" si="0"/>
        <v/>
      </c>
      <c r="V6" t="str">
        <f t="shared" si="0"/>
        <v/>
      </c>
      <c r="W6" t="str">
        <f t="shared" si="0"/>
        <v/>
      </c>
      <c r="X6">
        <v>7.9629999999999992E-2</v>
      </c>
      <c r="Y6">
        <v>58.274529605283924</v>
      </c>
      <c r="Z6" s="55">
        <v>0.24</v>
      </c>
      <c r="AA6">
        <f t="shared" si="2"/>
        <v>72.260416710552065</v>
      </c>
    </row>
    <row r="7" spans="1:27" ht="15" x14ac:dyDescent="0.25">
      <c r="A7" t="s">
        <v>40</v>
      </c>
      <c r="B7" s="58">
        <f>F113</f>
        <v>5.0279999999999996</v>
      </c>
      <c r="C7">
        <f t="shared" si="1"/>
        <v>0.22669576292256455</v>
      </c>
      <c r="D7" t="str">
        <f t="shared" si="0"/>
        <v/>
      </c>
      <c r="E7">
        <f t="shared" si="0"/>
        <v>-0.57616049970286498</v>
      </c>
      <c r="F7" t="str">
        <f t="shared" si="0"/>
        <v/>
      </c>
      <c r="G7" t="str">
        <f t="shared" si="0"/>
        <v/>
      </c>
      <c r="H7" t="str">
        <f t="shared" si="0"/>
        <v/>
      </c>
      <c r="I7">
        <f t="shared" si="0"/>
        <v>4.0461</v>
      </c>
      <c r="J7">
        <f t="shared" si="0"/>
        <v>0.94713628548481477</v>
      </c>
      <c r="K7" t="str">
        <f t="shared" si="0"/>
        <v/>
      </c>
      <c r="L7" t="str">
        <f t="shared" si="0"/>
        <v/>
      </c>
      <c r="M7" t="str">
        <f t="shared" si="0"/>
        <v/>
      </c>
      <c r="N7">
        <f t="shared" si="0"/>
        <v>0.14729999999999999</v>
      </c>
      <c r="O7" t="str">
        <f t="shared" si="0"/>
        <v/>
      </c>
      <c r="P7" t="str">
        <f t="shared" si="0"/>
        <v/>
      </c>
      <c r="Q7" t="str">
        <f t="shared" si="0"/>
        <v/>
      </c>
      <c r="R7" t="str">
        <f t="shared" si="0"/>
        <v/>
      </c>
      <c r="S7" t="str">
        <f t="shared" si="0"/>
        <v/>
      </c>
      <c r="T7" t="str">
        <f t="shared" si="0"/>
        <v/>
      </c>
      <c r="U7">
        <f t="shared" si="0"/>
        <v>-3.0400999999999998</v>
      </c>
      <c r="V7" t="str">
        <f t="shared" si="0"/>
        <v/>
      </c>
      <c r="W7" t="str">
        <f t="shared" si="0"/>
        <v/>
      </c>
      <c r="X7">
        <v>6.2E-2</v>
      </c>
      <c r="Y7">
        <v>58.274529605283924</v>
      </c>
      <c r="Z7" s="55">
        <v>0.24</v>
      </c>
      <c r="AA7">
        <f t="shared" si="2"/>
        <v>72.260416710552065</v>
      </c>
    </row>
    <row r="8" spans="1:27" ht="15" x14ac:dyDescent="0.25">
      <c r="A8" t="s">
        <v>109</v>
      </c>
      <c r="B8" s="58">
        <f>F129</f>
        <v>7.31541</v>
      </c>
      <c r="C8">
        <f t="shared" si="1"/>
        <v>-0.65479011267261533</v>
      </c>
      <c r="D8" t="str">
        <f t="shared" si="0"/>
        <v/>
      </c>
      <c r="E8">
        <f t="shared" si="0"/>
        <v>-0.29886247320494935</v>
      </c>
      <c r="F8">
        <f t="shared" si="0"/>
        <v>-8.9660079077562239E-4</v>
      </c>
      <c r="G8" t="str">
        <f t="shared" si="0"/>
        <v/>
      </c>
      <c r="H8" t="str">
        <f t="shared" si="0"/>
        <v/>
      </c>
      <c r="I8" t="str">
        <f t="shared" si="0"/>
        <v/>
      </c>
      <c r="J8">
        <f t="shared" si="0"/>
        <v>1.2575680480638753</v>
      </c>
      <c r="K8" t="str">
        <f t="shared" si="0"/>
        <v/>
      </c>
      <c r="L8" t="str">
        <f t="shared" si="0"/>
        <v/>
      </c>
      <c r="M8" t="str">
        <f t="shared" si="0"/>
        <v/>
      </c>
      <c r="N8">
        <f t="shared" si="0"/>
        <v>-2.6200000000000001E-2</v>
      </c>
      <c r="O8" t="str">
        <f t="shared" si="0"/>
        <v/>
      </c>
      <c r="P8" t="str">
        <f t="shared" si="0"/>
        <v/>
      </c>
      <c r="Q8" t="str">
        <f t="shared" si="0"/>
        <v/>
      </c>
      <c r="R8" t="str">
        <f t="shared" si="0"/>
        <v/>
      </c>
      <c r="S8" t="str">
        <f t="shared" si="0"/>
        <v/>
      </c>
      <c r="T8" t="str">
        <f t="shared" si="0"/>
        <v/>
      </c>
      <c r="U8">
        <f t="shared" si="0"/>
        <v>-1.2484</v>
      </c>
      <c r="V8" t="str">
        <f t="shared" si="0"/>
        <v/>
      </c>
      <c r="W8" t="str">
        <f t="shared" si="0"/>
        <v/>
      </c>
      <c r="X8">
        <v>0.05</v>
      </c>
      <c r="Y8">
        <v>58.274529605283924</v>
      </c>
      <c r="Z8" s="55">
        <v>0.24</v>
      </c>
      <c r="AA8">
        <f t="shared" si="2"/>
        <v>72.260416710552065</v>
      </c>
    </row>
    <row r="9" spans="1:27" ht="15" x14ac:dyDescent="0.25">
      <c r="A9" t="s">
        <v>110</v>
      </c>
      <c r="B9" s="58">
        <f>F145</f>
        <v>4.92</v>
      </c>
      <c r="C9">
        <f t="shared" si="1"/>
        <v>0.40973260011515322</v>
      </c>
      <c r="D9" t="str">
        <f t="shared" si="0"/>
        <v/>
      </c>
      <c r="E9">
        <f t="shared" si="0"/>
        <v>-0.11935996496386898</v>
      </c>
      <c r="F9">
        <f t="shared" si="0"/>
        <v>0</v>
      </c>
      <c r="G9" t="str">
        <f t="shared" si="0"/>
        <v/>
      </c>
      <c r="H9" t="str">
        <f t="shared" si="0"/>
        <v/>
      </c>
      <c r="I9" t="str">
        <f t="shared" si="0"/>
        <v/>
      </c>
      <c r="J9" t="str">
        <f t="shared" si="0"/>
        <v/>
      </c>
      <c r="K9">
        <f t="shared" si="0"/>
        <v>7.6799999999999993E-2</v>
      </c>
      <c r="L9" t="str">
        <f t="shared" si="0"/>
        <v/>
      </c>
      <c r="M9" t="str">
        <f t="shared" si="0"/>
        <v/>
      </c>
      <c r="N9">
        <f t="shared" si="0"/>
        <v>0.20599999999999999</v>
      </c>
      <c r="O9" t="str">
        <f t="shared" si="0"/>
        <v/>
      </c>
      <c r="P9" t="str">
        <f t="shared" si="0"/>
        <v/>
      </c>
      <c r="Q9" t="str">
        <f t="shared" si="0"/>
        <v/>
      </c>
      <c r="R9" t="str">
        <f t="shared" si="0"/>
        <v/>
      </c>
      <c r="S9" t="str">
        <f t="shared" si="0"/>
        <v/>
      </c>
      <c r="T9" t="str">
        <f t="shared" si="0"/>
        <v/>
      </c>
      <c r="U9" t="str">
        <f t="shared" si="0"/>
        <v/>
      </c>
      <c r="V9" t="str">
        <f t="shared" si="0"/>
        <v/>
      </c>
      <c r="W9" t="str">
        <f t="shared" si="0"/>
        <v/>
      </c>
      <c r="X9">
        <v>7.9629999999999992E-2</v>
      </c>
      <c r="Y9">
        <v>58.274529605283924</v>
      </c>
      <c r="Z9" s="55">
        <v>0.24</v>
      </c>
      <c r="AA9">
        <f t="shared" si="2"/>
        <v>72.260416710552065</v>
      </c>
    </row>
    <row r="10" spans="1:27" ht="15" x14ac:dyDescent="0.25">
      <c r="A10" t="s">
        <v>117</v>
      </c>
      <c r="B10" s="58">
        <f>F157</f>
        <v>1.9810000000000001</v>
      </c>
      <c r="C10">
        <f t="shared" si="1"/>
        <v>1.261468</v>
      </c>
      <c r="D10" t="str">
        <f t="shared" si="0"/>
        <v/>
      </c>
      <c r="E10" t="str">
        <f t="shared" si="0"/>
        <v/>
      </c>
      <c r="F10" t="str">
        <f t="shared" si="0"/>
        <v/>
      </c>
      <c r="G10" t="str">
        <f t="shared" si="0"/>
        <v/>
      </c>
      <c r="H10" t="str">
        <f t="shared" si="0"/>
        <v/>
      </c>
      <c r="I10" t="str">
        <f t="shared" si="0"/>
        <v/>
      </c>
      <c r="J10">
        <f t="shared" si="0"/>
        <v>4.3042397645981065</v>
      </c>
      <c r="K10" t="str">
        <f t="shared" si="0"/>
        <v>N/A</v>
      </c>
      <c r="L10" t="str">
        <f t="shared" si="0"/>
        <v/>
      </c>
      <c r="M10" t="str">
        <f t="shared" si="0"/>
        <v/>
      </c>
      <c r="N10">
        <f t="shared" si="0"/>
        <v>2.0417999999999998</v>
      </c>
      <c r="O10" t="str">
        <f t="shared" si="0"/>
        <v/>
      </c>
      <c r="P10" t="str">
        <f t="shared" si="0"/>
        <v/>
      </c>
      <c r="Q10" t="str">
        <f t="shared" si="0"/>
        <v/>
      </c>
      <c r="R10" t="str">
        <f t="shared" si="0"/>
        <v/>
      </c>
      <c r="S10" t="str">
        <f t="shared" si="0"/>
        <v/>
      </c>
      <c r="T10" t="str">
        <f t="shared" si="0"/>
        <v/>
      </c>
      <c r="U10">
        <f t="shared" si="0"/>
        <v>-5.5590999999999999</v>
      </c>
      <c r="V10">
        <f t="shared" si="0"/>
        <v>2.3717000000000001</v>
      </c>
      <c r="W10" t="str">
        <f t="shared" si="0"/>
        <v/>
      </c>
      <c r="X10">
        <v>7.9629999999999992E-2</v>
      </c>
      <c r="Y10">
        <v>58.274529605283924</v>
      </c>
      <c r="Z10" s="55">
        <v>0.24</v>
      </c>
      <c r="AA10">
        <f t="shared" si="2"/>
        <v>72.260416710552065</v>
      </c>
    </row>
    <row r="11" spans="1:27" ht="15" x14ac:dyDescent="0.25">
      <c r="A11" t="s">
        <v>122</v>
      </c>
      <c r="B11" s="58">
        <f>F171</f>
        <v>16.594000000000001</v>
      </c>
      <c r="C11">
        <f t="shared" si="1"/>
        <v>1.485276</v>
      </c>
      <c r="D11" t="str">
        <f t="shared" si="0"/>
        <v/>
      </c>
      <c r="E11" t="str">
        <f t="shared" si="0"/>
        <v/>
      </c>
      <c r="F11" t="str">
        <f t="shared" si="0"/>
        <v/>
      </c>
      <c r="G11" t="str">
        <f t="shared" si="0"/>
        <v/>
      </c>
      <c r="H11" t="str">
        <f t="shared" si="0"/>
        <v/>
      </c>
      <c r="I11" t="str">
        <f t="shared" si="0"/>
        <v/>
      </c>
      <c r="J11">
        <f t="shared" si="0"/>
        <v>1.3257784469850966</v>
      </c>
      <c r="K11" t="str">
        <f t="shared" si="0"/>
        <v>N/A</v>
      </c>
      <c r="L11" t="str">
        <f t="shared" si="0"/>
        <v/>
      </c>
      <c r="M11" t="str">
        <f t="shared" si="0"/>
        <v/>
      </c>
      <c r="N11">
        <f t="shared" si="0"/>
        <v>1.4058999999999999</v>
      </c>
      <c r="O11" t="str">
        <f t="shared" si="0"/>
        <v/>
      </c>
      <c r="P11" t="str">
        <f t="shared" si="0"/>
        <v/>
      </c>
      <c r="Q11" t="str">
        <f t="shared" si="0"/>
        <v/>
      </c>
      <c r="R11" t="str">
        <f t="shared" si="0"/>
        <v/>
      </c>
      <c r="S11" t="str">
        <f t="shared" si="0"/>
        <v/>
      </c>
      <c r="T11" t="str">
        <f t="shared" si="0"/>
        <v/>
      </c>
      <c r="U11">
        <f t="shared" si="0"/>
        <v>-6.3373999999999997</v>
      </c>
      <c r="V11">
        <f t="shared" si="0"/>
        <v>7.6079999999999997</v>
      </c>
      <c r="W11" t="str">
        <f t="shared" si="0"/>
        <v/>
      </c>
      <c r="X11">
        <v>6.2E-2</v>
      </c>
      <c r="Y11">
        <v>58.274529605283924</v>
      </c>
      <c r="Z11" s="55">
        <v>0.24</v>
      </c>
      <c r="AA11">
        <f t="shared" si="2"/>
        <v>72.260416710552065</v>
      </c>
    </row>
    <row r="12" spans="1:27" ht="15" x14ac:dyDescent="0.25">
      <c r="A12" t="s">
        <v>124</v>
      </c>
      <c r="B12" s="58">
        <f>F184</f>
        <v>2.3370000000000002</v>
      </c>
      <c r="C12">
        <f t="shared" si="1"/>
        <v>2.5364559999999998</v>
      </c>
      <c r="D12" t="str">
        <f t="shared" si="0"/>
        <v/>
      </c>
      <c r="E12" t="str">
        <f t="shared" si="0"/>
        <v/>
      </c>
      <c r="F12" t="str">
        <f t="shared" si="0"/>
        <v/>
      </c>
      <c r="G12" t="str">
        <f t="shared" si="0"/>
        <v/>
      </c>
      <c r="H12" t="str">
        <f t="shared" si="0"/>
        <v/>
      </c>
      <c r="I12" t="str">
        <f t="shared" si="0"/>
        <v/>
      </c>
      <c r="J12">
        <f t="shared" si="0"/>
        <v>1.7256899841855562</v>
      </c>
      <c r="K12">
        <f t="shared" si="0"/>
        <v>7.4200000000000002E-2</v>
      </c>
      <c r="L12" t="str">
        <f t="shared" si="0"/>
        <v/>
      </c>
      <c r="M12" t="str">
        <f t="shared" si="0"/>
        <v/>
      </c>
      <c r="N12">
        <f t="shared" si="0"/>
        <v>2.3014999999999999</v>
      </c>
      <c r="O12" t="str">
        <f t="shared" si="0"/>
        <v/>
      </c>
      <c r="P12" t="str">
        <f t="shared" si="0"/>
        <v/>
      </c>
      <c r="Q12" t="str">
        <f t="shared" si="0"/>
        <v/>
      </c>
      <c r="R12" t="str">
        <f t="shared" si="0"/>
        <v/>
      </c>
      <c r="S12" t="str">
        <f t="shared" si="0"/>
        <v/>
      </c>
      <c r="T12" t="str">
        <f t="shared" si="0"/>
        <v/>
      </c>
      <c r="U12" t="str">
        <f t="shared" si="0"/>
        <v/>
      </c>
      <c r="V12" t="str">
        <f t="shared" si="0"/>
        <v/>
      </c>
      <c r="W12">
        <f t="shared" si="0"/>
        <v>3.9699</v>
      </c>
      <c r="X12">
        <v>0.05</v>
      </c>
      <c r="Y12">
        <v>58.274529605283924</v>
      </c>
      <c r="Z12" s="55">
        <v>0.24</v>
      </c>
      <c r="AA12">
        <f t="shared" si="2"/>
        <v>72.260416710552065</v>
      </c>
    </row>
    <row r="13" spans="1:27" ht="15" x14ac:dyDescent="0.25">
      <c r="A13" t="s">
        <v>128</v>
      </c>
      <c r="B13" s="58">
        <f>F195</f>
        <v>1.863</v>
      </c>
      <c r="C13">
        <f t="shared" si="1"/>
        <v>1.6313960000000001</v>
      </c>
      <c r="D13" t="str">
        <f t="shared" si="0"/>
        <v/>
      </c>
      <c r="E13" t="str">
        <f t="shared" si="0"/>
        <v/>
      </c>
      <c r="F13" t="str">
        <f t="shared" si="0"/>
        <v/>
      </c>
      <c r="G13" t="str">
        <f t="shared" si="0"/>
        <v/>
      </c>
      <c r="H13" t="str">
        <f t="shared" si="0"/>
        <v/>
      </c>
      <c r="I13" t="str">
        <f t="shared" si="0"/>
        <v/>
      </c>
      <c r="J13">
        <f t="shared" si="0"/>
        <v>0.6890043964923831</v>
      </c>
      <c r="K13" t="str">
        <f t="shared" si="0"/>
        <v>N/A</v>
      </c>
      <c r="L13" t="str">
        <f t="shared" si="0"/>
        <v/>
      </c>
      <c r="M13" t="str">
        <f t="shared" si="0"/>
        <v/>
      </c>
      <c r="N13">
        <f t="shared" si="0"/>
        <v>2.9723000000000002</v>
      </c>
      <c r="O13" t="str">
        <f t="shared" si="0"/>
        <v/>
      </c>
      <c r="P13" t="str">
        <f t="shared" si="0"/>
        <v/>
      </c>
      <c r="Q13" t="str">
        <f t="shared" si="0"/>
        <v/>
      </c>
      <c r="R13" t="str">
        <f t="shared" si="0"/>
        <v/>
      </c>
      <c r="S13" t="str">
        <f t="shared" si="0"/>
        <v/>
      </c>
      <c r="T13" t="str">
        <f t="shared" si="0"/>
        <v/>
      </c>
      <c r="U13" t="str">
        <f t="shared" si="0"/>
        <v/>
      </c>
      <c r="V13" t="str">
        <f t="shared" si="0"/>
        <v/>
      </c>
      <c r="W13" t="str">
        <f t="shared" si="0"/>
        <v/>
      </c>
      <c r="X13">
        <v>7.9629999999999992E-2</v>
      </c>
      <c r="Y13">
        <v>58.274529605283924</v>
      </c>
      <c r="Z13" s="55">
        <v>0.24</v>
      </c>
      <c r="AA13">
        <f t="shared" si="2"/>
        <v>72.260416710552065</v>
      </c>
    </row>
    <row r="16" spans="1:27" ht="15.75" thickBot="1" x14ac:dyDescent="0.3"/>
    <row r="17" spans="1:11" ht="24" thickBot="1" x14ac:dyDescent="0.35">
      <c r="A17" s="53" t="s">
        <v>137</v>
      </c>
      <c r="B17" s="54"/>
      <c r="C17" s="54"/>
      <c r="D17" s="54"/>
      <c r="E17" s="54"/>
      <c r="F17" s="54"/>
      <c r="K17" t="s">
        <v>196</v>
      </c>
    </row>
    <row r="18" spans="1:11" x14ac:dyDescent="0.3">
      <c r="A18" s="218" t="s">
        <v>0</v>
      </c>
      <c r="B18" s="224" t="s">
        <v>1</v>
      </c>
      <c r="C18" s="205" t="s">
        <v>2</v>
      </c>
      <c r="D18" s="9" t="s">
        <v>3</v>
      </c>
      <c r="E18" s="205">
        <v>0.23660871331703187</v>
      </c>
      <c r="F18" s="42" t="s">
        <v>131</v>
      </c>
      <c r="G18" s="63" t="str">
        <f>$A$18&amp;B18</f>
        <v>Incandescent A-LampChannel</v>
      </c>
      <c r="K18" t="s">
        <v>11</v>
      </c>
    </row>
    <row r="19" spans="1:11" x14ac:dyDescent="0.3">
      <c r="A19" s="219"/>
      <c r="B19" s="216"/>
      <c r="C19" s="208"/>
      <c r="D19" s="10" t="s">
        <v>4</v>
      </c>
      <c r="E19" s="208"/>
      <c r="F19" s="43" t="s">
        <v>132</v>
      </c>
      <c r="G19" s="63" t="str">
        <f t="shared" ref="G19:G36" si="3">$A$18&amp;B19</f>
        <v>Incandescent A-Lamp</v>
      </c>
      <c r="K19" t="s">
        <v>12</v>
      </c>
    </row>
    <row r="20" spans="1:11" x14ac:dyDescent="0.3">
      <c r="A20" s="219"/>
      <c r="B20" s="216"/>
      <c r="C20" s="208"/>
      <c r="D20" s="9" t="s">
        <v>5</v>
      </c>
      <c r="E20" s="208"/>
      <c r="F20" s="44" t="s">
        <v>133</v>
      </c>
      <c r="G20" s="63" t="str">
        <f t="shared" si="3"/>
        <v>Incandescent A-Lamp</v>
      </c>
    </row>
    <row r="21" spans="1:11" x14ac:dyDescent="0.3">
      <c r="A21" s="219"/>
      <c r="B21" s="216"/>
      <c r="C21" s="208"/>
      <c r="D21" s="9" t="s">
        <v>6</v>
      </c>
      <c r="E21" s="208"/>
      <c r="F21" s="45" t="s">
        <v>134</v>
      </c>
      <c r="G21" s="63" t="str">
        <f t="shared" si="3"/>
        <v>Incandescent A-Lamp</v>
      </c>
    </row>
    <row r="22" spans="1:11" x14ac:dyDescent="0.3">
      <c r="A22" s="219"/>
      <c r="B22" s="216"/>
      <c r="C22" s="208"/>
      <c r="D22" s="9" t="s">
        <v>7</v>
      </c>
      <c r="E22" s="208"/>
      <c r="F22" s="42" t="s">
        <v>135</v>
      </c>
      <c r="G22" s="63" t="str">
        <f t="shared" si="3"/>
        <v>Incandescent A-Lamp</v>
      </c>
    </row>
    <row r="23" spans="1:11" x14ac:dyDescent="0.3">
      <c r="A23" s="219"/>
      <c r="B23" s="217"/>
      <c r="C23" s="206"/>
      <c r="D23" s="9" t="s">
        <v>8</v>
      </c>
      <c r="E23" s="206"/>
      <c r="F23" s="45" t="s">
        <v>134</v>
      </c>
      <c r="G23" s="63" t="str">
        <f t="shared" si="3"/>
        <v>Incandescent A-Lamp</v>
      </c>
    </row>
    <row r="24" spans="1:11" x14ac:dyDescent="0.3">
      <c r="A24" s="219"/>
      <c r="B24" s="215" t="s">
        <v>9</v>
      </c>
      <c r="C24" s="205" t="s">
        <v>10</v>
      </c>
      <c r="D24" s="9" t="s">
        <v>11</v>
      </c>
      <c r="E24" s="205">
        <v>0.33389999999999997</v>
      </c>
      <c r="F24" s="42" t="s">
        <v>24</v>
      </c>
      <c r="G24" s="63" t="str">
        <f t="shared" si="3"/>
        <v>Incandescent A-LampEISA</v>
      </c>
    </row>
    <row r="25" spans="1:11" x14ac:dyDescent="0.3">
      <c r="A25" s="219"/>
      <c r="B25" s="217"/>
      <c r="C25" s="206"/>
      <c r="D25" s="9" t="s">
        <v>12</v>
      </c>
      <c r="E25" s="206">
        <v>0</v>
      </c>
      <c r="F25" s="8">
        <v>2.1320000000000001</v>
      </c>
      <c r="G25" s="63" t="str">
        <f t="shared" si="3"/>
        <v>Incandescent A-Lamp</v>
      </c>
    </row>
    <row r="26" spans="1:11" x14ac:dyDescent="0.3">
      <c r="A26" s="219"/>
      <c r="B26" s="215" t="s">
        <v>13</v>
      </c>
      <c r="C26" s="205" t="s">
        <v>10</v>
      </c>
      <c r="D26" s="9" t="s">
        <v>11</v>
      </c>
      <c r="E26" s="205">
        <v>-1.5510102196833333</v>
      </c>
      <c r="F26" s="46" t="s">
        <v>136</v>
      </c>
      <c r="G26" s="63" t="str">
        <f t="shared" si="3"/>
        <v>Incandescent A-LampPackage size: 2 or more</v>
      </c>
    </row>
    <row r="27" spans="1:11" x14ac:dyDescent="0.3">
      <c r="A27" s="219"/>
      <c r="B27" s="217"/>
      <c r="C27" s="206"/>
      <c r="D27" s="9" t="s">
        <v>12</v>
      </c>
      <c r="E27" s="206"/>
      <c r="F27" s="47" t="s">
        <v>121</v>
      </c>
      <c r="G27" s="63" t="str">
        <f t="shared" si="3"/>
        <v>Incandescent A-Lamp</v>
      </c>
    </row>
    <row r="28" spans="1:11" x14ac:dyDescent="0.3">
      <c r="A28" s="219"/>
      <c r="B28" s="215" t="s">
        <v>14</v>
      </c>
      <c r="C28" s="205" t="s">
        <v>10</v>
      </c>
      <c r="D28" s="9" t="s">
        <v>11</v>
      </c>
      <c r="E28" s="205">
        <v>-0.91182594348326618</v>
      </c>
      <c r="F28" s="48"/>
      <c r="G28" s="63" t="str">
        <f t="shared" si="3"/>
        <v>Incandescent A-LampPackage size: 3 or more</v>
      </c>
    </row>
    <row r="29" spans="1:11" x14ac:dyDescent="0.3">
      <c r="A29" s="219"/>
      <c r="B29" s="217"/>
      <c r="C29" s="206"/>
      <c r="D29" s="9" t="s">
        <v>12</v>
      </c>
      <c r="E29" s="206"/>
      <c r="F29" s="48"/>
      <c r="G29" s="63" t="str">
        <f t="shared" si="3"/>
        <v>Incandescent A-Lamp</v>
      </c>
    </row>
    <row r="30" spans="1:11" x14ac:dyDescent="0.3">
      <c r="A30" s="219"/>
      <c r="B30" s="215" t="s">
        <v>15</v>
      </c>
      <c r="C30" s="205" t="s">
        <v>10</v>
      </c>
      <c r="D30" s="9" t="s">
        <v>11</v>
      </c>
      <c r="E30" s="205">
        <v>0.46179999999999999</v>
      </c>
      <c r="F30" s="48"/>
      <c r="G30" s="63" t="str">
        <f t="shared" si="3"/>
        <v>Incandescent A-LampThree-way</v>
      </c>
    </row>
    <row r="31" spans="1:11" x14ac:dyDescent="0.3">
      <c r="A31" s="219"/>
      <c r="B31" s="217"/>
      <c r="C31" s="206"/>
      <c r="D31" s="9" t="s">
        <v>12</v>
      </c>
      <c r="E31" s="206">
        <v>0</v>
      </c>
      <c r="F31" s="48"/>
      <c r="G31" s="63" t="str">
        <f t="shared" si="3"/>
        <v>Incandescent A-Lamp</v>
      </c>
    </row>
    <row r="32" spans="1:11" x14ac:dyDescent="0.3">
      <c r="A32" s="219"/>
      <c r="B32" s="215" t="s">
        <v>16</v>
      </c>
      <c r="C32" s="205" t="s">
        <v>10</v>
      </c>
      <c r="D32" s="9" t="s">
        <v>11</v>
      </c>
      <c r="E32" s="205">
        <v>0.59860397867817006</v>
      </c>
      <c r="F32" s="48"/>
      <c r="G32" s="63" t="str">
        <f t="shared" si="3"/>
        <v>Incandescent A-LampNational brand</v>
      </c>
    </row>
    <row r="33" spans="1:7" x14ac:dyDescent="0.3">
      <c r="A33" s="219"/>
      <c r="B33" s="217"/>
      <c r="C33" s="206"/>
      <c r="D33" s="9" t="s">
        <v>12</v>
      </c>
      <c r="E33" s="206"/>
      <c r="F33" s="48"/>
      <c r="G33" s="63" t="str">
        <f t="shared" si="3"/>
        <v>Incandescent A-Lamp</v>
      </c>
    </row>
    <row r="34" spans="1:7" x14ac:dyDescent="0.3">
      <c r="A34" s="219"/>
      <c r="B34" s="11" t="s">
        <v>17</v>
      </c>
      <c r="C34" s="12" t="s">
        <v>18</v>
      </c>
      <c r="D34" s="9" t="s">
        <v>19</v>
      </c>
      <c r="E34" s="12">
        <v>0.19869999999999999</v>
      </c>
      <c r="F34" s="48"/>
      <c r="G34" s="63" t="str">
        <f t="shared" si="3"/>
        <v>Incandescent A-LampExpected Life (1000s of hours)</v>
      </c>
    </row>
    <row r="35" spans="1:7" x14ac:dyDescent="0.3">
      <c r="A35" s="219"/>
      <c r="B35" s="13" t="s">
        <v>20</v>
      </c>
      <c r="C35" s="14" t="s">
        <v>18</v>
      </c>
      <c r="D35" s="15" t="s">
        <v>21</v>
      </c>
      <c r="E35" s="14">
        <v>9.1999999999999998E-3</v>
      </c>
      <c r="F35" s="49"/>
      <c r="G35" s="63" t="str">
        <f t="shared" si="3"/>
        <v>Incandescent A-LampWatts over 30</v>
      </c>
    </row>
    <row r="36" spans="1:7" ht="15" thickBot="1" x14ac:dyDescent="0.35">
      <c r="A36" s="219"/>
      <c r="B36" s="13" t="s">
        <v>22</v>
      </c>
      <c r="C36" s="14" t="s">
        <v>10</v>
      </c>
      <c r="D36" s="9" t="s">
        <v>23</v>
      </c>
      <c r="E36" s="14">
        <v>-8.8000000000000005E-3</v>
      </c>
      <c r="F36" s="48"/>
      <c r="G36" s="63" t="str">
        <f t="shared" si="3"/>
        <v>Incandescent A-LampWatts over 75</v>
      </c>
    </row>
    <row r="37" spans="1:7" ht="15" thickBot="1" x14ac:dyDescent="0.35">
      <c r="A37" s="16"/>
      <c r="B37" s="17"/>
      <c r="C37" s="18"/>
      <c r="D37" s="19"/>
      <c r="E37" s="18"/>
      <c r="F37" s="50"/>
      <c r="G37" s="63"/>
    </row>
    <row r="38" spans="1:7" x14ac:dyDescent="0.3">
      <c r="A38" s="218" t="s">
        <v>25</v>
      </c>
      <c r="B38" s="215" t="s">
        <v>1</v>
      </c>
      <c r="C38" s="205" t="s">
        <v>2</v>
      </c>
      <c r="D38" s="9" t="s">
        <v>3</v>
      </c>
      <c r="E38" s="205">
        <v>0.38771064565686919</v>
      </c>
      <c r="F38" s="42" t="s">
        <v>131</v>
      </c>
      <c r="G38" s="63" t="str">
        <f>$A$38&amp;B38</f>
        <v>Incandescent ReflectorChannel</v>
      </c>
    </row>
    <row r="39" spans="1:7" x14ac:dyDescent="0.3">
      <c r="A39" s="219"/>
      <c r="B39" s="216"/>
      <c r="C39" s="208"/>
      <c r="D39" s="10" t="s">
        <v>4</v>
      </c>
      <c r="E39" s="208"/>
      <c r="F39" s="43" t="s">
        <v>132</v>
      </c>
      <c r="G39" s="63" t="str">
        <f t="shared" ref="G39:G51" si="4">$A$38&amp;B39</f>
        <v>Incandescent Reflector</v>
      </c>
    </row>
    <row r="40" spans="1:7" x14ac:dyDescent="0.3">
      <c r="A40" s="219"/>
      <c r="B40" s="216"/>
      <c r="C40" s="208"/>
      <c r="D40" s="9" t="s">
        <v>5</v>
      </c>
      <c r="E40" s="208"/>
      <c r="F40" s="44" t="s">
        <v>133</v>
      </c>
      <c r="G40" s="63" t="str">
        <f t="shared" si="4"/>
        <v>Incandescent Reflector</v>
      </c>
    </row>
    <row r="41" spans="1:7" x14ac:dyDescent="0.3">
      <c r="A41" s="219"/>
      <c r="B41" s="216"/>
      <c r="C41" s="208"/>
      <c r="D41" s="9" t="s">
        <v>6</v>
      </c>
      <c r="E41" s="208"/>
      <c r="F41" s="45" t="s">
        <v>134</v>
      </c>
      <c r="G41" s="63" t="str">
        <f t="shared" si="4"/>
        <v>Incandescent Reflector</v>
      </c>
    </row>
    <row r="42" spans="1:7" x14ac:dyDescent="0.3">
      <c r="A42" s="219"/>
      <c r="B42" s="216"/>
      <c r="C42" s="208"/>
      <c r="D42" s="9" t="s">
        <v>7</v>
      </c>
      <c r="E42" s="208"/>
      <c r="F42" s="42" t="s">
        <v>135</v>
      </c>
      <c r="G42" s="63" t="str">
        <f t="shared" si="4"/>
        <v>Incandescent Reflector</v>
      </c>
    </row>
    <row r="43" spans="1:7" x14ac:dyDescent="0.3">
      <c r="A43" s="219"/>
      <c r="B43" s="217"/>
      <c r="C43" s="206"/>
      <c r="D43" s="9" t="s">
        <v>8</v>
      </c>
      <c r="E43" s="206"/>
      <c r="F43" s="45" t="s">
        <v>134</v>
      </c>
      <c r="G43" s="63" t="str">
        <f t="shared" si="4"/>
        <v>Incandescent Reflector</v>
      </c>
    </row>
    <row r="44" spans="1:7" x14ac:dyDescent="0.3">
      <c r="A44" s="219"/>
      <c r="B44" s="215" t="s">
        <v>13</v>
      </c>
      <c r="C44" s="205" t="s">
        <v>10</v>
      </c>
      <c r="D44" s="9" t="s">
        <v>11</v>
      </c>
      <c r="E44" s="205">
        <v>-0.78677521815365226</v>
      </c>
      <c r="F44" s="42" t="s">
        <v>24</v>
      </c>
      <c r="G44" s="63" t="str">
        <f t="shared" si="4"/>
        <v>Incandescent ReflectorPackage size: 2 or more</v>
      </c>
    </row>
    <row r="45" spans="1:7" x14ac:dyDescent="0.3">
      <c r="A45" s="219"/>
      <c r="B45" s="217"/>
      <c r="C45" s="206"/>
      <c r="D45" s="9" t="s">
        <v>12</v>
      </c>
      <c r="E45" s="206"/>
      <c r="F45" s="8">
        <v>3.984</v>
      </c>
      <c r="G45" s="63" t="str">
        <f t="shared" si="4"/>
        <v>Incandescent Reflector</v>
      </c>
    </row>
    <row r="46" spans="1:7" x14ac:dyDescent="0.3">
      <c r="A46" s="219"/>
      <c r="B46" s="215" t="s">
        <v>14</v>
      </c>
      <c r="C46" s="205" t="s">
        <v>10</v>
      </c>
      <c r="D46" s="9" t="s">
        <v>11</v>
      </c>
      <c r="E46" s="205">
        <v>-0.21974082679833565</v>
      </c>
      <c r="F46" s="46" t="s">
        <v>136</v>
      </c>
      <c r="G46" s="63" t="str">
        <f t="shared" si="4"/>
        <v>Incandescent ReflectorPackage size: 3 or more</v>
      </c>
    </row>
    <row r="47" spans="1:7" x14ac:dyDescent="0.3">
      <c r="A47" s="219"/>
      <c r="B47" s="217"/>
      <c r="C47" s="206"/>
      <c r="D47" s="9" t="s">
        <v>12</v>
      </c>
      <c r="E47" s="206"/>
      <c r="F47" s="47" t="s">
        <v>121</v>
      </c>
      <c r="G47" s="63" t="str">
        <f t="shared" si="4"/>
        <v>Incandescent Reflector</v>
      </c>
    </row>
    <row r="48" spans="1:7" x14ac:dyDescent="0.3">
      <c r="A48" s="219"/>
      <c r="B48" s="215" t="s">
        <v>16</v>
      </c>
      <c r="C48" s="205" t="s">
        <v>10</v>
      </c>
      <c r="D48" s="9" t="s">
        <v>11</v>
      </c>
      <c r="E48" s="205">
        <v>0.98820466400977591</v>
      </c>
      <c r="F48" s="48"/>
      <c r="G48" s="63" t="str">
        <f t="shared" si="4"/>
        <v>Incandescent ReflectorNational brand</v>
      </c>
    </row>
    <row r="49" spans="1:7" x14ac:dyDescent="0.3">
      <c r="A49" s="219"/>
      <c r="B49" s="217"/>
      <c r="C49" s="206"/>
      <c r="D49" s="9" t="s">
        <v>12</v>
      </c>
      <c r="E49" s="206"/>
      <c r="F49" s="48"/>
      <c r="G49" s="63" t="str">
        <f t="shared" si="4"/>
        <v>Incandescent Reflector</v>
      </c>
    </row>
    <row r="50" spans="1:7" x14ac:dyDescent="0.3">
      <c r="A50" s="219"/>
      <c r="B50" s="11" t="s">
        <v>17</v>
      </c>
      <c r="C50" s="12" t="s">
        <v>18</v>
      </c>
      <c r="D50" s="9" t="s">
        <v>26</v>
      </c>
      <c r="E50" s="12">
        <v>0.5907</v>
      </c>
      <c r="F50" s="48"/>
      <c r="G50" s="63" t="str">
        <f t="shared" si="4"/>
        <v>Incandescent ReflectorExpected Life (1000s of hours)</v>
      </c>
    </row>
    <row r="51" spans="1:7" ht="15" thickBot="1" x14ac:dyDescent="0.35">
      <c r="A51" s="220"/>
      <c r="B51" s="20" t="s">
        <v>27</v>
      </c>
      <c r="C51" s="12" t="s">
        <v>18</v>
      </c>
      <c r="D51" s="21" t="s">
        <v>28</v>
      </c>
      <c r="E51" s="12">
        <v>1.04E-2</v>
      </c>
      <c r="F51" s="49"/>
      <c r="G51" s="63" t="str">
        <f t="shared" si="4"/>
        <v>Incandescent ReflectorWatts</v>
      </c>
    </row>
    <row r="52" spans="1:7" ht="15" thickBot="1" x14ac:dyDescent="0.35">
      <c r="A52" s="16"/>
      <c r="B52" s="17"/>
      <c r="C52" s="18"/>
      <c r="D52" s="19"/>
      <c r="E52" s="18"/>
      <c r="F52" s="50"/>
      <c r="G52" s="63"/>
    </row>
    <row r="53" spans="1:7" x14ac:dyDescent="0.3">
      <c r="A53" s="218" t="s">
        <v>105</v>
      </c>
      <c r="B53" s="215" t="s">
        <v>1</v>
      </c>
      <c r="C53" s="205" t="s">
        <v>2</v>
      </c>
      <c r="D53" s="9" t="s">
        <v>3</v>
      </c>
      <c r="E53" s="205">
        <v>0.30083311708216776</v>
      </c>
      <c r="F53" s="42" t="s">
        <v>131</v>
      </c>
      <c r="G53" s="63" t="str">
        <f>$A$53&amp;B53</f>
        <v>Incandescent GlobeChannel</v>
      </c>
    </row>
    <row r="54" spans="1:7" x14ac:dyDescent="0.3">
      <c r="A54" s="219"/>
      <c r="B54" s="216"/>
      <c r="C54" s="208"/>
      <c r="D54" s="10" t="s">
        <v>4</v>
      </c>
      <c r="E54" s="208"/>
      <c r="F54" s="43" t="s">
        <v>132</v>
      </c>
      <c r="G54" s="63" t="str">
        <f t="shared" ref="G54:G67" si="5">$A$53&amp;B54</f>
        <v>Incandescent Globe</v>
      </c>
    </row>
    <row r="55" spans="1:7" x14ac:dyDescent="0.3">
      <c r="A55" s="219"/>
      <c r="B55" s="216"/>
      <c r="C55" s="208"/>
      <c r="D55" s="9" t="s">
        <v>5</v>
      </c>
      <c r="E55" s="208"/>
      <c r="F55" s="44" t="s">
        <v>133</v>
      </c>
      <c r="G55" s="63" t="str">
        <f t="shared" si="5"/>
        <v>Incandescent Globe</v>
      </c>
    </row>
    <row r="56" spans="1:7" x14ac:dyDescent="0.3">
      <c r="A56" s="219"/>
      <c r="B56" s="216"/>
      <c r="C56" s="208"/>
      <c r="D56" s="9" t="s">
        <v>6</v>
      </c>
      <c r="E56" s="208"/>
      <c r="F56" s="45" t="s">
        <v>134</v>
      </c>
      <c r="G56" s="63" t="str">
        <f t="shared" si="5"/>
        <v>Incandescent Globe</v>
      </c>
    </row>
    <row r="57" spans="1:7" x14ac:dyDescent="0.3">
      <c r="A57" s="219"/>
      <c r="B57" s="217"/>
      <c r="C57" s="206"/>
      <c r="D57" s="9" t="s">
        <v>7</v>
      </c>
      <c r="E57" s="206"/>
      <c r="F57" s="42" t="s">
        <v>135</v>
      </c>
      <c r="G57" s="63" t="str">
        <f t="shared" si="5"/>
        <v>Incandescent Globe</v>
      </c>
    </row>
    <row r="58" spans="1:7" x14ac:dyDescent="0.3">
      <c r="A58" s="219"/>
      <c r="B58" s="215" t="s">
        <v>13</v>
      </c>
      <c r="C58" s="205" t="s">
        <v>10</v>
      </c>
      <c r="D58" s="9" t="s">
        <v>11</v>
      </c>
      <c r="E58" s="205">
        <v>-0.72266441459518249</v>
      </c>
      <c r="F58" s="45" t="s">
        <v>134</v>
      </c>
      <c r="G58" s="63" t="str">
        <f t="shared" si="5"/>
        <v>Incandescent GlobePackage size: 2 or more</v>
      </c>
    </row>
    <row r="59" spans="1:7" x14ac:dyDescent="0.3">
      <c r="A59" s="219"/>
      <c r="B59" s="217"/>
      <c r="C59" s="206"/>
      <c r="D59" s="9" t="s">
        <v>12</v>
      </c>
      <c r="E59" s="206"/>
      <c r="F59" s="42" t="s">
        <v>24</v>
      </c>
      <c r="G59" s="63" t="str">
        <f t="shared" si="5"/>
        <v>Incandescent Globe</v>
      </c>
    </row>
    <row r="60" spans="1:7" x14ac:dyDescent="0.3">
      <c r="A60" s="219"/>
      <c r="B60" s="215" t="s">
        <v>14</v>
      </c>
      <c r="C60" s="205" t="s">
        <v>10</v>
      </c>
      <c r="D60" s="9" t="s">
        <v>11</v>
      </c>
      <c r="E60" s="205">
        <v>-1.8190183849112342E-2</v>
      </c>
      <c r="F60" s="8">
        <v>2.4649999999999999</v>
      </c>
      <c r="G60" s="63" t="str">
        <f t="shared" si="5"/>
        <v>Incandescent GlobePackage size: 3 or more</v>
      </c>
    </row>
    <row r="61" spans="1:7" x14ac:dyDescent="0.3">
      <c r="A61" s="219"/>
      <c r="B61" s="217"/>
      <c r="C61" s="206"/>
      <c r="D61" s="9" t="s">
        <v>12</v>
      </c>
      <c r="E61" s="206"/>
      <c r="F61" s="46" t="s">
        <v>136</v>
      </c>
      <c r="G61" s="63" t="str">
        <f t="shared" si="5"/>
        <v>Incandescent Globe</v>
      </c>
    </row>
    <row r="62" spans="1:7" x14ac:dyDescent="0.3">
      <c r="A62" s="219"/>
      <c r="B62" s="215" t="s">
        <v>16</v>
      </c>
      <c r="C62" s="205" t="s">
        <v>10</v>
      </c>
      <c r="D62" s="9" t="s">
        <v>11</v>
      </c>
      <c r="E62" s="205">
        <v>0.42404011642723755</v>
      </c>
      <c r="F62" s="47" t="s">
        <v>121</v>
      </c>
      <c r="G62" s="63" t="str">
        <f t="shared" si="5"/>
        <v>Incandescent GlobeNational brand</v>
      </c>
    </row>
    <row r="63" spans="1:7" x14ac:dyDescent="0.3">
      <c r="A63" s="219"/>
      <c r="B63" s="217"/>
      <c r="C63" s="206"/>
      <c r="D63" s="9" t="s">
        <v>12</v>
      </c>
      <c r="E63" s="206"/>
      <c r="F63" s="48"/>
      <c r="G63" s="63" t="str">
        <f t="shared" si="5"/>
        <v>Incandescent Globe</v>
      </c>
    </row>
    <row r="64" spans="1:7" x14ac:dyDescent="0.3">
      <c r="A64" s="219"/>
      <c r="B64" s="11" t="s">
        <v>17</v>
      </c>
      <c r="C64" s="12" t="s">
        <v>18</v>
      </c>
      <c r="D64" s="22" t="s">
        <v>111</v>
      </c>
      <c r="E64" s="12">
        <v>0.96650000000000003</v>
      </c>
      <c r="F64" s="48"/>
      <c r="G64" s="63" t="str">
        <f t="shared" si="5"/>
        <v>Incandescent GlobeExpected Life (1000s of hours)</v>
      </c>
    </row>
    <row r="65" spans="1:7" x14ac:dyDescent="0.3">
      <c r="A65" s="219"/>
      <c r="B65" s="20" t="s">
        <v>27</v>
      </c>
      <c r="C65" s="12" t="s">
        <v>18</v>
      </c>
      <c r="D65" s="21" t="s">
        <v>112</v>
      </c>
      <c r="E65" s="12">
        <v>9.2999999999999992E-3</v>
      </c>
      <c r="F65" s="49"/>
      <c r="G65" s="63" t="str">
        <f t="shared" si="5"/>
        <v>Incandescent GlobeWatts</v>
      </c>
    </row>
    <row r="66" spans="1:7" x14ac:dyDescent="0.3">
      <c r="A66" s="219"/>
      <c r="B66" s="215" t="s">
        <v>106</v>
      </c>
      <c r="C66" s="205" t="s">
        <v>10</v>
      </c>
      <c r="D66" s="9" t="s">
        <v>11</v>
      </c>
      <c r="E66" s="205">
        <v>-1.2746999999999999</v>
      </c>
      <c r="F66" s="48"/>
      <c r="G66" s="63" t="str">
        <f t="shared" si="5"/>
        <v>Incandescent GlobeWatts &lt; 35</v>
      </c>
    </row>
    <row r="67" spans="1:7" ht="15" thickBot="1" x14ac:dyDescent="0.35">
      <c r="A67" s="219"/>
      <c r="B67" s="217"/>
      <c r="C67" s="207"/>
      <c r="D67" s="9" t="s">
        <v>12</v>
      </c>
      <c r="E67" s="207">
        <v>0</v>
      </c>
      <c r="F67" s="48"/>
      <c r="G67" s="63" t="str">
        <f t="shared" si="5"/>
        <v>Incandescent Globe</v>
      </c>
    </row>
    <row r="68" spans="1:7" ht="15" thickBot="1" x14ac:dyDescent="0.35">
      <c r="A68" s="16"/>
      <c r="B68" s="17"/>
      <c r="C68" s="18"/>
      <c r="D68" s="19"/>
      <c r="E68" s="18"/>
      <c r="F68" s="50"/>
      <c r="G68" s="63"/>
    </row>
    <row r="69" spans="1:7" x14ac:dyDescent="0.3">
      <c r="A69" s="212" t="s">
        <v>107</v>
      </c>
      <c r="B69" s="215" t="s">
        <v>1</v>
      </c>
      <c r="C69" s="211" t="s">
        <v>2</v>
      </c>
      <c r="D69" s="23" t="s">
        <v>3</v>
      </c>
      <c r="E69" s="211">
        <v>0.250270944</v>
      </c>
      <c r="F69" s="42" t="s">
        <v>131</v>
      </c>
      <c r="G69" s="63" t="str">
        <f>$A$69&amp;B69</f>
        <v>Incandescent TorpedoChannel</v>
      </c>
    </row>
    <row r="70" spans="1:7" x14ac:dyDescent="0.3">
      <c r="A70" s="213"/>
      <c r="B70" s="217"/>
      <c r="C70" s="206"/>
      <c r="D70" s="9" t="s">
        <v>6</v>
      </c>
      <c r="E70" s="206"/>
      <c r="F70" s="43" t="s">
        <v>132</v>
      </c>
      <c r="G70" s="63" t="str">
        <f t="shared" ref="G70:G78" si="6">$A$69&amp;B70</f>
        <v>Incandescent Torpedo</v>
      </c>
    </row>
    <row r="71" spans="1:7" x14ac:dyDescent="0.3">
      <c r="A71" s="213"/>
      <c r="B71" s="215" t="s">
        <v>13</v>
      </c>
      <c r="C71" s="205" t="s">
        <v>10</v>
      </c>
      <c r="D71" s="9" t="s">
        <v>11</v>
      </c>
      <c r="E71" s="205">
        <v>-2.4540961096530203</v>
      </c>
      <c r="F71" s="44" t="s">
        <v>133</v>
      </c>
      <c r="G71" s="63" t="str">
        <f t="shared" si="6"/>
        <v>Incandescent TorpedoPackage size: 2 or more</v>
      </c>
    </row>
    <row r="72" spans="1:7" x14ac:dyDescent="0.3">
      <c r="A72" s="213"/>
      <c r="B72" s="217"/>
      <c r="C72" s="206"/>
      <c r="D72" s="9" t="s">
        <v>12</v>
      </c>
      <c r="E72" s="206"/>
      <c r="F72" s="45" t="s">
        <v>134</v>
      </c>
      <c r="G72" s="63" t="str">
        <f t="shared" si="6"/>
        <v>Incandescent Torpedo</v>
      </c>
    </row>
    <row r="73" spans="1:7" x14ac:dyDescent="0.3">
      <c r="A73" s="213"/>
      <c r="B73" s="24" t="s">
        <v>17</v>
      </c>
      <c r="C73" s="25" t="s">
        <v>18</v>
      </c>
      <c r="D73" s="9" t="s">
        <v>113</v>
      </c>
      <c r="E73" s="25">
        <v>0.25744499999999998</v>
      </c>
      <c r="F73" s="42" t="s">
        <v>135</v>
      </c>
      <c r="G73" s="63" t="str">
        <f t="shared" si="6"/>
        <v>Incandescent TorpedoExpected Life (1000s of hours)</v>
      </c>
    </row>
    <row r="74" spans="1:7" x14ac:dyDescent="0.3">
      <c r="A74" s="213"/>
      <c r="B74" s="24" t="s">
        <v>27</v>
      </c>
      <c r="C74" s="25" t="s">
        <v>18</v>
      </c>
      <c r="D74" s="15" t="s">
        <v>112</v>
      </c>
      <c r="E74" s="25">
        <v>-4.9910000000000004E-4</v>
      </c>
      <c r="F74" s="45" t="s">
        <v>134</v>
      </c>
      <c r="G74" s="63" t="str">
        <f t="shared" si="6"/>
        <v>Incandescent TorpedoWatts</v>
      </c>
    </row>
    <row r="75" spans="1:7" x14ac:dyDescent="0.3">
      <c r="A75" s="213"/>
      <c r="B75" s="221" t="s">
        <v>108</v>
      </c>
      <c r="C75" s="26"/>
      <c r="D75" s="27"/>
      <c r="E75" s="26"/>
      <c r="F75" s="42" t="s">
        <v>24</v>
      </c>
      <c r="G75" s="63" t="str">
        <f t="shared" si="6"/>
        <v>Incandescent Torpedo(Do not delete these rows; see cells at right)</v>
      </c>
    </row>
    <row r="76" spans="1:7" x14ac:dyDescent="0.3">
      <c r="A76" s="213"/>
      <c r="B76" s="222"/>
      <c r="C76" s="26"/>
      <c r="D76" s="27"/>
      <c r="E76" s="26"/>
      <c r="F76" s="8">
        <v>3.743026</v>
      </c>
      <c r="G76" s="63" t="str">
        <f t="shared" si="6"/>
        <v>Incandescent Torpedo</v>
      </c>
    </row>
    <row r="77" spans="1:7" x14ac:dyDescent="0.3">
      <c r="A77" s="213"/>
      <c r="B77" s="222"/>
      <c r="C77" s="26"/>
      <c r="D77" s="27"/>
      <c r="E77" s="26"/>
      <c r="F77" s="46" t="s">
        <v>136</v>
      </c>
      <c r="G77" s="63" t="str">
        <f t="shared" si="6"/>
        <v>Incandescent Torpedo</v>
      </c>
    </row>
    <row r="78" spans="1:7" ht="15" thickBot="1" x14ac:dyDescent="0.35">
      <c r="A78" s="213"/>
      <c r="B78" s="223"/>
      <c r="C78" s="26"/>
      <c r="D78" s="27"/>
      <c r="E78" s="26"/>
      <c r="F78" s="47" t="s">
        <v>121</v>
      </c>
      <c r="G78" s="63" t="str">
        <f t="shared" si="6"/>
        <v>Incandescent Torpedo</v>
      </c>
    </row>
    <row r="79" spans="1:7" ht="15" thickBot="1" x14ac:dyDescent="0.35">
      <c r="A79" s="16"/>
      <c r="B79" s="17"/>
      <c r="C79" s="18"/>
      <c r="D79" s="19"/>
      <c r="E79" s="18"/>
      <c r="F79" s="50"/>
      <c r="G79" s="63"/>
    </row>
    <row r="80" spans="1:7" x14ac:dyDescent="0.3">
      <c r="A80" s="218" t="s">
        <v>29</v>
      </c>
      <c r="B80" s="215" t="s">
        <v>1</v>
      </c>
      <c r="C80" s="205" t="s">
        <v>2</v>
      </c>
      <c r="D80" s="9" t="s">
        <v>3</v>
      </c>
      <c r="E80" s="205">
        <v>-0.14966150225589619</v>
      </c>
      <c r="F80" s="42" t="s">
        <v>131</v>
      </c>
      <c r="G80" s="63" t="str">
        <f>$A$80&amp;B80</f>
        <v>CFL A-Lamps and TwistersChannel</v>
      </c>
    </row>
    <row r="81" spans="1:7" x14ac:dyDescent="0.3">
      <c r="A81" s="219"/>
      <c r="B81" s="216"/>
      <c r="C81" s="208"/>
      <c r="D81" s="10" t="s">
        <v>4</v>
      </c>
      <c r="E81" s="208"/>
      <c r="F81" s="43" t="s">
        <v>132</v>
      </c>
      <c r="G81" s="63" t="str">
        <f t="shared" ref="G81:G104" si="7">$A$80&amp;B81</f>
        <v>CFL A-Lamps and Twisters</v>
      </c>
    </row>
    <row r="82" spans="1:7" x14ac:dyDescent="0.3">
      <c r="A82" s="219"/>
      <c r="B82" s="216"/>
      <c r="C82" s="208"/>
      <c r="D82" s="9" t="s">
        <v>5</v>
      </c>
      <c r="E82" s="208"/>
      <c r="F82" s="44" t="s">
        <v>133</v>
      </c>
      <c r="G82" s="63" t="str">
        <f t="shared" si="7"/>
        <v>CFL A-Lamps and Twisters</v>
      </c>
    </row>
    <row r="83" spans="1:7" x14ac:dyDescent="0.3">
      <c r="A83" s="219"/>
      <c r="B83" s="216"/>
      <c r="C83" s="208"/>
      <c r="D83" s="9" t="s">
        <v>6</v>
      </c>
      <c r="E83" s="208"/>
      <c r="F83" s="45" t="s">
        <v>134</v>
      </c>
      <c r="G83" s="63" t="str">
        <f t="shared" si="7"/>
        <v>CFL A-Lamps and Twisters</v>
      </c>
    </row>
    <row r="84" spans="1:7" x14ac:dyDescent="0.3">
      <c r="A84" s="219"/>
      <c r="B84" s="216"/>
      <c r="C84" s="208"/>
      <c r="D84" s="9" t="s">
        <v>7</v>
      </c>
      <c r="E84" s="208"/>
      <c r="F84" s="42" t="s">
        <v>135</v>
      </c>
      <c r="G84" s="63" t="str">
        <f t="shared" si="7"/>
        <v>CFL A-Lamps and Twisters</v>
      </c>
    </row>
    <row r="85" spans="1:7" x14ac:dyDescent="0.3">
      <c r="A85" s="219"/>
      <c r="B85" s="217"/>
      <c r="C85" s="206"/>
      <c r="D85" s="9" t="s">
        <v>8</v>
      </c>
      <c r="E85" s="206"/>
      <c r="F85" s="45" t="s">
        <v>134</v>
      </c>
      <c r="G85" s="63" t="str">
        <f t="shared" si="7"/>
        <v>CFL A-Lamps and Twisters</v>
      </c>
    </row>
    <row r="86" spans="1:7" x14ac:dyDescent="0.3">
      <c r="A86" s="219"/>
      <c r="B86" s="215" t="s">
        <v>30</v>
      </c>
      <c r="C86" s="205" t="s">
        <v>10</v>
      </c>
      <c r="D86" s="9" t="s">
        <v>11</v>
      </c>
      <c r="E86" s="205">
        <v>1.8411</v>
      </c>
      <c r="F86" s="42" t="s">
        <v>24</v>
      </c>
      <c r="G86" s="63" t="str">
        <f t="shared" si="7"/>
        <v>CFL A-Lamps and TwistersA-lamp Indicator</v>
      </c>
    </row>
    <row r="87" spans="1:7" x14ac:dyDescent="0.3">
      <c r="A87" s="219"/>
      <c r="B87" s="217"/>
      <c r="C87" s="206"/>
      <c r="D87" s="9" t="s">
        <v>12</v>
      </c>
      <c r="E87" s="206">
        <v>0</v>
      </c>
      <c r="F87" s="8">
        <v>3.0430000000000001</v>
      </c>
      <c r="G87" s="63" t="str">
        <f t="shared" si="7"/>
        <v>CFL A-Lamps and Twisters</v>
      </c>
    </row>
    <row r="88" spans="1:7" x14ac:dyDescent="0.3">
      <c r="A88" s="219"/>
      <c r="B88" s="215" t="s">
        <v>13</v>
      </c>
      <c r="C88" s="205" t="s">
        <v>10</v>
      </c>
      <c r="D88" s="9" t="s">
        <v>11</v>
      </c>
      <c r="E88" s="205">
        <v>-1.3650539486991144</v>
      </c>
      <c r="F88" s="46" t="s">
        <v>136</v>
      </c>
      <c r="G88" s="63" t="str">
        <f t="shared" si="7"/>
        <v>CFL A-Lamps and TwistersPackage size: 2 or more</v>
      </c>
    </row>
    <row r="89" spans="1:7" x14ac:dyDescent="0.3">
      <c r="A89" s="219"/>
      <c r="B89" s="217"/>
      <c r="C89" s="206"/>
      <c r="D89" s="9" t="s">
        <v>12</v>
      </c>
      <c r="E89" s="206"/>
      <c r="F89" s="47" t="s">
        <v>121</v>
      </c>
      <c r="G89" s="63" t="str">
        <f t="shared" si="7"/>
        <v>CFL A-Lamps and Twisters</v>
      </c>
    </row>
    <row r="90" spans="1:7" x14ac:dyDescent="0.3">
      <c r="A90" s="219"/>
      <c r="B90" s="215" t="s">
        <v>31</v>
      </c>
      <c r="C90" s="205" t="s">
        <v>10</v>
      </c>
      <c r="D90" s="9" t="s">
        <v>11</v>
      </c>
      <c r="E90" s="205">
        <v>-0.48019025242705482</v>
      </c>
      <c r="F90" s="48"/>
      <c r="G90" s="63" t="str">
        <f t="shared" si="7"/>
        <v>CFL A-Lamps and TwistersPackage size: 4 or more</v>
      </c>
    </row>
    <row r="91" spans="1:7" x14ac:dyDescent="0.3">
      <c r="A91" s="219"/>
      <c r="B91" s="217"/>
      <c r="C91" s="206"/>
      <c r="D91" s="9" t="s">
        <v>12</v>
      </c>
      <c r="E91" s="206"/>
      <c r="F91" s="48"/>
      <c r="G91" s="63" t="str">
        <f t="shared" si="7"/>
        <v>CFL A-Lamps and Twisters</v>
      </c>
    </row>
    <row r="92" spans="1:7" x14ac:dyDescent="0.3">
      <c r="A92" s="219"/>
      <c r="B92" s="215" t="s">
        <v>15</v>
      </c>
      <c r="C92" s="205" t="s">
        <v>10</v>
      </c>
      <c r="D92" s="9" t="s">
        <v>11</v>
      </c>
      <c r="E92" s="205">
        <v>6.7507000000000001</v>
      </c>
      <c r="F92" s="48"/>
      <c r="G92" s="63" t="str">
        <f t="shared" si="7"/>
        <v>CFL A-Lamps and TwistersThree-way</v>
      </c>
    </row>
    <row r="93" spans="1:7" x14ac:dyDescent="0.3">
      <c r="A93" s="219"/>
      <c r="B93" s="217"/>
      <c r="C93" s="206"/>
      <c r="D93" s="9" t="s">
        <v>12</v>
      </c>
      <c r="E93" s="206">
        <v>0</v>
      </c>
      <c r="F93" s="48"/>
      <c r="G93" s="63" t="str">
        <f t="shared" si="7"/>
        <v>CFL A-Lamps and Twisters</v>
      </c>
    </row>
    <row r="94" spans="1:7" x14ac:dyDescent="0.3">
      <c r="A94" s="219"/>
      <c r="B94" s="215" t="s">
        <v>32</v>
      </c>
      <c r="C94" s="205" t="s">
        <v>10</v>
      </c>
      <c r="D94" s="9" t="s">
        <v>11</v>
      </c>
      <c r="E94" s="205">
        <v>5.8051000000000004</v>
      </c>
      <c r="F94" s="48"/>
      <c r="G94" s="63" t="str">
        <f t="shared" si="7"/>
        <v>CFL A-Lamps and TwistersDimmable</v>
      </c>
    </row>
    <row r="95" spans="1:7" x14ac:dyDescent="0.3">
      <c r="A95" s="219"/>
      <c r="B95" s="217"/>
      <c r="C95" s="206"/>
      <c r="D95" s="9" t="s">
        <v>12</v>
      </c>
      <c r="E95" s="206">
        <v>0</v>
      </c>
      <c r="F95" s="48"/>
      <c r="G95" s="63" t="str">
        <f t="shared" si="7"/>
        <v>CFL A-Lamps and Twisters</v>
      </c>
    </row>
    <row r="96" spans="1:7" x14ac:dyDescent="0.3">
      <c r="A96" s="219"/>
      <c r="B96" s="215" t="s">
        <v>33</v>
      </c>
      <c r="C96" s="205" t="s">
        <v>10</v>
      </c>
      <c r="D96" s="9" t="s">
        <v>11</v>
      </c>
      <c r="E96" s="205">
        <v>0.52692151711335011</v>
      </c>
      <c r="F96" s="48"/>
      <c r="G96" s="63" t="str">
        <f t="shared" si="7"/>
        <v>CFL A-Lamps and TwistersNational brand, no utility discount</v>
      </c>
    </row>
    <row r="97" spans="1:7" x14ac:dyDescent="0.3">
      <c r="A97" s="219"/>
      <c r="B97" s="217"/>
      <c r="C97" s="206"/>
      <c r="D97" s="9" t="s">
        <v>12</v>
      </c>
      <c r="E97" s="206"/>
      <c r="F97" s="48"/>
      <c r="G97" s="63" t="str">
        <f t="shared" si="7"/>
        <v>CFL A-Lamps and Twisters</v>
      </c>
    </row>
    <row r="98" spans="1:7" x14ac:dyDescent="0.3">
      <c r="A98" s="219"/>
      <c r="B98" s="215" t="s">
        <v>34</v>
      </c>
      <c r="C98" s="205" t="s">
        <v>10</v>
      </c>
      <c r="D98" s="9" t="s">
        <v>11</v>
      </c>
      <c r="E98" s="205">
        <v>-3.5152999999999999</v>
      </c>
      <c r="F98" s="48"/>
      <c r="G98" s="63" t="str">
        <f t="shared" si="7"/>
        <v>CFL A-Lamps and TwistersUtility discount, A-Lamp</v>
      </c>
    </row>
    <row r="99" spans="1:7" x14ac:dyDescent="0.3">
      <c r="A99" s="219"/>
      <c r="B99" s="217"/>
      <c r="C99" s="206"/>
      <c r="D99" s="9" t="s">
        <v>12</v>
      </c>
      <c r="E99" s="206">
        <v>0</v>
      </c>
      <c r="F99" s="48"/>
      <c r="G99" s="63" t="str">
        <f t="shared" si="7"/>
        <v>CFL A-Lamps and Twisters</v>
      </c>
    </row>
    <row r="100" spans="1:7" x14ac:dyDescent="0.3">
      <c r="A100" s="219"/>
      <c r="B100" s="215" t="s">
        <v>35</v>
      </c>
      <c r="C100" s="205" t="s">
        <v>10</v>
      </c>
      <c r="D100" s="9" t="s">
        <v>11</v>
      </c>
      <c r="E100" s="205">
        <v>-1.8039000000000001</v>
      </c>
      <c r="F100" s="48"/>
      <c r="G100" s="63" t="str">
        <f t="shared" si="7"/>
        <v>CFL A-Lamps and TwistersUtility discount, Twister</v>
      </c>
    </row>
    <row r="101" spans="1:7" x14ac:dyDescent="0.3">
      <c r="A101" s="219"/>
      <c r="B101" s="217"/>
      <c r="C101" s="206"/>
      <c r="D101" s="9" t="s">
        <v>12</v>
      </c>
      <c r="E101" s="206">
        <v>0</v>
      </c>
      <c r="F101" s="48"/>
      <c r="G101" s="63" t="str">
        <f t="shared" si="7"/>
        <v>CFL A-Lamps and Twisters</v>
      </c>
    </row>
    <row r="102" spans="1:7" x14ac:dyDescent="0.3">
      <c r="A102" s="219"/>
      <c r="B102" s="11" t="s">
        <v>17</v>
      </c>
      <c r="C102" s="12" t="s">
        <v>18</v>
      </c>
      <c r="D102" s="22" t="s">
        <v>36</v>
      </c>
      <c r="E102" s="12">
        <v>6.1600000000000002E-2</v>
      </c>
      <c r="F102" s="48"/>
      <c r="G102" s="63" t="str">
        <f t="shared" si="7"/>
        <v>CFL A-Lamps and TwistersExpected Life (1000s of hours)</v>
      </c>
    </row>
    <row r="103" spans="1:7" x14ac:dyDescent="0.3">
      <c r="A103" s="219"/>
      <c r="B103" s="20" t="s">
        <v>27</v>
      </c>
      <c r="C103" s="12" t="s">
        <v>18</v>
      </c>
      <c r="D103" s="28" t="s">
        <v>37</v>
      </c>
      <c r="E103" s="12">
        <v>6.6500000000000004E-2</v>
      </c>
      <c r="F103" s="51"/>
      <c r="G103" s="63" t="str">
        <f t="shared" si="7"/>
        <v>CFL A-Lamps and TwistersWatts</v>
      </c>
    </row>
    <row r="104" spans="1:7" ht="15" thickBot="1" x14ac:dyDescent="0.35">
      <c r="A104" s="219"/>
      <c r="B104" s="13" t="s">
        <v>38</v>
      </c>
      <c r="C104" s="14" t="s">
        <v>18</v>
      </c>
      <c r="D104" s="9" t="s">
        <v>39</v>
      </c>
      <c r="E104" s="14">
        <v>9.35E-2</v>
      </c>
      <c r="F104" s="48"/>
      <c r="G104" s="63" t="str">
        <f t="shared" si="7"/>
        <v>CFL A-Lamps and TwistersWatts over 25</v>
      </c>
    </row>
    <row r="105" spans="1:7" ht="15" thickBot="1" x14ac:dyDescent="0.35">
      <c r="A105" s="16"/>
      <c r="B105" s="17"/>
      <c r="C105" s="18"/>
      <c r="D105" s="19"/>
      <c r="E105" s="18"/>
      <c r="F105" s="50"/>
      <c r="G105" s="63"/>
    </row>
    <row r="106" spans="1:7" x14ac:dyDescent="0.3">
      <c r="A106" s="218" t="s">
        <v>40</v>
      </c>
      <c r="B106" s="215" t="s">
        <v>1</v>
      </c>
      <c r="C106" s="205" t="s">
        <v>2</v>
      </c>
      <c r="D106" s="9" t="s">
        <v>3</v>
      </c>
      <c r="E106" s="205">
        <v>0.22669576292256455</v>
      </c>
      <c r="F106" s="42" t="s">
        <v>131</v>
      </c>
      <c r="G106" s="63" t="str">
        <f>$A$106&amp;B106</f>
        <v>CFL ReflectorChannel</v>
      </c>
    </row>
    <row r="107" spans="1:7" x14ac:dyDescent="0.3">
      <c r="A107" s="219"/>
      <c r="B107" s="216"/>
      <c r="C107" s="208"/>
      <c r="D107" s="10" t="s">
        <v>4</v>
      </c>
      <c r="E107" s="208"/>
      <c r="F107" s="43" t="s">
        <v>132</v>
      </c>
      <c r="G107" s="63" t="str">
        <f t="shared" ref="G107:G120" si="8">$A$106&amp;B107</f>
        <v>CFL Reflector</v>
      </c>
    </row>
    <row r="108" spans="1:7" x14ac:dyDescent="0.3">
      <c r="A108" s="219"/>
      <c r="B108" s="216"/>
      <c r="C108" s="208"/>
      <c r="D108" s="9" t="s">
        <v>5</v>
      </c>
      <c r="E108" s="208"/>
      <c r="F108" s="44" t="s">
        <v>133</v>
      </c>
      <c r="G108" s="63" t="str">
        <f t="shared" si="8"/>
        <v>CFL Reflector</v>
      </c>
    </row>
    <row r="109" spans="1:7" x14ac:dyDescent="0.3">
      <c r="A109" s="219"/>
      <c r="B109" s="216"/>
      <c r="C109" s="208"/>
      <c r="D109" s="9" t="s">
        <v>6</v>
      </c>
      <c r="E109" s="208"/>
      <c r="F109" s="45" t="s">
        <v>134</v>
      </c>
      <c r="G109" s="63" t="str">
        <f t="shared" si="8"/>
        <v>CFL Reflector</v>
      </c>
    </row>
    <row r="110" spans="1:7" x14ac:dyDescent="0.3">
      <c r="A110" s="219"/>
      <c r="B110" s="216"/>
      <c r="C110" s="208"/>
      <c r="D110" s="9" t="s">
        <v>7</v>
      </c>
      <c r="E110" s="208"/>
      <c r="F110" s="42" t="s">
        <v>135</v>
      </c>
      <c r="G110" s="63" t="str">
        <f t="shared" si="8"/>
        <v>CFL Reflector</v>
      </c>
    </row>
    <row r="111" spans="1:7" x14ac:dyDescent="0.3">
      <c r="A111" s="219"/>
      <c r="B111" s="217"/>
      <c r="C111" s="206"/>
      <c r="D111" s="9" t="s">
        <v>8</v>
      </c>
      <c r="E111" s="206"/>
      <c r="F111" s="45" t="s">
        <v>134</v>
      </c>
      <c r="G111" s="63" t="str">
        <f t="shared" si="8"/>
        <v>CFL Reflector</v>
      </c>
    </row>
    <row r="112" spans="1:7" x14ac:dyDescent="0.3">
      <c r="A112" s="219"/>
      <c r="B112" s="215" t="s">
        <v>13</v>
      </c>
      <c r="C112" s="205" t="s">
        <v>10</v>
      </c>
      <c r="D112" s="9" t="s">
        <v>11</v>
      </c>
      <c r="E112" s="205">
        <v>-0.57616049970286498</v>
      </c>
      <c r="F112" s="42" t="s">
        <v>24</v>
      </c>
      <c r="G112" s="63" t="str">
        <f t="shared" si="8"/>
        <v>CFL ReflectorPackage size: 2 or more</v>
      </c>
    </row>
    <row r="113" spans="1:7" x14ac:dyDescent="0.3">
      <c r="A113" s="219"/>
      <c r="B113" s="217"/>
      <c r="C113" s="206"/>
      <c r="D113" s="9" t="s">
        <v>12</v>
      </c>
      <c r="E113" s="206"/>
      <c r="F113" s="8">
        <v>5.0279999999999996</v>
      </c>
      <c r="G113" s="63" t="str">
        <f t="shared" si="8"/>
        <v>CFL Reflector</v>
      </c>
    </row>
    <row r="114" spans="1:7" x14ac:dyDescent="0.3">
      <c r="A114" s="219"/>
      <c r="B114" s="215" t="s">
        <v>32</v>
      </c>
      <c r="C114" s="205" t="s">
        <v>10</v>
      </c>
      <c r="D114" s="9" t="s">
        <v>11</v>
      </c>
      <c r="E114" s="205">
        <v>4.0461</v>
      </c>
      <c r="F114" s="46" t="s">
        <v>136</v>
      </c>
      <c r="G114" s="63" t="str">
        <f t="shared" si="8"/>
        <v>CFL ReflectorDimmable</v>
      </c>
    </row>
    <row r="115" spans="1:7" x14ac:dyDescent="0.3">
      <c r="A115" s="219"/>
      <c r="B115" s="217"/>
      <c r="C115" s="206"/>
      <c r="D115" s="9" t="s">
        <v>12</v>
      </c>
      <c r="E115" s="206">
        <v>0</v>
      </c>
      <c r="F115" s="47" t="s">
        <v>121</v>
      </c>
      <c r="G115" s="63" t="str">
        <f t="shared" si="8"/>
        <v>CFL Reflector</v>
      </c>
    </row>
    <row r="116" spans="1:7" x14ac:dyDescent="0.3">
      <c r="A116" s="219"/>
      <c r="B116" s="215" t="s">
        <v>16</v>
      </c>
      <c r="C116" s="205" t="s">
        <v>10</v>
      </c>
      <c r="D116" s="9" t="s">
        <v>11</v>
      </c>
      <c r="E116" s="205">
        <v>0.94713628548481477</v>
      </c>
      <c r="F116" s="48"/>
      <c r="G116" s="63" t="str">
        <f t="shared" si="8"/>
        <v>CFL ReflectorNational brand</v>
      </c>
    </row>
    <row r="117" spans="1:7" x14ac:dyDescent="0.3">
      <c r="A117" s="219"/>
      <c r="B117" s="217"/>
      <c r="C117" s="206"/>
      <c r="D117" s="9" t="s">
        <v>12</v>
      </c>
      <c r="E117" s="206"/>
      <c r="F117" s="48"/>
      <c r="G117" s="63" t="str">
        <f t="shared" si="8"/>
        <v>CFL Reflector</v>
      </c>
    </row>
    <row r="118" spans="1:7" x14ac:dyDescent="0.3">
      <c r="A118" s="219"/>
      <c r="B118" s="215" t="s">
        <v>41</v>
      </c>
      <c r="C118" s="205" t="s">
        <v>10</v>
      </c>
      <c r="D118" s="9" t="s">
        <v>11</v>
      </c>
      <c r="E118" s="205">
        <v>-3.0400999999999998</v>
      </c>
      <c r="F118" s="48"/>
      <c r="G118" s="63" t="str">
        <f t="shared" si="8"/>
        <v>CFL ReflectorUtility discount</v>
      </c>
    </row>
    <row r="119" spans="1:7" x14ac:dyDescent="0.3">
      <c r="A119" s="219"/>
      <c r="B119" s="217"/>
      <c r="C119" s="206"/>
      <c r="D119" s="9" t="s">
        <v>12</v>
      </c>
      <c r="E119" s="206">
        <v>0</v>
      </c>
      <c r="F119" s="48"/>
      <c r="G119" s="63" t="str">
        <f t="shared" si="8"/>
        <v>CFL Reflector</v>
      </c>
    </row>
    <row r="120" spans="1:7" ht="15" thickBot="1" x14ac:dyDescent="0.35">
      <c r="A120" s="220"/>
      <c r="B120" s="20" t="s">
        <v>27</v>
      </c>
      <c r="C120" s="12" t="s">
        <v>18</v>
      </c>
      <c r="D120" s="29" t="s">
        <v>42</v>
      </c>
      <c r="E120" s="12">
        <v>0.14729999999999999</v>
      </c>
      <c r="F120" s="49"/>
      <c r="G120" s="63" t="str">
        <f t="shared" si="8"/>
        <v>CFL ReflectorWatts</v>
      </c>
    </row>
    <row r="121" spans="1:7" ht="15" thickBot="1" x14ac:dyDescent="0.35">
      <c r="A121" s="16"/>
      <c r="B121" s="17"/>
      <c r="C121" s="18"/>
      <c r="D121" s="19"/>
      <c r="E121" s="18"/>
      <c r="F121" s="50"/>
      <c r="G121" s="63"/>
    </row>
    <row r="122" spans="1:7" x14ac:dyDescent="0.3">
      <c r="A122" s="212" t="s">
        <v>109</v>
      </c>
      <c r="B122" s="215" t="s">
        <v>1</v>
      </c>
      <c r="C122" s="205" t="s">
        <v>2</v>
      </c>
      <c r="D122" s="9" t="s">
        <v>3</v>
      </c>
      <c r="E122" s="205">
        <v>-0.65479011267261533</v>
      </c>
      <c r="F122" s="42" t="s">
        <v>131</v>
      </c>
      <c r="G122" s="63" t="str">
        <f>$A$122&amp;B122</f>
        <v>CFL GlobeChannel</v>
      </c>
    </row>
    <row r="123" spans="1:7" x14ac:dyDescent="0.3">
      <c r="A123" s="213"/>
      <c r="B123" s="216"/>
      <c r="C123" s="208"/>
      <c r="D123" s="10" t="s">
        <v>4</v>
      </c>
      <c r="E123" s="208"/>
      <c r="F123" s="43" t="s">
        <v>132</v>
      </c>
      <c r="G123" s="63" t="str">
        <f t="shared" ref="G123:G136" si="9">$A$122&amp;B123</f>
        <v>CFL Globe</v>
      </c>
    </row>
    <row r="124" spans="1:7" x14ac:dyDescent="0.3">
      <c r="A124" s="213"/>
      <c r="B124" s="216"/>
      <c r="C124" s="208"/>
      <c r="D124" s="9" t="s">
        <v>5</v>
      </c>
      <c r="E124" s="208"/>
      <c r="F124" s="44" t="s">
        <v>133</v>
      </c>
      <c r="G124" s="63" t="str">
        <f t="shared" si="9"/>
        <v>CFL Globe</v>
      </c>
    </row>
    <row r="125" spans="1:7" x14ac:dyDescent="0.3">
      <c r="A125" s="213"/>
      <c r="B125" s="216"/>
      <c r="C125" s="208"/>
      <c r="D125" s="9" t="s">
        <v>6</v>
      </c>
      <c r="E125" s="208"/>
      <c r="F125" s="45" t="s">
        <v>134</v>
      </c>
      <c r="G125" s="63" t="str">
        <f t="shared" si="9"/>
        <v>CFL Globe</v>
      </c>
    </row>
    <row r="126" spans="1:7" x14ac:dyDescent="0.3">
      <c r="A126" s="213"/>
      <c r="B126" s="216"/>
      <c r="C126" s="208"/>
      <c r="D126" s="9" t="s">
        <v>7</v>
      </c>
      <c r="E126" s="208"/>
      <c r="F126" s="42" t="s">
        <v>135</v>
      </c>
      <c r="G126" s="63" t="str">
        <f t="shared" si="9"/>
        <v>CFL Globe</v>
      </c>
    </row>
    <row r="127" spans="1:7" x14ac:dyDescent="0.3">
      <c r="A127" s="213"/>
      <c r="B127" s="217"/>
      <c r="C127" s="206"/>
      <c r="D127" s="9" t="s">
        <v>8</v>
      </c>
      <c r="E127" s="206"/>
      <c r="F127" s="45" t="s">
        <v>134</v>
      </c>
      <c r="G127" s="63" t="str">
        <f t="shared" si="9"/>
        <v>CFL Globe</v>
      </c>
    </row>
    <row r="128" spans="1:7" x14ac:dyDescent="0.3">
      <c r="A128" s="213"/>
      <c r="B128" s="215" t="s">
        <v>13</v>
      </c>
      <c r="C128" s="205" t="s">
        <v>10</v>
      </c>
      <c r="D128" s="9" t="s">
        <v>11</v>
      </c>
      <c r="E128" s="205">
        <v>-0.29886247320494935</v>
      </c>
      <c r="F128" s="42" t="s">
        <v>24</v>
      </c>
      <c r="G128" s="63" t="str">
        <f t="shared" si="9"/>
        <v>CFL GlobePackage size: 2 or more</v>
      </c>
    </row>
    <row r="129" spans="1:7" x14ac:dyDescent="0.3">
      <c r="A129" s="213"/>
      <c r="B129" s="217"/>
      <c r="C129" s="206"/>
      <c r="D129" s="9" t="s">
        <v>12</v>
      </c>
      <c r="E129" s="206"/>
      <c r="F129" s="8">
        <v>7.31541</v>
      </c>
      <c r="G129" s="63" t="str">
        <f t="shared" si="9"/>
        <v>CFL Globe</v>
      </c>
    </row>
    <row r="130" spans="1:7" x14ac:dyDescent="0.3">
      <c r="A130" s="213"/>
      <c r="B130" s="215" t="s">
        <v>14</v>
      </c>
      <c r="C130" s="209" t="s">
        <v>10</v>
      </c>
      <c r="D130" s="7" t="s">
        <v>11</v>
      </c>
      <c r="E130" s="209">
        <v>-8.9660079077562239E-4</v>
      </c>
      <c r="F130" s="46" t="s">
        <v>136</v>
      </c>
      <c r="G130" s="63" t="str">
        <f t="shared" si="9"/>
        <v>CFL GlobePackage size: 3 or more</v>
      </c>
    </row>
    <row r="131" spans="1:7" x14ac:dyDescent="0.3">
      <c r="A131" s="213"/>
      <c r="B131" s="217"/>
      <c r="C131" s="210"/>
      <c r="D131" s="7" t="s">
        <v>12</v>
      </c>
      <c r="E131" s="210"/>
      <c r="F131" s="47" t="s">
        <v>121</v>
      </c>
      <c r="G131" s="63" t="str">
        <f t="shared" si="9"/>
        <v>CFL Globe</v>
      </c>
    </row>
    <row r="132" spans="1:7" x14ac:dyDescent="0.3">
      <c r="A132" s="213"/>
      <c r="B132" s="215" t="s">
        <v>16</v>
      </c>
      <c r="C132" s="205" t="s">
        <v>10</v>
      </c>
      <c r="D132" s="9" t="s">
        <v>11</v>
      </c>
      <c r="E132" s="205">
        <v>1.2575680480638753</v>
      </c>
      <c r="F132" s="48"/>
      <c r="G132" s="63" t="str">
        <f t="shared" si="9"/>
        <v>CFL GlobeNational brand</v>
      </c>
    </row>
    <row r="133" spans="1:7" x14ac:dyDescent="0.3">
      <c r="A133" s="213"/>
      <c r="B133" s="217"/>
      <c r="C133" s="206"/>
      <c r="D133" s="9" t="s">
        <v>12</v>
      </c>
      <c r="E133" s="206"/>
      <c r="F133" s="48"/>
      <c r="G133" s="63" t="str">
        <f t="shared" si="9"/>
        <v>CFL Globe</v>
      </c>
    </row>
    <row r="134" spans="1:7" x14ac:dyDescent="0.3">
      <c r="A134" s="213"/>
      <c r="B134" s="215" t="s">
        <v>41</v>
      </c>
      <c r="C134" s="205" t="s">
        <v>10</v>
      </c>
      <c r="D134" s="9" t="s">
        <v>11</v>
      </c>
      <c r="E134" s="205">
        <v>-1.2484</v>
      </c>
      <c r="F134" s="48"/>
      <c r="G134" s="63" t="str">
        <f t="shared" si="9"/>
        <v>CFL GlobeUtility discount</v>
      </c>
    </row>
    <row r="135" spans="1:7" x14ac:dyDescent="0.3">
      <c r="A135" s="213"/>
      <c r="B135" s="217"/>
      <c r="C135" s="206"/>
      <c r="D135" s="9" t="s">
        <v>12</v>
      </c>
      <c r="E135" s="206">
        <v>0</v>
      </c>
      <c r="F135" s="48"/>
      <c r="G135" s="63" t="str">
        <f t="shared" si="9"/>
        <v>CFL Globe</v>
      </c>
    </row>
    <row r="136" spans="1:7" ht="15" thickBot="1" x14ac:dyDescent="0.35">
      <c r="A136" s="214"/>
      <c r="B136" s="30" t="s">
        <v>27</v>
      </c>
      <c r="C136" s="31" t="s">
        <v>18</v>
      </c>
      <c r="D136" s="32" t="s">
        <v>114</v>
      </c>
      <c r="E136" s="31">
        <v>-2.6200000000000001E-2</v>
      </c>
      <c r="F136" s="49"/>
      <c r="G136" s="63" t="str">
        <f t="shared" si="9"/>
        <v>CFL GlobeWatts</v>
      </c>
    </row>
    <row r="137" spans="1:7" ht="15" thickBot="1" x14ac:dyDescent="0.35">
      <c r="A137" s="16"/>
      <c r="B137" s="17"/>
      <c r="C137" s="18"/>
      <c r="D137" s="19"/>
      <c r="E137" s="18"/>
      <c r="F137" s="50"/>
      <c r="G137" s="63"/>
    </row>
    <row r="138" spans="1:7" x14ac:dyDescent="0.3">
      <c r="A138" s="218" t="s">
        <v>110</v>
      </c>
      <c r="B138" s="215" t="s">
        <v>1</v>
      </c>
      <c r="C138" s="205" t="s">
        <v>2</v>
      </c>
      <c r="D138" s="9" t="s">
        <v>3</v>
      </c>
      <c r="E138" s="205">
        <v>0.40973260011515322</v>
      </c>
      <c r="F138" s="42" t="s">
        <v>131</v>
      </c>
      <c r="G138" s="63" t="str">
        <f>$A$138&amp;B138</f>
        <v>CFL TorpedoChannel</v>
      </c>
    </row>
    <row r="139" spans="1:7" x14ac:dyDescent="0.3">
      <c r="A139" s="219"/>
      <c r="B139" s="216"/>
      <c r="C139" s="208"/>
      <c r="D139" s="10" t="s">
        <v>4</v>
      </c>
      <c r="E139" s="208"/>
      <c r="F139" s="43" t="s">
        <v>132</v>
      </c>
      <c r="G139" s="63" t="str">
        <f t="shared" ref="G139:G148" si="10">$A$138&amp;B139</f>
        <v>CFL Torpedo</v>
      </c>
    </row>
    <row r="140" spans="1:7" x14ac:dyDescent="0.3">
      <c r="A140" s="219"/>
      <c r="B140" s="216"/>
      <c r="C140" s="208"/>
      <c r="D140" s="9" t="s">
        <v>5</v>
      </c>
      <c r="E140" s="208"/>
      <c r="F140" s="44" t="s">
        <v>133</v>
      </c>
      <c r="G140" s="63" t="str">
        <f t="shared" si="10"/>
        <v>CFL Torpedo</v>
      </c>
    </row>
    <row r="141" spans="1:7" x14ac:dyDescent="0.3">
      <c r="A141" s="219"/>
      <c r="B141" s="216"/>
      <c r="C141" s="208"/>
      <c r="D141" s="9" t="s">
        <v>6</v>
      </c>
      <c r="E141" s="208"/>
      <c r="F141" s="45" t="s">
        <v>134</v>
      </c>
      <c r="G141" s="63" t="str">
        <f t="shared" si="10"/>
        <v>CFL Torpedo</v>
      </c>
    </row>
    <row r="142" spans="1:7" x14ac:dyDescent="0.3">
      <c r="A142" s="219"/>
      <c r="B142" s="217"/>
      <c r="C142" s="206"/>
      <c r="D142" s="9" t="s">
        <v>7</v>
      </c>
      <c r="E142" s="206"/>
      <c r="F142" s="42" t="s">
        <v>135</v>
      </c>
      <c r="G142" s="63" t="str">
        <f t="shared" si="10"/>
        <v>CFL Torpedo</v>
      </c>
    </row>
    <row r="143" spans="1:7" x14ac:dyDescent="0.3">
      <c r="A143" s="219"/>
      <c r="B143" s="215" t="s">
        <v>13</v>
      </c>
      <c r="C143" s="205" t="s">
        <v>10</v>
      </c>
      <c r="D143" s="9" t="s">
        <v>11</v>
      </c>
      <c r="E143" s="205">
        <v>-0.11935996496386898</v>
      </c>
      <c r="F143" s="52" t="s">
        <v>134</v>
      </c>
      <c r="G143" s="63" t="str">
        <f t="shared" si="10"/>
        <v>CFL TorpedoPackage size: 2 or more</v>
      </c>
    </row>
    <row r="144" spans="1:7" x14ac:dyDescent="0.3">
      <c r="A144" s="219"/>
      <c r="B144" s="217"/>
      <c r="C144" s="206"/>
      <c r="D144" s="9" t="s">
        <v>12</v>
      </c>
      <c r="E144" s="206"/>
      <c r="F144" s="42" t="s">
        <v>24</v>
      </c>
      <c r="G144" s="63" t="str">
        <f t="shared" si="10"/>
        <v>CFL Torpedo</v>
      </c>
    </row>
    <row r="145" spans="1:7" x14ac:dyDescent="0.3">
      <c r="A145" s="219"/>
      <c r="B145" s="215" t="s">
        <v>14</v>
      </c>
      <c r="C145" s="205" t="s">
        <v>10</v>
      </c>
      <c r="D145" s="9" t="s">
        <v>11</v>
      </c>
      <c r="E145" s="205">
        <v>0</v>
      </c>
      <c r="F145" s="8">
        <v>4.92</v>
      </c>
      <c r="G145" s="63" t="str">
        <f t="shared" si="10"/>
        <v>CFL TorpedoPackage size: 3 or more</v>
      </c>
    </row>
    <row r="146" spans="1:7" x14ac:dyDescent="0.3">
      <c r="A146" s="219"/>
      <c r="B146" s="217"/>
      <c r="C146" s="206"/>
      <c r="D146" s="9" t="s">
        <v>12</v>
      </c>
      <c r="E146" s="206"/>
      <c r="F146" s="46" t="s">
        <v>136</v>
      </c>
      <c r="G146" s="63" t="str">
        <f t="shared" si="10"/>
        <v>CFL Torpedo</v>
      </c>
    </row>
    <row r="147" spans="1:7" x14ac:dyDescent="0.3">
      <c r="A147" s="219"/>
      <c r="B147" s="11" t="s">
        <v>17</v>
      </c>
      <c r="C147" s="12" t="s">
        <v>18</v>
      </c>
      <c r="D147" s="33" t="s">
        <v>115</v>
      </c>
      <c r="E147" s="12">
        <v>7.6799999999999993E-2</v>
      </c>
      <c r="F147" s="47" t="s">
        <v>121</v>
      </c>
      <c r="G147" s="63" t="str">
        <f t="shared" si="10"/>
        <v>CFL TorpedoExpected Life (1000s of hours)</v>
      </c>
    </row>
    <row r="148" spans="1:7" ht="15" thickBot="1" x14ac:dyDescent="0.35">
      <c r="A148" s="220"/>
      <c r="B148" s="20" t="s">
        <v>27</v>
      </c>
      <c r="C148" s="12" t="s">
        <v>18</v>
      </c>
      <c r="D148" s="34" t="s">
        <v>116</v>
      </c>
      <c r="E148" s="12">
        <v>0.20599999999999999</v>
      </c>
      <c r="F148" s="49"/>
      <c r="G148" s="63" t="str">
        <f t="shared" si="10"/>
        <v>CFL TorpedoWatts</v>
      </c>
    </row>
    <row r="149" spans="1:7" ht="15" thickBot="1" x14ac:dyDescent="0.35">
      <c r="A149" s="16"/>
      <c r="B149" s="17"/>
      <c r="C149" s="18"/>
      <c r="D149" s="19"/>
      <c r="E149" s="18"/>
      <c r="F149" s="50"/>
      <c r="G149" s="63"/>
    </row>
    <row r="150" spans="1:7" x14ac:dyDescent="0.3">
      <c r="A150" s="212" t="s">
        <v>117</v>
      </c>
      <c r="B150" s="215" t="s">
        <v>1</v>
      </c>
      <c r="C150" s="205" t="s">
        <v>2</v>
      </c>
      <c r="D150" s="9" t="s">
        <v>3</v>
      </c>
      <c r="E150" s="205">
        <v>1.261468</v>
      </c>
      <c r="F150" s="42" t="s">
        <v>131</v>
      </c>
      <c r="G150" s="63" t="str">
        <f>$A$150&amp;B150</f>
        <v>LED A-LampChannel</v>
      </c>
    </row>
    <row r="151" spans="1:7" x14ac:dyDescent="0.3">
      <c r="A151" s="213"/>
      <c r="B151" s="216"/>
      <c r="C151" s="208"/>
      <c r="D151" s="9" t="s">
        <v>5</v>
      </c>
      <c r="E151" s="208"/>
      <c r="F151" s="43" t="s">
        <v>132</v>
      </c>
      <c r="G151" s="63" t="str">
        <f t="shared" ref="G151:G162" si="11">$A$150&amp;B151</f>
        <v>LED A-Lamp</v>
      </c>
    </row>
    <row r="152" spans="1:7" x14ac:dyDescent="0.3">
      <c r="A152" s="213"/>
      <c r="B152" s="216"/>
      <c r="C152" s="208"/>
      <c r="D152" s="9" t="s">
        <v>6</v>
      </c>
      <c r="E152" s="208"/>
      <c r="F152" s="44" t="s">
        <v>133</v>
      </c>
      <c r="G152" s="63" t="str">
        <f t="shared" si="11"/>
        <v>LED A-Lamp</v>
      </c>
    </row>
    <row r="153" spans="1:7" x14ac:dyDescent="0.3">
      <c r="A153" s="213"/>
      <c r="B153" s="216"/>
      <c r="C153" s="208"/>
      <c r="D153" s="9" t="s">
        <v>7</v>
      </c>
      <c r="E153" s="208"/>
      <c r="F153" s="45" t="s">
        <v>134</v>
      </c>
      <c r="G153" s="63" t="str">
        <f t="shared" si="11"/>
        <v>LED A-Lamp</v>
      </c>
    </row>
    <row r="154" spans="1:7" x14ac:dyDescent="0.3">
      <c r="A154" s="213"/>
      <c r="B154" s="217"/>
      <c r="C154" s="206"/>
      <c r="D154" s="9" t="s">
        <v>8</v>
      </c>
      <c r="E154" s="206"/>
      <c r="F154" s="42" t="s">
        <v>135</v>
      </c>
      <c r="G154" s="63" t="str">
        <f t="shared" si="11"/>
        <v>LED A-Lamp</v>
      </c>
    </row>
    <row r="155" spans="1:7" x14ac:dyDescent="0.3">
      <c r="A155" s="213"/>
      <c r="B155" s="215" t="s">
        <v>118</v>
      </c>
      <c r="C155" s="205" t="s">
        <v>10</v>
      </c>
      <c r="D155" s="9" t="s">
        <v>11</v>
      </c>
      <c r="E155" s="205">
        <v>4.3042397645981065</v>
      </c>
      <c r="F155" s="52" t="s">
        <v>134</v>
      </c>
      <c r="G155" s="63" t="str">
        <f t="shared" si="11"/>
        <v>LED A-LampNational Brand</v>
      </c>
    </row>
    <row r="156" spans="1:7" x14ac:dyDescent="0.3">
      <c r="A156" s="213"/>
      <c r="B156" s="217"/>
      <c r="C156" s="206"/>
      <c r="D156" s="9" t="s">
        <v>12</v>
      </c>
      <c r="E156" s="206"/>
      <c r="F156" s="42" t="s">
        <v>24</v>
      </c>
      <c r="G156" s="63" t="str">
        <f t="shared" si="11"/>
        <v>LED A-Lamp</v>
      </c>
    </row>
    <row r="157" spans="1:7" x14ac:dyDescent="0.3">
      <c r="A157" s="213"/>
      <c r="B157" s="215" t="s">
        <v>41</v>
      </c>
      <c r="C157" s="205" t="s">
        <v>10</v>
      </c>
      <c r="D157" s="9" t="s">
        <v>11</v>
      </c>
      <c r="E157" s="205">
        <v>-5.5590999999999999</v>
      </c>
      <c r="F157" s="8">
        <v>1.9810000000000001</v>
      </c>
      <c r="G157" s="63" t="str">
        <f t="shared" si="11"/>
        <v>LED A-LampUtility discount</v>
      </c>
    </row>
    <row r="158" spans="1:7" x14ac:dyDescent="0.3">
      <c r="A158" s="213"/>
      <c r="B158" s="217"/>
      <c r="C158" s="206"/>
      <c r="D158" s="9" t="s">
        <v>12</v>
      </c>
      <c r="E158" s="206">
        <v>0</v>
      </c>
      <c r="F158" s="46" t="s">
        <v>136</v>
      </c>
      <c r="G158" s="63" t="str">
        <f t="shared" si="11"/>
        <v>LED A-Lamp</v>
      </c>
    </row>
    <row r="159" spans="1:7" x14ac:dyDescent="0.3">
      <c r="A159" s="213"/>
      <c r="B159" s="215" t="s">
        <v>119</v>
      </c>
      <c r="C159" s="205" t="s">
        <v>10</v>
      </c>
      <c r="D159" s="9" t="s">
        <v>11</v>
      </c>
      <c r="E159" s="205">
        <v>2.3717000000000001</v>
      </c>
      <c r="F159" s="47" t="s">
        <v>121</v>
      </c>
      <c r="G159" s="63" t="str">
        <f t="shared" si="11"/>
        <v>LED A-LampEnergy Star and no utility discount</v>
      </c>
    </row>
    <row r="160" spans="1:7" x14ac:dyDescent="0.3">
      <c r="A160" s="213"/>
      <c r="B160" s="217"/>
      <c r="C160" s="206"/>
      <c r="D160" s="9" t="s">
        <v>12</v>
      </c>
      <c r="E160" s="206">
        <v>0</v>
      </c>
      <c r="F160" s="48"/>
      <c r="G160" s="63" t="str">
        <f t="shared" si="11"/>
        <v>LED A-Lamp</v>
      </c>
    </row>
    <row r="161" spans="1:7" x14ac:dyDescent="0.3">
      <c r="A161" s="213"/>
      <c r="B161" s="20" t="s">
        <v>27</v>
      </c>
      <c r="C161" s="12" t="s">
        <v>18</v>
      </c>
      <c r="D161" s="35" t="s">
        <v>120</v>
      </c>
      <c r="E161" s="12">
        <v>2.0417999999999998</v>
      </c>
      <c r="F161" s="48"/>
      <c r="G161" s="63" t="str">
        <f t="shared" si="11"/>
        <v>LED A-LampWatts</v>
      </c>
    </row>
    <row r="162" spans="1:7" ht="15" thickBot="1" x14ac:dyDescent="0.35">
      <c r="A162" s="214"/>
      <c r="B162" s="36" t="s">
        <v>17</v>
      </c>
      <c r="C162" s="37" t="s">
        <v>121</v>
      </c>
      <c r="D162" s="38" t="s">
        <v>121</v>
      </c>
      <c r="E162" s="37" t="s">
        <v>121</v>
      </c>
      <c r="F162" s="48"/>
      <c r="G162" s="63" t="str">
        <f t="shared" si="11"/>
        <v>LED A-LampExpected Life (1000s of hours)</v>
      </c>
    </row>
    <row r="163" spans="1:7" ht="15" thickBot="1" x14ac:dyDescent="0.35">
      <c r="A163" s="16"/>
      <c r="B163" s="17"/>
      <c r="C163" s="18"/>
      <c r="D163" s="19"/>
      <c r="E163" s="18"/>
      <c r="F163" s="50"/>
      <c r="G163" s="63"/>
    </row>
    <row r="164" spans="1:7" x14ac:dyDescent="0.3">
      <c r="A164" s="212" t="s">
        <v>122</v>
      </c>
      <c r="B164" s="215" t="s">
        <v>1</v>
      </c>
      <c r="C164" s="205" t="s">
        <v>2</v>
      </c>
      <c r="D164" s="9" t="s">
        <v>3</v>
      </c>
      <c r="E164" s="205">
        <v>1.485276</v>
      </c>
      <c r="F164" s="42" t="s">
        <v>131</v>
      </c>
      <c r="G164" s="63" t="str">
        <f>$A$164&amp;B164</f>
        <v>LED ReflectorChannel</v>
      </c>
    </row>
    <row r="165" spans="1:7" x14ac:dyDescent="0.3">
      <c r="A165" s="213"/>
      <c r="B165" s="216"/>
      <c r="C165" s="208"/>
      <c r="D165" s="9" t="s">
        <v>6</v>
      </c>
      <c r="E165" s="208"/>
      <c r="F165" s="43" t="s">
        <v>132</v>
      </c>
      <c r="G165" s="63" t="str">
        <f t="shared" ref="G165:G175" si="12">$A$164&amp;B165</f>
        <v>LED Reflector</v>
      </c>
    </row>
    <row r="166" spans="1:7" x14ac:dyDescent="0.3">
      <c r="A166" s="213"/>
      <c r="B166" s="216"/>
      <c r="C166" s="208"/>
      <c r="D166" s="9" t="s">
        <v>7</v>
      </c>
      <c r="E166" s="208"/>
      <c r="F166" s="44" t="s">
        <v>133</v>
      </c>
      <c r="G166" s="63" t="str">
        <f t="shared" si="12"/>
        <v>LED Reflector</v>
      </c>
    </row>
    <row r="167" spans="1:7" x14ac:dyDescent="0.3">
      <c r="A167" s="213"/>
      <c r="B167" s="217"/>
      <c r="C167" s="206"/>
      <c r="D167" s="9" t="s">
        <v>8</v>
      </c>
      <c r="E167" s="206"/>
      <c r="F167" s="45" t="s">
        <v>134</v>
      </c>
      <c r="G167" s="63" t="str">
        <f t="shared" si="12"/>
        <v>LED Reflector</v>
      </c>
    </row>
    <row r="168" spans="1:7" x14ac:dyDescent="0.3">
      <c r="A168" s="213"/>
      <c r="B168" s="215" t="s">
        <v>118</v>
      </c>
      <c r="C168" s="205" t="s">
        <v>10</v>
      </c>
      <c r="D168" s="9" t="s">
        <v>11</v>
      </c>
      <c r="E168" s="205">
        <v>1.3257784469850966</v>
      </c>
      <c r="F168" s="42" t="s">
        <v>135</v>
      </c>
      <c r="G168" s="63" t="str">
        <f t="shared" si="12"/>
        <v>LED ReflectorNational Brand</v>
      </c>
    </row>
    <row r="169" spans="1:7" x14ac:dyDescent="0.3">
      <c r="A169" s="213"/>
      <c r="B169" s="217"/>
      <c r="C169" s="206"/>
      <c r="D169" s="9" t="s">
        <v>12</v>
      </c>
      <c r="E169" s="206"/>
      <c r="F169" s="52" t="s">
        <v>134</v>
      </c>
      <c r="G169" s="63" t="str">
        <f t="shared" si="12"/>
        <v>LED Reflector</v>
      </c>
    </row>
    <row r="170" spans="1:7" x14ac:dyDescent="0.3">
      <c r="A170" s="213"/>
      <c r="B170" s="215" t="s">
        <v>41</v>
      </c>
      <c r="C170" s="205" t="s">
        <v>10</v>
      </c>
      <c r="D170" s="9" t="s">
        <v>11</v>
      </c>
      <c r="E170" s="205">
        <v>-6.3373999999999997</v>
      </c>
      <c r="F170" s="42" t="s">
        <v>24</v>
      </c>
      <c r="G170" s="63" t="str">
        <f t="shared" si="12"/>
        <v>LED ReflectorUtility discount</v>
      </c>
    </row>
    <row r="171" spans="1:7" x14ac:dyDescent="0.3">
      <c r="A171" s="213"/>
      <c r="B171" s="217"/>
      <c r="C171" s="206"/>
      <c r="D171" s="9" t="s">
        <v>12</v>
      </c>
      <c r="E171" s="206">
        <v>0</v>
      </c>
      <c r="F171" s="8">
        <v>16.594000000000001</v>
      </c>
      <c r="G171" s="63" t="str">
        <f t="shared" si="12"/>
        <v>LED Reflector</v>
      </c>
    </row>
    <row r="172" spans="1:7" x14ac:dyDescent="0.3">
      <c r="A172" s="213"/>
      <c r="B172" s="215" t="s">
        <v>119</v>
      </c>
      <c r="C172" s="205" t="s">
        <v>10</v>
      </c>
      <c r="D172" s="9" t="s">
        <v>11</v>
      </c>
      <c r="E172" s="205">
        <v>7.6079999999999997</v>
      </c>
      <c r="F172" s="46" t="s">
        <v>136</v>
      </c>
      <c r="G172" s="63" t="str">
        <f t="shared" si="12"/>
        <v>LED ReflectorEnergy Star and no utility discount</v>
      </c>
    </row>
    <row r="173" spans="1:7" x14ac:dyDescent="0.3">
      <c r="A173" s="213"/>
      <c r="B173" s="217"/>
      <c r="C173" s="206"/>
      <c r="D173" s="9" t="s">
        <v>12</v>
      </c>
      <c r="E173" s="206">
        <v>0</v>
      </c>
      <c r="F173" s="47" t="s">
        <v>121</v>
      </c>
      <c r="G173" s="63" t="str">
        <f t="shared" si="12"/>
        <v>LED Reflector</v>
      </c>
    </row>
    <row r="174" spans="1:7" x14ac:dyDescent="0.3">
      <c r="A174" s="213"/>
      <c r="B174" s="20" t="s">
        <v>27</v>
      </c>
      <c r="C174" s="14" t="s">
        <v>18</v>
      </c>
      <c r="D174" s="39" t="s">
        <v>123</v>
      </c>
      <c r="E174" s="14">
        <v>1.4058999999999999</v>
      </c>
      <c r="F174" s="48"/>
      <c r="G174" s="63" t="str">
        <f t="shared" si="12"/>
        <v>LED ReflectorWatts</v>
      </c>
    </row>
    <row r="175" spans="1:7" ht="15" thickBot="1" x14ac:dyDescent="0.35">
      <c r="A175" s="40"/>
      <c r="B175" s="36" t="s">
        <v>17</v>
      </c>
      <c r="C175" s="37" t="s">
        <v>121</v>
      </c>
      <c r="D175" s="38" t="s">
        <v>121</v>
      </c>
      <c r="E175" s="37" t="s">
        <v>121</v>
      </c>
      <c r="F175" s="48"/>
      <c r="G175" s="63" t="str">
        <f t="shared" si="12"/>
        <v>LED ReflectorExpected Life (1000s of hours)</v>
      </c>
    </row>
    <row r="176" spans="1:7" ht="15" thickBot="1" x14ac:dyDescent="0.35">
      <c r="A176" s="16"/>
      <c r="B176" s="17"/>
      <c r="C176" s="18"/>
      <c r="D176" s="19"/>
      <c r="E176" s="18"/>
      <c r="F176" s="50"/>
      <c r="G176" s="63"/>
    </row>
    <row r="177" spans="1:7" x14ac:dyDescent="0.3">
      <c r="A177" s="218" t="s">
        <v>124</v>
      </c>
      <c r="B177" s="215" t="s">
        <v>1</v>
      </c>
      <c r="C177" s="205" t="s">
        <v>2</v>
      </c>
      <c r="D177" s="9" t="s">
        <v>3</v>
      </c>
      <c r="E177" s="205">
        <v>2.5364559999999998</v>
      </c>
      <c r="F177" s="42" t="s">
        <v>131</v>
      </c>
      <c r="G177" s="63" t="str">
        <f>$A$177&amp;B177</f>
        <v>LED GlobeChannel</v>
      </c>
    </row>
    <row r="178" spans="1:7" x14ac:dyDescent="0.3">
      <c r="A178" s="219"/>
      <c r="B178" s="216"/>
      <c r="C178" s="208"/>
      <c r="D178" s="9" t="s">
        <v>6</v>
      </c>
      <c r="E178" s="208"/>
      <c r="F178" s="43" t="s">
        <v>132</v>
      </c>
      <c r="G178" s="63" t="str">
        <f t="shared" ref="G178:G186" si="13">$A$177&amp;B178</f>
        <v>LED Globe</v>
      </c>
    </row>
    <row r="179" spans="1:7" x14ac:dyDescent="0.3">
      <c r="A179" s="219"/>
      <c r="B179" s="216"/>
      <c r="C179" s="208"/>
      <c r="D179" s="9" t="s">
        <v>7</v>
      </c>
      <c r="E179" s="208"/>
      <c r="F179" s="44" t="s">
        <v>133</v>
      </c>
      <c r="G179" s="63" t="str">
        <f t="shared" si="13"/>
        <v>LED Globe</v>
      </c>
    </row>
    <row r="180" spans="1:7" x14ac:dyDescent="0.3">
      <c r="A180" s="219"/>
      <c r="B180" s="217"/>
      <c r="C180" s="206"/>
      <c r="D180" s="9" t="s">
        <v>8</v>
      </c>
      <c r="E180" s="206"/>
      <c r="F180" s="45" t="s">
        <v>134</v>
      </c>
      <c r="G180" s="63" t="str">
        <f t="shared" si="13"/>
        <v>LED Globe</v>
      </c>
    </row>
    <row r="181" spans="1:7" x14ac:dyDescent="0.3">
      <c r="A181" s="219"/>
      <c r="B181" s="215" t="s">
        <v>118</v>
      </c>
      <c r="C181" s="205" t="s">
        <v>10</v>
      </c>
      <c r="D181" s="9" t="s">
        <v>11</v>
      </c>
      <c r="E181" s="205">
        <v>1.7256899841855562</v>
      </c>
      <c r="F181" s="42" t="s">
        <v>135</v>
      </c>
      <c r="G181" s="63" t="str">
        <f t="shared" si="13"/>
        <v>LED GlobeNational Brand</v>
      </c>
    </row>
    <row r="182" spans="1:7" x14ac:dyDescent="0.3">
      <c r="A182" s="219"/>
      <c r="B182" s="217"/>
      <c r="C182" s="206"/>
      <c r="D182" s="9" t="s">
        <v>12</v>
      </c>
      <c r="E182" s="206"/>
      <c r="F182" s="52" t="s">
        <v>134</v>
      </c>
      <c r="G182" s="63" t="str">
        <f t="shared" si="13"/>
        <v>LED Globe</v>
      </c>
    </row>
    <row r="183" spans="1:7" x14ac:dyDescent="0.3">
      <c r="A183" s="219"/>
      <c r="B183" s="215" t="s">
        <v>125</v>
      </c>
      <c r="C183" s="205" t="s">
        <v>10</v>
      </c>
      <c r="D183" s="9" t="s">
        <v>11</v>
      </c>
      <c r="E183" s="205">
        <v>3.9699</v>
      </c>
      <c r="F183" s="42" t="s">
        <v>24</v>
      </c>
      <c r="G183" s="63" t="str">
        <f t="shared" si="13"/>
        <v>LED GlobeEnergy Star</v>
      </c>
    </row>
    <row r="184" spans="1:7" x14ac:dyDescent="0.3">
      <c r="A184" s="219"/>
      <c r="B184" s="217"/>
      <c r="C184" s="206"/>
      <c r="D184" s="9" t="s">
        <v>12</v>
      </c>
      <c r="E184" s="206">
        <v>0</v>
      </c>
      <c r="F184" s="8">
        <v>2.3370000000000002</v>
      </c>
      <c r="G184" s="63" t="str">
        <f t="shared" si="13"/>
        <v>LED Globe</v>
      </c>
    </row>
    <row r="185" spans="1:7" x14ac:dyDescent="0.3">
      <c r="A185" s="219"/>
      <c r="B185" s="11" t="s">
        <v>17</v>
      </c>
      <c r="C185" s="12" t="s">
        <v>18</v>
      </c>
      <c r="D185" s="29" t="s">
        <v>126</v>
      </c>
      <c r="E185" s="12">
        <v>7.4200000000000002E-2</v>
      </c>
      <c r="F185" s="46" t="s">
        <v>136</v>
      </c>
      <c r="G185" s="63" t="str">
        <f t="shared" si="13"/>
        <v>LED GlobeExpected Life (1000s of hours)</v>
      </c>
    </row>
    <row r="186" spans="1:7" ht="15" thickBot="1" x14ac:dyDescent="0.35">
      <c r="A186" s="220"/>
      <c r="B186" s="20" t="s">
        <v>27</v>
      </c>
      <c r="C186" s="12" t="s">
        <v>18</v>
      </c>
      <c r="D186" s="35" t="s">
        <v>127</v>
      </c>
      <c r="E186" s="12">
        <v>2.3014999999999999</v>
      </c>
      <c r="F186" s="47" t="s">
        <v>121</v>
      </c>
      <c r="G186" s="63" t="str">
        <f t="shared" si="13"/>
        <v>LED GlobeWatts</v>
      </c>
    </row>
    <row r="187" spans="1:7" ht="15" thickBot="1" x14ac:dyDescent="0.35">
      <c r="A187" s="16"/>
      <c r="B187" s="17"/>
      <c r="C187" s="18"/>
      <c r="D187" s="19"/>
      <c r="E187" s="18"/>
      <c r="F187" s="50"/>
      <c r="G187" s="63"/>
    </row>
    <row r="188" spans="1:7" x14ac:dyDescent="0.3">
      <c r="A188" s="212" t="s">
        <v>128</v>
      </c>
      <c r="B188" s="215" t="s">
        <v>1</v>
      </c>
      <c r="C188" s="205" t="s">
        <v>2</v>
      </c>
      <c r="D188" s="9" t="s">
        <v>3</v>
      </c>
      <c r="E188" s="205">
        <v>1.6313960000000001</v>
      </c>
      <c r="F188" s="42" t="s">
        <v>131</v>
      </c>
      <c r="G188" s="63" t="str">
        <f>$A$188&amp;B188</f>
        <v>LED TorpedoChannel</v>
      </c>
    </row>
    <row r="189" spans="1:7" x14ac:dyDescent="0.3">
      <c r="A189" s="213"/>
      <c r="B189" s="216"/>
      <c r="C189" s="208"/>
      <c r="D189" s="9" t="s">
        <v>4</v>
      </c>
      <c r="E189" s="208"/>
      <c r="F189" s="43" t="s">
        <v>132</v>
      </c>
      <c r="G189" s="63" t="str">
        <f t="shared" ref="G189:G197" si="14">$A$188&amp;B189</f>
        <v>LED Torpedo</v>
      </c>
    </row>
    <row r="190" spans="1:7" x14ac:dyDescent="0.3">
      <c r="A190" s="213"/>
      <c r="B190" s="216"/>
      <c r="C190" s="208"/>
      <c r="D190" s="9" t="s">
        <v>5</v>
      </c>
      <c r="E190" s="208"/>
      <c r="F190" s="44" t="s">
        <v>133</v>
      </c>
      <c r="G190" s="63" t="str">
        <f t="shared" si="14"/>
        <v>LED Torpedo</v>
      </c>
    </row>
    <row r="191" spans="1:7" x14ac:dyDescent="0.3">
      <c r="A191" s="213"/>
      <c r="B191" s="216"/>
      <c r="C191" s="208"/>
      <c r="D191" s="9" t="s">
        <v>6</v>
      </c>
      <c r="E191" s="208"/>
      <c r="F191" s="45" t="s">
        <v>134</v>
      </c>
      <c r="G191" s="63" t="str">
        <f t="shared" si="14"/>
        <v>LED Torpedo</v>
      </c>
    </row>
    <row r="192" spans="1:7" x14ac:dyDescent="0.3">
      <c r="A192" s="213"/>
      <c r="B192" s="217"/>
      <c r="C192" s="206"/>
      <c r="D192" s="9" t="s">
        <v>7</v>
      </c>
      <c r="E192" s="206"/>
      <c r="F192" s="42" t="s">
        <v>135</v>
      </c>
      <c r="G192" s="63" t="str">
        <f t="shared" si="14"/>
        <v>LED Torpedo</v>
      </c>
    </row>
    <row r="193" spans="1:7" x14ac:dyDescent="0.3">
      <c r="A193" s="213"/>
      <c r="B193" s="215" t="s">
        <v>118</v>
      </c>
      <c r="C193" s="205" t="s">
        <v>10</v>
      </c>
      <c r="D193" s="9" t="s">
        <v>11</v>
      </c>
      <c r="E193" s="205">
        <v>0.6890043964923831</v>
      </c>
      <c r="F193" s="52" t="s">
        <v>134</v>
      </c>
      <c r="G193" s="63" t="str">
        <f t="shared" si="14"/>
        <v>LED TorpedoNational Brand</v>
      </c>
    </row>
    <row r="194" spans="1:7" x14ac:dyDescent="0.3">
      <c r="A194" s="213"/>
      <c r="B194" s="217"/>
      <c r="C194" s="206"/>
      <c r="D194" s="9" t="s">
        <v>12</v>
      </c>
      <c r="E194" s="206"/>
      <c r="F194" s="42" t="s">
        <v>24</v>
      </c>
      <c r="G194" s="63" t="str">
        <f t="shared" si="14"/>
        <v>LED Torpedo</v>
      </c>
    </row>
    <row r="195" spans="1:7" x14ac:dyDescent="0.3">
      <c r="A195" s="213"/>
      <c r="B195" s="20" t="s">
        <v>27</v>
      </c>
      <c r="C195" s="12" t="s">
        <v>18</v>
      </c>
      <c r="D195" s="35" t="s">
        <v>129</v>
      </c>
      <c r="E195" s="12">
        <v>2.9723000000000002</v>
      </c>
      <c r="F195" s="8">
        <v>1.863</v>
      </c>
      <c r="G195" s="63" t="str">
        <f t="shared" si="14"/>
        <v>LED TorpedoWatts</v>
      </c>
    </row>
    <row r="196" spans="1:7" x14ac:dyDescent="0.3">
      <c r="A196" s="213"/>
      <c r="B196" s="11" t="s">
        <v>17</v>
      </c>
      <c r="C196" s="37" t="s">
        <v>121</v>
      </c>
      <c r="D196" s="38" t="s">
        <v>121</v>
      </c>
      <c r="E196" s="37" t="s">
        <v>121</v>
      </c>
      <c r="F196" s="46" t="s">
        <v>136</v>
      </c>
      <c r="G196" s="63" t="str">
        <f t="shared" si="14"/>
        <v>LED TorpedoExpected Life (1000s of hours)</v>
      </c>
    </row>
    <row r="197" spans="1:7" ht="15" thickBot="1" x14ac:dyDescent="0.35">
      <c r="A197" s="214"/>
      <c r="B197" s="41" t="s">
        <v>130</v>
      </c>
      <c r="C197" s="26"/>
      <c r="D197" s="27"/>
      <c r="E197" s="26"/>
      <c r="F197" s="47" t="s">
        <v>121</v>
      </c>
      <c r="G197" s="63" t="str">
        <f t="shared" si="14"/>
        <v>LED Torpedo(Do not delete this row; see cells at right)</v>
      </c>
    </row>
    <row r="198" spans="1:7" ht="15" thickBot="1" x14ac:dyDescent="0.35">
      <c r="A198" s="16"/>
      <c r="B198" s="17"/>
      <c r="C198" s="18"/>
      <c r="D198" s="19"/>
      <c r="E198" s="18"/>
      <c r="F198" s="18"/>
    </row>
  </sheetData>
  <mergeCells count="169">
    <mergeCell ref="C30:C31"/>
    <mergeCell ref="B32:B33"/>
    <mergeCell ref="C32:C33"/>
    <mergeCell ref="A38:A51"/>
    <mergeCell ref="B38:B43"/>
    <mergeCell ref="C38:C43"/>
    <mergeCell ref="B44:B45"/>
    <mergeCell ref="C44:C45"/>
    <mergeCell ref="B46:B47"/>
    <mergeCell ref="C46:C47"/>
    <mergeCell ref="A18:A36"/>
    <mergeCell ref="B18:B23"/>
    <mergeCell ref="C18:C23"/>
    <mergeCell ref="B24:B25"/>
    <mergeCell ref="C24:C25"/>
    <mergeCell ref="B26:B27"/>
    <mergeCell ref="C26:C27"/>
    <mergeCell ref="B28:B29"/>
    <mergeCell ref="C28:C29"/>
    <mergeCell ref="B30:B31"/>
    <mergeCell ref="B48:B49"/>
    <mergeCell ref="C48:C49"/>
    <mergeCell ref="A53:A67"/>
    <mergeCell ref="B53:B57"/>
    <mergeCell ref="C53:C57"/>
    <mergeCell ref="B58:B59"/>
    <mergeCell ref="C58:C59"/>
    <mergeCell ref="B60:B61"/>
    <mergeCell ref="C60:C61"/>
    <mergeCell ref="B62:B63"/>
    <mergeCell ref="C62:C63"/>
    <mergeCell ref="B66:B67"/>
    <mergeCell ref="C66:C67"/>
    <mergeCell ref="A69:A78"/>
    <mergeCell ref="B69:B70"/>
    <mergeCell ref="C69:C70"/>
    <mergeCell ref="B71:B72"/>
    <mergeCell ref="C71:C72"/>
    <mergeCell ref="B75:B78"/>
    <mergeCell ref="C92:C93"/>
    <mergeCell ref="B94:B95"/>
    <mergeCell ref="C94:C95"/>
    <mergeCell ref="B96:B97"/>
    <mergeCell ref="C96:C97"/>
    <mergeCell ref="B98:B99"/>
    <mergeCell ref="C98:C99"/>
    <mergeCell ref="A80:A104"/>
    <mergeCell ref="B80:B85"/>
    <mergeCell ref="C80:C85"/>
    <mergeCell ref="B86:B87"/>
    <mergeCell ref="C86:C87"/>
    <mergeCell ref="B88:B89"/>
    <mergeCell ref="C88:C89"/>
    <mergeCell ref="B90:B91"/>
    <mergeCell ref="C90:C91"/>
    <mergeCell ref="B92:B93"/>
    <mergeCell ref="B100:B101"/>
    <mergeCell ref="C100:C101"/>
    <mergeCell ref="A106:A120"/>
    <mergeCell ref="B106:B111"/>
    <mergeCell ref="C106:C111"/>
    <mergeCell ref="B112:B113"/>
    <mergeCell ref="C112:C113"/>
    <mergeCell ref="B114:B115"/>
    <mergeCell ref="C114:C115"/>
    <mergeCell ref="B116:B117"/>
    <mergeCell ref="C116:C117"/>
    <mergeCell ref="B118:B119"/>
    <mergeCell ref="C118:C119"/>
    <mergeCell ref="A122:A136"/>
    <mergeCell ref="B122:B127"/>
    <mergeCell ref="C122:C127"/>
    <mergeCell ref="B128:B129"/>
    <mergeCell ref="C128:C129"/>
    <mergeCell ref="B130:B131"/>
    <mergeCell ref="C130:C131"/>
    <mergeCell ref="B132:B133"/>
    <mergeCell ref="C132:C133"/>
    <mergeCell ref="B134:B135"/>
    <mergeCell ref="C134:C135"/>
    <mergeCell ref="A138:A148"/>
    <mergeCell ref="B138:B142"/>
    <mergeCell ref="C138:C142"/>
    <mergeCell ref="B143:B144"/>
    <mergeCell ref="C143:C144"/>
    <mergeCell ref="B145:B146"/>
    <mergeCell ref="B172:B173"/>
    <mergeCell ref="C172:C173"/>
    <mergeCell ref="C145:C146"/>
    <mergeCell ref="A150:A162"/>
    <mergeCell ref="B150:B154"/>
    <mergeCell ref="C150:C154"/>
    <mergeCell ref="B155:B156"/>
    <mergeCell ref="C155:C156"/>
    <mergeCell ref="B157:B158"/>
    <mergeCell ref="C157:C158"/>
    <mergeCell ref="B159:B160"/>
    <mergeCell ref="C159:C160"/>
    <mergeCell ref="A188:A197"/>
    <mergeCell ref="B188:B192"/>
    <mergeCell ref="C188:C192"/>
    <mergeCell ref="B193:B194"/>
    <mergeCell ref="C193:C194"/>
    <mergeCell ref="E18:E23"/>
    <mergeCell ref="E26:E27"/>
    <mergeCell ref="E28:E29"/>
    <mergeCell ref="E32:E33"/>
    <mergeCell ref="E38:E43"/>
    <mergeCell ref="A177:A186"/>
    <mergeCell ref="B177:B180"/>
    <mergeCell ref="C177:C180"/>
    <mergeCell ref="B181:B182"/>
    <mergeCell ref="C181:C182"/>
    <mergeCell ref="B183:B184"/>
    <mergeCell ref="C183:C184"/>
    <mergeCell ref="A164:A174"/>
    <mergeCell ref="B164:B167"/>
    <mergeCell ref="C164:C167"/>
    <mergeCell ref="B168:B169"/>
    <mergeCell ref="C168:C169"/>
    <mergeCell ref="B170:B171"/>
    <mergeCell ref="C170:C171"/>
    <mergeCell ref="E62:E63"/>
    <mergeCell ref="E69:E70"/>
    <mergeCell ref="E71:E72"/>
    <mergeCell ref="E80:E85"/>
    <mergeCell ref="E88:E89"/>
    <mergeCell ref="E90:E91"/>
    <mergeCell ref="E44:E45"/>
    <mergeCell ref="E46:E47"/>
    <mergeCell ref="E48:E49"/>
    <mergeCell ref="E53:E57"/>
    <mergeCell ref="E58:E59"/>
    <mergeCell ref="E60:E61"/>
    <mergeCell ref="E143:E144"/>
    <mergeCell ref="E145:E146"/>
    <mergeCell ref="E150:E154"/>
    <mergeCell ref="E134:E135"/>
    <mergeCell ref="E96:E97"/>
    <mergeCell ref="E106:E111"/>
    <mergeCell ref="E112:E113"/>
    <mergeCell ref="E116:E117"/>
    <mergeCell ref="E122:E127"/>
    <mergeCell ref="E128:E129"/>
    <mergeCell ref="E118:E119"/>
    <mergeCell ref="E183:E184"/>
    <mergeCell ref="E193:E194"/>
    <mergeCell ref="E24:E25"/>
    <mergeCell ref="E30:E31"/>
    <mergeCell ref="E66:E67"/>
    <mergeCell ref="E86:E87"/>
    <mergeCell ref="E92:E93"/>
    <mergeCell ref="E94:E95"/>
    <mergeCell ref="E98:E99"/>
    <mergeCell ref="E100:E101"/>
    <mergeCell ref="E114:E115"/>
    <mergeCell ref="E155:E156"/>
    <mergeCell ref="E164:E167"/>
    <mergeCell ref="E168:E169"/>
    <mergeCell ref="E177:E180"/>
    <mergeCell ref="E181:E182"/>
    <mergeCell ref="E188:E192"/>
    <mergeCell ref="E157:E158"/>
    <mergeCell ref="E159:E160"/>
    <mergeCell ref="E170:E171"/>
    <mergeCell ref="E172:E173"/>
    <mergeCell ref="E130:E131"/>
    <mergeCell ref="E132:E133"/>
    <mergeCell ref="E138:E14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C00000"/>
  </sheetPr>
  <dimension ref="A1:AK22"/>
  <sheetViews>
    <sheetView topLeftCell="C1" zoomScale="70" zoomScaleNormal="70" workbookViewId="0">
      <selection activeCell="M13" sqref="M13"/>
    </sheetView>
  </sheetViews>
  <sheetFormatPr defaultColWidth="8.88671875" defaultRowHeight="13.8" x14ac:dyDescent="0.3"/>
  <cols>
    <col min="1" max="1" width="12.33203125" style="160" bestFit="1" customWidth="1"/>
    <col min="2" max="2" width="199.6640625" style="160" customWidth="1"/>
    <col min="3" max="3" width="13.5546875" style="160" customWidth="1"/>
    <col min="4" max="4" width="8.109375" style="160" bestFit="1" customWidth="1"/>
    <col min="5" max="5" width="8" style="160" bestFit="1" customWidth="1"/>
    <col min="6" max="6" width="8.6640625" style="160" bestFit="1" customWidth="1"/>
    <col min="7" max="7" width="3.6640625" style="160" bestFit="1" customWidth="1"/>
    <col min="8" max="8" width="9.5546875" style="160" bestFit="1" customWidth="1"/>
    <col min="9" max="9" width="10.44140625" style="160" customWidth="1"/>
    <col min="10" max="10" width="9.5546875" style="160" customWidth="1"/>
    <col min="11" max="11" width="10.109375" style="160" bestFit="1" customWidth="1"/>
    <col min="12" max="12" width="12.33203125" style="160" customWidth="1"/>
    <col min="13" max="13" width="17.88671875" style="168" customWidth="1"/>
    <col min="14" max="17" width="11.5546875" style="168" customWidth="1"/>
    <col min="18" max="30" width="8.88671875" style="190"/>
    <col min="31" max="37" width="8.88671875" style="184"/>
    <col min="38" max="16384" width="8.88671875" style="160"/>
  </cols>
  <sheetData>
    <row r="1" spans="1:37" ht="12.75" x14ac:dyDescent="0.2">
      <c r="A1" s="159" t="s">
        <v>335</v>
      </c>
      <c r="R1" s="190" t="s">
        <v>148</v>
      </c>
      <c r="AE1" s="184" t="s">
        <v>178</v>
      </c>
    </row>
    <row r="2" spans="1:37" s="174" customFormat="1" ht="51" x14ac:dyDescent="0.25">
      <c r="A2" s="169" t="s">
        <v>69</v>
      </c>
      <c r="B2" s="169" t="s">
        <v>100</v>
      </c>
      <c r="C2" s="169" t="s">
        <v>101</v>
      </c>
      <c r="D2" s="169" t="s">
        <v>27</v>
      </c>
      <c r="E2" s="169" t="s">
        <v>150</v>
      </c>
      <c r="F2" s="169" t="s">
        <v>152</v>
      </c>
      <c r="G2" s="169" t="s">
        <v>154</v>
      </c>
      <c r="H2" s="169" t="s">
        <v>156</v>
      </c>
      <c r="I2" s="169" t="s">
        <v>200</v>
      </c>
      <c r="J2" s="169" t="s">
        <v>194</v>
      </c>
      <c r="K2" s="169" t="s">
        <v>195</v>
      </c>
      <c r="L2" s="169" t="s">
        <v>300</v>
      </c>
      <c r="M2" s="170" t="s">
        <v>144</v>
      </c>
      <c r="N2" s="170" t="s">
        <v>140</v>
      </c>
      <c r="O2" s="170" t="s">
        <v>145</v>
      </c>
      <c r="P2" s="170" t="s">
        <v>202</v>
      </c>
      <c r="Q2" s="170" t="s">
        <v>336</v>
      </c>
      <c r="R2" s="157" t="s">
        <v>24</v>
      </c>
      <c r="S2" s="157" t="s">
        <v>27</v>
      </c>
      <c r="T2" s="157" t="s">
        <v>150</v>
      </c>
      <c r="U2" s="157" t="s">
        <v>152</v>
      </c>
      <c r="V2" s="157" t="s">
        <v>154</v>
      </c>
      <c r="W2" s="157" t="s">
        <v>191</v>
      </c>
      <c r="X2" s="157" t="s">
        <v>192</v>
      </c>
      <c r="Y2" s="157" t="s">
        <v>193</v>
      </c>
      <c r="Z2" s="157" t="s">
        <v>160</v>
      </c>
      <c r="AA2" s="157" t="s">
        <v>164</v>
      </c>
      <c r="AB2" s="157" t="s">
        <v>168</v>
      </c>
      <c r="AC2" s="157" t="s">
        <v>198</v>
      </c>
      <c r="AD2" s="157" t="s">
        <v>199</v>
      </c>
      <c r="AE2" s="157" t="s">
        <v>24</v>
      </c>
      <c r="AF2" s="157" t="s">
        <v>179</v>
      </c>
      <c r="AG2" s="157" t="s">
        <v>27</v>
      </c>
      <c r="AH2" s="157" t="s">
        <v>182</v>
      </c>
      <c r="AI2" s="157" t="s">
        <v>183</v>
      </c>
      <c r="AJ2" s="157" t="s">
        <v>184</v>
      </c>
      <c r="AK2" s="157" t="s">
        <v>185</v>
      </c>
    </row>
    <row r="3" spans="1:37" s="178" customFormat="1" ht="38.25" x14ac:dyDescent="0.25">
      <c r="A3" s="203" t="s">
        <v>346</v>
      </c>
      <c r="B3" s="202" t="s">
        <v>365</v>
      </c>
      <c r="C3" s="5" t="s">
        <v>293</v>
      </c>
      <c r="D3" s="6">
        <v>128</v>
      </c>
      <c r="E3" s="6">
        <v>120</v>
      </c>
      <c r="F3" s="6">
        <v>3500</v>
      </c>
      <c r="G3" s="6">
        <v>90</v>
      </c>
      <c r="H3" s="175" t="s">
        <v>157</v>
      </c>
      <c r="I3" s="175" t="b">
        <v>0</v>
      </c>
      <c r="J3" s="175" t="b">
        <v>1</v>
      </c>
      <c r="K3" s="175">
        <v>18</v>
      </c>
      <c r="L3" s="175" t="b">
        <v>1</v>
      </c>
      <c r="M3" s="176">
        <f>SUMPRODUCT($R3:$AK3,'HID Lamp - WO017'!$A$3:$T$3)</f>
        <v>245.45364782247196</v>
      </c>
      <c r="N3" s="177">
        <f>IF(L3,'HID Lamp - WO017'!$X$3,'HID Lamp - WO017'!$U$3)</f>
        <v>2.1325159377406813</v>
      </c>
      <c r="O3" s="176">
        <f>IF(L3,'HID Lamp - WO017'!$Y$3,'HID Lamp - WO017'!$V$3)</f>
        <v>67.26167983080542</v>
      </c>
      <c r="P3" s="176">
        <f>IF(L3,'HID Lamp - WO017'!$Z$3,'HID Lamp - WO017'!$W$3)</f>
        <v>43.705339500000008</v>
      </c>
      <c r="Q3" s="176">
        <f>O3*N3+P3</f>
        <v>187.14194373840348</v>
      </c>
      <c r="R3" s="191">
        <v>1</v>
      </c>
      <c r="S3" s="192">
        <f>D3</f>
        <v>128</v>
      </c>
      <c r="T3" s="192">
        <f>E3</f>
        <v>120</v>
      </c>
      <c r="U3" s="192">
        <f>F3</f>
        <v>3500</v>
      </c>
      <c r="V3" s="192">
        <f>G3</f>
        <v>90</v>
      </c>
      <c r="W3" s="187">
        <f>IF($H3="Probe",1,IF($H3="Pulse",0,0))</f>
        <v>1</v>
      </c>
      <c r="X3" s="187">
        <f>IF(W3,0,IF(H3="Pulse",1,0))</f>
        <v>0</v>
      </c>
      <c r="Y3" s="187">
        <f>IF(W3+X3=1,0,1)</f>
        <v>0</v>
      </c>
      <c r="Z3" s="191">
        <v>1</v>
      </c>
      <c r="AA3" s="191">
        <v>1</v>
      </c>
      <c r="AB3" s="191">
        <v>1</v>
      </c>
      <c r="AC3" s="191">
        <f>IF(I3,1,0)</f>
        <v>0</v>
      </c>
      <c r="AD3" s="191">
        <f>IF(AC3=1,0,1)</f>
        <v>1</v>
      </c>
      <c r="AE3" s="193">
        <f>IF($J3,1,0)</f>
        <v>1</v>
      </c>
      <c r="AF3" s="194">
        <f>IF($J3,$K3,0)</f>
        <v>18</v>
      </c>
      <c r="AG3" s="195">
        <f>IF($J3,$S3,0)</f>
        <v>128</v>
      </c>
      <c r="AH3" s="193">
        <f t="shared" ref="AH3:AK18" si="0">IF($J3,1,0)</f>
        <v>1</v>
      </c>
      <c r="AI3" s="193">
        <f t="shared" si="0"/>
        <v>1</v>
      </c>
      <c r="AJ3" s="193">
        <f t="shared" si="0"/>
        <v>1</v>
      </c>
      <c r="AK3" s="193">
        <f t="shared" si="0"/>
        <v>1</v>
      </c>
    </row>
    <row r="4" spans="1:37" s="178" customFormat="1" ht="38.25" x14ac:dyDescent="0.25">
      <c r="A4" s="203" t="s">
        <v>347</v>
      </c>
      <c r="B4" s="202" t="s">
        <v>366</v>
      </c>
      <c r="C4" s="5" t="s">
        <v>293</v>
      </c>
      <c r="D4" s="6">
        <v>288</v>
      </c>
      <c r="E4" s="6">
        <v>120</v>
      </c>
      <c r="F4" s="6">
        <v>3500</v>
      </c>
      <c r="G4" s="6">
        <v>90</v>
      </c>
      <c r="H4" s="175" t="s">
        <v>158</v>
      </c>
      <c r="I4" s="175" t="b">
        <v>0</v>
      </c>
      <c r="J4" s="175" t="b">
        <v>1</v>
      </c>
      <c r="K4" s="175">
        <v>18</v>
      </c>
      <c r="L4" s="175" t="b">
        <v>1</v>
      </c>
      <c r="M4" s="176">
        <f>SUMPRODUCT($R4:$AK4,'HID Lamp - WO017'!$A$3:$T$3)</f>
        <v>259.96177452247196</v>
      </c>
      <c r="N4" s="177">
        <f>IF(L4,'HID Lamp - WO017'!$X$3,'HID Lamp - WO017'!$U$3)</f>
        <v>2.1325159377406813</v>
      </c>
      <c r="O4" s="176">
        <f>IF(L4,'HID Lamp - WO017'!$Y$3,'HID Lamp - WO017'!$V$3)</f>
        <v>67.26167983080542</v>
      </c>
      <c r="P4" s="176">
        <f>IF(L4,'HID Lamp - WO017'!$Z$3,'HID Lamp - WO017'!$W$3)</f>
        <v>43.705339500000008</v>
      </c>
      <c r="Q4" s="176">
        <f t="shared" ref="Q4:Q12" si="1">O4*N4+P4</f>
        <v>187.14194373840348</v>
      </c>
      <c r="R4" s="191">
        <v>1</v>
      </c>
      <c r="S4" s="192">
        <f t="shared" ref="S4:S6" si="2">D4</f>
        <v>288</v>
      </c>
      <c r="T4" s="192">
        <f t="shared" ref="T4:T6" si="3">E4</f>
        <v>120</v>
      </c>
      <c r="U4" s="192">
        <f t="shared" ref="U4:U6" si="4">F4</f>
        <v>3500</v>
      </c>
      <c r="V4" s="192">
        <f t="shared" ref="V4:V6" si="5">G4</f>
        <v>90</v>
      </c>
      <c r="W4" s="187">
        <f t="shared" ref="W4:W22" si="6">IF($H4="Probe",1,IF($H4="Pulse",0,0))</f>
        <v>0</v>
      </c>
      <c r="X4" s="187">
        <f t="shared" ref="X4:X6" si="7">IF(W4,0,IF(H4="Pulse",1,0))</f>
        <v>1</v>
      </c>
      <c r="Y4" s="187">
        <f t="shared" ref="Y4:Y6" si="8">IF(W4+X4=1,0,1)</f>
        <v>0</v>
      </c>
      <c r="Z4" s="191">
        <v>1</v>
      </c>
      <c r="AA4" s="191">
        <v>1</v>
      </c>
      <c r="AB4" s="191">
        <v>1</v>
      </c>
      <c r="AC4" s="191">
        <f t="shared" ref="AC4:AC6" si="9">IF(I4,1,0)</f>
        <v>0</v>
      </c>
      <c r="AD4" s="191">
        <f t="shared" ref="AD4:AD22" si="10">IF(AC4=1,0,1)</f>
        <v>1</v>
      </c>
      <c r="AE4" s="193">
        <f t="shared" ref="AE4:AE22" si="11">IF($J4,1,0)</f>
        <v>1</v>
      </c>
      <c r="AF4" s="194">
        <f t="shared" ref="AF4:AF22" si="12">IF($J4,$K4,0)</f>
        <v>18</v>
      </c>
      <c r="AG4" s="195">
        <f t="shared" ref="AG4:AG22" si="13">IF($J4,$S4,0)</f>
        <v>288</v>
      </c>
      <c r="AH4" s="193">
        <f t="shared" si="0"/>
        <v>1</v>
      </c>
      <c r="AI4" s="193">
        <f t="shared" si="0"/>
        <v>1</v>
      </c>
      <c r="AJ4" s="193">
        <f t="shared" si="0"/>
        <v>1</v>
      </c>
      <c r="AK4" s="193">
        <f t="shared" si="0"/>
        <v>1</v>
      </c>
    </row>
    <row r="5" spans="1:37" s="178" customFormat="1" ht="38.25" x14ac:dyDescent="0.25">
      <c r="A5" s="203" t="s">
        <v>348</v>
      </c>
      <c r="B5" s="202" t="s">
        <v>367</v>
      </c>
      <c r="C5" s="5" t="s">
        <v>293</v>
      </c>
      <c r="D5" s="6">
        <v>456</v>
      </c>
      <c r="E5" s="6">
        <v>120</v>
      </c>
      <c r="F5" s="6">
        <v>3500</v>
      </c>
      <c r="G5" s="6">
        <v>90</v>
      </c>
      <c r="H5" s="175" t="s">
        <v>158</v>
      </c>
      <c r="I5" s="175" t="b">
        <v>0</v>
      </c>
      <c r="J5" s="175" t="b">
        <v>1</v>
      </c>
      <c r="K5" s="175">
        <v>18</v>
      </c>
      <c r="L5" s="175" t="b">
        <v>1</v>
      </c>
      <c r="M5" s="176">
        <f>SUMPRODUCT($R5:$AK5,'HID Lamp - WO017'!$A$3:$T$3)</f>
        <v>273.21395052247203</v>
      </c>
      <c r="N5" s="177">
        <f>IF(L5,'HID Lamp - WO017'!$X$3,'HID Lamp - WO017'!$U$3)</f>
        <v>2.1325159377406813</v>
      </c>
      <c r="O5" s="176">
        <f>IF(L5,'HID Lamp - WO017'!$Y$3,'HID Lamp - WO017'!$V$3)</f>
        <v>67.26167983080542</v>
      </c>
      <c r="P5" s="176">
        <f>IF(L5,'HID Lamp - WO017'!$Z$3,'HID Lamp - WO017'!$W$3)</f>
        <v>43.705339500000008</v>
      </c>
      <c r="Q5" s="176">
        <f t="shared" si="1"/>
        <v>187.14194373840348</v>
      </c>
      <c r="R5" s="191">
        <v>1</v>
      </c>
      <c r="S5" s="192">
        <f t="shared" si="2"/>
        <v>456</v>
      </c>
      <c r="T5" s="192">
        <f t="shared" si="3"/>
        <v>120</v>
      </c>
      <c r="U5" s="192">
        <f t="shared" si="4"/>
        <v>3500</v>
      </c>
      <c r="V5" s="192">
        <f t="shared" si="5"/>
        <v>90</v>
      </c>
      <c r="W5" s="187">
        <f t="shared" si="6"/>
        <v>0</v>
      </c>
      <c r="X5" s="187">
        <f t="shared" si="7"/>
        <v>1</v>
      </c>
      <c r="Y5" s="187">
        <f t="shared" si="8"/>
        <v>0</v>
      </c>
      <c r="Z5" s="191">
        <v>1</v>
      </c>
      <c r="AA5" s="191">
        <v>1</v>
      </c>
      <c r="AB5" s="191">
        <v>1</v>
      </c>
      <c r="AC5" s="191">
        <f t="shared" si="9"/>
        <v>0</v>
      </c>
      <c r="AD5" s="191">
        <f t="shared" si="10"/>
        <v>1</v>
      </c>
      <c r="AE5" s="193">
        <f t="shared" si="11"/>
        <v>1</v>
      </c>
      <c r="AF5" s="194">
        <f t="shared" si="12"/>
        <v>18</v>
      </c>
      <c r="AG5" s="195">
        <f t="shared" si="13"/>
        <v>456</v>
      </c>
      <c r="AH5" s="193">
        <f t="shared" si="0"/>
        <v>1</v>
      </c>
      <c r="AI5" s="193">
        <f t="shared" si="0"/>
        <v>1</v>
      </c>
      <c r="AJ5" s="193">
        <f t="shared" si="0"/>
        <v>1</v>
      </c>
      <c r="AK5" s="193">
        <f t="shared" si="0"/>
        <v>1</v>
      </c>
    </row>
    <row r="6" spans="1:37" ht="38.25" x14ac:dyDescent="0.25">
      <c r="A6" s="203" t="s">
        <v>349</v>
      </c>
      <c r="B6" s="202" t="s">
        <v>367</v>
      </c>
      <c r="C6" s="5" t="s">
        <v>293</v>
      </c>
      <c r="D6" s="6">
        <v>456</v>
      </c>
      <c r="E6" s="6">
        <v>120</v>
      </c>
      <c r="F6" s="6">
        <v>3500</v>
      </c>
      <c r="G6" s="6">
        <v>90</v>
      </c>
      <c r="H6" s="175" t="s">
        <v>158</v>
      </c>
      <c r="I6" s="175" t="b">
        <v>0</v>
      </c>
      <c r="J6" s="175" t="b">
        <v>1</v>
      </c>
      <c r="K6" s="175">
        <v>18</v>
      </c>
      <c r="L6" s="175" t="b">
        <v>1</v>
      </c>
      <c r="M6" s="176">
        <f>SUMPRODUCT($R6:$AK6,'HID Lamp - WO017'!$A$3:$T$3)</f>
        <v>273.21395052247203</v>
      </c>
      <c r="N6" s="177">
        <f>IF(L6,'HID Lamp - WO017'!$X$3,'HID Lamp - WO017'!$U$3)</f>
        <v>2.1325159377406813</v>
      </c>
      <c r="O6" s="176">
        <f>IF(L6,'HID Lamp - WO017'!$Y$3,'HID Lamp - WO017'!$V$3)</f>
        <v>67.26167983080542</v>
      </c>
      <c r="P6" s="176">
        <f>IF(L6,'HID Lamp - WO017'!$Z$3,'HID Lamp - WO017'!$W$3)</f>
        <v>43.705339500000008</v>
      </c>
      <c r="Q6" s="176">
        <f t="shared" si="1"/>
        <v>187.14194373840348</v>
      </c>
      <c r="R6" s="191">
        <v>1</v>
      </c>
      <c r="S6" s="192">
        <f t="shared" si="2"/>
        <v>456</v>
      </c>
      <c r="T6" s="192">
        <f t="shared" si="3"/>
        <v>120</v>
      </c>
      <c r="U6" s="192">
        <f t="shared" si="4"/>
        <v>3500</v>
      </c>
      <c r="V6" s="192">
        <f t="shared" si="5"/>
        <v>90</v>
      </c>
      <c r="W6" s="187">
        <f t="shared" si="6"/>
        <v>0</v>
      </c>
      <c r="X6" s="187">
        <f t="shared" si="7"/>
        <v>1</v>
      </c>
      <c r="Y6" s="187">
        <f t="shared" si="8"/>
        <v>0</v>
      </c>
      <c r="Z6" s="191">
        <v>1</v>
      </c>
      <c r="AA6" s="191">
        <v>1</v>
      </c>
      <c r="AB6" s="191">
        <v>1</v>
      </c>
      <c r="AC6" s="191">
        <f t="shared" si="9"/>
        <v>0</v>
      </c>
      <c r="AD6" s="191">
        <f t="shared" si="10"/>
        <v>1</v>
      </c>
      <c r="AE6" s="193">
        <f t="shared" si="11"/>
        <v>1</v>
      </c>
      <c r="AF6" s="194">
        <f t="shared" si="12"/>
        <v>18</v>
      </c>
      <c r="AG6" s="195">
        <f t="shared" si="13"/>
        <v>456</v>
      </c>
      <c r="AH6" s="193">
        <f t="shared" si="0"/>
        <v>1</v>
      </c>
      <c r="AI6" s="193">
        <f t="shared" si="0"/>
        <v>1</v>
      </c>
      <c r="AJ6" s="193">
        <f t="shared" si="0"/>
        <v>1</v>
      </c>
      <c r="AK6" s="193">
        <f t="shared" si="0"/>
        <v>1</v>
      </c>
    </row>
    <row r="7" spans="1:37" ht="38.25" x14ac:dyDescent="0.25">
      <c r="A7" s="203" t="s">
        <v>350</v>
      </c>
      <c r="B7" s="202" t="s">
        <v>368</v>
      </c>
      <c r="C7" s="5" t="s">
        <v>293</v>
      </c>
      <c r="D7" s="6">
        <v>818</v>
      </c>
      <c r="E7" s="6">
        <v>120</v>
      </c>
      <c r="F7" s="6">
        <v>3500</v>
      </c>
      <c r="G7" s="6">
        <v>90</v>
      </c>
      <c r="H7" s="175" t="s">
        <v>158</v>
      </c>
      <c r="I7" s="175" t="b">
        <v>0</v>
      </c>
      <c r="J7" s="175" t="b">
        <v>1</v>
      </c>
      <c r="K7" s="175">
        <v>18</v>
      </c>
      <c r="L7" s="175" t="b">
        <v>1</v>
      </c>
      <c r="M7" s="176">
        <f>SUMPRODUCT($R7:$AK7,'HID Lamp - WO017'!$A$3:$T$3)</f>
        <v>301.769234522472</v>
      </c>
      <c r="N7" s="177">
        <f>IF(L7,'HID Lamp - WO017'!$X$3,'HID Lamp - WO017'!$U$3)</f>
        <v>2.1325159377406813</v>
      </c>
      <c r="O7" s="176">
        <f>IF(L7,'HID Lamp - WO017'!$Y$3,'HID Lamp - WO017'!$V$3)</f>
        <v>67.26167983080542</v>
      </c>
      <c r="P7" s="176">
        <f>IF(L7,'HID Lamp - WO017'!$Z$3,'HID Lamp - WO017'!$W$3)</f>
        <v>43.705339500000008</v>
      </c>
      <c r="Q7" s="176">
        <f t="shared" si="1"/>
        <v>187.14194373840348</v>
      </c>
      <c r="R7" s="191">
        <v>1</v>
      </c>
      <c r="S7" s="192">
        <f t="shared" ref="S7:S12" si="14">D7</f>
        <v>818</v>
      </c>
      <c r="T7" s="192">
        <f t="shared" ref="T7:T12" si="15">E7</f>
        <v>120</v>
      </c>
      <c r="U7" s="192">
        <f t="shared" ref="U7:U12" si="16">F7</f>
        <v>3500</v>
      </c>
      <c r="V7" s="192">
        <f t="shared" ref="V7:V12" si="17">G7</f>
        <v>90</v>
      </c>
      <c r="W7" s="187">
        <f t="shared" si="6"/>
        <v>0</v>
      </c>
      <c r="X7" s="187">
        <f t="shared" ref="X7:X12" si="18">IF(W7,0,IF(H7="Pulse",1,0))</f>
        <v>1</v>
      </c>
      <c r="Y7" s="187">
        <f t="shared" ref="Y7:Y12" si="19">IF(W7+X7=1,0,1)</f>
        <v>0</v>
      </c>
      <c r="Z7" s="191">
        <v>1</v>
      </c>
      <c r="AA7" s="191">
        <v>1</v>
      </c>
      <c r="AB7" s="191">
        <v>1</v>
      </c>
      <c r="AC7" s="191">
        <f t="shared" ref="AC7:AC12" si="20">IF(I7,1,0)</f>
        <v>0</v>
      </c>
      <c r="AD7" s="191">
        <f t="shared" si="10"/>
        <v>1</v>
      </c>
      <c r="AE7" s="193">
        <f t="shared" si="11"/>
        <v>1</v>
      </c>
      <c r="AF7" s="194">
        <f t="shared" si="12"/>
        <v>18</v>
      </c>
      <c r="AG7" s="195">
        <f t="shared" si="13"/>
        <v>818</v>
      </c>
      <c r="AH7" s="193">
        <f t="shared" si="0"/>
        <v>1</v>
      </c>
      <c r="AI7" s="193">
        <f t="shared" si="0"/>
        <v>1</v>
      </c>
      <c r="AJ7" s="193">
        <f t="shared" si="0"/>
        <v>1</v>
      </c>
      <c r="AK7" s="193">
        <f t="shared" si="0"/>
        <v>1</v>
      </c>
    </row>
    <row r="8" spans="1:37" ht="38.25" x14ac:dyDescent="0.25">
      <c r="A8" s="203" t="s">
        <v>351</v>
      </c>
      <c r="B8" s="202" t="s">
        <v>367</v>
      </c>
      <c r="C8" s="5" t="s">
        <v>293</v>
      </c>
      <c r="D8" s="6">
        <v>456</v>
      </c>
      <c r="E8" s="6">
        <v>120</v>
      </c>
      <c r="F8" s="6">
        <v>3500</v>
      </c>
      <c r="G8" s="6">
        <v>90</v>
      </c>
      <c r="H8" s="175" t="s">
        <v>158</v>
      </c>
      <c r="I8" s="175" t="b">
        <v>0</v>
      </c>
      <c r="J8" s="175" t="b">
        <v>1</v>
      </c>
      <c r="K8" s="175">
        <v>18</v>
      </c>
      <c r="L8" s="175" t="b">
        <v>1</v>
      </c>
      <c r="M8" s="176">
        <f>SUMPRODUCT($R8:$AK8,'HID Lamp - WO017'!$A$3:$T$3)</f>
        <v>273.21395052247203</v>
      </c>
      <c r="N8" s="177">
        <f>IF(L8,'HID Lamp - WO017'!$X$3,'HID Lamp - WO017'!$U$3)</f>
        <v>2.1325159377406813</v>
      </c>
      <c r="O8" s="176">
        <f>IF(L8,'HID Lamp - WO017'!$Y$3,'HID Lamp - WO017'!$V$3)</f>
        <v>67.26167983080542</v>
      </c>
      <c r="P8" s="176">
        <f>IF(L8,'HID Lamp - WO017'!$Z$3,'HID Lamp - WO017'!$W$3)</f>
        <v>43.705339500000008</v>
      </c>
      <c r="Q8" s="176">
        <f t="shared" si="1"/>
        <v>187.14194373840348</v>
      </c>
      <c r="R8" s="191">
        <v>1</v>
      </c>
      <c r="S8" s="192">
        <f t="shared" si="14"/>
        <v>456</v>
      </c>
      <c r="T8" s="192">
        <f t="shared" si="15"/>
        <v>120</v>
      </c>
      <c r="U8" s="192">
        <f t="shared" si="16"/>
        <v>3500</v>
      </c>
      <c r="V8" s="192">
        <f t="shared" si="17"/>
        <v>90</v>
      </c>
      <c r="W8" s="187">
        <f t="shared" si="6"/>
        <v>0</v>
      </c>
      <c r="X8" s="187">
        <f t="shared" si="18"/>
        <v>1</v>
      </c>
      <c r="Y8" s="187">
        <f t="shared" si="19"/>
        <v>0</v>
      </c>
      <c r="Z8" s="191">
        <v>1</v>
      </c>
      <c r="AA8" s="191">
        <v>1</v>
      </c>
      <c r="AB8" s="191">
        <v>1</v>
      </c>
      <c r="AC8" s="191">
        <f t="shared" si="20"/>
        <v>0</v>
      </c>
      <c r="AD8" s="191">
        <f t="shared" si="10"/>
        <v>1</v>
      </c>
      <c r="AE8" s="193">
        <f t="shared" si="11"/>
        <v>1</v>
      </c>
      <c r="AF8" s="194">
        <f t="shared" si="12"/>
        <v>18</v>
      </c>
      <c r="AG8" s="195">
        <f t="shared" si="13"/>
        <v>456</v>
      </c>
      <c r="AH8" s="193">
        <f t="shared" si="0"/>
        <v>1</v>
      </c>
      <c r="AI8" s="193">
        <f t="shared" si="0"/>
        <v>1</v>
      </c>
      <c r="AJ8" s="193">
        <f t="shared" si="0"/>
        <v>1</v>
      </c>
      <c r="AK8" s="193">
        <f t="shared" si="0"/>
        <v>1</v>
      </c>
    </row>
    <row r="9" spans="1:37" ht="38.25" x14ac:dyDescent="0.25">
      <c r="A9" s="203" t="s">
        <v>352</v>
      </c>
      <c r="B9" s="202" t="s">
        <v>369</v>
      </c>
      <c r="C9" s="5" t="s">
        <v>293</v>
      </c>
      <c r="D9" s="6">
        <v>400</v>
      </c>
      <c r="E9" s="6">
        <v>120</v>
      </c>
      <c r="F9" s="6">
        <v>3500</v>
      </c>
      <c r="G9" s="6">
        <v>90</v>
      </c>
      <c r="H9" s="175" t="s">
        <v>158</v>
      </c>
      <c r="I9" s="175" t="b">
        <v>0</v>
      </c>
      <c r="J9" s="175" t="b">
        <v>1</v>
      </c>
      <c r="K9" s="175">
        <v>18</v>
      </c>
      <c r="L9" s="175" t="b">
        <v>1</v>
      </c>
      <c r="M9" s="176">
        <f>SUMPRODUCT($R9:$AK9,'HID Lamp - WO017'!$A$3:$T$3)</f>
        <v>268.79655852247197</v>
      </c>
      <c r="N9" s="177">
        <f>IF(L9,'HID Lamp - WO017'!$X$3,'HID Lamp - WO017'!$U$3)</f>
        <v>2.1325159377406813</v>
      </c>
      <c r="O9" s="176">
        <f>IF(L9,'HID Lamp - WO017'!$Y$3,'HID Lamp - WO017'!$V$3)</f>
        <v>67.26167983080542</v>
      </c>
      <c r="P9" s="176">
        <f>IF(L9,'HID Lamp - WO017'!$Z$3,'HID Lamp - WO017'!$W$3)</f>
        <v>43.705339500000008</v>
      </c>
      <c r="Q9" s="176">
        <f t="shared" si="1"/>
        <v>187.14194373840348</v>
      </c>
      <c r="R9" s="191">
        <v>1</v>
      </c>
      <c r="S9" s="192">
        <f t="shared" si="14"/>
        <v>400</v>
      </c>
      <c r="T9" s="192">
        <f t="shared" si="15"/>
        <v>120</v>
      </c>
      <c r="U9" s="192">
        <f t="shared" si="16"/>
        <v>3500</v>
      </c>
      <c r="V9" s="192">
        <f t="shared" si="17"/>
        <v>90</v>
      </c>
      <c r="W9" s="187">
        <f t="shared" si="6"/>
        <v>0</v>
      </c>
      <c r="X9" s="187">
        <f t="shared" si="18"/>
        <v>1</v>
      </c>
      <c r="Y9" s="187">
        <f t="shared" si="19"/>
        <v>0</v>
      </c>
      <c r="Z9" s="191">
        <v>1</v>
      </c>
      <c r="AA9" s="191">
        <v>1</v>
      </c>
      <c r="AB9" s="191">
        <v>1</v>
      </c>
      <c r="AC9" s="191">
        <f t="shared" si="20"/>
        <v>0</v>
      </c>
      <c r="AD9" s="191">
        <f t="shared" si="10"/>
        <v>1</v>
      </c>
      <c r="AE9" s="193">
        <f t="shared" si="11"/>
        <v>1</v>
      </c>
      <c r="AF9" s="194">
        <f t="shared" si="12"/>
        <v>18</v>
      </c>
      <c r="AG9" s="195">
        <f t="shared" si="13"/>
        <v>400</v>
      </c>
      <c r="AH9" s="193">
        <f t="shared" si="0"/>
        <v>1</v>
      </c>
      <c r="AI9" s="193">
        <f t="shared" si="0"/>
        <v>1</v>
      </c>
      <c r="AJ9" s="193">
        <f t="shared" si="0"/>
        <v>1</v>
      </c>
      <c r="AK9" s="193">
        <f t="shared" si="0"/>
        <v>1</v>
      </c>
    </row>
    <row r="10" spans="1:37" ht="38.25" x14ac:dyDescent="0.25">
      <c r="A10" s="203" t="s">
        <v>353</v>
      </c>
      <c r="B10" s="202" t="s">
        <v>370</v>
      </c>
      <c r="C10" s="5" t="s">
        <v>293</v>
      </c>
      <c r="D10" s="6">
        <v>365</v>
      </c>
      <c r="E10" s="6">
        <v>120</v>
      </c>
      <c r="F10" s="6">
        <v>3500</v>
      </c>
      <c r="G10" s="6">
        <v>90</v>
      </c>
      <c r="H10" s="175" t="s">
        <v>158</v>
      </c>
      <c r="I10" s="175" t="b">
        <v>0</v>
      </c>
      <c r="J10" s="175" t="b">
        <v>1</v>
      </c>
      <c r="K10" s="175">
        <v>18</v>
      </c>
      <c r="L10" s="175" t="b">
        <v>1</v>
      </c>
      <c r="M10" s="176">
        <f>SUMPRODUCT($R10:$AK10,'HID Lamp - WO017'!$A$3:$T$3)</f>
        <v>266.03568852247196</v>
      </c>
      <c r="N10" s="177">
        <f>IF(L10,'HID Lamp - WO017'!$X$3,'HID Lamp - WO017'!$U$3)</f>
        <v>2.1325159377406813</v>
      </c>
      <c r="O10" s="176">
        <f>IF(L10,'HID Lamp - WO017'!$Y$3,'HID Lamp - WO017'!$V$3)</f>
        <v>67.26167983080542</v>
      </c>
      <c r="P10" s="176">
        <f>IF(L10,'HID Lamp - WO017'!$Z$3,'HID Lamp - WO017'!$W$3)</f>
        <v>43.705339500000008</v>
      </c>
      <c r="Q10" s="176">
        <f t="shared" si="1"/>
        <v>187.14194373840348</v>
      </c>
      <c r="R10" s="191">
        <v>1</v>
      </c>
      <c r="S10" s="192">
        <f t="shared" si="14"/>
        <v>365</v>
      </c>
      <c r="T10" s="192">
        <f t="shared" si="15"/>
        <v>120</v>
      </c>
      <c r="U10" s="192">
        <f t="shared" si="16"/>
        <v>3500</v>
      </c>
      <c r="V10" s="192">
        <f t="shared" si="17"/>
        <v>90</v>
      </c>
      <c r="W10" s="187">
        <f t="shared" si="6"/>
        <v>0</v>
      </c>
      <c r="X10" s="187">
        <f t="shared" si="18"/>
        <v>1</v>
      </c>
      <c r="Y10" s="187">
        <f t="shared" si="19"/>
        <v>0</v>
      </c>
      <c r="Z10" s="191">
        <v>1</v>
      </c>
      <c r="AA10" s="191">
        <v>1</v>
      </c>
      <c r="AB10" s="191">
        <v>1</v>
      </c>
      <c r="AC10" s="191">
        <f t="shared" si="20"/>
        <v>0</v>
      </c>
      <c r="AD10" s="191">
        <f t="shared" si="10"/>
        <v>1</v>
      </c>
      <c r="AE10" s="193">
        <f t="shared" si="11"/>
        <v>1</v>
      </c>
      <c r="AF10" s="194">
        <f t="shared" si="12"/>
        <v>18</v>
      </c>
      <c r="AG10" s="195">
        <f t="shared" si="13"/>
        <v>365</v>
      </c>
      <c r="AH10" s="193">
        <f t="shared" si="0"/>
        <v>1</v>
      </c>
      <c r="AI10" s="193">
        <f t="shared" si="0"/>
        <v>1</v>
      </c>
      <c r="AJ10" s="193">
        <f t="shared" si="0"/>
        <v>1</v>
      </c>
      <c r="AK10" s="193">
        <f t="shared" si="0"/>
        <v>1</v>
      </c>
    </row>
    <row r="11" spans="1:37" ht="27.6" x14ac:dyDescent="0.3">
      <c r="A11" s="203" t="s">
        <v>354</v>
      </c>
      <c r="B11" s="202" t="s">
        <v>369</v>
      </c>
      <c r="C11" s="5" t="s">
        <v>293</v>
      </c>
      <c r="D11" s="6">
        <v>400</v>
      </c>
      <c r="E11" s="6">
        <v>120</v>
      </c>
      <c r="F11" s="6">
        <v>3500</v>
      </c>
      <c r="G11" s="6">
        <v>90</v>
      </c>
      <c r="H11" s="175" t="s">
        <v>158</v>
      </c>
      <c r="I11" s="175" t="b">
        <v>0</v>
      </c>
      <c r="J11" s="175" t="b">
        <v>1</v>
      </c>
      <c r="K11" s="175">
        <v>18</v>
      </c>
      <c r="L11" s="175" t="b">
        <v>1</v>
      </c>
      <c r="M11" s="176">
        <f>SUMPRODUCT($R11:$AK11,'HID Lamp - WO017'!$A$3:$T$3)</f>
        <v>268.79655852247197</v>
      </c>
      <c r="N11" s="177">
        <f>IF(L11,'HID Lamp - WO017'!$X$3,'HID Lamp - WO017'!$U$3)</f>
        <v>2.1325159377406813</v>
      </c>
      <c r="O11" s="176">
        <f>IF(L11,'HID Lamp - WO017'!$Y$3,'HID Lamp - WO017'!$V$3)</f>
        <v>67.26167983080542</v>
      </c>
      <c r="P11" s="176">
        <f>IF(L11,'HID Lamp - WO017'!$Z$3,'HID Lamp - WO017'!$W$3)</f>
        <v>43.705339500000008</v>
      </c>
      <c r="Q11" s="176">
        <f t="shared" si="1"/>
        <v>187.14194373840348</v>
      </c>
      <c r="R11" s="191">
        <v>1</v>
      </c>
      <c r="S11" s="192">
        <f t="shared" si="14"/>
        <v>400</v>
      </c>
      <c r="T11" s="192">
        <f t="shared" si="15"/>
        <v>120</v>
      </c>
      <c r="U11" s="192">
        <f t="shared" si="16"/>
        <v>3500</v>
      </c>
      <c r="V11" s="192">
        <f t="shared" si="17"/>
        <v>90</v>
      </c>
      <c r="W11" s="187">
        <f t="shared" si="6"/>
        <v>0</v>
      </c>
      <c r="X11" s="187">
        <f t="shared" si="18"/>
        <v>1</v>
      </c>
      <c r="Y11" s="187">
        <f t="shared" si="19"/>
        <v>0</v>
      </c>
      <c r="Z11" s="191">
        <v>1</v>
      </c>
      <c r="AA11" s="191">
        <v>1</v>
      </c>
      <c r="AB11" s="191">
        <v>1</v>
      </c>
      <c r="AC11" s="191">
        <f t="shared" si="20"/>
        <v>0</v>
      </c>
      <c r="AD11" s="191">
        <f t="shared" si="10"/>
        <v>1</v>
      </c>
      <c r="AE11" s="193">
        <f t="shared" si="11"/>
        <v>1</v>
      </c>
      <c r="AF11" s="194">
        <f t="shared" si="12"/>
        <v>18</v>
      </c>
      <c r="AG11" s="195">
        <f t="shared" si="13"/>
        <v>400</v>
      </c>
      <c r="AH11" s="193">
        <f t="shared" si="0"/>
        <v>1</v>
      </c>
      <c r="AI11" s="193">
        <f t="shared" si="0"/>
        <v>1</v>
      </c>
      <c r="AJ11" s="193">
        <f t="shared" si="0"/>
        <v>1</v>
      </c>
      <c r="AK11" s="193">
        <f t="shared" si="0"/>
        <v>1</v>
      </c>
    </row>
    <row r="12" spans="1:37" ht="27.6" x14ac:dyDescent="0.3">
      <c r="A12" s="203" t="s">
        <v>355</v>
      </c>
      <c r="B12" s="202" t="s">
        <v>371</v>
      </c>
      <c r="C12" s="5" t="s">
        <v>293</v>
      </c>
      <c r="D12" s="6">
        <v>190</v>
      </c>
      <c r="E12" s="6">
        <v>120</v>
      </c>
      <c r="F12" s="6">
        <v>3500</v>
      </c>
      <c r="G12" s="6">
        <v>90</v>
      </c>
      <c r="H12" s="175" t="s">
        <v>157</v>
      </c>
      <c r="I12" s="175" t="b">
        <v>0</v>
      </c>
      <c r="J12" s="175" t="b">
        <v>1</v>
      </c>
      <c r="K12" s="175">
        <v>18</v>
      </c>
      <c r="L12" s="175" t="b">
        <v>1</v>
      </c>
      <c r="M12" s="176">
        <f>SUMPRODUCT($R12:$AK12,'HID Lamp - WO017'!$A$3:$T$3)</f>
        <v>250.34433182247193</v>
      </c>
      <c r="N12" s="177">
        <f>IF(L12,'HID Lamp - WO017'!$X$3,'HID Lamp - WO017'!$U$3)</f>
        <v>2.1325159377406813</v>
      </c>
      <c r="O12" s="176">
        <f>IF(L12,'HID Lamp - WO017'!$Y$3,'HID Lamp - WO017'!$V$3)</f>
        <v>67.26167983080542</v>
      </c>
      <c r="P12" s="176">
        <f>IF(L12,'HID Lamp - WO017'!$Z$3,'HID Lamp - WO017'!$W$3)</f>
        <v>43.705339500000008</v>
      </c>
      <c r="Q12" s="176">
        <f t="shared" si="1"/>
        <v>187.14194373840348</v>
      </c>
      <c r="R12" s="191">
        <v>1</v>
      </c>
      <c r="S12" s="192">
        <f t="shared" si="14"/>
        <v>190</v>
      </c>
      <c r="T12" s="192">
        <f t="shared" si="15"/>
        <v>120</v>
      </c>
      <c r="U12" s="192">
        <f t="shared" si="16"/>
        <v>3500</v>
      </c>
      <c r="V12" s="192">
        <f t="shared" si="17"/>
        <v>90</v>
      </c>
      <c r="W12" s="187">
        <f t="shared" si="6"/>
        <v>1</v>
      </c>
      <c r="X12" s="187">
        <f t="shared" si="18"/>
        <v>0</v>
      </c>
      <c r="Y12" s="187">
        <f t="shared" si="19"/>
        <v>0</v>
      </c>
      <c r="Z12" s="191">
        <v>1</v>
      </c>
      <c r="AA12" s="191">
        <v>1</v>
      </c>
      <c r="AB12" s="191">
        <v>1</v>
      </c>
      <c r="AC12" s="191">
        <f t="shared" si="20"/>
        <v>0</v>
      </c>
      <c r="AD12" s="191">
        <f t="shared" si="10"/>
        <v>1</v>
      </c>
      <c r="AE12" s="193">
        <f t="shared" si="11"/>
        <v>1</v>
      </c>
      <c r="AF12" s="194">
        <f t="shared" si="12"/>
        <v>18</v>
      </c>
      <c r="AG12" s="195">
        <f t="shared" si="13"/>
        <v>190</v>
      </c>
      <c r="AH12" s="193">
        <f t="shared" si="0"/>
        <v>1</v>
      </c>
      <c r="AI12" s="193">
        <f t="shared" si="0"/>
        <v>1</v>
      </c>
      <c r="AJ12" s="193">
        <f t="shared" si="0"/>
        <v>1</v>
      </c>
      <c r="AK12" s="193">
        <f t="shared" si="0"/>
        <v>1</v>
      </c>
    </row>
    <row r="13" spans="1:37" ht="27.6" x14ac:dyDescent="0.3">
      <c r="A13" s="204" t="s">
        <v>346</v>
      </c>
      <c r="B13" s="202" t="s">
        <v>365</v>
      </c>
      <c r="C13" s="5" t="s">
        <v>293</v>
      </c>
      <c r="D13" s="6">
        <v>128</v>
      </c>
      <c r="E13" s="6">
        <v>120</v>
      </c>
      <c r="F13" s="6">
        <v>3500</v>
      </c>
      <c r="G13" s="6">
        <v>90</v>
      </c>
      <c r="H13" s="175" t="s">
        <v>157</v>
      </c>
      <c r="I13" s="175" t="b">
        <v>0</v>
      </c>
      <c r="J13" s="175" t="b">
        <v>1</v>
      </c>
      <c r="K13" s="175">
        <v>19</v>
      </c>
      <c r="L13" s="175" t="b">
        <v>1</v>
      </c>
      <c r="M13" s="176">
        <f>SUMPRODUCT($R13:$AK13,'HID Lamp - WO017'!$A$3:$T$3)</f>
        <v>252.55364782247199</v>
      </c>
      <c r="N13" s="177">
        <f>IF(L13,'HID Lamp - WO017'!$X$3,'HID Lamp - WO017'!$U$3)</f>
        <v>2.1325159377406813</v>
      </c>
      <c r="O13" s="176">
        <f>IF(L13,'HID Lamp - WO017'!$Y$3,'HID Lamp - WO017'!$V$3)</f>
        <v>67.26167983080542</v>
      </c>
      <c r="P13" s="176">
        <f>IF(L13,'HID Lamp - WO017'!$Z$3,'HID Lamp - WO017'!$W$3)</f>
        <v>43.705339500000008</v>
      </c>
      <c r="Q13" s="176">
        <f t="shared" ref="Q13:Q22" si="21">O13*N13+P13</f>
        <v>187.14194373840348</v>
      </c>
      <c r="R13" s="191">
        <v>1</v>
      </c>
      <c r="S13" s="192">
        <f t="shared" ref="S13:S22" si="22">D13</f>
        <v>128</v>
      </c>
      <c r="T13" s="192">
        <f t="shared" ref="T13:T22" si="23">E13</f>
        <v>120</v>
      </c>
      <c r="U13" s="192">
        <f t="shared" ref="U13:U22" si="24">F13</f>
        <v>3500</v>
      </c>
      <c r="V13" s="192">
        <f t="shared" ref="V13:V22" si="25">G13</f>
        <v>90</v>
      </c>
      <c r="W13" s="187">
        <f t="shared" si="6"/>
        <v>1</v>
      </c>
      <c r="X13" s="187">
        <f t="shared" ref="X13:X22" si="26">IF(W13,0,IF(H13="Pulse",1,0))</f>
        <v>0</v>
      </c>
      <c r="Y13" s="187">
        <f t="shared" ref="Y13:Y22" si="27">IF(W13+X13=1,0,1)</f>
        <v>0</v>
      </c>
      <c r="Z13" s="191">
        <v>1</v>
      </c>
      <c r="AA13" s="191">
        <v>1</v>
      </c>
      <c r="AB13" s="191">
        <v>1</v>
      </c>
      <c r="AC13" s="191">
        <f t="shared" ref="AC13:AC22" si="28">IF(I13,1,0)</f>
        <v>0</v>
      </c>
      <c r="AD13" s="191">
        <f t="shared" si="10"/>
        <v>1</v>
      </c>
      <c r="AE13" s="193">
        <f t="shared" si="11"/>
        <v>1</v>
      </c>
      <c r="AF13" s="194">
        <f t="shared" si="12"/>
        <v>19</v>
      </c>
      <c r="AG13" s="195">
        <f t="shared" si="13"/>
        <v>128</v>
      </c>
      <c r="AH13" s="193">
        <f t="shared" si="0"/>
        <v>1</v>
      </c>
      <c r="AI13" s="193">
        <f t="shared" si="0"/>
        <v>1</v>
      </c>
      <c r="AJ13" s="193">
        <f t="shared" si="0"/>
        <v>1</v>
      </c>
      <c r="AK13" s="193">
        <f t="shared" si="0"/>
        <v>1</v>
      </c>
    </row>
    <row r="14" spans="1:37" ht="27.6" x14ac:dyDescent="0.3">
      <c r="A14" s="204" t="s">
        <v>347</v>
      </c>
      <c r="B14" s="202" t="s">
        <v>372</v>
      </c>
      <c r="C14" s="5" t="s">
        <v>293</v>
      </c>
      <c r="D14" s="6">
        <v>295</v>
      </c>
      <c r="E14" s="6">
        <v>120</v>
      </c>
      <c r="F14" s="6">
        <v>3500</v>
      </c>
      <c r="G14" s="6">
        <v>90</v>
      </c>
      <c r="H14" s="175" t="s">
        <v>157</v>
      </c>
      <c r="I14" s="175" t="b">
        <v>0</v>
      </c>
      <c r="J14" s="175" t="b">
        <v>1</v>
      </c>
      <c r="K14" s="175">
        <v>20</v>
      </c>
      <c r="L14" s="175" t="b">
        <v>1</v>
      </c>
      <c r="M14" s="176">
        <f>SUMPRODUCT($R14:$AK14,'HID Lamp - WO017'!$A$3:$T$3)</f>
        <v>272.82694182247195</v>
      </c>
      <c r="N14" s="177">
        <f>IF(L14,'HID Lamp - WO017'!$X$3,'HID Lamp - WO017'!$U$3)</f>
        <v>2.1325159377406813</v>
      </c>
      <c r="O14" s="176">
        <f>IF(L14,'HID Lamp - WO017'!$Y$3,'HID Lamp - WO017'!$V$3)</f>
        <v>67.26167983080542</v>
      </c>
      <c r="P14" s="176">
        <f>IF(L14,'HID Lamp - WO017'!$Z$3,'HID Lamp - WO017'!$W$3)</f>
        <v>43.705339500000008</v>
      </c>
      <c r="Q14" s="176">
        <f t="shared" si="21"/>
        <v>187.14194373840348</v>
      </c>
      <c r="R14" s="191">
        <v>1</v>
      </c>
      <c r="S14" s="192">
        <f t="shared" si="22"/>
        <v>295</v>
      </c>
      <c r="T14" s="192">
        <f t="shared" si="23"/>
        <v>120</v>
      </c>
      <c r="U14" s="192">
        <f t="shared" si="24"/>
        <v>3500</v>
      </c>
      <c r="V14" s="192">
        <f t="shared" si="25"/>
        <v>90</v>
      </c>
      <c r="W14" s="187">
        <f t="shared" si="6"/>
        <v>1</v>
      </c>
      <c r="X14" s="187">
        <f t="shared" si="26"/>
        <v>0</v>
      </c>
      <c r="Y14" s="187">
        <f t="shared" si="27"/>
        <v>0</v>
      </c>
      <c r="Z14" s="191">
        <v>1</v>
      </c>
      <c r="AA14" s="191">
        <v>1</v>
      </c>
      <c r="AB14" s="191">
        <v>1</v>
      </c>
      <c r="AC14" s="191">
        <f t="shared" si="28"/>
        <v>0</v>
      </c>
      <c r="AD14" s="191">
        <f t="shared" si="10"/>
        <v>1</v>
      </c>
      <c r="AE14" s="193">
        <f t="shared" si="11"/>
        <v>1</v>
      </c>
      <c r="AF14" s="194">
        <f t="shared" si="12"/>
        <v>20</v>
      </c>
      <c r="AG14" s="195">
        <f t="shared" si="13"/>
        <v>295</v>
      </c>
      <c r="AH14" s="193">
        <f t="shared" si="0"/>
        <v>1</v>
      </c>
      <c r="AI14" s="193">
        <f t="shared" si="0"/>
        <v>1</v>
      </c>
      <c r="AJ14" s="193">
        <f t="shared" si="0"/>
        <v>1</v>
      </c>
      <c r="AK14" s="193">
        <f t="shared" si="0"/>
        <v>1</v>
      </c>
    </row>
    <row r="15" spans="1:37" ht="27.6" x14ac:dyDescent="0.3">
      <c r="A15" s="204" t="s">
        <v>348</v>
      </c>
      <c r="B15" s="202" t="s">
        <v>373</v>
      </c>
      <c r="C15" s="5" t="s">
        <v>293</v>
      </c>
      <c r="D15" s="6">
        <v>458</v>
      </c>
      <c r="E15" s="6">
        <v>120</v>
      </c>
      <c r="F15" s="6">
        <v>3500</v>
      </c>
      <c r="G15" s="6">
        <v>90</v>
      </c>
      <c r="H15" s="175" t="s">
        <v>157</v>
      </c>
      <c r="I15" s="175" t="b">
        <v>0</v>
      </c>
      <c r="J15" s="175" t="b">
        <v>1</v>
      </c>
      <c r="K15" s="175">
        <v>21</v>
      </c>
      <c r="L15" s="175" t="b">
        <v>1</v>
      </c>
      <c r="M15" s="176">
        <f>SUMPRODUCT($R15:$AK15,'HID Lamp - WO017'!$A$3:$T$3)</f>
        <v>292.78470782247194</v>
      </c>
      <c r="N15" s="177">
        <f>IF(L15,'HID Lamp - WO017'!$X$3,'HID Lamp - WO017'!$U$3)</f>
        <v>2.1325159377406813</v>
      </c>
      <c r="O15" s="176">
        <f>IF(L15,'HID Lamp - WO017'!$Y$3,'HID Lamp - WO017'!$V$3)</f>
        <v>67.26167983080542</v>
      </c>
      <c r="P15" s="176">
        <f>IF(L15,'HID Lamp - WO017'!$Z$3,'HID Lamp - WO017'!$W$3)</f>
        <v>43.705339500000008</v>
      </c>
      <c r="Q15" s="176">
        <f t="shared" si="21"/>
        <v>187.14194373840348</v>
      </c>
      <c r="R15" s="191">
        <v>1</v>
      </c>
      <c r="S15" s="192">
        <f t="shared" si="22"/>
        <v>458</v>
      </c>
      <c r="T15" s="192">
        <f t="shared" si="23"/>
        <v>120</v>
      </c>
      <c r="U15" s="192">
        <f t="shared" si="24"/>
        <v>3500</v>
      </c>
      <c r="V15" s="192">
        <f t="shared" si="25"/>
        <v>90</v>
      </c>
      <c r="W15" s="187">
        <f t="shared" si="6"/>
        <v>1</v>
      </c>
      <c r="X15" s="187">
        <f t="shared" si="26"/>
        <v>0</v>
      </c>
      <c r="Y15" s="187">
        <f t="shared" si="27"/>
        <v>0</v>
      </c>
      <c r="Z15" s="191">
        <v>1</v>
      </c>
      <c r="AA15" s="191">
        <v>1</v>
      </c>
      <c r="AB15" s="191">
        <v>1</v>
      </c>
      <c r="AC15" s="191">
        <f t="shared" si="28"/>
        <v>0</v>
      </c>
      <c r="AD15" s="191">
        <f t="shared" si="10"/>
        <v>1</v>
      </c>
      <c r="AE15" s="193">
        <f t="shared" si="11"/>
        <v>1</v>
      </c>
      <c r="AF15" s="194">
        <f t="shared" si="12"/>
        <v>21</v>
      </c>
      <c r="AG15" s="195">
        <f t="shared" si="13"/>
        <v>458</v>
      </c>
      <c r="AH15" s="193">
        <f t="shared" si="0"/>
        <v>1</v>
      </c>
      <c r="AI15" s="193">
        <f t="shared" si="0"/>
        <v>1</v>
      </c>
      <c r="AJ15" s="193">
        <f t="shared" si="0"/>
        <v>1</v>
      </c>
      <c r="AK15" s="193">
        <f t="shared" si="0"/>
        <v>1</v>
      </c>
    </row>
    <row r="16" spans="1:37" ht="27.6" x14ac:dyDescent="0.3">
      <c r="A16" s="204" t="s">
        <v>349</v>
      </c>
      <c r="B16" s="202" t="s">
        <v>374</v>
      </c>
      <c r="C16" s="5" t="s">
        <v>293</v>
      </c>
      <c r="D16" s="6">
        <v>780</v>
      </c>
      <c r="E16" s="6">
        <v>120</v>
      </c>
      <c r="F16" s="6">
        <v>3500</v>
      </c>
      <c r="G16" s="6">
        <v>90</v>
      </c>
      <c r="H16" s="175" t="s">
        <v>157</v>
      </c>
      <c r="I16" s="175" t="b">
        <v>0</v>
      </c>
      <c r="J16" s="175" t="b">
        <v>1</v>
      </c>
      <c r="K16" s="175">
        <v>22</v>
      </c>
      <c r="L16" s="175" t="b">
        <v>1</v>
      </c>
      <c r="M16" s="176">
        <f>SUMPRODUCT($R16:$AK16,'HID Lamp - WO017'!$A$3:$T$3)</f>
        <v>325.28471182247199</v>
      </c>
      <c r="N16" s="177">
        <f>IF(L16,'HID Lamp - WO017'!$X$3,'HID Lamp - WO017'!$U$3)</f>
        <v>2.1325159377406813</v>
      </c>
      <c r="O16" s="176">
        <f>IF(L16,'HID Lamp - WO017'!$Y$3,'HID Lamp - WO017'!$V$3)</f>
        <v>67.26167983080542</v>
      </c>
      <c r="P16" s="176">
        <f>IF(L16,'HID Lamp - WO017'!$Z$3,'HID Lamp - WO017'!$W$3)</f>
        <v>43.705339500000008</v>
      </c>
      <c r="Q16" s="176">
        <f t="shared" si="21"/>
        <v>187.14194373840348</v>
      </c>
      <c r="R16" s="191">
        <v>1</v>
      </c>
      <c r="S16" s="192">
        <f t="shared" si="22"/>
        <v>780</v>
      </c>
      <c r="T16" s="192">
        <f t="shared" si="23"/>
        <v>120</v>
      </c>
      <c r="U16" s="192">
        <f t="shared" si="24"/>
        <v>3500</v>
      </c>
      <c r="V16" s="192">
        <f t="shared" si="25"/>
        <v>90</v>
      </c>
      <c r="W16" s="187">
        <f t="shared" si="6"/>
        <v>1</v>
      </c>
      <c r="X16" s="187">
        <f t="shared" si="26"/>
        <v>0</v>
      </c>
      <c r="Y16" s="187">
        <f t="shared" si="27"/>
        <v>0</v>
      </c>
      <c r="Z16" s="191">
        <v>1</v>
      </c>
      <c r="AA16" s="191">
        <v>1</v>
      </c>
      <c r="AB16" s="191">
        <v>1</v>
      </c>
      <c r="AC16" s="191">
        <f t="shared" si="28"/>
        <v>0</v>
      </c>
      <c r="AD16" s="191">
        <f t="shared" si="10"/>
        <v>1</v>
      </c>
      <c r="AE16" s="193">
        <f t="shared" si="11"/>
        <v>1</v>
      </c>
      <c r="AF16" s="194">
        <f t="shared" si="12"/>
        <v>22</v>
      </c>
      <c r="AG16" s="195">
        <f t="shared" si="13"/>
        <v>780</v>
      </c>
      <c r="AH16" s="193">
        <f t="shared" si="0"/>
        <v>1</v>
      </c>
      <c r="AI16" s="193">
        <f t="shared" si="0"/>
        <v>1</v>
      </c>
      <c r="AJ16" s="193">
        <f t="shared" si="0"/>
        <v>1</v>
      </c>
      <c r="AK16" s="193">
        <f t="shared" si="0"/>
        <v>1</v>
      </c>
    </row>
    <row r="17" spans="1:37" ht="27.6" x14ac:dyDescent="0.3">
      <c r="A17" s="204" t="s">
        <v>350</v>
      </c>
      <c r="B17" s="202" t="s">
        <v>375</v>
      </c>
      <c r="C17" s="5" t="s">
        <v>293</v>
      </c>
      <c r="D17" s="6">
        <v>1080</v>
      </c>
      <c r="E17" s="6">
        <v>120</v>
      </c>
      <c r="F17" s="6">
        <v>3500</v>
      </c>
      <c r="G17" s="6">
        <v>90</v>
      </c>
      <c r="H17" s="175" t="s">
        <v>157</v>
      </c>
      <c r="I17" s="175" t="b">
        <v>0</v>
      </c>
      <c r="J17" s="175" t="b">
        <v>1</v>
      </c>
      <c r="K17" s="175">
        <v>23</v>
      </c>
      <c r="L17" s="175" t="b">
        <v>1</v>
      </c>
      <c r="M17" s="176">
        <f>SUMPRODUCT($R17:$AK17,'HID Lamp - WO017'!$A$3:$T$3)</f>
        <v>356.04931182247196</v>
      </c>
      <c r="N17" s="177">
        <f>IF(L17,'HID Lamp - WO017'!$X$3,'HID Lamp - WO017'!$U$3)</f>
        <v>2.1325159377406813</v>
      </c>
      <c r="O17" s="176">
        <f>IF(L17,'HID Lamp - WO017'!$Y$3,'HID Lamp - WO017'!$V$3)</f>
        <v>67.26167983080542</v>
      </c>
      <c r="P17" s="176">
        <f>IF(L17,'HID Lamp - WO017'!$Z$3,'HID Lamp - WO017'!$W$3)</f>
        <v>43.705339500000008</v>
      </c>
      <c r="Q17" s="176">
        <f t="shared" si="21"/>
        <v>187.14194373840348</v>
      </c>
      <c r="R17" s="191">
        <v>1</v>
      </c>
      <c r="S17" s="192">
        <f t="shared" si="22"/>
        <v>1080</v>
      </c>
      <c r="T17" s="192">
        <f t="shared" si="23"/>
        <v>120</v>
      </c>
      <c r="U17" s="192">
        <f t="shared" si="24"/>
        <v>3500</v>
      </c>
      <c r="V17" s="192">
        <f t="shared" si="25"/>
        <v>90</v>
      </c>
      <c r="W17" s="187">
        <f t="shared" si="6"/>
        <v>1</v>
      </c>
      <c r="X17" s="187">
        <f t="shared" si="26"/>
        <v>0</v>
      </c>
      <c r="Y17" s="187">
        <f t="shared" si="27"/>
        <v>0</v>
      </c>
      <c r="Z17" s="191">
        <v>1</v>
      </c>
      <c r="AA17" s="191">
        <v>1</v>
      </c>
      <c r="AB17" s="191">
        <v>1</v>
      </c>
      <c r="AC17" s="191">
        <f t="shared" si="28"/>
        <v>0</v>
      </c>
      <c r="AD17" s="191">
        <f t="shared" si="10"/>
        <v>1</v>
      </c>
      <c r="AE17" s="193">
        <f t="shared" si="11"/>
        <v>1</v>
      </c>
      <c r="AF17" s="194">
        <f t="shared" si="12"/>
        <v>23</v>
      </c>
      <c r="AG17" s="195">
        <f t="shared" si="13"/>
        <v>1080</v>
      </c>
      <c r="AH17" s="193">
        <f t="shared" si="0"/>
        <v>1</v>
      </c>
      <c r="AI17" s="193">
        <f t="shared" si="0"/>
        <v>1</v>
      </c>
      <c r="AJ17" s="193">
        <f t="shared" si="0"/>
        <v>1</v>
      </c>
      <c r="AK17" s="193">
        <f t="shared" si="0"/>
        <v>1</v>
      </c>
    </row>
    <row r="18" spans="1:37" ht="27.6" x14ac:dyDescent="0.3">
      <c r="A18" s="204" t="s">
        <v>351</v>
      </c>
      <c r="B18" s="202" t="s">
        <v>367</v>
      </c>
      <c r="C18" s="5" t="s">
        <v>293</v>
      </c>
      <c r="D18" s="6">
        <v>456</v>
      </c>
      <c r="E18" s="6">
        <v>120</v>
      </c>
      <c r="F18" s="6">
        <v>3500</v>
      </c>
      <c r="G18" s="6">
        <v>90</v>
      </c>
      <c r="H18" s="175" t="s">
        <v>158</v>
      </c>
      <c r="I18" s="175" t="b">
        <v>0</v>
      </c>
      <c r="J18" s="175" t="b">
        <v>1</v>
      </c>
      <c r="K18" s="175">
        <v>24</v>
      </c>
      <c r="L18" s="175" t="b">
        <v>1</v>
      </c>
      <c r="M18" s="176">
        <f>SUMPRODUCT($R18:$AK18,'HID Lamp - WO017'!$A$3:$T$3)</f>
        <v>315.813950522472</v>
      </c>
      <c r="N18" s="177">
        <f>IF(L18,'HID Lamp - WO017'!$X$3,'HID Lamp - WO017'!$U$3)</f>
        <v>2.1325159377406813</v>
      </c>
      <c r="O18" s="176">
        <f>IF(L18,'HID Lamp - WO017'!$Y$3,'HID Lamp - WO017'!$V$3)</f>
        <v>67.26167983080542</v>
      </c>
      <c r="P18" s="176">
        <f>IF(L18,'HID Lamp - WO017'!$Z$3,'HID Lamp - WO017'!$W$3)</f>
        <v>43.705339500000008</v>
      </c>
      <c r="Q18" s="176">
        <f t="shared" si="21"/>
        <v>187.14194373840348</v>
      </c>
      <c r="R18" s="191">
        <v>1</v>
      </c>
      <c r="S18" s="192">
        <f t="shared" si="22"/>
        <v>456</v>
      </c>
      <c r="T18" s="192">
        <f t="shared" si="23"/>
        <v>120</v>
      </c>
      <c r="U18" s="192">
        <f t="shared" si="24"/>
        <v>3500</v>
      </c>
      <c r="V18" s="192">
        <f t="shared" si="25"/>
        <v>90</v>
      </c>
      <c r="W18" s="187">
        <f t="shared" si="6"/>
        <v>0</v>
      </c>
      <c r="X18" s="187">
        <f t="shared" si="26"/>
        <v>1</v>
      </c>
      <c r="Y18" s="187">
        <f t="shared" si="27"/>
        <v>0</v>
      </c>
      <c r="Z18" s="191">
        <v>1</v>
      </c>
      <c r="AA18" s="191">
        <v>1</v>
      </c>
      <c r="AB18" s="191">
        <v>1</v>
      </c>
      <c r="AC18" s="191">
        <f t="shared" si="28"/>
        <v>0</v>
      </c>
      <c r="AD18" s="191">
        <f t="shared" si="10"/>
        <v>1</v>
      </c>
      <c r="AE18" s="193">
        <f t="shared" si="11"/>
        <v>1</v>
      </c>
      <c r="AF18" s="194">
        <f t="shared" si="12"/>
        <v>24</v>
      </c>
      <c r="AG18" s="195">
        <f t="shared" si="13"/>
        <v>456</v>
      </c>
      <c r="AH18" s="193">
        <f t="shared" si="0"/>
        <v>1</v>
      </c>
      <c r="AI18" s="193">
        <f t="shared" si="0"/>
        <v>1</v>
      </c>
      <c r="AJ18" s="193">
        <f t="shared" si="0"/>
        <v>1</v>
      </c>
      <c r="AK18" s="193">
        <f t="shared" si="0"/>
        <v>1</v>
      </c>
    </row>
    <row r="19" spans="1:37" ht="27.6" x14ac:dyDescent="0.3">
      <c r="A19" s="204" t="s">
        <v>352</v>
      </c>
      <c r="B19" s="202" t="s">
        <v>376</v>
      </c>
      <c r="C19" s="5" t="s">
        <v>293</v>
      </c>
      <c r="D19" s="6">
        <v>404</v>
      </c>
      <c r="E19" s="6">
        <v>120</v>
      </c>
      <c r="F19" s="6">
        <v>3500</v>
      </c>
      <c r="G19" s="6">
        <v>90</v>
      </c>
      <c r="H19" s="175" t="s">
        <v>157</v>
      </c>
      <c r="I19" s="175" t="b">
        <v>0</v>
      </c>
      <c r="J19" s="175" t="b">
        <v>1</v>
      </c>
      <c r="K19" s="175">
        <v>25</v>
      </c>
      <c r="L19" s="175" t="b">
        <v>1</v>
      </c>
      <c r="M19" s="176">
        <f>SUMPRODUCT($R19:$AK19,'HID Lamp - WO017'!$A$3:$T$3)</f>
        <v>316.92507982247201</v>
      </c>
      <c r="N19" s="177">
        <f>IF(L19,'HID Lamp - WO017'!$X$3,'HID Lamp - WO017'!$U$3)</f>
        <v>2.1325159377406813</v>
      </c>
      <c r="O19" s="176">
        <f>IF(L19,'HID Lamp - WO017'!$Y$3,'HID Lamp - WO017'!$V$3)</f>
        <v>67.26167983080542</v>
      </c>
      <c r="P19" s="176">
        <f>IF(L19,'HID Lamp - WO017'!$Z$3,'HID Lamp - WO017'!$W$3)</f>
        <v>43.705339500000008</v>
      </c>
      <c r="Q19" s="176">
        <f t="shared" si="21"/>
        <v>187.14194373840348</v>
      </c>
      <c r="R19" s="191">
        <v>1</v>
      </c>
      <c r="S19" s="192">
        <f t="shared" si="22"/>
        <v>404</v>
      </c>
      <c r="T19" s="192">
        <f t="shared" si="23"/>
        <v>120</v>
      </c>
      <c r="U19" s="192">
        <f t="shared" si="24"/>
        <v>3500</v>
      </c>
      <c r="V19" s="192">
        <f t="shared" si="25"/>
        <v>90</v>
      </c>
      <c r="W19" s="187">
        <f t="shared" si="6"/>
        <v>1</v>
      </c>
      <c r="X19" s="187">
        <f t="shared" si="26"/>
        <v>0</v>
      </c>
      <c r="Y19" s="187">
        <f t="shared" si="27"/>
        <v>0</v>
      </c>
      <c r="Z19" s="191">
        <v>1</v>
      </c>
      <c r="AA19" s="191">
        <v>1</v>
      </c>
      <c r="AB19" s="191">
        <v>1</v>
      </c>
      <c r="AC19" s="191">
        <f t="shared" si="28"/>
        <v>0</v>
      </c>
      <c r="AD19" s="191">
        <f t="shared" si="10"/>
        <v>1</v>
      </c>
      <c r="AE19" s="193">
        <f t="shared" si="11"/>
        <v>1</v>
      </c>
      <c r="AF19" s="194">
        <f t="shared" si="12"/>
        <v>25</v>
      </c>
      <c r="AG19" s="195">
        <f t="shared" si="13"/>
        <v>404</v>
      </c>
      <c r="AH19" s="193">
        <f t="shared" ref="AH19:AK22" si="29">IF($J19,1,0)</f>
        <v>1</v>
      </c>
      <c r="AI19" s="193">
        <f t="shared" si="29"/>
        <v>1</v>
      </c>
      <c r="AJ19" s="193">
        <f t="shared" si="29"/>
        <v>1</v>
      </c>
      <c r="AK19" s="193">
        <f t="shared" si="29"/>
        <v>1</v>
      </c>
    </row>
    <row r="20" spans="1:37" ht="27.6" x14ac:dyDescent="0.3">
      <c r="A20" s="204" t="s">
        <v>353</v>
      </c>
      <c r="B20" s="202" t="s">
        <v>377</v>
      </c>
      <c r="C20" s="5" t="s">
        <v>293</v>
      </c>
      <c r="D20" s="6">
        <v>400</v>
      </c>
      <c r="E20" s="6">
        <v>120</v>
      </c>
      <c r="F20" s="6">
        <v>3500</v>
      </c>
      <c r="G20" s="6">
        <v>90</v>
      </c>
      <c r="H20" s="175" t="s">
        <v>157</v>
      </c>
      <c r="I20" s="175" t="b">
        <v>0</v>
      </c>
      <c r="J20" s="175" t="b">
        <v>1</v>
      </c>
      <c r="K20" s="175">
        <v>26</v>
      </c>
      <c r="L20" s="175" t="b">
        <v>1</v>
      </c>
      <c r="M20" s="176">
        <f>SUMPRODUCT($R20:$AK20,'HID Lamp - WO017'!$A$3:$T$3)</f>
        <v>323.70955182247195</v>
      </c>
      <c r="N20" s="177">
        <f>IF(L20,'HID Lamp - WO017'!$X$3,'HID Lamp - WO017'!$U$3)</f>
        <v>2.1325159377406813</v>
      </c>
      <c r="O20" s="176">
        <f>IF(L20,'HID Lamp - WO017'!$Y$3,'HID Lamp - WO017'!$V$3)</f>
        <v>67.26167983080542</v>
      </c>
      <c r="P20" s="176">
        <f>IF(L20,'HID Lamp - WO017'!$Z$3,'HID Lamp - WO017'!$W$3)</f>
        <v>43.705339500000008</v>
      </c>
      <c r="Q20" s="176">
        <f t="shared" si="21"/>
        <v>187.14194373840348</v>
      </c>
      <c r="R20" s="191">
        <v>1</v>
      </c>
      <c r="S20" s="192">
        <f t="shared" si="22"/>
        <v>400</v>
      </c>
      <c r="T20" s="192">
        <f t="shared" si="23"/>
        <v>120</v>
      </c>
      <c r="U20" s="192">
        <f t="shared" si="24"/>
        <v>3500</v>
      </c>
      <c r="V20" s="192">
        <f t="shared" si="25"/>
        <v>90</v>
      </c>
      <c r="W20" s="187">
        <f t="shared" si="6"/>
        <v>1</v>
      </c>
      <c r="X20" s="187">
        <f t="shared" si="26"/>
        <v>0</v>
      </c>
      <c r="Y20" s="187">
        <f t="shared" si="27"/>
        <v>0</v>
      </c>
      <c r="Z20" s="191">
        <v>1</v>
      </c>
      <c r="AA20" s="191">
        <v>1</v>
      </c>
      <c r="AB20" s="191">
        <v>1</v>
      </c>
      <c r="AC20" s="191">
        <f t="shared" si="28"/>
        <v>0</v>
      </c>
      <c r="AD20" s="191">
        <f t="shared" si="10"/>
        <v>1</v>
      </c>
      <c r="AE20" s="193">
        <f t="shared" si="11"/>
        <v>1</v>
      </c>
      <c r="AF20" s="194">
        <f t="shared" si="12"/>
        <v>26</v>
      </c>
      <c r="AG20" s="195">
        <f t="shared" si="13"/>
        <v>400</v>
      </c>
      <c r="AH20" s="193">
        <f t="shared" si="29"/>
        <v>1</v>
      </c>
      <c r="AI20" s="193">
        <f t="shared" si="29"/>
        <v>1</v>
      </c>
      <c r="AJ20" s="193">
        <f t="shared" si="29"/>
        <v>1</v>
      </c>
      <c r="AK20" s="193">
        <f t="shared" si="29"/>
        <v>1</v>
      </c>
    </row>
    <row r="21" spans="1:37" ht="27.6" x14ac:dyDescent="0.3">
      <c r="A21" s="204" t="s">
        <v>354</v>
      </c>
      <c r="B21" s="202" t="s">
        <v>373</v>
      </c>
      <c r="C21" s="5" t="s">
        <v>293</v>
      </c>
      <c r="D21" s="6">
        <v>458</v>
      </c>
      <c r="E21" s="6">
        <v>120</v>
      </c>
      <c r="F21" s="6">
        <v>3500</v>
      </c>
      <c r="G21" s="6">
        <v>90</v>
      </c>
      <c r="H21" s="175" t="s">
        <v>157</v>
      </c>
      <c r="I21" s="175" t="b">
        <v>0</v>
      </c>
      <c r="J21" s="175" t="b">
        <v>1</v>
      </c>
      <c r="K21" s="175">
        <v>27</v>
      </c>
      <c r="L21" s="175" t="b">
        <v>1</v>
      </c>
      <c r="M21" s="176">
        <f>SUMPRODUCT($R21:$AK21,'HID Lamp - WO017'!$A$3:$T$3)</f>
        <v>335.38470782247197</v>
      </c>
      <c r="N21" s="177">
        <f>IF(L21,'HID Lamp - WO017'!$X$3,'HID Lamp - WO017'!$U$3)</f>
        <v>2.1325159377406813</v>
      </c>
      <c r="O21" s="176">
        <f>IF(L21,'HID Lamp - WO017'!$Y$3,'HID Lamp - WO017'!$V$3)</f>
        <v>67.26167983080542</v>
      </c>
      <c r="P21" s="176">
        <f>IF(L21,'HID Lamp - WO017'!$Z$3,'HID Lamp - WO017'!$W$3)</f>
        <v>43.705339500000008</v>
      </c>
      <c r="Q21" s="176">
        <f t="shared" si="21"/>
        <v>187.14194373840348</v>
      </c>
      <c r="R21" s="191">
        <v>1</v>
      </c>
      <c r="S21" s="192">
        <f t="shared" si="22"/>
        <v>458</v>
      </c>
      <c r="T21" s="192">
        <f t="shared" si="23"/>
        <v>120</v>
      </c>
      <c r="U21" s="192">
        <f t="shared" si="24"/>
        <v>3500</v>
      </c>
      <c r="V21" s="192">
        <f t="shared" si="25"/>
        <v>90</v>
      </c>
      <c r="W21" s="187">
        <f t="shared" si="6"/>
        <v>1</v>
      </c>
      <c r="X21" s="187">
        <f t="shared" si="26"/>
        <v>0</v>
      </c>
      <c r="Y21" s="187">
        <f t="shared" si="27"/>
        <v>0</v>
      </c>
      <c r="Z21" s="191">
        <v>1</v>
      </c>
      <c r="AA21" s="191">
        <v>1</v>
      </c>
      <c r="AB21" s="191">
        <v>1</v>
      </c>
      <c r="AC21" s="191">
        <f t="shared" si="28"/>
        <v>0</v>
      </c>
      <c r="AD21" s="191">
        <f t="shared" si="10"/>
        <v>1</v>
      </c>
      <c r="AE21" s="193">
        <f t="shared" si="11"/>
        <v>1</v>
      </c>
      <c r="AF21" s="194">
        <f t="shared" si="12"/>
        <v>27</v>
      </c>
      <c r="AG21" s="195">
        <f t="shared" si="13"/>
        <v>458</v>
      </c>
      <c r="AH21" s="193">
        <f t="shared" si="29"/>
        <v>1</v>
      </c>
      <c r="AI21" s="193">
        <f t="shared" si="29"/>
        <v>1</v>
      </c>
      <c r="AJ21" s="193">
        <f t="shared" si="29"/>
        <v>1</v>
      </c>
      <c r="AK21" s="193">
        <f t="shared" si="29"/>
        <v>1</v>
      </c>
    </row>
    <row r="22" spans="1:37" ht="27.6" x14ac:dyDescent="0.3">
      <c r="A22" s="204" t="s">
        <v>355</v>
      </c>
      <c r="B22" s="202" t="s">
        <v>371</v>
      </c>
      <c r="C22" s="5" t="s">
        <v>293</v>
      </c>
      <c r="D22" s="6">
        <v>190</v>
      </c>
      <c r="E22" s="6">
        <v>120</v>
      </c>
      <c r="F22" s="6">
        <v>3500</v>
      </c>
      <c r="G22" s="6">
        <v>90</v>
      </c>
      <c r="H22" s="175" t="s">
        <v>157</v>
      </c>
      <c r="I22" s="175" t="b">
        <v>0</v>
      </c>
      <c r="J22" s="175" t="b">
        <v>1</v>
      </c>
      <c r="K22" s="175">
        <v>28</v>
      </c>
      <c r="L22" s="175" t="b">
        <v>1</v>
      </c>
      <c r="M22" s="176">
        <f>SUMPRODUCT($R22:$AK22,'HID Lamp - WO017'!$A$3:$T$3)</f>
        <v>321.34433182247193</v>
      </c>
      <c r="N22" s="177">
        <f>IF(L22,'HID Lamp - WO017'!$X$3,'HID Lamp - WO017'!$U$3)</f>
        <v>2.1325159377406813</v>
      </c>
      <c r="O22" s="176">
        <f>IF(L22,'HID Lamp - WO017'!$Y$3,'HID Lamp - WO017'!$V$3)</f>
        <v>67.26167983080542</v>
      </c>
      <c r="P22" s="176">
        <f>IF(L22,'HID Lamp - WO017'!$Z$3,'HID Lamp - WO017'!$W$3)</f>
        <v>43.705339500000008</v>
      </c>
      <c r="Q22" s="176">
        <f t="shared" si="21"/>
        <v>187.14194373840348</v>
      </c>
      <c r="R22" s="191">
        <v>1</v>
      </c>
      <c r="S22" s="192">
        <f t="shared" si="22"/>
        <v>190</v>
      </c>
      <c r="T22" s="192">
        <f t="shared" si="23"/>
        <v>120</v>
      </c>
      <c r="U22" s="192">
        <f t="shared" si="24"/>
        <v>3500</v>
      </c>
      <c r="V22" s="192">
        <f t="shared" si="25"/>
        <v>90</v>
      </c>
      <c r="W22" s="187">
        <f t="shared" si="6"/>
        <v>1</v>
      </c>
      <c r="X22" s="187">
        <f t="shared" si="26"/>
        <v>0</v>
      </c>
      <c r="Y22" s="187">
        <f t="shared" si="27"/>
        <v>0</v>
      </c>
      <c r="Z22" s="191">
        <v>1</v>
      </c>
      <c r="AA22" s="191">
        <v>1</v>
      </c>
      <c r="AB22" s="191">
        <v>1</v>
      </c>
      <c r="AC22" s="191">
        <f t="shared" si="28"/>
        <v>0</v>
      </c>
      <c r="AD22" s="191">
        <f t="shared" si="10"/>
        <v>1</v>
      </c>
      <c r="AE22" s="193">
        <f t="shared" si="11"/>
        <v>1</v>
      </c>
      <c r="AF22" s="194">
        <f t="shared" si="12"/>
        <v>28</v>
      </c>
      <c r="AG22" s="195">
        <f t="shared" si="13"/>
        <v>190</v>
      </c>
      <c r="AH22" s="193">
        <f t="shared" si="29"/>
        <v>1</v>
      </c>
      <c r="AI22" s="193">
        <f t="shared" si="29"/>
        <v>1</v>
      </c>
      <c r="AJ22" s="193">
        <f t="shared" si="29"/>
        <v>1</v>
      </c>
      <c r="AK22" s="193">
        <f t="shared" si="29"/>
        <v>1</v>
      </c>
    </row>
  </sheetData>
  <pageMargins left="0.7" right="0.7" top="0.75" bottom="0.75" header="0.3" footer="0.3"/>
  <pageSetup orientation="portrait" verticalDpi="0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'HID Lamp - WO017'!$K$7:$K$8</xm:f>
          </x14:formula1>
          <xm:sqref>I3:J22 L3:L22</xm:sqref>
        </x14:dataValidation>
        <x14:dataValidation type="list" allowBlank="1" showInputMessage="1" showErrorMessage="1">
          <x14:formula1>
            <xm:f>'HID Lamp - WO017'!$L$7:$L$9</xm:f>
          </x14:formula1>
          <xm:sqref>H3:H22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34"/>
  <sheetViews>
    <sheetView topLeftCell="F1" zoomScale="80" zoomScaleNormal="80" workbookViewId="0">
      <selection activeCell="X2" sqref="X2:Z2"/>
    </sheetView>
  </sheetViews>
  <sheetFormatPr defaultRowHeight="14.4" x14ac:dyDescent="0.3"/>
  <cols>
    <col min="1" max="1" width="20.6640625" customWidth="1"/>
    <col min="2" max="2" width="15.44140625" bestFit="1" customWidth="1"/>
    <col min="3" max="3" width="10.33203125" bestFit="1" customWidth="1"/>
    <col min="4" max="4" width="11.33203125" customWidth="1"/>
    <col min="5" max="5" width="9.88671875" customWidth="1"/>
    <col min="6" max="6" width="14.109375" customWidth="1"/>
    <col min="7" max="7" width="15.6640625" bestFit="1" customWidth="1"/>
    <col min="8" max="8" width="15.109375" bestFit="1" customWidth="1"/>
    <col min="9" max="9" width="14.6640625" bestFit="1" customWidth="1"/>
    <col min="10" max="10" width="14.33203125" bestFit="1" customWidth="1"/>
    <col min="11" max="11" width="11" customWidth="1"/>
    <col min="21" max="21" width="11.44140625" customWidth="1"/>
    <col min="22" max="22" width="14.109375" customWidth="1"/>
    <col min="23" max="23" width="13.88671875" customWidth="1"/>
    <col min="24" max="26" width="11" customWidth="1"/>
    <col min="27" max="27" width="9" customWidth="1"/>
  </cols>
  <sheetData>
    <row r="1" spans="1:26" ht="15" x14ac:dyDescent="0.25">
      <c r="A1" t="s">
        <v>148</v>
      </c>
      <c r="N1" t="s">
        <v>178</v>
      </c>
      <c r="U1" t="s">
        <v>197</v>
      </c>
      <c r="X1" t="s">
        <v>299</v>
      </c>
    </row>
    <row r="2" spans="1:26" ht="15" x14ac:dyDescent="0.25">
      <c r="A2" s="55" t="s">
        <v>24</v>
      </c>
      <c r="B2" s="91" t="s">
        <v>27</v>
      </c>
      <c r="C2" s="91" t="s">
        <v>150</v>
      </c>
      <c r="D2" s="91" t="s">
        <v>152</v>
      </c>
      <c r="E2" s="91" t="s">
        <v>154</v>
      </c>
      <c r="F2" s="92" t="s">
        <v>191</v>
      </c>
      <c r="G2" s="92" t="s">
        <v>192</v>
      </c>
      <c r="H2" s="92" t="s">
        <v>193</v>
      </c>
      <c r="I2" s="92" t="s">
        <v>160</v>
      </c>
      <c r="J2" s="92" t="s">
        <v>164</v>
      </c>
      <c r="K2" s="92" t="s">
        <v>168</v>
      </c>
      <c r="L2" s="92" t="s">
        <v>198</v>
      </c>
      <c r="M2" s="92" t="s">
        <v>199</v>
      </c>
      <c r="N2" s="93" t="s">
        <v>24</v>
      </c>
      <c r="O2" t="s">
        <v>179</v>
      </c>
      <c r="P2" t="s">
        <v>27</v>
      </c>
      <c r="Q2" t="s">
        <v>182</v>
      </c>
      <c r="R2" t="s">
        <v>183</v>
      </c>
      <c r="S2" t="s">
        <v>184</v>
      </c>
      <c r="T2" t="s">
        <v>185</v>
      </c>
      <c r="U2" t="s">
        <v>141</v>
      </c>
      <c r="V2" t="s">
        <v>142</v>
      </c>
      <c r="W2" t="s">
        <v>201</v>
      </c>
      <c r="X2" t="s">
        <v>295</v>
      </c>
      <c r="Y2" t="s">
        <v>296</v>
      </c>
      <c r="Z2" t="s">
        <v>297</v>
      </c>
    </row>
    <row r="3" spans="1:26" ht="15" x14ac:dyDescent="0.25">
      <c r="A3" s="58">
        <f>G14</f>
        <v>141.2402554</v>
      </c>
      <c r="B3">
        <f t="shared" ref="B3:M3" si="0">IFERROR(INDEX($E$7:$E$34,MATCH($A1&amp;B$2,$I$7:$I$34,0)),"")</f>
        <v>1.8881999999999999E-2</v>
      </c>
      <c r="C3">
        <f t="shared" si="0"/>
        <v>0.32452999999999999</v>
      </c>
      <c r="D3">
        <f t="shared" si="0"/>
        <v>-1.12932E-2</v>
      </c>
      <c r="E3">
        <f t="shared" si="0"/>
        <v>0.1257742</v>
      </c>
      <c r="F3">
        <f t="shared" si="0"/>
        <v>0</v>
      </c>
      <c r="G3">
        <f t="shared" si="0"/>
        <v>1.8870066999999999</v>
      </c>
      <c r="H3">
        <f t="shared" si="0"/>
        <v>35.282326599999998</v>
      </c>
      <c r="I3">
        <f t="shared" si="0"/>
        <v>-0.12800635056179788</v>
      </c>
      <c r="J3">
        <f t="shared" si="0"/>
        <v>-104.73698917078652</v>
      </c>
      <c r="K3">
        <f t="shared" si="0"/>
        <v>1.5694139438202246</v>
      </c>
      <c r="L3">
        <f t="shared" si="0"/>
        <v>22.156568400000001</v>
      </c>
      <c r="M3">
        <f t="shared" si="0"/>
        <v>0</v>
      </c>
      <c r="N3" s="58">
        <f>G32</f>
        <v>86</v>
      </c>
      <c r="O3">
        <f t="shared" ref="O3:T3" si="1">IFERROR(INDEX($E$7:$E$34,MATCH($N1&amp;O$2,$I$7:$I$34,0)),"")</f>
        <v>7.1</v>
      </c>
      <c r="P3">
        <f t="shared" si="1"/>
        <v>0.06</v>
      </c>
      <c r="Q3">
        <f t="shared" si="1"/>
        <v>-34.810862068965513</v>
      </c>
      <c r="R3">
        <f t="shared" si="1"/>
        <v>-4.5117241379310347</v>
      </c>
      <c r="S3">
        <f t="shared" si="1"/>
        <v>7.4682758620689658</v>
      </c>
      <c r="T3">
        <f t="shared" si="1"/>
        <v>4.7293103448275868</v>
      </c>
      <c r="U3">
        <v>1.57917</v>
      </c>
      <c r="V3">
        <v>72.005668760628666</v>
      </c>
      <c r="W3">
        <v>35.180719999999994</v>
      </c>
      <c r="X3">
        <v>2.1325159377406813</v>
      </c>
      <c r="Y3">
        <v>67.26167983080542</v>
      </c>
      <c r="Z3">
        <v>43.705339500000008</v>
      </c>
    </row>
    <row r="5" spans="1:26" ht="15.75" thickBot="1" x14ac:dyDescent="0.3"/>
    <row r="6" spans="1:26" ht="24" thickBot="1" x14ac:dyDescent="0.3">
      <c r="A6" s="53" t="s">
        <v>187</v>
      </c>
      <c r="B6" s="54"/>
      <c r="C6" s="54"/>
      <c r="D6" s="54"/>
      <c r="E6" s="54"/>
      <c r="F6" s="54"/>
      <c r="G6" s="54"/>
      <c r="K6" t="s">
        <v>196</v>
      </c>
      <c r="L6" t="s">
        <v>156</v>
      </c>
    </row>
    <row r="7" spans="1:26" x14ac:dyDescent="0.3">
      <c r="A7" s="229" t="s">
        <v>148</v>
      </c>
      <c r="B7" s="66" t="s">
        <v>27</v>
      </c>
      <c r="C7" s="67" t="s">
        <v>18</v>
      </c>
      <c r="D7" s="68" t="s">
        <v>149</v>
      </c>
      <c r="E7" s="68">
        <v>1.8881999999999999E-2</v>
      </c>
      <c r="F7" s="69" t="s">
        <v>170</v>
      </c>
      <c r="G7" s="42" t="s">
        <v>131</v>
      </c>
      <c r="H7" t="str">
        <f>B7</f>
        <v>Watts</v>
      </c>
      <c r="I7" s="63" t="str">
        <f>$A$7&amp;H7</f>
        <v>HID LampsWatts</v>
      </c>
      <c r="K7" t="b">
        <v>1</v>
      </c>
      <c r="L7" t="s">
        <v>157</v>
      </c>
    </row>
    <row r="8" spans="1:26" x14ac:dyDescent="0.3">
      <c r="A8" s="230"/>
      <c r="B8" s="66" t="s">
        <v>150</v>
      </c>
      <c r="C8" s="67" t="s">
        <v>18</v>
      </c>
      <c r="D8" s="68" t="s">
        <v>151</v>
      </c>
      <c r="E8" s="68">
        <v>0.32452999999999999</v>
      </c>
      <c r="F8" s="70" t="s">
        <v>171</v>
      </c>
      <c r="G8" s="71" t="s">
        <v>172</v>
      </c>
      <c r="H8" t="str">
        <f t="shared" ref="H8:H33" si="2">B8</f>
        <v>Lumens per watt</v>
      </c>
      <c r="I8" s="63" t="str">
        <f t="shared" ref="I8:I10" si="3">$A$7&amp;H8</f>
        <v>HID LampsLumens per watt</v>
      </c>
      <c r="K8" t="b">
        <v>0</v>
      </c>
      <c r="L8" t="s">
        <v>158</v>
      </c>
    </row>
    <row r="9" spans="1:26" x14ac:dyDescent="0.3">
      <c r="A9" s="230"/>
      <c r="B9" s="66" t="s">
        <v>152</v>
      </c>
      <c r="C9" s="67" t="s">
        <v>18</v>
      </c>
      <c r="D9" s="68" t="s">
        <v>153</v>
      </c>
      <c r="E9" s="68">
        <v>-1.12932E-2</v>
      </c>
      <c r="F9" s="72" t="s">
        <v>173</v>
      </c>
      <c r="G9" s="46" t="s">
        <v>133</v>
      </c>
      <c r="H9" t="str">
        <f t="shared" si="2"/>
        <v>Color Temp (K)</v>
      </c>
      <c r="I9" s="63" t="str">
        <f t="shared" si="3"/>
        <v>HID LampsColor Temp (K)</v>
      </c>
      <c r="L9" t="s">
        <v>159</v>
      </c>
    </row>
    <row r="10" spans="1:26" x14ac:dyDescent="0.3">
      <c r="A10" s="230"/>
      <c r="B10" s="66" t="s">
        <v>154</v>
      </c>
      <c r="C10" s="67" t="s">
        <v>18</v>
      </c>
      <c r="D10" s="68" t="s">
        <v>155</v>
      </c>
      <c r="E10" s="68">
        <v>0.1257742</v>
      </c>
      <c r="F10" s="73" t="s">
        <v>174</v>
      </c>
      <c r="G10" s="74" t="s">
        <v>134</v>
      </c>
      <c r="H10" t="str">
        <f t="shared" si="2"/>
        <v>CRI</v>
      </c>
      <c r="I10" s="63" t="str">
        <f t="shared" si="3"/>
        <v>HID LampsCRI</v>
      </c>
    </row>
    <row r="11" spans="1:26" x14ac:dyDescent="0.3">
      <c r="A11" s="230"/>
      <c r="B11" s="228" t="s">
        <v>156</v>
      </c>
      <c r="C11" s="225" t="s">
        <v>2</v>
      </c>
      <c r="D11" s="68" t="s">
        <v>157</v>
      </c>
      <c r="E11" s="68">
        <v>0</v>
      </c>
      <c r="F11" s="72" t="s">
        <v>175</v>
      </c>
      <c r="G11" s="75" t="s">
        <v>135</v>
      </c>
      <c r="H11" t="str">
        <f>B$11&amp;D11</f>
        <v>Start TypeProbe</v>
      </c>
      <c r="I11" s="63" t="str">
        <f>$A$7&amp;H11</f>
        <v>HID LampsStart TypeProbe</v>
      </c>
    </row>
    <row r="12" spans="1:26" x14ac:dyDescent="0.3">
      <c r="A12" s="230"/>
      <c r="B12" s="228"/>
      <c r="C12" s="225"/>
      <c r="D12" s="68" t="s">
        <v>158</v>
      </c>
      <c r="E12" s="68">
        <v>1.8870066999999999</v>
      </c>
      <c r="F12" s="76">
        <v>178</v>
      </c>
      <c r="G12" s="74" t="s">
        <v>134</v>
      </c>
      <c r="H12" t="str">
        <f t="shared" ref="H12:H13" si="4">B$11&amp;D12</f>
        <v>Start TypePulse</v>
      </c>
      <c r="I12" s="63" t="str">
        <f t="shared" ref="I12:I13" si="5">$A$7&amp;H12</f>
        <v>HID LampsStart TypePulse</v>
      </c>
    </row>
    <row r="13" spans="1:26" x14ac:dyDescent="0.3">
      <c r="A13" s="230"/>
      <c r="B13" s="228"/>
      <c r="C13" s="225"/>
      <c r="D13" s="68" t="s">
        <v>159</v>
      </c>
      <c r="E13" s="68">
        <v>35.282326599999998</v>
      </c>
      <c r="F13" s="72" t="s">
        <v>176</v>
      </c>
      <c r="G13" s="75" t="s">
        <v>24</v>
      </c>
      <c r="H13" t="str">
        <f t="shared" si="4"/>
        <v>Start TypeBoth</v>
      </c>
      <c r="I13" s="63" t="str">
        <f t="shared" si="5"/>
        <v>HID LampsStart TypeBoth</v>
      </c>
    </row>
    <row r="14" spans="1:26" x14ac:dyDescent="0.3">
      <c r="A14" s="230"/>
      <c r="B14" s="228" t="s">
        <v>160</v>
      </c>
      <c r="C14" s="225" t="s">
        <v>2</v>
      </c>
      <c r="D14" s="68" t="s">
        <v>161</v>
      </c>
      <c r="E14" s="225">
        <v>-0.12800635056179788</v>
      </c>
      <c r="F14" s="77">
        <v>0.53</v>
      </c>
      <c r="G14" s="78">
        <v>141.2402554</v>
      </c>
      <c r="H14" t="str">
        <f t="shared" si="2"/>
        <v>Shape</v>
      </c>
      <c r="I14" s="63" t="str">
        <f t="shared" ref="I14:I24" si="6">$A$7&amp;H14</f>
        <v>HID LampsShape</v>
      </c>
    </row>
    <row r="15" spans="1:26" x14ac:dyDescent="0.3">
      <c r="A15" s="230"/>
      <c r="B15" s="228"/>
      <c r="C15" s="225"/>
      <c r="D15" s="68" t="s">
        <v>162</v>
      </c>
      <c r="E15" s="225"/>
      <c r="F15" s="79" t="s">
        <v>177</v>
      </c>
      <c r="G15" s="46" t="s">
        <v>136</v>
      </c>
      <c r="I15" s="63" t="str">
        <f t="shared" si="6"/>
        <v>HID Lamps</v>
      </c>
    </row>
    <row r="16" spans="1:26" x14ac:dyDescent="0.3">
      <c r="A16" s="230"/>
      <c r="B16" s="228"/>
      <c r="C16" s="225"/>
      <c r="D16" s="68" t="s">
        <v>163</v>
      </c>
      <c r="E16" s="225"/>
      <c r="F16" s="80">
        <v>11.031000000000001</v>
      </c>
      <c r="G16" s="81" t="s">
        <v>121</v>
      </c>
      <c r="I16" s="63" t="str">
        <f t="shared" si="6"/>
        <v>HID Lamps</v>
      </c>
    </row>
    <row r="17" spans="1:9" x14ac:dyDescent="0.3">
      <c r="A17" s="230"/>
      <c r="B17" s="228" t="s">
        <v>164</v>
      </c>
      <c r="C17" s="225" t="s">
        <v>2</v>
      </c>
      <c r="D17" s="68" t="s">
        <v>165</v>
      </c>
      <c r="E17" s="225">
        <v>-104.73698917078652</v>
      </c>
      <c r="F17" s="48"/>
      <c r="G17" s="48"/>
      <c r="H17" t="str">
        <f t="shared" si="2"/>
        <v>Rating</v>
      </c>
      <c r="I17" s="63" t="str">
        <f t="shared" si="6"/>
        <v>HID LampsRating</v>
      </c>
    </row>
    <row r="18" spans="1:9" x14ac:dyDescent="0.3">
      <c r="A18" s="230"/>
      <c r="B18" s="228"/>
      <c r="C18" s="225"/>
      <c r="D18" s="68" t="s">
        <v>166</v>
      </c>
      <c r="E18" s="225"/>
      <c r="F18" s="48"/>
      <c r="G18" s="48"/>
      <c r="I18" s="63" t="str">
        <f t="shared" si="6"/>
        <v>HID Lamps</v>
      </c>
    </row>
    <row r="19" spans="1:9" x14ac:dyDescent="0.3">
      <c r="A19" s="230"/>
      <c r="B19" s="228"/>
      <c r="C19" s="225"/>
      <c r="D19" s="68" t="s">
        <v>167</v>
      </c>
      <c r="E19" s="225"/>
      <c r="F19" s="48"/>
      <c r="G19" s="48"/>
      <c r="I19" s="63" t="str">
        <f t="shared" si="6"/>
        <v>HID Lamps</v>
      </c>
    </row>
    <row r="20" spans="1:9" x14ac:dyDescent="0.3">
      <c r="A20" s="230"/>
      <c r="B20" s="228" t="s">
        <v>168</v>
      </c>
      <c r="C20" s="225" t="s">
        <v>10</v>
      </c>
      <c r="D20" s="68" t="s">
        <v>11</v>
      </c>
      <c r="E20" s="225">
        <v>1.5694139438202246</v>
      </c>
      <c r="F20" s="48"/>
      <c r="G20" s="48"/>
      <c r="H20" t="str">
        <f t="shared" si="2"/>
        <v>High Output</v>
      </c>
      <c r="I20" s="63" t="str">
        <f t="shared" si="6"/>
        <v>HID LampsHigh Output</v>
      </c>
    </row>
    <row r="21" spans="1:9" x14ac:dyDescent="0.3">
      <c r="A21" s="230"/>
      <c r="B21" s="228"/>
      <c r="C21" s="225"/>
      <c r="D21" s="68" t="s">
        <v>12</v>
      </c>
      <c r="E21" s="225"/>
      <c r="F21" s="48"/>
      <c r="G21" s="48"/>
      <c r="I21" s="63" t="str">
        <f t="shared" si="6"/>
        <v>HID Lamps</v>
      </c>
    </row>
    <row r="22" spans="1:9" x14ac:dyDescent="0.3">
      <c r="A22" s="230"/>
      <c r="B22" s="228" t="s">
        <v>169</v>
      </c>
      <c r="C22" s="225" t="s">
        <v>10</v>
      </c>
      <c r="D22" s="68" t="s">
        <v>11</v>
      </c>
      <c r="E22" s="68">
        <v>22.156568400000001</v>
      </c>
      <c r="F22" s="48"/>
      <c r="G22" s="48"/>
      <c r="H22" t="str">
        <f>B$22&amp;D22</f>
        <v>Integrated BallastYes</v>
      </c>
      <c r="I22" s="63" t="str">
        <f t="shared" si="6"/>
        <v>HID LampsIntegrated BallastYes</v>
      </c>
    </row>
    <row r="23" spans="1:9" ht="15" thickBot="1" x14ac:dyDescent="0.35">
      <c r="A23" s="230"/>
      <c r="B23" s="228"/>
      <c r="C23" s="225"/>
      <c r="D23" s="68" t="s">
        <v>12</v>
      </c>
      <c r="E23" s="68">
        <v>0</v>
      </c>
      <c r="F23" s="48"/>
      <c r="G23" s="48"/>
      <c r="H23" t="str">
        <f>B$22&amp;D23</f>
        <v>Integrated BallastNo</v>
      </c>
      <c r="I23" s="63" t="str">
        <f t="shared" si="6"/>
        <v>HID LampsIntegrated BallastNo</v>
      </c>
    </row>
    <row r="24" spans="1:9" ht="15.75" thickBot="1" x14ac:dyDescent="0.3">
      <c r="A24" s="54"/>
      <c r="B24" s="54"/>
      <c r="C24" s="54"/>
      <c r="D24" s="54"/>
      <c r="E24" s="54"/>
      <c r="F24" s="54"/>
      <c r="G24" s="54"/>
      <c r="I24" s="63" t="str">
        <f t="shared" si="6"/>
        <v>HID Lamps</v>
      </c>
    </row>
    <row r="25" spans="1:9" x14ac:dyDescent="0.3">
      <c r="A25" s="226" t="s">
        <v>178</v>
      </c>
      <c r="B25" s="82" t="s">
        <v>179</v>
      </c>
      <c r="C25" s="83" t="s">
        <v>18</v>
      </c>
      <c r="D25" s="84" t="s">
        <v>180</v>
      </c>
      <c r="E25" s="83">
        <v>7.1</v>
      </c>
      <c r="F25" s="85" t="s">
        <v>170</v>
      </c>
      <c r="G25" s="86" t="s">
        <v>131</v>
      </c>
      <c r="H25" t="str">
        <f t="shared" si="2"/>
        <v>Size</v>
      </c>
      <c r="I25" s="63" t="str">
        <f>$A$25&amp;H25</f>
        <v>HID FixturesSize</v>
      </c>
    </row>
    <row r="26" spans="1:9" x14ac:dyDescent="0.3">
      <c r="A26" s="227"/>
      <c r="B26" s="82" t="s">
        <v>27</v>
      </c>
      <c r="C26" s="83" t="s">
        <v>18</v>
      </c>
      <c r="D26" s="84" t="s">
        <v>181</v>
      </c>
      <c r="E26" s="83">
        <v>0.06</v>
      </c>
      <c r="F26" s="87" t="s">
        <v>186</v>
      </c>
      <c r="G26" s="71" t="s">
        <v>172</v>
      </c>
      <c r="H26" t="str">
        <f t="shared" si="2"/>
        <v>Watts</v>
      </c>
      <c r="I26" s="63" t="str">
        <f t="shared" ref="I26:I34" si="7">$A$25&amp;H26</f>
        <v>HID FixturesWatts</v>
      </c>
    </row>
    <row r="27" spans="1:9" x14ac:dyDescent="0.3">
      <c r="A27" s="227"/>
      <c r="B27" s="228" t="s">
        <v>182</v>
      </c>
      <c r="C27" s="225" t="s">
        <v>10</v>
      </c>
      <c r="D27" s="68" t="s">
        <v>11</v>
      </c>
      <c r="E27" s="225">
        <v>-34.810862068965513</v>
      </c>
      <c r="F27" s="72" t="s">
        <v>173</v>
      </c>
      <c r="G27" s="46" t="s">
        <v>133</v>
      </c>
      <c r="H27" t="str">
        <f t="shared" si="2"/>
        <v>Manufacturer - Warehouse</v>
      </c>
      <c r="I27" s="63" t="str">
        <f t="shared" si="7"/>
        <v>HID FixturesManufacturer - Warehouse</v>
      </c>
    </row>
    <row r="28" spans="1:9" x14ac:dyDescent="0.3">
      <c r="A28" s="227"/>
      <c r="B28" s="228"/>
      <c r="C28" s="225"/>
      <c r="D28" s="68" t="s">
        <v>12</v>
      </c>
      <c r="E28" s="225"/>
      <c r="F28" s="73" t="s">
        <v>174</v>
      </c>
      <c r="G28" s="74" t="s">
        <v>134</v>
      </c>
      <c r="I28" s="63" t="str">
        <f t="shared" si="7"/>
        <v>HID Fixtures</v>
      </c>
    </row>
    <row r="29" spans="1:9" x14ac:dyDescent="0.3">
      <c r="A29" s="227"/>
      <c r="B29" s="228" t="s">
        <v>183</v>
      </c>
      <c r="C29" s="225" t="s">
        <v>10</v>
      </c>
      <c r="D29" s="68" t="s">
        <v>11</v>
      </c>
      <c r="E29" s="225">
        <v>-4.5117241379310347</v>
      </c>
      <c r="F29" s="72" t="s">
        <v>175</v>
      </c>
      <c r="G29" s="75" t="s">
        <v>135</v>
      </c>
      <c r="H29" t="str">
        <f t="shared" si="2"/>
        <v>Manufacturer - Howard</v>
      </c>
      <c r="I29" s="63" t="str">
        <f t="shared" si="7"/>
        <v>HID FixturesManufacturer - Howard</v>
      </c>
    </row>
    <row r="30" spans="1:9" x14ac:dyDescent="0.3">
      <c r="A30" s="227"/>
      <c r="B30" s="228"/>
      <c r="C30" s="225"/>
      <c r="D30" s="68" t="s">
        <v>12</v>
      </c>
      <c r="E30" s="225"/>
      <c r="F30" s="76">
        <v>58</v>
      </c>
      <c r="G30" s="74"/>
      <c r="I30" s="63" t="str">
        <f t="shared" si="7"/>
        <v>HID Fixtures</v>
      </c>
    </row>
    <row r="31" spans="1:9" x14ac:dyDescent="0.3">
      <c r="A31" s="227"/>
      <c r="B31" s="228" t="s">
        <v>184</v>
      </c>
      <c r="C31" s="225" t="s">
        <v>10</v>
      </c>
      <c r="D31" s="68" t="s">
        <v>11</v>
      </c>
      <c r="E31" s="225">
        <v>7.4682758620689658</v>
      </c>
      <c r="F31" s="72" t="s">
        <v>176</v>
      </c>
      <c r="G31" s="75" t="s">
        <v>24</v>
      </c>
      <c r="H31" t="str">
        <f t="shared" si="2"/>
        <v>Acrylic Lens</v>
      </c>
      <c r="I31" s="63" t="str">
        <f t="shared" si="7"/>
        <v>HID FixturesAcrylic Lens</v>
      </c>
    </row>
    <row r="32" spans="1:9" x14ac:dyDescent="0.3">
      <c r="A32" s="227"/>
      <c r="B32" s="228"/>
      <c r="C32" s="225"/>
      <c r="D32" s="68" t="s">
        <v>12</v>
      </c>
      <c r="E32" s="225"/>
      <c r="F32" s="88">
        <v>0.68100000000000005</v>
      </c>
      <c r="G32" s="78">
        <v>86</v>
      </c>
      <c r="I32" s="63" t="str">
        <f t="shared" si="7"/>
        <v>HID Fixtures</v>
      </c>
    </row>
    <row r="33" spans="1:9" x14ac:dyDescent="0.3">
      <c r="A33" s="227"/>
      <c r="B33" s="228" t="s">
        <v>185</v>
      </c>
      <c r="C33" s="225" t="s">
        <v>10</v>
      </c>
      <c r="D33" s="68" t="s">
        <v>11</v>
      </c>
      <c r="E33" s="225">
        <v>4.7293103448275868</v>
      </c>
      <c r="F33" s="79" t="s">
        <v>177</v>
      </c>
      <c r="G33" s="46" t="s">
        <v>136</v>
      </c>
      <c r="H33" t="str">
        <f t="shared" si="2"/>
        <v>480V only</v>
      </c>
      <c r="I33" s="63" t="str">
        <f t="shared" si="7"/>
        <v>HID Fixtures480V only</v>
      </c>
    </row>
    <row r="34" spans="1:9" x14ac:dyDescent="0.3">
      <c r="A34" s="227"/>
      <c r="B34" s="228"/>
      <c r="C34" s="225"/>
      <c r="D34" s="68" t="s">
        <v>12</v>
      </c>
      <c r="E34" s="225"/>
      <c r="F34" s="89">
        <v>21.03</v>
      </c>
      <c r="G34" s="81"/>
      <c r="I34" s="63" t="str">
        <f t="shared" si="7"/>
        <v>HID Fixtures</v>
      </c>
    </row>
  </sheetData>
  <mergeCells count="27">
    <mergeCell ref="C22:C23"/>
    <mergeCell ref="E14:E16"/>
    <mergeCell ref="E17:E19"/>
    <mergeCell ref="E20:E21"/>
    <mergeCell ref="A7:A23"/>
    <mergeCell ref="B11:B13"/>
    <mergeCell ref="C11:C13"/>
    <mergeCell ref="B14:B16"/>
    <mergeCell ref="C14:C16"/>
    <mergeCell ref="B17:B19"/>
    <mergeCell ref="C17:C19"/>
    <mergeCell ref="B20:B21"/>
    <mergeCell ref="C20:C21"/>
    <mergeCell ref="B22:B23"/>
    <mergeCell ref="E27:E28"/>
    <mergeCell ref="E29:E30"/>
    <mergeCell ref="E31:E32"/>
    <mergeCell ref="E33:E34"/>
    <mergeCell ref="A25:A34"/>
    <mergeCell ref="B27:B28"/>
    <mergeCell ref="C27:C28"/>
    <mergeCell ref="B29:B30"/>
    <mergeCell ref="C29:C30"/>
    <mergeCell ref="B31:B32"/>
    <mergeCell ref="C31:C32"/>
    <mergeCell ref="B33:B34"/>
    <mergeCell ref="C33:C34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CO12"/>
  <sheetViews>
    <sheetView topLeftCell="S1" zoomScale="85" zoomScaleNormal="85" workbookViewId="0">
      <selection activeCell="AD9" sqref="AD9"/>
    </sheetView>
  </sheetViews>
  <sheetFormatPr defaultColWidth="8.88671875" defaultRowHeight="13.8" x14ac:dyDescent="0.3"/>
  <cols>
    <col min="1" max="1" width="12.33203125" style="160" bestFit="1" customWidth="1"/>
    <col min="2" max="2" width="78.33203125" style="160" customWidth="1"/>
    <col min="3" max="3" width="28.44140625" style="160" bestFit="1" customWidth="1"/>
    <col min="4" max="8" width="8.6640625" style="160" customWidth="1"/>
    <col min="9" max="9" width="20.33203125" style="160" customWidth="1"/>
    <col min="10" max="11" width="7.109375" style="160" customWidth="1"/>
    <col min="12" max="12" width="49.5546875" style="162" customWidth="1"/>
    <col min="13" max="13" width="8.6640625" style="160" customWidth="1"/>
    <col min="14" max="14" width="14.6640625" style="160" customWidth="1"/>
    <col min="15" max="15" width="10.6640625" style="160" customWidth="1"/>
    <col min="16" max="16" width="14.33203125" style="160" customWidth="1"/>
    <col min="17" max="17" width="13.88671875" style="160" customWidth="1"/>
    <col min="18" max="18" width="17.109375" style="160" customWidth="1"/>
    <col min="19" max="19" width="18.88671875" style="160" customWidth="1"/>
    <col min="20" max="20" width="14.6640625" style="160" customWidth="1"/>
    <col min="21" max="21" width="16.109375" style="160" customWidth="1"/>
    <col min="22" max="22" width="12.33203125" style="160" customWidth="1"/>
    <col min="23" max="23" width="11.6640625" style="160" customWidth="1"/>
    <col min="24" max="24" width="11.5546875" style="168" bestFit="1" customWidth="1"/>
    <col min="25" max="32" width="11.5546875" style="168" customWidth="1"/>
    <col min="33" max="60" width="8.88671875" style="184"/>
    <col min="61" max="61" width="10" style="184" customWidth="1"/>
    <col min="62" max="65" width="8.88671875" style="184"/>
    <col min="66" max="66" width="9.6640625" style="184" customWidth="1"/>
    <col min="67" max="67" width="8.88671875" style="184"/>
    <col min="68" max="68" width="9.5546875" style="184" customWidth="1"/>
    <col min="69" max="93" width="8.88671875" style="184"/>
    <col min="94" max="16384" width="8.88671875" style="160"/>
  </cols>
  <sheetData>
    <row r="1" spans="1:93" ht="12.75" x14ac:dyDescent="0.2">
      <c r="A1" s="159" t="s">
        <v>345</v>
      </c>
      <c r="J1" s="161" t="s">
        <v>189</v>
      </c>
      <c r="K1" s="161"/>
      <c r="L1" s="162" t="s">
        <v>190</v>
      </c>
      <c r="N1" s="179"/>
      <c r="O1" s="179"/>
      <c r="P1" s="163" t="s">
        <v>329</v>
      </c>
      <c r="Q1" s="164"/>
      <c r="R1" s="165" t="s">
        <v>342</v>
      </c>
      <c r="S1" s="165"/>
      <c r="T1" s="166" t="s">
        <v>343</v>
      </c>
      <c r="U1" s="166"/>
      <c r="V1" s="167" t="s">
        <v>298</v>
      </c>
      <c r="W1" s="167"/>
      <c r="AG1" s="184" t="s">
        <v>188</v>
      </c>
      <c r="AS1" s="184" t="s">
        <v>189</v>
      </c>
      <c r="AZ1" s="184" t="s">
        <v>190</v>
      </c>
    </row>
    <row r="2" spans="1:93" s="174" customFormat="1" ht="76.5" x14ac:dyDescent="0.25">
      <c r="A2" s="169" t="s">
        <v>69</v>
      </c>
      <c r="B2" s="169" t="s">
        <v>100</v>
      </c>
      <c r="C2" s="169" t="s">
        <v>101</v>
      </c>
      <c r="D2" s="169" t="s">
        <v>27</v>
      </c>
      <c r="E2" s="169" t="s">
        <v>154</v>
      </c>
      <c r="F2" s="169" t="s">
        <v>104</v>
      </c>
      <c r="G2" s="169" t="s">
        <v>206</v>
      </c>
      <c r="H2" s="156" t="s">
        <v>269</v>
      </c>
      <c r="I2" s="169" t="s">
        <v>340</v>
      </c>
      <c r="J2" s="169" t="s">
        <v>228</v>
      </c>
      <c r="K2" s="169" t="s">
        <v>294</v>
      </c>
      <c r="L2" s="169" t="s">
        <v>334</v>
      </c>
      <c r="M2" s="169" t="s">
        <v>236</v>
      </c>
      <c r="N2" s="169" t="s">
        <v>252</v>
      </c>
      <c r="O2" s="169" t="s">
        <v>341</v>
      </c>
      <c r="P2" s="169" t="s">
        <v>240</v>
      </c>
      <c r="Q2" s="169" t="s">
        <v>241</v>
      </c>
      <c r="R2" s="169" t="s">
        <v>250</v>
      </c>
      <c r="S2" s="169" t="s">
        <v>251</v>
      </c>
      <c r="T2" s="169" t="s">
        <v>261</v>
      </c>
      <c r="U2" s="169" t="s">
        <v>262</v>
      </c>
      <c r="V2" s="156" t="s">
        <v>273</v>
      </c>
      <c r="W2" s="156" t="s">
        <v>274</v>
      </c>
      <c r="X2" s="170" t="s">
        <v>330</v>
      </c>
      <c r="Y2" s="170" t="s">
        <v>331</v>
      </c>
      <c r="Z2" s="170" t="s">
        <v>332</v>
      </c>
      <c r="AA2" s="170" t="s">
        <v>333</v>
      </c>
      <c r="AB2" s="170" t="s">
        <v>140</v>
      </c>
      <c r="AC2" s="170" t="s">
        <v>145</v>
      </c>
      <c r="AD2" s="170" t="s">
        <v>202</v>
      </c>
      <c r="AE2" s="170" t="s">
        <v>336</v>
      </c>
      <c r="AF2" s="170" t="s">
        <v>344</v>
      </c>
      <c r="AG2" s="157" t="s">
        <v>24</v>
      </c>
      <c r="AH2" s="157" t="s">
        <v>27</v>
      </c>
      <c r="AI2" s="157" t="s">
        <v>154</v>
      </c>
      <c r="AJ2" s="157" t="s">
        <v>104</v>
      </c>
      <c r="AK2" s="157" t="s">
        <v>206</v>
      </c>
      <c r="AL2" s="157" t="s">
        <v>208</v>
      </c>
      <c r="AM2" s="157" t="s">
        <v>210</v>
      </c>
      <c r="AN2" s="157" t="s">
        <v>211</v>
      </c>
      <c r="AO2" s="157" t="s">
        <v>215</v>
      </c>
      <c r="AP2" s="157" t="s">
        <v>222</v>
      </c>
      <c r="AQ2" s="157" t="s">
        <v>223</v>
      </c>
      <c r="AR2" s="157" t="s">
        <v>224</v>
      </c>
      <c r="AS2" s="157" t="s">
        <v>24</v>
      </c>
      <c r="AT2" s="157" t="s">
        <v>226</v>
      </c>
      <c r="AU2" s="157" t="s">
        <v>228</v>
      </c>
      <c r="AV2" s="157" t="s">
        <v>32</v>
      </c>
      <c r="AW2" s="157" t="s">
        <v>230</v>
      </c>
      <c r="AX2" s="157" t="s">
        <v>233</v>
      </c>
      <c r="AY2" s="157" t="s">
        <v>234</v>
      </c>
      <c r="AZ2" s="185" t="s">
        <v>24</v>
      </c>
      <c r="BA2" s="185" t="s">
        <v>236</v>
      </c>
      <c r="BB2" s="185" t="s">
        <v>238</v>
      </c>
      <c r="BC2" s="185" t="s">
        <v>301</v>
      </c>
      <c r="BD2" s="185" t="s">
        <v>302</v>
      </c>
      <c r="BE2" s="185" t="s">
        <v>303</v>
      </c>
      <c r="BF2" s="185" t="s">
        <v>304</v>
      </c>
      <c r="BG2" s="185" t="s">
        <v>305</v>
      </c>
      <c r="BH2" s="185" t="s">
        <v>306</v>
      </c>
      <c r="BI2" s="185" t="s">
        <v>307</v>
      </c>
      <c r="BJ2" s="185" t="s">
        <v>308</v>
      </c>
      <c r="BK2" s="185" t="s">
        <v>246</v>
      </c>
      <c r="BL2" s="185" t="s">
        <v>247</v>
      </c>
      <c r="BM2" s="185" t="s">
        <v>248</v>
      </c>
      <c r="BN2" s="185" t="s">
        <v>309</v>
      </c>
      <c r="BO2" s="185" t="s">
        <v>310</v>
      </c>
      <c r="BP2" s="185" t="s">
        <v>311</v>
      </c>
      <c r="BQ2" s="185" t="s">
        <v>312</v>
      </c>
      <c r="BR2" s="185" t="s">
        <v>313</v>
      </c>
      <c r="BS2" s="185" t="s">
        <v>314</v>
      </c>
      <c r="BT2" s="185" t="s">
        <v>255</v>
      </c>
      <c r="BU2" s="185" t="s">
        <v>315</v>
      </c>
      <c r="BV2" s="185" t="s">
        <v>316</v>
      </c>
      <c r="BW2" s="185" t="s">
        <v>258</v>
      </c>
      <c r="BX2" s="185" t="s">
        <v>259</v>
      </c>
      <c r="BY2" s="185" t="s">
        <v>317</v>
      </c>
      <c r="BZ2" s="185" t="s">
        <v>318</v>
      </c>
      <c r="CA2" s="185" t="s">
        <v>319</v>
      </c>
      <c r="CB2" s="185" t="s">
        <v>320</v>
      </c>
      <c r="CC2" s="185" t="s">
        <v>321</v>
      </c>
      <c r="CD2" s="185" t="s">
        <v>322</v>
      </c>
      <c r="CE2" s="185" t="s">
        <v>323</v>
      </c>
      <c r="CF2" s="185" t="s">
        <v>324</v>
      </c>
      <c r="CG2" s="185" t="s">
        <v>265</v>
      </c>
      <c r="CH2" s="185" t="s">
        <v>266</v>
      </c>
      <c r="CI2" s="185" t="s">
        <v>267</v>
      </c>
      <c r="CJ2" s="185" t="s">
        <v>269</v>
      </c>
      <c r="CK2" s="185" t="s">
        <v>271</v>
      </c>
      <c r="CL2" s="185" t="s">
        <v>325</v>
      </c>
      <c r="CM2" s="185" t="s">
        <v>326</v>
      </c>
      <c r="CN2" s="185" t="s">
        <v>327</v>
      </c>
      <c r="CO2" s="185" t="s">
        <v>328</v>
      </c>
    </row>
    <row r="3" spans="1:93" s="182" customFormat="1" ht="25.5" x14ac:dyDescent="0.25">
      <c r="A3" s="61" t="s">
        <v>346</v>
      </c>
      <c r="B3" s="56" t="s">
        <v>356</v>
      </c>
      <c r="C3" s="171" t="s">
        <v>285</v>
      </c>
      <c r="D3" s="201">
        <v>54</v>
      </c>
      <c r="E3" s="6">
        <v>85</v>
      </c>
      <c r="F3" s="6">
        <v>36000</v>
      </c>
      <c r="G3" s="6">
        <v>95</v>
      </c>
      <c r="H3" s="6">
        <v>1</v>
      </c>
      <c r="I3" s="6" t="s">
        <v>338</v>
      </c>
      <c r="J3" s="180">
        <v>0.98</v>
      </c>
      <c r="K3" s="6" t="b">
        <v>1</v>
      </c>
      <c r="L3" s="6" t="s">
        <v>268</v>
      </c>
      <c r="M3" s="6">
        <v>46</v>
      </c>
      <c r="N3" s="6" t="s">
        <v>253</v>
      </c>
      <c r="O3" s="6" t="b">
        <v>0</v>
      </c>
      <c r="P3" s="6"/>
      <c r="Q3" s="6"/>
      <c r="R3" s="6"/>
      <c r="S3" s="6"/>
      <c r="T3" s="6"/>
      <c r="U3" s="6"/>
      <c r="V3" s="6" t="b">
        <v>1</v>
      </c>
      <c r="W3" s="6" t="b">
        <v>1</v>
      </c>
      <c r="X3" s="172">
        <f ca="1">SUMPRODUCT($AG3:$AR3,INDIRECT("'LF Lamp - WO017'!$B"&amp;TEXT(MATCH($C3,'LF Lamp - WO017'!$A$2:$A$14,0)+1,0)&amp;":$M"&amp;TEXT(MATCH($C3,'LF Lamp - WO017'!$A$2:$A$14,0)+1,0)))*(1+INDEX('LF Lamp - WO017'!$N$2:$N$5,MATCH('LF Lamp - Calculator'!$C3,'LF Lamp - WO017'!$A$2:$A$5,0)))*H3</f>
        <v>12.264427339901472</v>
      </c>
      <c r="Y3" s="172">
        <f>IF(I3="Lamp + Ballast",SUMPRODUCT($AS3:$AY3,'LF Lamp - WO017'!$B$7:$H$7),0)</f>
        <v>0</v>
      </c>
      <c r="Z3" s="172">
        <f ca="1">IF(L3&lt;&gt;"",SUMPRODUCT($AZ3:$CO3,INDIRECT("'LF Lamp - WO017'!$B"&amp;TEXT(MATCH($L3,'LF Lamp - WO017'!$A$2:$A$14,0)+1,0)&amp;":$AQ"&amp;TEXT(MATCH($L3,'LF Lamp - WO017'!$A$2:$A$14,0)+1,0)))*(1+INDEX('LF Lamp - WO017'!$AR$10:$AR$14,MATCH($L3,'LF Lamp - WO017'!$A$10:$A$14,0))),0)</f>
        <v>323.21932692307689</v>
      </c>
      <c r="AA3" s="172">
        <f ca="1">SUM(X3:Z3)</f>
        <v>335.48375426297838</v>
      </c>
      <c r="AB3" s="181">
        <f>IF(I3="Lamp + Ballast",'LF Lamp - WO017'!$I$7,INDEX('LF Lamp - WO017'!$AS$10:$AS$14,MATCH('LF Lamp - Calculator'!$L3,'LF Lamp - WO017'!$A$10:$A$14,0)))</f>
        <v>2.1325159377406813</v>
      </c>
      <c r="AC3" s="173">
        <f>IF(I3="Lamp + Ballast",'LF Lamp - WO017'!$J$7,INDEX('LF Lamp - WO017'!$AT$10:$AT$14,MATCH('LF Lamp - Calculator'!$L3,'LF Lamp - WO017'!$A$10:$A$14,0)))</f>
        <v>67.26167983080542</v>
      </c>
      <c r="AD3" s="173">
        <f>IF(I3="Lamp + Ballast",'LF Lamp - WO017'!$K$7,INDEX('LF Lamp - WO017'!$AU$10:$AU$14,MATCH('LF Lamp - Calculator'!$L3,'LF Lamp - WO017'!$A$10:$A$14,0)))</f>
        <v>43.705339500000008</v>
      </c>
      <c r="AE3" s="172">
        <f>AC3*AB3+AD3</f>
        <v>187.14194373840348</v>
      </c>
      <c r="AF3" s="172">
        <f ca="1">SUM(AA3,AE3)</f>
        <v>522.62569800138181</v>
      </c>
      <c r="AG3" s="196">
        <v>1</v>
      </c>
      <c r="AH3" s="197">
        <f t="shared" ref="AH3:AK3" si="0">D3</f>
        <v>54</v>
      </c>
      <c r="AI3" s="197">
        <f t="shared" si="0"/>
        <v>85</v>
      </c>
      <c r="AJ3" s="197">
        <f t="shared" si="0"/>
        <v>36000</v>
      </c>
      <c r="AK3" s="197">
        <f t="shared" si="0"/>
        <v>95</v>
      </c>
      <c r="AL3" s="196">
        <v>1</v>
      </c>
      <c r="AM3" s="196">
        <v>1</v>
      </c>
      <c r="AN3" s="196">
        <v>1</v>
      </c>
      <c r="AO3" s="196">
        <v>1</v>
      </c>
      <c r="AP3" s="196">
        <v>1</v>
      </c>
      <c r="AQ3" s="196">
        <v>1</v>
      </c>
      <c r="AR3" s="196">
        <v>1</v>
      </c>
      <c r="AS3" s="196">
        <v>1</v>
      </c>
      <c r="AT3" s="197">
        <f t="shared" ref="AT3" si="1">D3*H3</f>
        <v>54</v>
      </c>
      <c r="AU3" s="197">
        <f t="shared" ref="AU3" si="2">J3</f>
        <v>0.98</v>
      </c>
      <c r="AV3" s="196">
        <v>1</v>
      </c>
      <c r="AW3" s="196">
        <v>1</v>
      </c>
      <c r="AX3" s="196">
        <v>1</v>
      </c>
      <c r="AY3" s="196">
        <v>1</v>
      </c>
      <c r="AZ3" s="196">
        <v>1</v>
      </c>
      <c r="BA3" s="197">
        <f t="shared" ref="BA3" si="3">M3</f>
        <v>46</v>
      </c>
      <c r="BB3" s="197">
        <f>D3*H3</f>
        <v>54</v>
      </c>
      <c r="BC3" s="198">
        <f t="shared" ref="BC3" si="4">IF(P3,1,0)</f>
        <v>0</v>
      </c>
      <c r="BD3" s="198">
        <f t="shared" ref="BD3" si="5">IF(P3,0,1)</f>
        <v>1</v>
      </c>
      <c r="BE3" s="198">
        <f t="shared" ref="BE3" si="6">IF(Q3,1,0)</f>
        <v>0</v>
      </c>
      <c r="BF3" s="198">
        <f t="shared" ref="BF3" si="7">IF(Q3,0,1)</f>
        <v>1</v>
      </c>
      <c r="BG3" s="198">
        <f t="shared" ref="BG3" si="8">IF(C3="Linear Fluorescent T5 (all lengths)",1,0)</f>
        <v>1</v>
      </c>
      <c r="BH3" s="198">
        <f t="shared" ref="BH3" si="9">IF(C3&lt;&gt;"Linear Fluorescent T5 (all lengths)",1,0)</f>
        <v>0</v>
      </c>
      <c r="BI3" s="198">
        <f t="shared" ref="BI3" si="10">IF(O3,1,0)</f>
        <v>0</v>
      </c>
      <c r="BJ3" s="198">
        <f t="shared" ref="BJ3" si="11">IF(O3,0,1)</f>
        <v>1</v>
      </c>
      <c r="BK3" s="199">
        <v>1</v>
      </c>
      <c r="BL3" s="199">
        <v>1</v>
      </c>
      <c r="BM3" s="199">
        <v>1</v>
      </c>
      <c r="BN3" s="198">
        <f t="shared" ref="BN3" si="12">IF(R3,1,0)</f>
        <v>0</v>
      </c>
      <c r="BO3" s="198">
        <f t="shared" ref="BO3" si="13">IF(R3,0,1)</f>
        <v>1</v>
      </c>
      <c r="BP3" s="198">
        <f t="shared" ref="BP3" si="14">IF(S3,1,0)</f>
        <v>0</v>
      </c>
      <c r="BQ3" s="198">
        <f t="shared" ref="BQ3" si="15">IF(S3,0,1)</f>
        <v>1</v>
      </c>
      <c r="BR3" s="198">
        <f t="shared" ref="BR3" si="16">IF(N3="Programmed rapid start",1,0)</f>
        <v>1</v>
      </c>
      <c r="BS3" s="198">
        <f t="shared" ref="BS3" si="17">IF(N3="Instant start",1,0)</f>
        <v>0</v>
      </c>
      <c r="BT3" s="199">
        <v>1</v>
      </c>
      <c r="BU3" s="198">
        <f>IF(BA3=96,1,0)</f>
        <v>0</v>
      </c>
      <c r="BV3" s="198">
        <f>IF(BA3=96,0,1)</f>
        <v>1</v>
      </c>
      <c r="BW3" s="199">
        <v>1</v>
      </c>
      <c r="BX3" s="199">
        <v>1</v>
      </c>
      <c r="BY3" s="198">
        <f t="shared" ref="BY3" si="18">IF(T3,1,0)</f>
        <v>0</v>
      </c>
      <c r="BZ3" s="198">
        <f t="shared" ref="BZ3" si="19">IF(T3,0,1)</f>
        <v>1</v>
      </c>
      <c r="CA3" s="198">
        <f t="shared" ref="CA3" si="20">IF(U3,1,0)</f>
        <v>0</v>
      </c>
      <c r="CB3" s="198">
        <f t="shared" ref="CB3" si="21">IF(U3,0,1)</f>
        <v>1</v>
      </c>
      <c r="CC3" s="198">
        <f t="shared" ref="CC3" si="22">IF(N3="Instant start",1,0)</f>
        <v>0</v>
      </c>
      <c r="CD3" s="198">
        <f t="shared" ref="CD3" si="23">IF(N3="Programmed rapid start",1,0)</f>
        <v>1</v>
      </c>
      <c r="CE3" s="198">
        <f t="shared" ref="CE3" si="24">IF(N3="Programmed rapid start",1,0)</f>
        <v>1</v>
      </c>
      <c r="CF3" s="198">
        <f t="shared" ref="CF3" si="25">IF(N3="Instant start",1,0)</f>
        <v>0</v>
      </c>
      <c r="CG3" s="199">
        <v>1</v>
      </c>
      <c r="CH3" s="199">
        <v>1</v>
      </c>
      <c r="CI3" s="199">
        <v>1</v>
      </c>
      <c r="CJ3" s="200">
        <f>H3</f>
        <v>1</v>
      </c>
      <c r="CK3" s="200">
        <f>D3</f>
        <v>54</v>
      </c>
      <c r="CL3" s="198">
        <f t="shared" ref="CL3" si="26">IF(V3,1,0)</f>
        <v>1</v>
      </c>
      <c r="CM3" s="198">
        <f t="shared" ref="CM3" si="27">IF(V3,0,1)</f>
        <v>0</v>
      </c>
      <c r="CN3" s="198">
        <f t="shared" ref="CN3" si="28">IF(W3,1,0)</f>
        <v>1</v>
      </c>
      <c r="CO3" s="198">
        <f t="shared" ref="CO3" si="29">IF(W3,0,1)</f>
        <v>0</v>
      </c>
    </row>
    <row r="4" spans="1:93" s="182" customFormat="1" ht="25.5" x14ac:dyDescent="0.25">
      <c r="A4" s="61" t="s">
        <v>347</v>
      </c>
      <c r="B4" s="56" t="s">
        <v>357</v>
      </c>
      <c r="C4" s="171" t="s">
        <v>285</v>
      </c>
      <c r="D4" s="201">
        <v>54</v>
      </c>
      <c r="E4" s="6">
        <v>85</v>
      </c>
      <c r="F4" s="6">
        <v>36000</v>
      </c>
      <c r="G4" s="6">
        <v>95</v>
      </c>
      <c r="H4" s="6">
        <v>2</v>
      </c>
      <c r="I4" s="6" t="s">
        <v>338</v>
      </c>
      <c r="J4" s="180">
        <v>0.98</v>
      </c>
      <c r="K4" s="6" t="b">
        <v>1</v>
      </c>
      <c r="L4" s="6" t="s">
        <v>268</v>
      </c>
      <c r="M4" s="6">
        <v>46</v>
      </c>
      <c r="N4" s="6" t="s">
        <v>253</v>
      </c>
      <c r="O4" s="6" t="b">
        <v>0</v>
      </c>
      <c r="P4" s="6"/>
      <c r="Q4" s="6"/>
      <c r="R4" s="6"/>
      <c r="S4" s="6"/>
      <c r="T4" s="6"/>
      <c r="U4" s="6"/>
      <c r="V4" s="6" t="b">
        <v>1</v>
      </c>
      <c r="W4" s="6" t="b">
        <v>1</v>
      </c>
      <c r="X4" s="172">
        <f ca="1">SUMPRODUCT($AG4:$AR4,INDIRECT("'LF Lamp - WO017'!$B"&amp;TEXT(MATCH($C4,'LF Lamp - WO017'!$A$2:$A$14,0)+1,0)&amp;":$M"&amp;TEXT(MATCH($C4,'LF Lamp - WO017'!$A$2:$A$14,0)+1,0)))*(1+INDEX('LF Lamp - WO017'!$N$2:$N$5,MATCH('LF Lamp - Calculator'!$C4,'LF Lamp - WO017'!$A$2:$A$5,0)))*H4</f>
        <v>24.528854679802944</v>
      </c>
      <c r="Y4" s="172">
        <f>IF(I4="Lamp + Ballast",SUMPRODUCT($AS4:$AY4,'LF Lamp - WO017'!$B$7:$H$7),0)</f>
        <v>0</v>
      </c>
      <c r="Z4" s="172">
        <f ca="1">IF(L4&lt;&gt;"",SUMPRODUCT($AZ4:$CO4,INDIRECT("'LF Lamp - WO017'!$B"&amp;TEXT(MATCH($L4,'LF Lamp - WO017'!$A$2:$A$14,0)+1,0)&amp;":$AQ"&amp;TEXT(MATCH($L4,'LF Lamp - WO017'!$A$2:$A$14,0)+1,0)))*(1+INDEX('LF Lamp - WO017'!$AR$10:$AR$14,MATCH($L4,'LF Lamp - WO017'!$A$10:$A$14,0))),0)</f>
        <v>343.97932692307688</v>
      </c>
      <c r="AA4" s="172">
        <f t="shared" ref="AA4:AA12" ca="1" si="30">SUM(X4:Z4)</f>
        <v>368.5081816028798</v>
      </c>
      <c r="AB4" s="181">
        <f>IF(I4="Lamp + Ballast",'LF Lamp - WO017'!$I$7,INDEX('LF Lamp - WO017'!$AS$10:$AS$14,MATCH('LF Lamp - Calculator'!$L4,'LF Lamp - WO017'!$A$10:$A$14,0)))</f>
        <v>2.1325159377406813</v>
      </c>
      <c r="AC4" s="173">
        <f>IF(I4="Lamp + Ballast",'LF Lamp - WO017'!$J$7,INDEX('LF Lamp - WO017'!$AT$10:$AT$14,MATCH('LF Lamp - Calculator'!$L4,'LF Lamp - WO017'!$A$10:$A$14,0)))</f>
        <v>67.26167983080542</v>
      </c>
      <c r="AD4" s="173">
        <f>IF(I4="Lamp + Ballast",'LF Lamp - WO017'!$K$7,INDEX('LF Lamp - WO017'!$AU$10:$AU$14,MATCH('LF Lamp - Calculator'!$L4,'LF Lamp - WO017'!$A$10:$A$14,0)))</f>
        <v>43.705339500000008</v>
      </c>
      <c r="AE4" s="172">
        <f t="shared" ref="AE4:AE12" si="31">AC4*AB4+AD4</f>
        <v>187.14194373840348</v>
      </c>
      <c r="AF4" s="172">
        <f t="shared" ref="AF4:AF12" ca="1" si="32">SUM(AA4,AE4)</f>
        <v>555.65012534128323</v>
      </c>
      <c r="AG4" s="196">
        <v>1</v>
      </c>
      <c r="AH4" s="197">
        <f t="shared" ref="AH4:AH12" si="33">D4</f>
        <v>54</v>
      </c>
      <c r="AI4" s="197">
        <f t="shared" ref="AI4:AI12" si="34">E4</f>
        <v>85</v>
      </c>
      <c r="AJ4" s="197">
        <f t="shared" ref="AJ4:AJ12" si="35">F4</f>
        <v>36000</v>
      </c>
      <c r="AK4" s="197">
        <f t="shared" ref="AK4:AK12" si="36">G4</f>
        <v>95</v>
      </c>
      <c r="AL4" s="196">
        <v>1</v>
      </c>
      <c r="AM4" s="196">
        <v>1</v>
      </c>
      <c r="AN4" s="196">
        <v>1</v>
      </c>
      <c r="AO4" s="196">
        <v>1</v>
      </c>
      <c r="AP4" s="196">
        <v>1</v>
      </c>
      <c r="AQ4" s="196">
        <v>1</v>
      </c>
      <c r="AR4" s="196">
        <v>1</v>
      </c>
      <c r="AS4" s="196">
        <v>1</v>
      </c>
      <c r="AT4" s="197">
        <f t="shared" ref="AT4:AT12" si="37">D4*H4</f>
        <v>108</v>
      </c>
      <c r="AU4" s="197">
        <f t="shared" ref="AU4:AU12" si="38">J4</f>
        <v>0.98</v>
      </c>
      <c r="AV4" s="196">
        <v>1</v>
      </c>
      <c r="AW4" s="196">
        <v>1</v>
      </c>
      <c r="AX4" s="196">
        <v>1</v>
      </c>
      <c r="AY4" s="196">
        <v>1</v>
      </c>
      <c r="AZ4" s="196">
        <v>1</v>
      </c>
      <c r="BA4" s="197">
        <f t="shared" ref="BA4:BA12" si="39">M4</f>
        <v>46</v>
      </c>
      <c r="BB4" s="197">
        <f t="shared" ref="BB4:BB12" si="40">D4*H4</f>
        <v>108</v>
      </c>
      <c r="BC4" s="198">
        <f t="shared" ref="BC4:BC12" si="41">IF(P4,1,0)</f>
        <v>0</v>
      </c>
      <c r="BD4" s="198">
        <f t="shared" ref="BD4:BD12" si="42">IF(P4,0,1)</f>
        <v>1</v>
      </c>
      <c r="BE4" s="198">
        <f t="shared" ref="BE4:BE12" si="43">IF(Q4,1,0)</f>
        <v>0</v>
      </c>
      <c r="BF4" s="198">
        <f t="shared" ref="BF4:BF12" si="44">IF(Q4,0,1)</f>
        <v>1</v>
      </c>
      <c r="BG4" s="198">
        <f t="shared" ref="BG4:BG12" si="45">IF(C4="Linear Fluorescent T5 (all lengths)",1,0)</f>
        <v>1</v>
      </c>
      <c r="BH4" s="198">
        <f t="shared" ref="BH4:BH12" si="46">IF(C4&lt;&gt;"Linear Fluorescent T5 (all lengths)",1,0)</f>
        <v>0</v>
      </c>
      <c r="BI4" s="198">
        <f t="shared" ref="BI4:BI12" si="47">IF(O4,1,0)</f>
        <v>0</v>
      </c>
      <c r="BJ4" s="198">
        <f t="shared" ref="BJ4:BJ12" si="48">IF(O4,0,1)</f>
        <v>1</v>
      </c>
      <c r="BK4" s="199">
        <v>1</v>
      </c>
      <c r="BL4" s="199">
        <v>1</v>
      </c>
      <c r="BM4" s="199">
        <v>1</v>
      </c>
      <c r="BN4" s="198">
        <f t="shared" ref="BN4:BN12" si="49">IF(R4,1,0)</f>
        <v>0</v>
      </c>
      <c r="BO4" s="198">
        <f t="shared" ref="BO4:BO12" si="50">IF(R4,0,1)</f>
        <v>1</v>
      </c>
      <c r="BP4" s="198">
        <f t="shared" ref="BP4:BP12" si="51">IF(S4,1,0)</f>
        <v>0</v>
      </c>
      <c r="BQ4" s="198">
        <f t="shared" ref="BQ4:BQ12" si="52">IF(S4,0,1)</f>
        <v>1</v>
      </c>
      <c r="BR4" s="198">
        <f t="shared" ref="BR4:BR12" si="53">IF(N4="Programmed rapid start",1,0)</f>
        <v>1</v>
      </c>
      <c r="BS4" s="198">
        <f t="shared" ref="BS4:BS12" si="54">IF(N4="Instant start",1,0)</f>
        <v>0</v>
      </c>
      <c r="BT4" s="199">
        <v>2</v>
      </c>
      <c r="BU4" s="198">
        <f t="shared" ref="BU4:BU12" si="55">IF(BA4=96,1,0)</f>
        <v>0</v>
      </c>
      <c r="BV4" s="198">
        <f t="shared" ref="BV4:BV12" si="56">IF(BA4=96,0,1)</f>
        <v>1</v>
      </c>
      <c r="BW4" s="199">
        <v>1</v>
      </c>
      <c r="BX4" s="199">
        <v>1</v>
      </c>
      <c r="BY4" s="198">
        <f t="shared" ref="BY4:BY12" si="57">IF(T4,1,0)</f>
        <v>0</v>
      </c>
      <c r="BZ4" s="198">
        <f t="shared" ref="BZ4:BZ12" si="58">IF(T4,0,1)</f>
        <v>1</v>
      </c>
      <c r="CA4" s="198">
        <f t="shared" ref="CA4:CA12" si="59">IF(U4,1,0)</f>
        <v>0</v>
      </c>
      <c r="CB4" s="198">
        <f t="shared" ref="CB4:CB12" si="60">IF(U4,0,1)</f>
        <v>1</v>
      </c>
      <c r="CC4" s="198">
        <f t="shared" ref="CC4:CC12" si="61">IF(N4="Instant start",1,0)</f>
        <v>0</v>
      </c>
      <c r="CD4" s="198">
        <f t="shared" ref="CD4:CD12" si="62">IF(N4="Programmed rapid start",1,0)</f>
        <v>1</v>
      </c>
      <c r="CE4" s="198">
        <f t="shared" ref="CE4:CE12" si="63">IF(N4="Programmed rapid start",1,0)</f>
        <v>1</v>
      </c>
      <c r="CF4" s="198">
        <f t="shared" ref="CF4:CF12" si="64">IF(N4="Instant start",1,0)</f>
        <v>0</v>
      </c>
      <c r="CG4" s="199">
        <v>1</v>
      </c>
      <c r="CH4" s="199">
        <v>1</v>
      </c>
      <c r="CI4" s="199">
        <v>1</v>
      </c>
      <c r="CJ4" s="200">
        <f t="shared" ref="CJ4:CJ12" si="65">H4</f>
        <v>2</v>
      </c>
      <c r="CK4" s="200">
        <f t="shared" ref="CK4:CK12" si="66">D4</f>
        <v>54</v>
      </c>
      <c r="CL4" s="198">
        <f t="shared" ref="CL4:CL12" si="67">IF(V4,1,0)</f>
        <v>1</v>
      </c>
      <c r="CM4" s="198">
        <f t="shared" ref="CM4:CM12" si="68">IF(V4,0,1)</f>
        <v>0</v>
      </c>
      <c r="CN4" s="198">
        <f t="shared" ref="CN4:CN12" si="69">IF(W4,1,0)</f>
        <v>1</v>
      </c>
      <c r="CO4" s="198">
        <f t="shared" ref="CO4:CO12" si="70">IF(W4,0,1)</f>
        <v>0</v>
      </c>
    </row>
    <row r="5" spans="1:93" s="182" customFormat="1" ht="25.5" x14ac:dyDescent="0.25">
      <c r="A5" s="61" t="s">
        <v>348</v>
      </c>
      <c r="B5" s="183" t="s">
        <v>358</v>
      </c>
      <c r="C5" s="171" t="s">
        <v>285</v>
      </c>
      <c r="D5" s="201">
        <v>54</v>
      </c>
      <c r="E5" s="6">
        <v>85</v>
      </c>
      <c r="F5" s="6">
        <v>36000</v>
      </c>
      <c r="G5" s="6">
        <v>95</v>
      </c>
      <c r="H5" s="6">
        <v>3</v>
      </c>
      <c r="I5" s="6" t="s">
        <v>338</v>
      </c>
      <c r="J5" s="180">
        <v>0.98</v>
      </c>
      <c r="K5" s="6" t="b">
        <v>1</v>
      </c>
      <c r="L5" s="6" t="s">
        <v>268</v>
      </c>
      <c r="M5" s="6">
        <v>46</v>
      </c>
      <c r="N5" s="6" t="s">
        <v>253</v>
      </c>
      <c r="O5" s="6" t="b">
        <v>0</v>
      </c>
      <c r="P5" s="6"/>
      <c r="Q5" s="6"/>
      <c r="R5" s="6"/>
      <c r="S5" s="6"/>
      <c r="T5" s="6"/>
      <c r="U5" s="6"/>
      <c r="V5" s="6" t="b">
        <v>1</v>
      </c>
      <c r="W5" s="6" t="b">
        <v>1</v>
      </c>
      <c r="X5" s="172">
        <f ca="1">SUMPRODUCT($AG5:$AR5,INDIRECT("'LF Lamp - WO017'!$B"&amp;TEXT(MATCH($C5,'LF Lamp - WO017'!$A$2:$A$14,0)+1,0)&amp;":$M"&amp;TEXT(MATCH($C5,'LF Lamp - WO017'!$A$2:$A$14,0)+1,0)))*(1+INDEX('LF Lamp - WO017'!$N$2:$N$5,MATCH('LF Lamp - Calculator'!$C5,'LF Lamp - WO017'!$A$2:$A$5,0)))*H5</f>
        <v>36.793282019704414</v>
      </c>
      <c r="Y5" s="172">
        <f>IF(I5="Lamp + Ballast",SUMPRODUCT($AS5:$AY5,'LF Lamp - WO017'!$B$7:$H$7),0)</f>
        <v>0</v>
      </c>
      <c r="Z5" s="172">
        <f ca="1">IF(L5&lt;&gt;"",SUMPRODUCT($AZ5:$CO5,INDIRECT("'LF Lamp - WO017'!$B"&amp;TEXT(MATCH($L5,'LF Lamp - WO017'!$A$2:$A$14,0)+1,0)&amp;":$AQ"&amp;TEXT(MATCH($L5,'LF Lamp - WO017'!$A$2:$A$14,0)+1,0)))*(1+INDEX('LF Lamp - WO017'!$AR$10:$AR$14,MATCH($L5,'LF Lamp - WO017'!$A$10:$A$14,0))),0)</f>
        <v>364.73932692307693</v>
      </c>
      <c r="AA5" s="172">
        <f t="shared" ca="1" si="30"/>
        <v>401.53260894278134</v>
      </c>
      <c r="AB5" s="181">
        <f>IF(I5="Lamp + Ballast",'LF Lamp - WO017'!$I$7,INDEX('LF Lamp - WO017'!$AS$10:$AS$14,MATCH('LF Lamp - Calculator'!$L5,'LF Lamp - WO017'!$A$10:$A$14,0)))</f>
        <v>2.1325159377406813</v>
      </c>
      <c r="AC5" s="173">
        <f>IF(I5="Lamp + Ballast",'LF Lamp - WO017'!$J$7,INDEX('LF Lamp - WO017'!$AT$10:$AT$14,MATCH('LF Lamp - Calculator'!$L5,'LF Lamp - WO017'!$A$10:$A$14,0)))</f>
        <v>67.26167983080542</v>
      </c>
      <c r="AD5" s="173">
        <f>IF(I5="Lamp + Ballast",'LF Lamp - WO017'!$K$7,INDEX('LF Lamp - WO017'!$AU$10:$AU$14,MATCH('LF Lamp - Calculator'!$L5,'LF Lamp - WO017'!$A$10:$A$14,0)))</f>
        <v>43.705339500000008</v>
      </c>
      <c r="AE5" s="172">
        <f t="shared" si="31"/>
        <v>187.14194373840348</v>
      </c>
      <c r="AF5" s="172">
        <f t="shared" ca="1" si="32"/>
        <v>588.67455268118488</v>
      </c>
      <c r="AG5" s="196">
        <v>1</v>
      </c>
      <c r="AH5" s="197">
        <f t="shared" si="33"/>
        <v>54</v>
      </c>
      <c r="AI5" s="197">
        <f t="shared" si="34"/>
        <v>85</v>
      </c>
      <c r="AJ5" s="197">
        <f t="shared" si="35"/>
        <v>36000</v>
      </c>
      <c r="AK5" s="197">
        <f t="shared" si="36"/>
        <v>95</v>
      </c>
      <c r="AL5" s="196">
        <v>1</v>
      </c>
      <c r="AM5" s="196">
        <v>1</v>
      </c>
      <c r="AN5" s="196">
        <v>1</v>
      </c>
      <c r="AO5" s="196">
        <v>1</v>
      </c>
      <c r="AP5" s="196">
        <v>1</v>
      </c>
      <c r="AQ5" s="196">
        <v>1</v>
      </c>
      <c r="AR5" s="196">
        <v>1</v>
      </c>
      <c r="AS5" s="196">
        <v>1</v>
      </c>
      <c r="AT5" s="197">
        <f t="shared" si="37"/>
        <v>162</v>
      </c>
      <c r="AU5" s="197">
        <f t="shared" si="38"/>
        <v>0.98</v>
      </c>
      <c r="AV5" s="196">
        <v>1</v>
      </c>
      <c r="AW5" s="196">
        <v>1</v>
      </c>
      <c r="AX5" s="196">
        <v>1</v>
      </c>
      <c r="AY5" s="196">
        <v>1</v>
      </c>
      <c r="AZ5" s="196">
        <v>1</v>
      </c>
      <c r="BA5" s="197">
        <f t="shared" si="39"/>
        <v>46</v>
      </c>
      <c r="BB5" s="197">
        <f t="shared" si="40"/>
        <v>162</v>
      </c>
      <c r="BC5" s="198">
        <f t="shared" si="41"/>
        <v>0</v>
      </c>
      <c r="BD5" s="198">
        <f t="shared" si="42"/>
        <v>1</v>
      </c>
      <c r="BE5" s="198">
        <f t="shared" si="43"/>
        <v>0</v>
      </c>
      <c r="BF5" s="198">
        <f t="shared" si="44"/>
        <v>1</v>
      </c>
      <c r="BG5" s="198">
        <f t="shared" si="45"/>
        <v>1</v>
      </c>
      <c r="BH5" s="198">
        <f t="shared" si="46"/>
        <v>0</v>
      </c>
      <c r="BI5" s="198">
        <f t="shared" si="47"/>
        <v>0</v>
      </c>
      <c r="BJ5" s="198">
        <f t="shared" si="48"/>
        <v>1</v>
      </c>
      <c r="BK5" s="199">
        <v>1</v>
      </c>
      <c r="BL5" s="199">
        <v>1</v>
      </c>
      <c r="BM5" s="199">
        <v>1</v>
      </c>
      <c r="BN5" s="198">
        <f t="shared" si="49"/>
        <v>0</v>
      </c>
      <c r="BO5" s="198">
        <f t="shared" si="50"/>
        <v>1</v>
      </c>
      <c r="BP5" s="198">
        <f t="shared" si="51"/>
        <v>0</v>
      </c>
      <c r="BQ5" s="198">
        <f t="shared" si="52"/>
        <v>1</v>
      </c>
      <c r="BR5" s="198">
        <f t="shared" si="53"/>
        <v>1</v>
      </c>
      <c r="BS5" s="198">
        <f t="shared" si="54"/>
        <v>0</v>
      </c>
      <c r="BT5" s="199">
        <v>3</v>
      </c>
      <c r="BU5" s="198">
        <f t="shared" si="55"/>
        <v>0</v>
      </c>
      <c r="BV5" s="198">
        <f t="shared" si="56"/>
        <v>1</v>
      </c>
      <c r="BW5" s="199">
        <v>1</v>
      </c>
      <c r="BX5" s="199">
        <v>1</v>
      </c>
      <c r="BY5" s="198">
        <f t="shared" si="57"/>
        <v>0</v>
      </c>
      <c r="BZ5" s="198">
        <f t="shared" si="58"/>
        <v>1</v>
      </c>
      <c r="CA5" s="198">
        <f t="shared" si="59"/>
        <v>0</v>
      </c>
      <c r="CB5" s="198">
        <f t="shared" si="60"/>
        <v>1</v>
      </c>
      <c r="CC5" s="198">
        <f t="shared" si="61"/>
        <v>0</v>
      </c>
      <c r="CD5" s="198">
        <f t="shared" si="62"/>
        <v>1</v>
      </c>
      <c r="CE5" s="198">
        <f t="shared" si="63"/>
        <v>1</v>
      </c>
      <c r="CF5" s="198">
        <f t="shared" si="64"/>
        <v>0</v>
      </c>
      <c r="CG5" s="199">
        <v>1</v>
      </c>
      <c r="CH5" s="199">
        <v>1</v>
      </c>
      <c r="CI5" s="199">
        <v>1</v>
      </c>
      <c r="CJ5" s="200">
        <f t="shared" si="65"/>
        <v>3</v>
      </c>
      <c r="CK5" s="200">
        <f t="shared" si="66"/>
        <v>54</v>
      </c>
      <c r="CL5" s="198">
        <f t="shared" si="67"/>
        <v>1</v>
      </c>
      <c r="CM5" s="198">
        <f t="shared" si="68"/>
        <v>0</v>
      </c>
      <c r="CN5" s="198">
        <f t="shared" si="69"/>
        <v>1</v>
      </c>
      <c r="CO5" s="198">
        <f t="shared" si="70"/>
        <v>0</v>
      </c>
    </row>
    <row r="6" spans="1:93" s="182" customFormat="1" ht="25.5" x14ac:dyDescent="0.25">
      <c r="A6" s="61" t="s">
        <v>349</v>
      </c>
      <c r="B6" s="56" t="s">
        <v>359</v>
      </c>
      <c r="C6" s="171" t="s">
        <v>285</v>
      </c>
      <c r="D6" s="201">
        <v>54</v>
      </c>
      <c r="E6" s="6">
        <v>85</v>
      </c>
      <c r="F6" s="6">
        <v>36000</v>
      </c>
      <c r="G6" s="6">
        <v>95</v>
      </c>
      <c r="H6" s="6">
        <v>4</v>
      </c>
      <c r="I6" s="6" t="s">
        <v>338</v>
      </c>
      <c r="J6" s="180">
        <v>0.98</v>
      </c>
      <c r="K6" s="6" t="b">
        <v>1</v>
      </c>
      <c r="L6" s="6" t="s">
        <v>268</v>
      </c>
      <c r="M6" s="6">
        <v>46</v>
      </c>
      <c r="N6" s="6" t="s">
        <v>253</v>
      </c>
      <c r="O6" s="6" t="b">
        <v>0</v>
      </c>
      <c r="P6" s="6"/>
      <c r="Q6" s="6"/>
      <c r="R6" s="6"/>
      <c r="S6" s="6"/>
      <c r="T6" s="6"/>
      <c r="U6" s="6"/>
      <c r="V6" s="6" t="b">
        <v>1</v>
      </c>
      <c r="W6" s="6" t="b">
        <v>1</v>
      </c>
      <c r="X6" s="172">
        <f ca="1">SUMPRODUCT($AG6:$AR6,INDIRECT("'LF Lamp - WO017'!$B"&amp;TEXT(MATCH($C6,'LF Lamp - WO017'!$A$2:$A$14,0)+1,0)&amp;":$M"&amp;TEXT(MATCH($C6,'LF Lamp - WO017'!$A$2:$A$14,0)+1,0)))*(1+INDEX('LF Lamp - WO017'!$N$2:$N$5,MATCH('LF Lamp - Calculator'!$C6,'LF Lamp - WO017'!$A$2:$A$5,0)))*H6</f>
        <v>49.057709359605887</v>
      </c>
      <c r="Y6" s="172">
        <f>IF(I6="Lamp + Ballast",SUMPRODUCT($AS6:$AY6,'LF Lamp - WO017'!$B$7:$H$7),0)</f>
        <v>0</v>
      </c>
      <c r="Z6" s="172">
        <f ca="1">IF(L6&lt;&gt;"",SUMPRODUCT($AZ6:$CO6,INDIRECT("'LF Lamp - WO017'!$B"&amp;TEXT(MATCH($L6,'LF Lamp - WO017'!$A$2:$A$14,0)+1,0)&amp;":$AQ"&amp;TEXT(MATCH($L6,'LF Lamp - WO017'!$A$2:$A$14,0)+1,0)))*(1+INDEX('LF Lamp - WO017'!$AR$10:$AR$14,MATCH($L6,'LF Lamp - WO017'!$A$10:$A$14,0))),0)</f>
        <v>385.49932692307692</v>
      </c>
      <c r="AA6" s="172">
        <f t="shared" ca="1" si="30"/>
        <v>434.55703628268282</v>
      </c>
      <c r="AB6" s="181">
        <f>IF(I6="Lamp + Ballast",'LF Lamp - WO017'!$I$7,INDEX('LF Lamp - WO017'!$AS$10:$AS$14,MATCH('LF Lamp - Calculator'!$L6,'LF Lamp - WO017'!$A$10:$A$14,0)))</f>
        <v>2.1325159377406813</v>
      </c>
      <c r="AC6" s="173">
        <f>IF(I6="Lamp + Ballast",'LF Lamp - WO017'!$J$7,INDEX('LF Lamp - WO017'!$AT$10:$AT$14,MATCH('LF Lamp - Calculator'!$L6,'LF Lamp - WO017'!$A$10:$A$14,0)))</f>
        <v>67.26167983080542</v>
      </c>
      <c r="AD6" s="173">
        <f>IF(I6="Lamp + Ballast",'LF Lamp - WO017'!$K$7,INDEX('LF Lamp - WO017'!$AU$10:$AU$14,MATCH('LF Lamp - Calculator'!$L6,'LF Lamp - WO017'!$A$10:$A$14,0)))</f>
        <v>43.705339500000008</v>
      </c>
      <c r="AE6" s="172">
        <f t="shared" si="31"/>
        <v>187.14194373840348</v>
      </c>
      <c r="AF6" s="172">
        <f t="shared" ca="1" si="32"/>
        <v>621.6989800210863</v>
      </c>
      <c r="AG6" s="196">
        <v>1</v>
      </c>
      <c r="AH6" s="197">
        <f t="shared" si="33"/>
        <v>54</v>
      </c>
      <c r="AI6" s="197">
        <f t="shared" si="34"/>
        <v>85</v>
      </c>
      <c r="AJ6" s="197">
        <f t="shared" si="35"/>
        <v>36000</v>
      </c>
      <c r="AK6" s="197">
        <f t="shared" si="36"/>
        <v>95</v>
      </c>
      <c r="AL6" s="196">
        <v>1</v>
      </c>
      <c r="AM6" s="196">
        <v>1</v>
      </c>
      <c r="AN6" s="196">
        <v>1</v>
      </c>
      <c r="AO6" s="196">
        <v>1</v>
      </c>
      <c r="AP6" s="196">
        <v>1</v>
      </c>
      <c r="AQ6" s="196">
        <v>1</v>
      </c>
      <c r="AR6" s="196">
        <v>1</v>
      </c>
      <c r="AS6" s="196">
        <v>1</v>
      </c>
      <c r="AT6" s="197">
        <f t="shared" si="37"/>
        <v>216</v>
      </c>
      <c r="AU6" s="197">
        <f t="shared" si="38"/>
        <v>0.98</v>
      </c>
      <c r="AV6" s="196">
        <v>1</v>
      </c>
      <c r="AW6" s="196">
        <v>1</v>
      </c>
      <c r="AX6" s="196">
        <v>1</v>
      </c>
      <c r="AY6" s="196">
        <v>1</v>
      </c>
      <c r="AZ6" s="196">
        <v>1</v>
      </c>
      <c r="BA6" s="197">
        <f t="shared" si="39"/>
        <v>46</v>
      </c>
      <c r="BB6" s="197">
        <f t="shared" si="40"/>
        <v>216</v>
      </c>
      <c r="BC6" s="198">
        <f t="shared" si="41"/>
        <v>0</v>
      </c>
      <c r="BD6" s="198">
        <f t="shared" si="42"/>
        <v>1</v>
      </c>
      <c r="BE6" s="198">
        <f t="shared" si="43"/>
        <v>0</v>
      </c>
      <c r="BF6" s="198">
        <f t="shared" si="44"/>
        <v>1</v>
      </c>
      <c r="BG6" s="198">
        <f t="shared" si="45"/>
        <v>1</v>
      </c>
      <c r="BH6" s="198">
        <f t="shared" si="46"/>
        <v>0</v>
      </c>
      <c r="BI6" s="198">
        <f t="shared" si="47"/>
        <v>0</v>
      </c>
      <c r="BJ6" s="198">
        <f t="shared" si="48"/>
        <v>1</v>
      </c>
      <c r="BK6" s="199">
        <v>1</v>
      </c>
      <c r="BL6" s="199">
        <v>1</v>
      </c>
      <c r="BM6" s="199">
        <v>1</v>
      </c>
      <c r="BN6" s="198">
        <f t="shared" si="49"/>
        <v>0</v>
      </c>
      <c r="BO6" s="198">
        <f t="shared" si="50"/>
        <v>1</v>
      </c>
      <c r="BP6" s="198">
        <f t="shared" si="51"/>
        <v>0</v>
      </c>
      <c r="BQ6" s="198">
        <f t="shared" si="52"/>
        <v>1</v>
      </c>
      <c r="BR6" s="198">
        <f t="shared" si="53"/>
        <v>1</v>
      </c>
      <c r="BS6" s="198">
        <f t="shared" si="54"/>
        <v>0</v>
      </c>
      <c r="BT6" s="199">
        <v>4</v>
      </c>
      <c r="BU6" s="198">
        <f t="shared" si="55"/>
        <v>0</v>
      </c>
      <c r="BV6" s="198">
        <f t="shared" si="56"/>
        <v>1</v>
      </c>
      <c r="BW6" s="199">
        <v>1</v>
      </c>
      <c r="BX6" s="199">
        <v>1</v>
      </c>
      <c r="BY6" s="198">
        <f t="shared" si="57"/>
        <v>0</v>
      </c>
      <c r="BZ6" s="198">
        <f t="shared" si="58"/>
        <v>1</v>
      </c>
      <c r="CA6" s="198">
        <f t="shared" si="59"/>
        <v>0</v>
      </c>
      <c r="CB6" s="198">
        <f t="shared" si="60"/>
        <v>1</v>
      </c>
      <c r="CC6" s="198">
        <f t="shared" si="61"/>
        <v>0</v>
      </c>
      <c r="CD6" s="198">
        <f t="shared" si="62"/>
        <v>1</v>
      </c>
      <c r="CE6" s="198">
        <f t="shared" si="63"/>
        <v>1</v>
      </c>
      <c r="CF6" s="198">
        <f t="shared" si="64"/>
        <v>0</v>
      </c>
      <c r="CG6" s="199">
        <v>1</v>
      </c>
      <c r="CH6" s="199">
        <v>1</v>
      </c>
      <c r="CI6" s="199">
        <v>1</v>
      </c>
      <c r="CJ6" s="200">
        <f t="shared" si="65"/>
        <v>4</v>
      </c>
      <c r="CK6" s="200">
        <f t="shared" si="66"/>
        <v>54</v>
      </c>
      <c r="CL6" s="198">
        <f t="shared" si="67"/>
        <v>1</v>
      </c>
      <c r="CM6" s="198">
        <f t="shared" si="68"/>
        <v>0</v>
      </c>
      <c r="CN6" s="198">
        <f t="shared" si="69"/>
        <v>1</v>
      </c>
      <c r="CO6" s="198">
        <f t="shared" si="70"/>
        <v>0</v>
      </c>
    </row>
    <row r="7" spans="1:93" s="182" customFormat="1" ht="25.5" x14ac:dyDescent="0.25">
      <c r="A7" s="61" t="s">
        <v>350</v>
      </c>
      <c r="B7" s="183" t="s">
        <v>360</v>
      </c>
      <c r="C7" s="171" t="s">
        <v>285</v>
      </c>
      <c r="D7" s="201">
        <v>54</v>
      </c>
      <c r="E7" s="6">
        <v>85</v>
      </c>
      <c r="F7" s="6">
        <v>36000</v>
      </c>
      <c r="G7" s="6">
        <v>95</v>
      </c>
      <c r="H7" s="6">
        <v>6</v>
      </c>
      <c r="I7" s="6" t="s">
        <v>338</v>
      </c>
      <c r="J7" s="180">
        <v>0.98</v>
      </c>
      <c r="K7" s="6" t="b">
        <v>1</v>
      </c>
      <c r="L7" s="6" t="s">
        <v>268</v>
      </c>
      <c r="M7" s="6">
        <v>46</v>
      </c>
      <c r="N7" s="6" t="s">
        <v>253</v>
      </c>
      <c r="O7" s="6" t="b">
        <v>0</v>
      </c>
      <c r="P7" s="6"/>
      <c r="Q7" s="6"/>
      <c r="R7" s="6"/>
      <c r="S7" s="6"/>
      <c r="T7" s="6"/>
      <c r="U7" s="6"/>
      <c r="V7" s="6" t="b">
        <v>1</v>
      </c>
      <c r="W7" s="6" t="b">
        <v>1</v>
      </c>
      <c r="X7" s="172">
        <f ca="1">SUMPRODUCT($AG7:$AR7,INDIRECT("'LF Lamp - WO017'!$B"&amp;TEXT(MATCH($C7,'LF Lamp - WO017'!$A$2:$A$14,0)+1,0)&amp;":$M"&amp;TEXT(MATCH($C7,'LF Lamp - WO017'!$A$2:$A$14,0)+1,0)))*(1+INDEX('LF Lamp - WO017'!$N$2:$N$5,MATCH('LF Lamp - Calculator'!$C7,'LF Lamp - WO017'!$A$2:$A$5,0)))*H7</f>
        <v>73.586564039408827</v>
      </c>
      <c r="Y7" s="172">
        <f>IF(I7="Lamp + Ballast",SUMPRODUCT($AS7:$AY7,'LF Lamp - WO017'!$B$7:$H$7),0)</f>
        <v>0</v>
      </c>
      <c r="Z7" s="172">
        <f ca="1">IF(L7&lt;&gt;"",SUMPRODUCT($AZ7:$CO7,INDIRECT("'LF Lamp - WO017'!$B"&amp;TEXT(MATCH($L7,'LF Lamp - WO017'!$A$2:$A$14,0)+1,0)&amp;":$AQ"&amp;TEXT(MATCH($L7,'LF Lamp - WO017'!$A$2:$A$14,0)+1,0)))*(1+INDEX('LF Lamp - WO017'!$AR$10:$AR$14,MATCH($L7,'LF Lamp - WO017'!$A$10:$A$14,0))),0)</f>
        <v>427.01932692307696</v>
      </c>
      <c r="AA7" s="172">
        <f t="shared" ca="1" si="30"/>
        <v>500.60589096248577</v>
      </c>
      <c r="AB7" s="181">
        <f>IF(I7="Lamp + Ballast",'LF Lamp - WO017'!$I$7,INDEX('LF Lamp - WO017'!$AS$10:$AS$14,MATCH('LF Lamp - Calculator'!$L7,'LF Lamp - WO017'!$A$10:$A$14,0)))</f>
        <v>2.1325159377406813</v>
      </c>
      <c r="AC7" s="173">
        <f>IF(I7="Lamp + Ballast",'LF Lamp - WO017'!$J$7,INDEX('LF Lamp - WO017'!$AT$10:$AT$14,MATCH('LF Lamp - Calculator'!$L7,'LF Lamp - WO017'!$A$10:$A$14,0)))</f>
        <v>67.26167983080542</v>
      </c>
      <c r="AD7" s="173">
        <f>IF(I7="Lamp + Ballast",'LF Lamp - WO017'!$K$7,INDEX('LF Lamp - WO017'!$AU$10:$AU$14,MATCH('LF Lamp - Calculator'!$L7,'LF Lamp - WO017'!$A$10:$A$14,0)))</f>
        <v>43.705339500000008</v>
      </c>
      <c r="AE7" s="172">
        <f t="shared" si="31"/>
        <v>187.14194373840348</v>
      </c>
      <c r="AF7" s="172">
        <f t="shared" ca="1" si="32"/>
        <v>687.74783470088926</v>
      </c>
      <c r="AG7" s="196">
        <v>1</v>
      </c>
      <c r="AH7" s="197">
        <f t="shared" si="33"/>
        <v>54</v>
      </c>
      <c r="AI7" s="197">
        <f t="shared" si="34"/>
        <v>85</v>
      </c>
      <c r="AJ7" s="197">
        <f t="shared" si="35"/>
        <v>36000</v>
      </c>
      <c r="AK7" s="197">
        <f t="shared" si="36"/>
        <v>95</v>
      </c>
      <c r="AL7" s="196">
        <v>1</v>
      </c>
      <c r="AM7" s="196">
        <v>1</v>
      </c>
      <c r="AN7" s="196">
        <v>1</v>
      </c>
      <c r="AO7" s="196">
        <v>1</v>
      </c>
      <c r="AP7" s="196">
        <v>1</v>
      </c>
      <c r="AQ7" s="196">
        <v>1</v>
      </c>
      <c r="AR7" s="196">
        <v>1</v>
      </c>
      <c r="AS7" s="196">
        <v>1</v>
      </c>
      <c r="AT7" s="197">
        <f t="shared" si="37"/>
        <v>324</v>
      </c>
      <c r="AU7" s="197">
        <f t="shared" si="38"/>
        <v>0.98</v>
      </c>
      <c r="AV7" s="196">
        <v>1</v>
      </c>
      <c r="AW7" s="196">
        <v>1</v>
      </c>
      <c r="AX7" s="196">
        <v>1</v>
      </c>
      <c r="AY7" s="196">
        <v>1</v>
      </c>
      <c r="AZ7" s="196">
        <v>1</v>
      </c>
      <c r="BA7" s="197">
        <f t="shared" si="39"/>
        <v>46</v>
      </c>
      <c r="BB7" s="197">
        <f t="shared" si="40"/>
        <v>324</v>
      </c>
      <c r="BC7" s="198">
        <f t="shared" si="41"/>
        <v>0</v>
      </c>
      <c r="BD7" s="198">
        <f t="shared" si="42"/>
        <v>1</v>
      </c>
      <c r="BE7" s="198">
        <f t="shared" si="43"/>
        <v>0</v>
      </c>
      <c r="BF7" s="198">
        <f t="shared" si="44"/>
        <v>1</v>
      </c>
      <c r="BG7" s="198">
        <f t="shared" si="45"/>
        <v>1</v>
      </c>
      <c r="BH7" s="198">
        <f t="shared" si="46"/>
        <v>0</v>
      </c>
      <c r="BI7" s="198">
        <f t="shared" si="47"/>
        <v>0</v>
      </c>
      <c r="BJ7" s="198">
        <f t="shared" si="48"/>
        <v>1</v>
      </c>
      <c r="BK7" s="199">
        <v>1</v>
      </c>
      <c r="BL7" s="199">
        <v>1</v>
      </c>
      <c r="BM7" s="199">
        <v>1</v>
      </c>
      <c r="BN7" s="198">
        <f t="shared" si="49"/>
        <v>0</v>
      </c>
      <c r="BO7" s="198">
        <f t="shared" si="50"/>
        <v>1</v>
      </c>
      <c r="BP7" s="198">
        <f t="shared" si="51"/>
        <v>0</v>
      </c>
      <c r="BQ7" s="198">
        <f t="shared" si="52"/>
        <v>1</v>
      </c>
      <c r="BR7" s="198">
        <f t="shared" si="53"/>
        <v>1</v>
      </c>
      <c r="BS7" s="198">
        <f t="shared" si="54"/>
        <v>0</v>
      </c>
      <c r="BT7" s="199">
        <v>5</v>
      </c>
      <c r="BU7" s="198">
        <f t="shared" si="55"/>
        <v>0</v>
      </c>
      <c r="BV7" s="198">
        <f t="shared" si="56"/>
        <v>1</v>
      </c>
      <c r="BW7" s="199">
        <v>1</v>
      </c>
      <c r="BX7" s="199">
        <v>1</v>
      </c>
      <c r="BY7" s="198">
        <f t="shared" si="57"/>
        <v>0</v>
      </c>
      <c r="BZ7" s="198">
        <f t="shared" si="58"/>
        <v>1</v>
      </c>
      <c r="CA7" s="198">
        <f t="shared" si="59"/>
        <v>0</v>
      </c>
      <c r="CB7" s="198">
        <f t="shared" si="60"/>
        <v>1</v>
      </c>
      <c r="CC7" s="198">
        <f t="shared" si="61"/>
        <v>0</v>
      </c>
      <c r="CD7" s="198">
        <f t="shared" si="62"/>
        <v>1</v>
      </c>
      <c r="CE7" s="198">
        <f t="shared" si="63"/>
        <v>1</v>
      </c>
      <c r="CF7" s="198">
        <f t="shared" si="64"/>
        <v>0</v>
      </c>
      <c r="CG7" s="199">
        <v>1</v>
      </c>
      <c r="CH7" s="199">
        <v>1</v>
      </c>
      <c r="CI7" s="199">
        <v>1</v>
      </c>
      <c r="CJ7" s="200">
        <f t="shared" si="65"/>
        <v>6</v>
      </c>
      <c r="CK7" s="200">
        <f t="shared" si="66"/>
        <v>54</v>
      </c>
      <c r="CL7" s="198">
        <f t="shared" si="67"/>
        <v>1</v>
      </c>
      <c r="CM7" s="198">
        <f t="shared" si="68"/>
        <v>0</v>
      </c>
      <c r="CN7" s="198">
        <f t="shared" si="69"/>
        <v>1</v>
      </c>
      <c r="CO7" s="198">
        <f t="shared" si="70"/>
        <v>0</v>
      </c>
    </row>
    <row r="8" spans="1:93" s="182" customFormat="1" ht="25.5" x14ac:dyDescent="0.25">
      <c r="A8" s="61" t="s">
        <v>351</v>
      </c>
      <c r="B8" s="56" t="s">
        <v>359</v>
      </c>
      <c r="C8" s="171" t="s">
        <v>285</v>
      </c>
      <c r="D8" s="201">
        <v>54</v>
      </c>
      <c r="E8" s="6">
        <v>85</v>
      </c>
      <c r="F8" s="6">
        <v>36000</v>
      </c>
      <c r="G8" s="6">
        <v>95</v>
      </c>
      <c r="H8" s="6">
        <v>10</v>
      </c>
      <c r="I8" s="6" t="s">
        <v>338</v>
      </c>
      <c r="J8" s="180">
        <v>0.98</v>
      </c>
      <c r="K8" s="6" t="b">
        <v>1</v>
      </c>
      <c r="L8" s="6" t="s">
        <v>268</v>
      </c>
      <c r="M8" s="6">
        <v>46</v>
      </c>
      <c r="N8" s="6" t="s">
        <v>253</v>
      </c>
      <c r="O8" s="6" t="b">
        <v>0</v>
      </c>
      <c r="P8" s="6"/>
      <c r="Q8" s="6"/>
      <c r="R8" s="6"/>
      <c r="S8" s="6"/>
      <c r="T8" s="6"/>
      <c r="U8" s="6"/>
      <c r="V8" s="6" t="b">
        <v>1</v>
      </c>
      <c r="W8" s="6" t="b">
        <v>1</v>
      </c>
      <c r="X8" s="172">
        <f ca="1">SUMPRODUCT($AG8:$AR8,INDIRECT("'LF Lamp - WO017'!$B"&amp;TEXT(MATCH($C8,'LF Lamp - WO017'!$A$2:$A$14,0)+1,0)&amp;":$M"&amp;TEXT(MATCH($C8,'LF Lamp - WO017'!$A$2:$A$14,0)+1,0)))*(1+INDEX('LF Lamp - WO017'!$N$2:$N$5,MATCH('LF Lamp - Calculator'!$C8,'LF Lamp - WO017'!$A$2:$A$5,0)))*H8</f>
        <v>122.64427339901472</v>
      </c>
      <c r="Y8" s="172">
        <f>IF(I8="Lamp + Ballast",SUMPRODUCT($AS8:$AY8,'LF Lamp - WO017'!$B$7:$H$7),0)</f>
        <v>0</v>
      </c>
      <c r="Z8" s="172">
        <f ca="1">IF(L8&lt;&gt;"",SUMPRODUCT($AZ8:$CO8,INDIRECT("'LF Lamp - WO017'!$B"&amp;TEXT(MATCH($L8,'LF Lamp - WO017'!$A$2:$A$14,0)+1,0)&amp;":$AQ"&amp;TEXT(MATCH($L8,'LF Lamp - WO017'!$A$2:$A$14,0)+1,0)))*(1+INDEX('LF Lamp - WO017'!$AR$10:$AR$14,MATCH($L8,'LF Lamp - WO017'!$A$10:$A$14,0))),0)</f>
        <v>510.05932692307692</v>
      </c>
      <c r="AA8" s="172">
        <f t="shared" ca="1" si="30"/>
        <v>632.70360032209169</v>
      </c>
      <c r="AB8" s="181">
        <f>IF(I8="Lamp + Ballast",'LF Lamp - WO017'!$I$7,INDEX('LF Lamp - WO017'!$AS$10:$AS$14,MATCH('LF Lamp - Calculator'!$L8,'LF Lamp - WO017'!$A$10:$A$14,0)))</f>
        <v>2.1325159377406813</v>
      </c>
      <c r="AC8" s="173">
        <f>IF(I8="Lamp + Ballast",'LF Lamp - WO017'!$J$7,INDEX('LF Lamp - WO017'!$AT$10:$AT$14,MATCH('LF Lamp - Calculator'!$L8,'LF Lamp - WO017'!$A$10:$A$14,0)))</f>
        <v>67.26167983080542</v>
      </c>
      <c r="AD8" s="173">
        <f>IF(I8="Lamp + Ballast",'LF Lamp - WO017'!$K$7,INDEX('LF Lamp - WO017'!$AU$10:$AU$14,MATCH('LF Lamp - Calculator'!$L8,'LF Lamp - WO017'!$A$10:$A$14,0)))</f>
        <v>43.705339500000008</v>
      </c>
      <c r="AE8" s="172">
        <f t="shared" si="31"/>
        <v>187.14194373840348</v>
      </c>
      <c r="AF8" s="172">
        <f t="shared" ca="1" si="32"/>
        <v>819.84554406049517</v>
      </c>
      <c r="AG8" s="196">
        <v>1</v>
      </c>
      <c r="AH8" s="197">
        <f t="shared" si="33"/>
        <v>54</v>
      </c>
      <c r="AI8" s="197">
        <f t="shared" si="34"/>
        <v>85</v>
      </c>
      <c r="AJ8" s="197">
        <f t="shared" si="35"/>
        <v>36000</v>
      </c>
      <c r="AK8" s="197">
        <f t="shared" si="36"/>
        <v>95</v>
      </c>
      <c r="AL8" s="196">
        <v>1</v>
      </c>
      <c r="AM8" s="196">
        <v>1</v>
      </c>
      <c r="AN8" s="196">
        <v>1</v>
      </c>
      <c r="AO8" s="196">
        <v>1</v>
      </c>
      <c r="AP8" s="196">
        <v>1</v>
      </c>
      <c r="AQ8" s="196">
        <v>1</v>
      </c>
      <c r="AR8" s="196">
        <v>1</v>
      </c>
      <c r="AS8" s="196">
        <v>1</v>
      </c>
      <c r="AT8" s="197">
        <f t="shared" si="37"/>
        <v>540</v>
      </c>
      <c r="AU8" s="197">
        <f t="shared" si="38"/>
        <v>0.98</v>
      </c>
      <c r="AV8" s="196">
        <v>1</v>
      </c>
      <c r="AW8" s="196">
        <v>1</v>
      </c>
      <c r="AX8" s="196">
        <v>1</v>
      </c>
      <c r="AY8" s="196">
        <v>1</v>
      </c>
      <c r="AZ8" s="196">
        <v>1</v>
      </c>
      <c r="BA8" s="197">
        <f t="shared" si="39"/>
        <v>46</v>
      </c>
      <c r="BB8" s="197">
        <f t="shared" si="40"/>
        <v>540</v>
      </c>
      <c r="BC8" s="198">
        <f t="shared" si="41"/>
        <v>0</v>
      </c>
      <c r="BD8" s="198">
        <f t="shared" si="42"/>
        <v>1</v>
      </c>
      <c r="BE8" s="198">
        <f t="shared" si="43"/>
        <v>0</v>
      </c>
      <c r="BF8" s="198">
        <f t="shared" si="44"/>
        <v>1</v>
      </c>
      <c r="BG8" s="198">
        <f t="shared" si="45"/>
        <v>1</v>
      </c>
      <c r="BH8" s="198">
        <f t="shared" si="46"/>
        <v>0</v>
      </c>
      <c r="BI8" s="198">
        <f t="shared" si="47"/>
        <v>0</v>
      </c>
      <c r="BJ8" s="198">
        <f t="shared" si="48"/>
        <v>1</v>
      </c>
      <c r="BK8" s="199">
        <v>1</v>
      </c>
      <c r="BL8" s="199">
        <v>1</v>
      </c>
      <c r="BM8" s="199">
        <v>1</v>
      </c>
      <c r="BN8" s="198">
        <f t="shared" si="49"/>
        <v>0</v>
      </c>
      <c r="BO8" s="198">
        <f t="shared" si="50"/>
        <v>1</v>
      </c>
      <c r="BP8" s="198">
        <f t="shared" si="51"/>
        <v>0</v>
      </c>
      <c r="BQ8" s="198">
        <f t="shared" si="52"/>
        <v>1</v>
      </c>
      <c r="BR8" s="198">
        <f t="shared" si="53"/>
        <v>1</v>
      </c>
      <c r="BS8" s="198">
        <f t="shared" si="54"/>
        <v>0</v>
      </c>
      <c r="BT8" s="199">
        <v>6</v>
      </c>
      <c r="BU8" s="198">
        <f t="shared" si="55"/>
        <v>0</v>
      </c>
      <c r="BV8" s="198">
        <f t="shared" si="56"/>
        <v>1</v>
      </c>
      <c r="BW8" s="199">
        <v>1</v>
      </c>
      <c r="BX8" s="199">
        <v>1</v>
      </c>
      <c r="BY8" s="198">
        <f t="shared" si="57"/>
        <v>0</v>
      </c>
      <c r="BZ8" s="198">
        <f t="shared" si="58"/>
        <v>1</v>
      </c>
      <c r="CA8" s="198">
        <f t="shared" si="59"/>
        <v>0</v>
      </c>
      <c r="CB8" s="198">
        <f t="shared" si="60"/>
        <v>1</v>
      </c>
      <c r="CC8" s="198">
        <f t="shared" si="61"/>
        <v>0</v>
      </c>
      <c r="CD8" s="198">
        <f t="shared" si="62"/>
        <v>1</v>
      </c>
      <c r="CE8" s="198">
        <f t="shared" si="63"/>
        <v>1</v>
      </c>
      <c r="CF8" s="198">
        <f t="shared" si="64"/>
        <v>0</v>
      </c>
      <c r="CG8" s="199">
        <v>1</v>
      </c>
      <c r="CH8" s="199">
        <v>1</v>
      </c>
      <c r="CI8" s="199">
        <v>1</v>
      </c>
      <c r="CJ8" s="200">
        <f t="shared" si="65"/>
        <v>10</v>
      </c>
      <c r="CK8" s="200">
        <f t="shared" si="66"/>
        <v>54</v>
      </c>
      <c r="CL8" s="198">
        <f t="shared" si="67"/>
        <v>1</v>
      </c>
      <c r="CM8" s="198">
        <f t="shared" si="68"/>
        <v>0</v>
      </c>
      <c r="CN8" s="198">
        <f t="shared" si="69"/>
        <v>1</v>
      </c>
      <c r="CO8" s="198">
        <f t="shared" si="70"/>
        <v>0</v>
      </c>
    </row>
    <row r="9" spans="1:93" s="182" customFormat="1" ht="25.5" x14ac:dyDescent="0.25">
      <c r="A9" s="61" t="s">
        <v>352</v>
      </c>
      <c r="B9" s="56" t="s">
        <v>361</v>
      </c>
      <c r="C9" s="171" t="s">
        <v>285</v>
      </c>
      <c r="D9" s="201">
        <v>54</v>
      </c>
      <c r="E9" s="6">
        <v>85</v>
      </c>
      <c r="F9" s="6">
        <v>36000</v>
      </c>
      <c r="G9" s="6">
        <v>95</v>
      </c>
      <c r="H9" s="6">
        <v>4</v>
      </c>
      <c r="I9" s="6" t="s">
        <v>338</v>
      </c>
      <c r="J9" s="180">
        <v>0.98</v>
      </c>
      <c r="K9" s="6" t="b">
        <v>1</v>
      </c>
      <c r="L9" s="6" t="s">
        <v>268</v>
      </c>
      <c r="M9" s="6">
        <v>46</v>
      </c>
      <c r="N9" s="6" t="s">
        <v>253</v>
      </c>
      <c r="O9" s="6" t="b">
        <v>0</v>
      </c>
      <c r="P9" s="6"/>
      <c r="Q9" s="6"/>
      <c r="R9" s="6"/>
      <c r="S9" s="6"/>
      <c r="T9" s="6"/>
      <c r="U9" s="6"/>
      <c r="V9" s="6" t="b">
        <v>1</v>
      </c>
      <c r="W9" s="6" t="b">
        <v>1</v>
      </c>
      <c r="X9" s="172">
        <f ca="1">SUMPRODUCT($AG9:$AR9,INDIRECT("'LF Lamp - WO017'!$B"&amp;TEXT(MATCH($C9,'LF Lamp - WO017'!$A$2:$A$14,0)+1,0)&amp;":$M"&amp;TEXT(MATCH($C9,'LF Lamp - WO017'!$A$2:$A$14,0)+1,0)))*(1+INDEX('LF Lamp - WO017'!$N$2:$N$5,MATCH('LF Lamp - Calculator'!$C9,'LF Lamp - WO017'!$A$2:$A$5,0)))*H9</f>
        <v>49.057709359605887</v>
      </c>
      <c r="Y9" s="172">
        <f>IF(I9="Lamp + Ballast",SUMPRODUCT($AS9:$AY9,'LF Lamp - WO017'!$B$7:$H$7),0)</f>
        <v>0</v>
      </c>
      <c r="Z9" s="172">
        <f ca="1">IF(L9&lt;&gt;"",SUMPRODUCT($AZ9:$CO9,INDIRECT("'LF Lamp - WO017'!$B"&amp;TEXT(MATCH($L9,'LF Lamp - WO017'!$A$2:$A$14,0)+1,0)&amp;":$AQ"&amp;TEXT(MATCH($L9,'LF Lamp - WO017'!$A$2:$A$14,0)+1,0)))*(1+INDEX('LF Lamp - WO017'!$AR$10:$AR$14,MATCH($L9,'LF Lamp - WO017'!$A$10:$A$14,0))),0)</f>
        <v>385.49932692307692</v>
      </c>
      <c r="AA9" s="172">
        <f t="shared" ca="1" si="30"/>
        <v>434.55703628268282</v>
      </c>
      <c r="AB9" s="181">
        <f>IF(I9="Lamp + Ballast",'LF Lamp - WO017'!$I$7,INDEX('LF Lamp - WO017'!$AS$10:$AS$14,MATCH('LF Lamp - Calculator'!$L9,'LF Lamp - WO017'!$A$10:$A$14,0)))</f>
        <v>2.1325159377406813</v>
      </c>
      <c r="AC9" s="173">
        <f>IF(I9="Lamp + Ballast",'LF Lamp - WO017'!$J$7,INDEX('LF Lamp - WO017'!$AT$10:$AT$14,MATCH('LF Lamp - Calculator'!$L9,'LF Lamp - WO017'!$A$10:$A$14,0)))</f>
        <v>67.26167983080542</v>
      </c>
      <c r="AD9" s="173">
        <f>IF(I9="Lamp + Ballast",'LF Lamp - WO017'!$K$7,INDEX('LF Lamp - WO017'!$AU$10:$AU$14,MATCH('LF Lamp - Calculator'!$L9,'LF Lamp - WO017'!$A$10:$A$14,0)))</f>
        <v>43.705339500000008</v>
      </c>
      <c r="AE9" s="172">
        <f t="shared" si="31"/>
        <v>187.14194373840348</v>
      </c>
      <c r="AF9" s="172">
        <f t="shared" ca="1" si="32"/>
        <v>621.6989800210863</v>
      </c>
      <c r="AG9" s="196">
        <v>1</v>
      </c>
      <c r="AH9" s="197">
        <f t="shared" si="33"/>
        <v>54</v>
      </c>
      <c r="AI9" s="197">
        <f t="shared" si="34"/>
        <v>85</v>
      </c>
      <c r="AJ9" s="197">
        <f t="shared" si="35"/>
        <v>36000</v>
      </c>
      <c r="AK9" s="197">
        <f t="shared" si="36"/>
        <v>95</v>
      </c>
      <c r="AL9" s="196">
        <v>1</v>
      </c>
      <c r="AM9" s="196">
        <v>1</v>
      </c>
      <c r="AN9" s="196">
        <v>1</v>
      </c>
      <c r="AO9" s="196">
        <v>1</v>
      </c>
      <c r="AP9" s="196">
        <v>1</v>
      </c>
      <c r="AQ9" s="196">
        <v>1</v>
      </c>
      <c r="AR9" s="196">
        <v>1</v>
      </c>
      <c r="AS9" s="196">
        <v>1</v>
      </c>
      <c r="AT9" s="197">
        <f t="shared" si="37"/>
        <v>216</v>
      </c>
      <c r="AU9" s="197">
        <f t="shared" si="38"/>
        <v>0.98</v>
      </c>
      <c r="AV9" s="196">
        <v>1</v>
      </c>
      <c r="AW9" s="196">
        <v>1</v>
      </c>
      <c r="AX9" s="196">
        <v>1</v>
      </c>
      <c r="AY9" s="196">
        <v>1</v>
      </c>
      <c r="AZ9" s="196">
        <v>1</v>
      </c>
      <c r="BA9" s="197">
        <f t="shared" si="39"/>
        <v>46</v>
      </c>
      <c r="BB9" s="197">
        <f t="shared" si="40"/>
        <v>216</v>
      </c>
      <c r="BC9" s="198">
        <f t="shared" si="41"/>
        <v>0</v>
      </c>
      <c r="BD9" s="198">
        <f t="shared" si="42"/>
        <v>1</v>
      </c>
      <c r="BE9" s="198">
        <f t="shared" si="43"/>
        <v>0</v>
      </c>
      <c r="BF9" s="198">
        <f t="shared" si="44"/>
        <v>1</v>
      </c>
      <c r="BG9" s="198">
        <f t="shared" si="45"/>
        <v>1</v>
      </c>
      <c r="BH9" s="198">
        <f t="shared" si="46"/>
        <v>0</v>
      </c>
      <c r="BI9" s="198">
        <f t="shared" si="47"/>
        <v>0</v>
      </c>
      <c r="BJ9" s="198">
        <f t="shared" si="48"/>
        <v>1</v>
      </c>
      <c r="BK9" s="199">
        <v>1</v>
      </c>
      <c r="BL9" s="199">
        <v>1</v>
      </c>
      <c r="BM9" s="199">
        <v>1</v>
      </c>
      <c r="BN9" s="198">
        <f t="shared" si="49"/>
        <v>0</v>
      </c>
      <c r="BO9" s="198">
        <f t="shared" si="50"/>
        <v>1</v>
      </c>
      <c r="BP9" s="198">
        <f t="shared" si="51"/>
        <v>0</v>
      </c>
      <c r="BQ9" s="198">
        <f t="shared" si="52"/>
        <v>1</v>
      </c>
      <c r="BR9" s="198">
        <f t="shared" si="53"/>
        <v>1</v>
      </c>
      <c r="BS9" s="198">
        <f t="shared" si="54"/>
        <v>0</v>
      </c>
      <c r="BT9" s="199">
        <v>7</v>
      </c>
      <c r="BU9" s="198">
        <f t="shared" si="55"/>
        <v>0</v>
      </c>
      <c r="BV9" s="198">
        <f t="shared" si="56"/>
        <v>1</v>
      </c>
      <c r="BW9" s="199">
        <v>1</v>
      </c>
      <c r="BX9" s="199">
        <v>1</v>
      </c>
      <c r="BY9" s="198">
        <f t="shared" si="57"/>
        <v>0</v>
      </c>
      <c r="BZ9" s="198">
        <f t="shared" si="58"/>
        <v>1</v>
      </c>
      <c r="CA9" s="198">
        <f t="shared" si="59"/>
        <v>0</v>
      </c>
      <c r="CB9" s="198">
        <f t="shared" si="60"/>
        <v>1</v>
      </c>
      <c r="CC9" s="198">
        <f t="shared" si="61"/>
        <v>0</v>
      </c>
      <c r="CD9" s="198">
        <f t="shared" si="62"/>
        <v>1</v>
      </c>
      <c r="CE9" s="198">
        <f t="shared" si="63"/>
        <v>1</v>
      </c>
      <c r="CF9" s="198">
        <f t="shared" si="64"/>
        <v>0</v>
      </c>
      <c r="CG9" s="199">
        <v>1</v>
      </c>
      <c r="CH9" s="199">
        <v>1</v>
      </c>
      <c r="CI9" s="199">
        <v>1</v>
      </c>
      <c r="CJ9" s="200">
        <f t="shared" si="65"/>
        <v>4</v>
      </c>
      <c r="CK9" s="200">
        <f t="shared" si="66"/>
        <v>54</v>
      </c>
      <c r="CL9" s="198">
        <f t="shared" si="67"/>
        <v>1</v>
      </c>
      <c r="CM9" s="198">
        <f t="shared" si="68"/>
        <v>0</v>
      </c>
      <c r="CN9" s="198">
        <f t="shared" si="69"/>
        <v>1</v>
      </c>
      <c r="CO9" s="198">
        <f t="shared" si="70"/>
        <v>0</v>
      </c>
    </row>
    <row r="10" spans="1:93" ht="25.5" x14ac:dyDescent="0.2">
      <c r="A10" s="160" t="s">
        <v>353</v>
      </c>
      <c r="B10" s="160" t="s">
        <v>362</v>
      </c>
      <c r="C10" s="171" t="s">
        <v>285</v>
      </c>
      <c r="D10" s="201">
        <v>54</v>
      </c>
      <c r="E10" s="6">
        <v>85</v>
      </c>
      <c r="F10" s="6">
        <v>36000</v>
      </c>
      <c r="G10" s="6">
        <v>95</v>
      </c>
      <c r="H10" s="6">
        <v>4</v>
      </c>
      <c r="I10" s="6" t="s">
        <v>338</v>
      </c>
      <c r="J10" s="180">
        <v>0.98</v>
      </c>
      <c r="K10" s="6" t="b">
        <v>1</v>
      </c>
      <c r="L10" s="6" t="s">
        <v>268</v>
      </c>
      <c r="M10" s="6">
        <v>46</v>
      </c>
      <c r="N10" s="6" t="s">
        <v>253</v>
      </c>
      <c r="O10" s="6" t="b">
        <v>0</v>
      </c>
      <c r="P10" s="6"/>
      <c r="V10" s="6" t="b">
        <v>1</v>
      </c>
      <c r="W10" s="6" t="b">
        <v>1</v>
      </c>
      <c r="X10" s="172">
        <f ca="1">SUMPRODUCT($AG10:$AR10,INDIRECT("'LF Lamp - WO017'!$B"&amp;TEXT(MATCH($C10,'LF Lamp - WO017'!$A$2:$A$14,0)+1,0)&amp;":$M"&amp;TEXT(MATCH($C10,'LF Lamp - WO017'!$A$2:$A$14,0)+1,0)))*(1+INDEX('LF Lamp - WO017'!$N$2:$N$5,MATCH('LF Lamp - Calculator'!$C10,'LF Lamp - WO017'!$A$2:$A$5,0)))*H10</f>
        <v>49.057709359605887</v>
      </c>
      <c r="Y10" s="172">
        <f>IF(I10="Lamp + Ballast",SUMPRODUCT($AS10:$AY10,'LF Lamp - WO017'!$B$7:$H$7),0)</f>
        <v>0</v>
      </c>
      <c r="Z10" s="172">
        <f ca="1">IF(L10&lt;&gt;"",SUMPRODUCT($AZ10:$CO10,INDIRECT("'LF Lamp - WO017'!$B"&amp;TEXT(MATCH($L10,'LF Lamp - WO017'!$A$2:$A$14,0)+1,0)&amp;":$AQ"&amp;TEXT(MATCH($L10,'LF Lamp - WO017'!$A$2:$A$14,0)+1,0)))*(1+INDEX('LF Lamp - WO017'!$AR$10:$AR$14,MATCH($L10,'LF Lamp - WO017'!$A$10:$A$14,0))),0)</f>
        <v>385.49932692307692</v>
      </c>
      <c r="AA10" s="172">
        <f t="shared" ca="1" si="30"/>
        <v>434.55703628268282</v>
      </c>
      <c r="AB10" s="181">
        <f>IF(I10="Lamp + Ballast",'LF Lamp - WO017'!$I$7,INDEX('LF Lamp - WO017'!$AS$10:$AS$14,MATCH('LF Lamp - Calculator'!$L10,'LF Lamp - WO017'!$A$10:$A$14,0)))</f>
        <v>2.1325159377406813</v>
      </c>
      <c r="AC10" s="173">
        <f>IF(I10="Lamp + Ballast",'LF Lamp - WO017'!$J$7,INDEX('LF Lamp - WO017'!$AT$10:$AT$14,MATCH('LF Lamp - Calculator'!$L10,'LF Lamp - WO017'!$A$10:$A$14,0)))</f>
        <v>67.26167983080542</v>
      </c>
      <c r="AD10" s="173">
        <f>IF(I10="Lamp + Ballast",'LF Lamp - WO017'!$K$7,INDEX('LF Lamp - WO017'!$AU$10:$AU$14,MATCH('LF Lamp - Calculator'!$L10,'LF Lamp - WO017'!$A$10:$A$14,0)))</f>
        <v>43.705339500000008</v>
      </c>
      <c r="AE10" s="172">
        <f t="shared" si="31"/>
        <v>187.14194373840348</v>
      </c>
      <c r="AF10" s="172">
        <f t="shared" ca="1" si="32"/>
        <v>621.6989800210863</v>
      </c>
      <c r="AG10" s="196">
        <v>1</v>
      </c>
      <c r="AH10" s="197">
        <f t="shared" si="33"/>
        <v>54</v>
      </c>
      <c r="AI10" s="197">
        <f t="shared" si="34"/>
        <v>85</v>
      </c>
      <c r="AJ10" s="197">
        <f t="shared" si="35"/>
        <v>36000</v>
      </c>
      <c r="AK10" s="197">
        <f t="shared" si="36"/>
        <v>95</v>
      </c>
      <c r="AL10" s="196">
        <v>1</v>
      </c>
      <c r="AM10" s="196">
        <v>1</v>
      </c>
      <c r="AN10" s="196">
        <v>1</v>
      </c>
      <c r="AO10" s="196">
        <v>1</v>
      </c>
      <c r="AP10" s="196">
        <v>1</v>
      </c>
      <c r="AQ10" s="196">
        <v>1</v>
      </c>
      <c r="AR10" s="196">
        <v>1</v>
      </c>
      <c r="AS10" s="196">
        <v>1</v>
      </c>
      <c r="AT10" s="197">
        <f t="shared" si="37"/>
        <v>216</v>
      </c>
      <c r="AU10" s="197">
        <f t="shared" si="38"/>
        <v>0.98</v>
      </c>
      <c r="AV10" s="196">
        <v>1</v>
      </c>
      <c r="AW10" s="196">
        <v>1</v>
      </c>
      <c r="AX10" s="196">
        <v>1</v>
      </c>
      <c r="AY10" s="196">
        <v>1</v>
      </c>
      <c r="AZ10" s="196">
        <v>1</v>
      </c>
      <c r="BA10" s="197">
        <f t="shared" si="39"/>
        <v>46</v>
      </c>
      <c r="BB10" s="197">
        <f t="shared" si="40"/>
        <v>216</v>
      </c>
      <c r="BC10" s="198">
        <f t="shared" si="41"/>
        <v>0</v>
      </c>
      <c r="BD10" s="198">
        <f t="shared" si="42"/>
        <v>1</v>
      </c>
      <c r="BE10" s="198">
        <f t="shared" si="43"/>
        <v>0</v>
      </c>
      <c r="BF10" s="198">
        <f t="shared" si="44"/>
        <v>1</v>
      </c>
      <c r="BG10" s="198">
        <f t="shared" si="45"/>
        <v>1</v>
      </c>
      <c r="BH10" s="198">
        <f t="shared" si="46"/>
        <v>0</v>
      </c>
      <c r="BI10" s="198">
        <f t="shared" si="47"/>
        <v>0</v>
      </c>
      <c r="BJ10" s="198">
        <f t="shared" si="48"/>
        <v>1</v>
      </c>
      <c r="BK10" s="199">
        <v>1</v>
      </c>
      <c r="BL10" s="199">
        <v>1</v>
      </c>
      <c r="BM10" s="199">
        <v>1</v>
      </c>
      <c r="BN10" s="198">
        <f t="shared" si="49"/>
        <v>0</v>
      </c>
      <c r="BO10" s="198">
        <f t="shared" si="50"/>
        <v>1</v>
      </c>
      <c r="BP10" s="198">
        <f t="shared" si="51"/>
        <v>0</v>
      </c>
      <c r="BQ10" s="198">
        <f t="shared" si="52"/>
        <v>1</v>
      </c>
      <c r="BR10" s="198">
        <f t="shared" si="53"/>
        <v>1</v>
      </c>
      <c r="BS10" s="198">
        <f t="shared" si="54"/>
        <v>0</v>
      </c>
      <c r="BT10" s="199">
        <v>8</v>
      </c>
      <c r="BU10" s="198">
        <f t="shared" si="55"/>
        <v>0</v>
      </c>
      <c r="BV10" s="198">
        <f t="shared" si="56"/>
        <v>1</v>
      </c>
      <c r="BW10" s="199">
        <v>1</v>
      </c>
      <c r="BX10" s="199">
        <v>1</v>
      </c>
      <c r="BY10" s="198">
        <f t="shared" si="57"/>
        <v>0</v>
      </c>
      <c r="BZ10" s="198">
        <f t="shared" si="58"/>
        <v>1</v>
      </c>
      <c r="CA10" s="198">
        <f t="shared" si="59"/>
        <v>0</v>
      </c>
      <c r="CB10" s="198">
        <f t="shared" si="60"/>
        <v>1</v>
      </c>
      <c r="CC10" s="198">
        <f t="shared" si="61"/>
        <v>0</v>
      </c>
      <c r="CD10" s="198">
        <f t="shared" si="62"/>
        <v>1</v>
      </c>
      <c r="CE10" s="198">
        <f t="shared" si="63"/>
        <v>1</v>
      </c>
      <c r="CF10" s="198">
        <f t="shared" si="64"/>
        <v>0</v>
      </c>
      <c r="CG10" s="199">
        <v>1</v>
      </c>
      <c r="CH10" s="199">
        <v>1</v>
      </c>
      <c r="CI10" s="199">
        <v>1</v>
      </c>
      <c r="CJ10" s="200">
        <f t="shared" si="65"/>
        <v>4</v>
      </c>
      <c r="CK10" s="200">
        <f t="shared" si="66"/>
        <v>54</v>
      </c>
      <c r="CL10" s="198">
        <f t="shared" si="67"/>
        <v>1</v>
      </c>
      <c r="CM10" s="198">
        <f t="shared" si="68"/>
        <v>0</v>
      </c>
      <c r="CN10" s="198">
        <f t="shared" si="69"/>
        <v>1</v>
      </c>
      <c r="CO10" s="198">
        <f t="shared" si="70"/>
        <v>0</v>
      </c>
    </row>
    <row r="11" spans="1:93" ht="25.5" x14ac:dyDescent="0.2">
      <c r="A11" s="160" t="s">
        <v>354</v>
      </c>
      <c r="B11" s="160" t="s">
        <v>363</v>
      </c>
      <c r="C11" s="171" t="s">
        <v>285</v>
      </c>
      <c r="D11" s="201">
        <v>54</v>
      </c>
      <c r="E11" s="6">
        <v>85</v>
      </c>
      <c r="F11" s="6">
        <v>36000</v>
      </c>
      <c r="G11" s="6">
        <v>95</v>
      </c>
      <c r="H11" s="6">
        <v>6</v>
      </c>
      <c r="I11" s="6" t="s">
        <v>338</v>
      </c>
      <c r="J11" s="180">
        <v>0.98</v>
      </c>
      <c r="K11" s="6" t="b">
        <v>1</v>
      </c>
      <c r="L11" s="6" t="s">
        <v>268</v>
      </c>
      <c r="M11" s="6">
        <v>46</v>
      </c>
      <c r="N11" s="6" t="s">
        <v>253</v>
      </c>
      <c r="O11" s="6" t="b">
        <v>0</v>
      </c>
      <c r="P11" s="6"/>
      <c r="V11" s="6" t="b">
        <v>1</v>
      </c>
      <c r="W11" s="6" t="b">
        <v>1</v>
      </c>
      <c r="X11" s="172">
        <f ca="1">SUMPRODUCT($AG11:$AR11,INDIRECT("'LF Lamp - WO017'!$B"&amp;TEXT(MATCH($C11,'LF Lamp - WO017'!$A$2:$A$14,0)+1,0)&amp;":$M"&amp;TEXT(MATCH($C11,'LF Lamp - WO017'!$A$2:$A$14,0)+1,0)))*(1+INDEX('LF Lamp - WO017'!$N$2:$N$5,MATCH('LF Lamp - Calculator'!$C11,'LF Lamp - WO017'!$A$2:$A$5,0)))*H11</f>
        <v>73.586564039408827</v>
      </c>
      <c r="Y11" s="172">
        <f>IF(I11="Lamp + Ballast",SUMPRODUCT($AS11:$AY11,'LF Lamp - WO017'!$B$7:$H$7),0)</f>
        <v>0</v>
      </c>
      <c r="Z11" s="172">
        <f ca="1">IF(L11&lt;&gt;"",SUMPRODUCT($AZ11:$CO11,INDIRECT("'LF Lamp - WO017'!$B"&amp;TEXT(MATCH($L11,'LF Lamp - WO017'!$A$2:$A$14,0)+1,0)&amp;":$AQ"&amp;TEXT(MATCH($L11,'LF Lamp - WO017'!$A$2:$A$14,0)+1,0)))*(1+INDEX('LF Lamp - WO017'!$AR$10:$AR$14,MATCH($L11,'LF Lamp - WO017'!$A$10:$A$14,0))),0)</f>
        <v>427.01932692307696</v>
      </c>
      <c r="AA11" s="172">
        <f t="shared" ca="1" si="30"/>
        <v>500.60589096248577</v>
      </c>
      <c r="AB11" s="181">
        <f>IF(I11="Lamp + Ballast",'LF Lamp - WO017'!$I$7,INDEX('LF Lamp - WO017'!$AS$10:$AS$14,MATCH('LF Lamp - Calculator'!$L11,'LF Lamp - WO017'!$A$10:$A$14,0)))</f>
        <v>2.1325159377406813</v>
      </c>
      <c r="AC11" s="173">
        <f>IF(I11="Lamp + Ballast",'LF Lamp - WO017'!$J$7,INDEX('LF Lamp - WO017'!$AT$10:$AT$14,MATCH('LF Lamp - Calculator'!$L11,'LF Lamp - WO017'!$A$10:$A$14,0)))</f>
        <v>67.26167983080542</v>
      </c>
      <c r="AD11" s="173">
        <f>IF(I11="Lamp + Ballast",'LF Lamp - WO017'!$K$7,INDEX('LF Lamp - WO017'!$AU$10:$AU$14,MATCH('LF Lamp - Calculator'!$L11,'LF Lamp - WO017'!$A$10:$A$14,0)))</f>
        <v>43.705339500000008</v>
      </c>
      <c r="AE11" s="172">
        <f t="shared" si="31"/>
        <v>187.14194373840348</v>
      </c>
      <c r="AF11" s="172">
        <f t="shared" ca="1" si="32"/>
        <v>687.74783470088926</v>
      </c>
      <c r="AG11" s="196">
        <v>1</v>
      </c>
      <c r="AH11" s="197">
        <f t="shared" si="33"/>
        <v>54</v>
      </c>
      <c r="AI11" s="197">
        <f t="shared" si="34"/>
        <v>85</v>
      </c>
      <c r="AJ11" s="197">
        <f t="shared" si="35"/>
        <v>36000</v>
      </c>
      <c r="AK11" s="197">
        <f t="shared" si="36"/>
        <v>95</v>
      </c>
      <c r="AL11" s="196">
        <v>1</v>
      </c>
      <c r="AM11" s="196">
        <v>1</v>
      </c>
      <c r="AN11" s="196">
        <v>1</v>
      </c>
      <c r="AO11" s="196">
        <v>1</v>
      </c>
      <c r="AP11" s="196">
        <v>1</v>
      </c>
      <c r="AQ11" s="196">
        <v>1</v>
      </c>
      <c r="AR11" s="196">
        <v>1</v>
      </c>
      <c r="AS11" s="196">
        <v>1</v>
      </c>
      <c r="AT11" s="197">
        <f t="shared" si="37"/>
        <v>324</v>
      </c>
      <c r="AU11" s="197">
        <f t="shared" si="38"/>
        <v>0.98</v>
      </c>
      <c r="AV11" s="196">
        <v>1</v>
      </c>
      <c r="AW11" s="196">
        <v>1</v>
      </c>
      <c r="AX11" s="196">
        <v>1</v>
      </c>
      <c r="AY11" s="196">
        <v>1</v>
      </c>
      <c r="AZ11" s="196">
        <v>1</v>
      </c>
      <c r="BA11" s="197">
        <f t="shared" si="39"/>
        <v>46</v>
      </c>
      <c r="BB11" s="197">
        <f t="shared" si="40"/>
        <v>324</v>
      </c>
      <c r="BC11" s="198">
        <f t="shared" si="41"/>
        <v>0</v>
      </c>
      <c r="BD11" s="198">
        <f t="shared" si="42"/>
        <v>1</v>
      </c>
      <c r="BE11" s="198">
        <f t="shared" si="43"/>
        <v>0</v>
      </c>
      <c r="BF11" s="198">
        <f t="shared" si="44"/>
        <v>1</v>
      </c>
      <c r="BG11" s="198">
        <f t="shared" si="45"/>
        <v>1</v>
      </c>
      <c r="BH11" s="198">
        <f t="shared" si="46"/>
        <v>0</v>
      </c>
      <c r="BI11" s="198">
        <f t="shared" si="47"/>
        <v>0</v>
      </c>
      <c r="BJ11" s="198">
        <f t="shared" si="48"/>
        <v>1</v>
      </c>
      <c r="BK11" s="199">
        <v>1</v>
      </c>
      <c r="BL11" s="199">
        <v>1</v>
      </c>
      <c r="BM11" s="199">
        <v>1</v>
      </c>
      <c r="BN11" s="198">
        <f t="shared" si="49"/>
        <v>0</v>
      </c>
      <c r="BO11" s="198">
        <f t="shared" si="50"/>
        <v>1</v>
      </c>
      <c r="BP11" s="198">
        <f t="shared" si="51"/>
        <v>0</v>
      </c>
      <c r="BQ11" s="198">
        <f t="shared" si="52"/>
        <v>1</v>
      </c>
      <c r="BR11" s="198">
        <f t="shared" si="53"/>
        <v>1</v>
      </c>
      <c r="BS11" s="198">
        <f t="shared" si="54"/>
        <v>0</v>
      </c>
      <c r="BT11" s="199">
        <v>9</v>
      </c>
      <c r="BU11" s="198">
        <f t="shared" si="55"/>
        <v>0</v>
      </c>
      <c r="BV11" s="198">
        <f t="shared" si="56"/>
        <v>1</v>
      </c>
      <c r="BW11" s="199">
        <v>1</v>
      </c>
      <c r="BX11" s="199">
        <v>1</v>
      </c>
      <c r="BY11" s="198">
        <f t="shared" si="57"/>
        <v>0</v>
      </c>
      <c r="BZ11" s="198">
        <f t="shared" si="58"/>
        <v>1</v>
      </c>
      <c r="CA11" s="198">
        <f t="shared" si="59"/>
        <v>0</v>
      </c>
      <c r="CB11" s="198">
        <f t="shared" si="60"/>
        <v>1</v>
      </c>
      <c r="CC11" s="198">
        <f t="shared" si="61"/>
        <v>0</v>
      </c>
      <c r="CD11" s="198">
        <f t="shared" si="62"/>
        <v>1</v>
      </c>
      <c r="CE11" s="198">
        <f t="shared" si="63"/>
        <v>1</v>
      </c>
      <c r="CF11" s="198">
        <f t="shared" si="64"/>
        <v>0</v>
      </c>
      <c r="CG11" s="199">
        <v>1</v>
      </c>
      <c r="CH11" s="199">
        <v>1</v>
      </c>
      <c r="CI11" s="199">
        <v>1</v>
      </c>
      <c r="CJ11" s="200">
        <f t="shared" si="65"/>
        <v>6</v>
      </c>
      <c r="CK11" s="200">
        <f t="shared" si="66"/>
        <v>54</v>
      </c>
      <c r="CL11" s="198">
        <f t="shared" si="67"/>
        <v>1</v>
      </c>
      <c r="CM11" s="198">
        <f t="shared" si="68"/>
        <v>0</v>
      </c>
      <c r="CN11" s="198">
        <f t="shared" si="69"/>
        <v>1</v>
      </c>
      <c r="CO11" s="198">
        <f t="shared" si="70"/>
        <v>0</v>
      </c>
    </row>
    <row r="12" spans="1:93" ht="25.5" x14ac:dyDescent="0.2">
      <c r="A12" s="160" t="s">
        <v>355</v>
      </c>
      <c r="B12" s="160" t="s">
        <v>364</v>
      </c>
      <c r="C12" s="171" t="s">
        <v>285</v>
      </c>
      <c r="D12" s="201">
        <v>54</v>
      </c>
      <c r="E12" s="6">
        <v>85</v>
      </c>
      <c r="F12" s="6">
        <v>36000</v>
      </c>
      <c r="G12" s="6">
        <v>95</v>
      </c>
      <c r="H12" s="6">
        <v>6</v>
      </c>
      <c r="I12" s="6" t="s">
        <v>338</v>
      </c>
      <c r="J12" s="180">
        <v>0.98</v>
      </c>
      <c r="K12" s="6" t="b">
        <v>1</v>
      </c>
      <c r="L12" s="6" t="s">
        <v>268</v>
      </c>
      <c r="M12" s="6">
        <v>46</v>
      </c>
      <c r="N12" s="6" t="s">
        <v>253</v>
      </c>
      <c r="O12" s="6" t="b">
        <v>0</v>
      </c>
      <c r="P12" s="6"/>
      <c r="V12" s="6" t="b">
        <v>1</v>
      </c>
      <c r="W12" s="6" t="b">
        <v>1</v>
      </c>
      <c r="X12" s="172">
        <f ca="1">SUMPRODUCT($AG12:$AR12,INDIRECT("'LF Lamp - WO017'!$B"&amp;TEXT(MATCH($C12,'LF Lamp - WO017'!$A$2:$A$14,0)+1,0)&amp;":$M"&amp;TEXT(MATCH($C12,'LF Lamp - WO017'!$A$2:$A$14,0)+1,0)))*(1+INDEX('LF Lamp - WO017'!$N$2:$N$5,MATCH('LF Lamp - Calculator'!$C12,'LF Lamp - WO017'!$A$2:$A$5,0)))*H12</f>
        <v>73.586564039408827</v>
      </c>
      <c r="Y12" s="172">
        <f>IF(I12="Lamp + Ballast",SUMPRODUCT($AS12:$AY12,'LF Lamp - WO017'!$B$7:$H$7),0)</f>
        <v>0</v>
      </c>
      <c r="Z12" s="172">
        <f ca="1">IF(L12&lt;&gt;"",SUMPRODUCT($AZ12:$CO12,INDIRECT("'LF Lamp - WO017'!$B"&amp;TEXT(MATCH($L12,'LF Lamp - WO017'!$A$2:$A$14,0)+1,0)&amp;":$AQ"&amp;TEXT(MATCH($L12,'LF Lamp - WO017'!$A$2:$A$14,0)+1,0)))*(1+INDEX('LF Lamp - WO017'!$AR$10:$AR$14,MATCH($L12,'LF Lamp - WO017'!$A$10:$A$14,0))),0)</f>
        <v>427.01932692307696</v>
      </c>
      <c r="AA12" s="172">
        <f t="shared" ca="1" si="30"/>
        <v>500.60589096248577</v>
      </c>
      <c r="AB12" s="181">
        <f>IF(I12="Lamp + Ballast",'LF Lamp - WO017'!$I$7,INDEX('LF Lamp - WO017'!$AS$10:$AS$14,MATCH('LF Lamp - Calculator'!$L12,'LF Lamp - WO017'!$A$10:$A$14,0)))</f>
        <v>2.1325159377406813</v>
      </c>
      <c r="AC12" s="173">
        <f>IF(I12="Lamp + Ballast",'LF Lamp - WO017'!$J$7,INDEX('LF Lamp - WO017'!$AT$10:$AT$14,MATCH('LF Lamp - Calculator'!$L12,'LF Lamp - WO017'!$A$10:$A$14,0)))</f>
        <v>67.26167983080542</v>
      </c>
      <c r="AD12" s="173">
        <f>IF(I12="Lamp + Ballast",'LF Lamp - WO017'!$K$7,INDEX('LF Lamp - WO017'!$AU$10:$AU$14,MATCH('LF Lamp - Calculator'!$L12,'LF Lamp - WO017'!$A$10:$A$14,0)))</f>
        <v>43.705339500000008</v>
      </c>
      <c r="AE12" s="172">
        <f t="shared" si="31"/>
        <v>187.14194373840348</v>
      </c>
      <c r="AF12" s="172">
        <f t="shared" ca="1" si="32"/>
        <v>687.74783470088926</v>
      </c>
      <c r="AG12" s="196">
        <v>1</v>
      </c>
      <c r="AH12" s="197">
        <f t="shared" si="33"/>
        <v>54</v>
      </c>
      <c r="AI12" s="197">
        <f t="shared" si="34"/>
        <v>85</v>
      </c>
      <c r="AJ12" s="197">
        <f t="shared" si="35"/>
        <v>36000</v>
      </c>
      <c r="AK12" s="197">
        <f t="shared" si="36"/>
        <v>95</v>
      </c>
      <c r="AL12" s="196">
        <v>1</v>
      </c>
      <c r="AM12" s="196">
        <v>1</v>
      </c>
      <c r="AN12" s="196">
        <v>1</v>
      </c>
      <c r="AO12" s="196">
        <v>1</v>
      </c>
      <c r="AP12" s="196">
        <v>1</v>
      </c>
      <c r="AQ12" s="196">
        <v>1</v>
      </c>
      <c r="AR12" s="196">
        <v>1</v>
      </c>
      <c r="AS12" s="196">
        <v>1</v>
      </c>
      <c r="AT12" s="197">
        <f t="shared" si="37"/>
        <v>324</v>
      </c>
      <c r="AU12" s="197">
        <f t="shared" si="38"/>
        <v>0.98</v>
      </c>
      <c r="AV12" s="196">
        <v>1</v>
      </c>
      <c r="AW12" s="196">
        <v>1</v>
      </c>
      <c r="AX12" s="196">
        <v>1</v>
      </c>
      <c r="AY12" s="196">
        <v>1</v>
      </c>
      <c r="AZ12" s="196">
        <v>1</v>
      </c>
      <c r="BA12" s="197">
        <f t="shared" si="39"/>
        <v>46</v>
      </c>
      <c r="BB12" s="197">
        <f t="shared" si="40"/>
        <v>324</v>
      </c>
      <c r="BC12" s="198">
        <f t="shared" si="41"/>
        <v>0</v>
      </c>
      <c r="BD12" s="198">
        <f t="shared" si="42"/>
        <v>1</v>
      </c>
      <c r="BE12" s="198">
        <f t="shared" si="43"/>
        <v>0</v>
      </c>
      <c r="BF12" s="198">
        <f t="shared" si="44"/>
        <v>1</v>
      </c>
      <c r="BG12" s="198">
        <f t="shared" si="45"/>
        <v>1</v>
      </c>
      <c r="BH12" s="198">
        <f t="shared" si="46"/>
        <v>0</v>
      </c>
      <c r="BI12" s="198">
        <f t="shared" si="47"/>
        <v>0</v>
      </c>
      <c r="BJ12" s="198">
        <f t="shared" si="48"/>
        <v>1</v>
      </c>
      <c r="BK12" s="199">
        <v>1</v>
      </c>
      <c r="BL12" s="199">
        <v>1</v>
      </c>
      <c r="BM12" s="199">
        <v>1</v>
      </c>
      <c r="BN12" s="198">
        <f t="shared" si="49"/>
        <v>0</v>
      </c>
      <c r="BO12" s="198">
        <f t="shared" si="50"/>
        <v>1</v>
      </c>
      <c r="BP12" s="198">
        <f t="shared" si="51"/>
        <v>0</v>
      </c>
      <c r="BQ12" s="198">
        <f t="shared" si="52"/>
        <v>1</v>
      </c>
      <c r="BR12" s="198">
        <f t="shared" si="53"/>
        <v>1</v>
      </c>
      <c r="BS12" s="198">
        <f t="shared" si="54"/>
        <v>0</v>
      </c>
      <c r="BT12" s="199">
        <v>10</v>
      </c>
      <c r="BU12" s="198">
        <f t="shared" si="55"/>
        <v>0</v>
      </c>
      <c r="BV12" s="198">
        <f t="shared" si="56"/>
        <v>1</v>
      </c>
      <c r="BW12" s="199">
        <v>1</v>
      </c>
      <c r="BX12" s="199">
        <v>1</v>
      </c>
      <c r="BY12" s="198">
        <f t="shared" si="57"/>
        <v>0</v>
      </c>
      <c r="BZ12" s="198">
        <f t="shared" si="58"/>
        <v>1</v>
      </c>
      <c r="CA12" s="198">
        <f t="shared" si="59"/>
        <v>0</v>
      </c>
      <c r="CB12" s="198">
        <f t="shared" si="60"/>
        <v>1</v>
      </c>
      <c r="CC12" s="198">
        <f t="shared" si="61"/>
        <v>0</v>
      </c>
      <c r="CD12" s="198">
        <f t="shared" si="62"/>
        <v>1</v>
      </c>
      <c r="CE12" s="198">
        <f t="shared" si="63"/>
        <v>1</v>
      </c>
      <c r="CF12" s="198">
        <f t="shared" si="64"/>
        <v>0</v>
      </c>
      <c r="CG12" s="199">
        <v>1</v>
      </c>
      <c r="CH12" s="199">
        <v>1</v>
      </c>
      <c r="CI12" s="199">
        <v>1</v>
      </c>
      <c r="CJ12" s="200">
        <f t="shared" si="65"/>
        <v>6</v>
      </c>
      <c r="CK12" s="200">
        <f t="shared" si="66"/>
        <v>54</v>
      </c>
      <c r="CL12" s="198">
        <f t="shared" si="67"/>
        <v>1</v>
      </c>
      <c r="CM12" s="198">
        <f t="shared" si="68"/>
        <v>0</v>
      </c>
      <c r="CN12" s="198">
        <f t="shared" si="69"/>
        <v>1</v>
      </c>
      <c r="CO12" s="198">
        <f t="shared" si="70"/>
        <v>0</v>
      </c>
    </row>
  </sheetData>
  <pageMargins left="0.7" right="0.7" top="0.75" bottom="0.75" header="0.3" footer="0.3"/>
  <pageSetup orientation="portrait" verticalDpi="0" r:id="rId1"/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allowBlank="1" showInputMessage="1" showErrorMessage="1">
          <x14:formula1>
            <xm:f>'LF Lamp - WO017'!$A$2:$A$5</xm:f>
          </x14:formula1>
          <xm:sqref>C3:C12</xm:sqref>
        </x14:dataValidation>
        <x14:dataValidation type="list" allowBlank="1" showInputMessage="1" showErrorMessage="1">
          <x14:formula1>
            <xm:f>'LF Lamp - WO017'!$N$19:$N$20</xm:f>
          </x14:formula1>
          <xm:sqref>K3:K12 O3:P12 Q3:U9 V3:W12</xm:sqref>
        </x14:dataValidation>
        <x14:dataValidation type="list" allowBlank="1" showInputMessage="1" showErrorMessage="1">
          <x14:formula1>
            <xm:f>'LF Lamp - WO017'!$P$19:$P$20</xm:f>
          </x14:formula1>
          <xm:sqref>N3:N12</xm:sqref>
        </x14:dataValidation>
        <x14:dataValidation type="list" allowBlank="1" showInputMessage="1" showErrorMessage="1">
          <x14:formula1>
            <xm:f>'LF Lamp - WO017'!$Q$19:$Q$20</xm:f>
          </x14:formula1>
          <xm:sqref>I3:I12</xm:sqref>
        </x14:dataValidation>
        <x14:dataValidation type="list" allowBlank="1" showInputMessage="1" showErrorMessage="1">
          <x14:formula1>
            <xm:f>'LF Lamp - WO017'!$A$10:$A$14</xm:f>
          </x14:formula1>
          <xm:sqref>L3:L12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U200"/>
  <sheetViews>
    <sheetView zoomScale="70" zoomScaleNormal="70" workbookViewId="0">
      <selection activeCell="E5" sqref="E5"/>
    </sheetView>
  </sheetViews>
  <sheetFormatPr defaultRowHeight="14.4" x14ac:dyDescent="0.3"/>
  <cols>
    <col min="1" max="1" width="63.109375" customWidth="1"/>
    <col min="2" max="2" width="32.5546875" customWidth="1"/>
    <col min="3" max="7" width="17.6640625" customWidth="1"/>
    <col min="8" max="8" width="29" customWidth="1"/>
    <col min="9" max="9" width="13.5546875" customWidth="1"/>
  </cols>
  <sheetData>
    <row r="1" spans="1:47" ht="15" x14ac:dyDescent="0.25">
      <c r="A1" s="55" t="s">
        <v>138</v>
      </c>
      <c r="B1" s="55" t="s">
        <v>24</v>
      </c>
      <c r="C1" s="55" t="s">
        <v>27</v>
      </c>
      <c r="D1" s="55" t="s">
        <v>154</v>
      </c>
      <c r="E1" t="s">
        <v>104</v>
      </c>
      <c r="F1" t="s">
        <v>206</v>
      </c>
      <c r="G1" t="s">
        <v>208</v>
      </c>
      <c r="H1" t="s">
        <v>210</v>
      </c>
      <c r="I1" t="s">
        <v>211</v>
      </c>
      <c r="J1" t="s">
        <v>215</v>
      </c>
      <c r="K1" t="s">
        <v>222</v>
      </c>
      <c r="L1" t="s">
        <v>223</v>
      </c>
      <c r="M1" t="s">
        <v>224</v>
      </c>
      <c r="N1" t="s">
        <v>143</v>
      </c>
    </row>
    <row r="2" spans="1:47" ht="15" x14ac:dyDescent="0.25">
      <c r="A2" t="s">
        <v>282</v>
      </c>
      <c r="B2">
        <f>G25</f>
        <v>6.99</v>
      </c>
      <c r="C2">
        <f t="shared" ref="C2:M5" si="0">IFERROR(INDEX($E$18:$E$200,MATCH($A2&amp;C$1,$I$18:$I$200,0)),"")</f>
        <v>-0.38100000000000001</v>
      </c>
      <c r="D2">
        <f t="shared" si="0"/>
        <v>0.15</v>
      </c>
      <c r="E2">
        <f t="shared" si="0"/>
        <v>4.0000000000000003E-5</v>
      </c>
      <c r="F2">
        <f t="shared" si="0"/>
        <v>-0.05</v>
      </c>
      <c r="G2">
        <f t="shared" si="0"/>
        <v>-0.15272727272727274</v>
      </c>
      <c r="H2">
        <f t="shared" si="0"/>
        <v>0.3853012048192771</v>
      </c>
      <c r="I2">
        <f t="shared" si="0"/>
        <v>0.59012048192771083</v>
      </c>
      <c r="J2" t="str">
        <f t="shared" si="0"/>
        <v/>
      </c>
      <c r="K2" t="str">
        <f t="shared" si="0"/>
        <v/>
      </c>
      <c r="L2" t="str">
        <f t="shared" si="0"/>
        <v/>
      </c>
      <c r="M2" t="str">
        <f t="shared" si="0"/>
        <v/>
      </c>
      <c r="N2" s="158">
        <f>G27</f>
        <v>0.25</v>
      </c>
    </row>
    <row r="3" spans="1:47" ht="15" x14ac:dyDescent="0.25">
      <c r="A3" t="s">
        <v>283</v>
      </c>
      <c r="B3">
        <f>G36</f>
        <v>-5.46</v>
      </c>
      <c r="C3">
        <f t="shared" si="0"/>
        <v>-0.122</v>
      </c>
      <c r="D3">
        <f t="shared" si="0"/>
        <v>0.02</v>
      </c>
      <c r="E3" t="str">
        <f t="shared" si="0"/>
        <v/>
      </c>
      <c r="F3">
        <f t="shared" si="0"/>
        <v>0.13</v>
      </c>
      <c r="G3">
        <f t="shared" si="0"/>
        <v>0</v>
      </c>
      <c r="H3" t="str">
        <f t="shared" si="0"/>
        <v/>
      </c>
      <c r="I3" t="str">
        <f t="shared" si="0"/>
        <v/>
      </c>
      <c r="J3">
        <f t="shared" si="0"/>
        <v>0.53409638554216865</v>
      </c>
      <c r="K3" t="str">
        <f t="shared" si="0"/>
        <v/>
      </c>
      <c r="L3" t="str">
        <f t="shared" si="0"/>
        <v/>
      </c>
      <c r="M3" t="str">
        <f t="shared" si="0"/>
        <v/>
      </c>
      <c r="N3" s="158">
        <f>G38</f>
        <v>0.25</v>
      </c>
    </row>
    <row r="4" spans="1:47" ht="15" x14ac:dyDescent="0.25">
      <c r="A4" t="s">
        <v>284</v>
      </c>
      <c r="B4">
        <f>G47</f>
        <v>-222.56</v>
      </c>
      <c r="C4">
        <f t="shared" si="0"/>
        <v>0.59</v>
      </c>
      <c r="D4">
        <f t="shared" si="0"/>
        <v>-0.3</v>
      </c>
      <c r="E4">
        <f t="shared" si="0"/>
        <v>-2.0000000000000001E-4</v>
      </c>
      <c r="F4">
        <f t="shared" si="0"/>
        <v>2.36</v>
      </c>
      <c r="G4" t="str">
        <f t="shared" si="0"/>
        <v/>
      </c>
      <c r="H4">
        <f t="shared" si="0"/>
        <v>5.3605633802816897</v>
      </c>
      <c r="I4" t="str">
        <f t="shared" si="0"/>
        <v/>
      </c>
      <c r="J4" t="str">
        <f t="shared" si="0"/>
        <v/>
      </c>
      <c r="K4" t="str">
        <f t="shared" si="0"/>
        <v/>
      </c>
      <c r="L4" t="str">
        <f t="shared" si="0"/>
        <v/>
      </c>
      <c r="M4" t="str">
        <f t="shared" si="0"/>
        <v/>
      </c>
      <c r="N4" s="158">
        <f>G49</f>
        <v>0.25</v>
      </c>
    </row>
    <row r="5" spans="1:47" ht="15" x14ac:dyDescent="0.25">
      <c r="A5" t="s">
        <v>285</v>
      </c>
      <c r="B5">
        <f>G58</f>
        <v>-54.09</v>
      </c>
      <c r="C5">
        <f t="shared" si="0"/>
        <v>1.2999999999999999E-2</v>
      </c>
      <c r="D5">
        <f t="shared" si="0"/>
        <v>0.65100000000000002</v>
      </c>
      <c r="E5" t="str">
        <f t="shared" si="0"/>
        <v/>
      </c>
      <c r="F5">
        <f t="shared" si="0"/>
        <v>6.7000000000000004E-2</v>
      </c>
      <c r="G5">
        <f t="shared" si="0"/>
        <v>-6.1182266009852215E-2</v>
      </c>
      <c r="H5">
        <f t="shared" si="0"/>
        <v>0.18837438423645322</v>
      </c>
      <c r="I5">
        <f t="shared" si="0"/>
        <v>1.9507389162561577</v>
      </c>
      <c r="J5">
        <f t="shared" si="0"/>
        <v>0.17261083743842362</v>
      </c>
      <c r="K5">
        <f t="shared" si="0"/>
        <v>-0.36270000000000002</v>
      </c>
      <c r="L5">
        <f t="shared" si="0"/>
        <v>-4.1799999999999997E-2</v>
      </c>
      <c r="M5">
        <f t="shared" si="0"/>
        <v>-0.34649999999999997</v>
      </c>
      <c r="N5" s="158">
        <f>G60</f>
        <v>0.25</v>
      </c>
    </row>
    <row r="6" spans="1:47" ht="15" x14ac:dyDescent="0.25">
      <c r="B6" s="55" t="s">
        <v>24</v>
      </c>
      <c r="C6" t="s">
        <v>226</v>
      </c>
      <c r="D6" t="s">
        <v>228</v>
      </c>
      <c r="E6" t="s">
        <v>32</v>
      </c>
      <c r="F6" t="s">
        <v>230</v>
      </c>
      <c r="G6" t="s">
        <v>233</v>
      </c>
      <c r="H6" t="s">
        <v>234</v>
      </c>
      <c r="I6" t="s">
        <v>141</v>
      </c>
      <c r="J6" t="s">
        <v>142</v>
      </c>
      <c r="K6" t="s">
        <v>201</v>
      </c>
      <c r="L6" t="s">
        <v>295</v>
      </c>
      <c r="M6" t="s">
        <v>296</v>
      </c>
      <c r="N6" t="s">
        <v>297</v>
      </c>
    </row>
    <row r="7" spans="1:47" ht="15" x14ac:dyDescent="0.25">
      <c r="A7" t="s">
        <v>286</v>
      </c>
      <c r="B7">
        <f>G76</f>
        <v>21.92</v>
      </c>
      <c r="C7">
        <f t="shared" ref="C7:H8" si="1">IFERROR(INDEX($E$18:$E$200,MATCH($A7&amp;C$6,$I$18:$I$200,0)),"")</f>
        <v>0.161</v>
      </c>
      <c r="D7">
        <f t="shared" si="1"/>
        <v>-11.27</v>
      </c>
      <c r="E7">
        <f t="shared" si="1"/>
        <v>9.6524999999999999</v>
      </c>
      <c r="F7">
        <f t="shared" si="1"/>
        <v>17.190000000000001</v>
      </c>
      <c r="G7" t="str">
        <f t="shared" si="1"/>
        <v/>
      </c>
      <c r="H7" t="str">
        <f t="shared" si="1"/>
        <v/>
      </c>
      <c r="I7">
        <v>2.3858152712486929</v>
      </c>
      <c r="J7">
        <v>72.551789358578489</v>
      </c>
      <c r="K7">
        <v>0</v>
      </c>
      <c r="L7">
        <v>2.1325159377406813</v>
      </c>
      <c r="M7">
        <v>67.26167983080542</v>
      </c>
      <c r="N7">
        <v>43.705339500000008</v>
      </c>
    </row>
    <row r="8" spans="1:47" ht="15" x14ac:dyDescent="0.25">
      <c r="A8" t="s">
        <v>287</v>
      </c>
      <c r="B8">
        <f>G87</f>
        <v>14.69</v>
      </c>
      <c r="C8">
        <f t="shared" si="1"/>
        <v>0.4</v>
      </c>
      <c r="D8" t="str">
        <f t="shared" si="1"/>
        <v>N/A</v>
      </c>
      <c r="E8">
        <f t="shared" si="1"/>
        <v>1.6031250000000001</v>
      </c>
      <c r="F8" t="str">
        <f t="shared" si="1"/>
        <v/>
      </c>
      <c r="G8">
        <f t="shared" si="1"/>
        <v>-6.6601041666666667</v>
      </c>
      <c r="H8">
        <f t="shared" si="1"/>
        <v>7.9276530612244898</v>
      </c>
    </row>
    <row r="9" spans="1:47" ht="15" x14ac:dyDescent="0.25">
      <c r="B9" s="55" t="s">
        <v>24</v>
      </c>
      <c r="C9" t="s">
        <v>236</v>
      </c>
      <c r="D9" t="s">
        <v>238</v>
      </c>
      <c r="E9" t="s">
        <v>301</v>
      </c>
      <c r="F9" t="s">
        <v>302</v>
      </c>
      <c r="G9" t="s">
        <v>303</v>
      </c>
      <c r="H9" t="s">
        <v>304</v>
      </c>
      <c r="I9" t="s">
        <v>305</v>
      </c>
      <c r="J9" t="s">
        <v>306</v>
      </c>
      <c r="K9" t="s">
        <v>307</v>
      </c>
      <c r="L9" t="s">
        <v>308</v>
      </c>
      <c r="M9" t="s">
        <v>246</v>
      </c>
      <c r="N9" t="s">
        <v>247</v>
      </c>
      <c r="O9" t="s">
        <v>248</v>
      </c>
      <c r="P9" t="s">
        <v>309</v>
      </c>
      <c r="Q9" t="s">
        <v>310</v>
      </c>
      <c r="R9" t="s">
        <v>311</v>
      </c>
      <c r="S9" t="s">
        <v>312</v>
      </c>
      <c r="T9" t="s">
        <v>313</v>
      </c>
      <c r="U9" t="s">
        <v>314</v>
      </c>
      <c r="V9" t="s">
        <v>255</v>
      </c>
      <c r="W9" t="s">
        <v>315</v>
      </c>
      <c r="X9" t="s">
        <v>316</v>
      </c>
      <c r="Y9" t="s">
        <v>258</v>
      </c>
      <c r="Z9" t="s">
        <v>259</v>
      </c>
      <c r="AA9" t="s">
        <v>317</v>
      </c>
      <c r="AB9" t="s">
        <v>318</v>
      </c>
      <c r="AC9" t="s">
        <v>319</v>
      </c>
      <c r="AD9" t="s">
        <v>320</v>
      </c>
      <c r="AE9" t="s">
        <v>321</v>
      </c>
      <c r="AF9" t="s">
        <v>322</v>
      </c>
      <c r="AG9" t="s">
        <v>323</v>
      </c>
      <c r="AH9" t="s">
        <v>324</v>
      </c>
      <c r="AI9" t="s">
        <v>265</v>
      </c>
      <c r="AJ9" t="s">
        <v>266</v>
      </c>
      <c r="AK9" t="s">
        <v>267</v>
      </c>
      <c r="AL9" t="s">
        <v>269</v>
      </c>
      <c r="AM9" t="s">
        <v>271</v>
      </c>
      <c r="AN9" t="s">
        <v>325</v>
      </c>
      <c r="AO9" t="s">
        <v>326</v>
      </c>
      <c r="AP9" t="s">
        <v>327</v>
      </c>
      <c r="AQ9" t="s">
        <v>328</v>
      </c>
      <c r="AR9" t="s">
        <v>143</v>
      </c>
      <c r="AS9" t="s">
        <v>141</v>
      </c>
      <c r="AT9" t="s">
        <v>142</v>
      </c>
      <c r="AU9" t="s">
        <v>201</v>
      </c>
    </row>
    <row r="10" spans="1:47" ht="15" x14ac:dyDescent="0.25">
      <c r="A10" t="s">
        <v>288</v>
      </c>
      <c r="B10" s="153">
        <f>G98</f>
        <v>25.315000000000001</v>
      </c>
      <c r="C10">
        <f t="shared" ref="C10:L14" si="2">IFERROR(INDEX($E$18:$E$200,MATCH($A10&amp;C$9,$I$18:$I$200,0)),"")</f>
        <v>1.62</v>
      </c>
      <c r="D10">
        <f t="shared" si="2"/>
        <v>-0.17100000000000001</v>
      </c>
      <c r="E10">
        <f t="shared" si="2"/>
        <v>33.167999999999999</v>
      </c>
      <c r="F10">
        <f t="shared" si="2"/>
        <v>0</v>
      </c>
      <c r="G10">
        <f t="shared" si="2"/>
        <v>117.697</v>
      </c>
      <c r="H10">
        <f t="shared" si="2"/>
        <v>0</v>
      </c>
      <c r="I10">
        <f t="shared" si="2"/>
        <v>38.317</v>
      </c>
      <c r="J10">
        <f t="shared" si="2"/>
        <v>0</v>
      </c>
      <c r="K10">
        <f t="shared" si="2"/>
        <v>123.247</v>
      </c>
      <c r="L10">
        <f t="shared" si="2"/>
        <v>0</v>
      </c>
      <c r="M10">
        <f t="shared" ref="M10:V14" si="3">IFERROR(INDEX($E$18:$E$200,MATCH($A10&amp;M$9,$I$18:$I$200,0)),"")</f>
        <v>9.1979496402877707</v>
      </c>
      <c r="N10">
        <f t="shared" si="3"/>
        <v>17.828417266187049</v>
      </c>
      <c r="O10">
        <f t="shared" si="3"/>
        <v>5.6273741007194245</v>
      </c>
      <c r="P10" t="str">
        <f t="shared" si="3"/>
        <v/>
      </c>
      <c r="Q10" t="str">
        <f t="shared" si="3"/>
        <v/>
      </c>
      <c r="R10" t="str">
        <f t="shared" si="3"/>
        <v/>
      </c>
      <c r="S10" t="str">
        <f t="shared" si="3"/>
        <v/>
      </c>
      <c r="T10" t="str">
        <f t="shared" si="3"/>
        <v/>
      </c>
      <c r="U10" t="str">
        <f t="shared" si="3"/>
        <v/>
      </c>
      <c r="V10" t="str">
        <f t="shared" si="3"/>
        <v/>
      </c>
      <c r="W10" t="str">
        <f t="shared" ref="W10:AF14" si="4">IFERROR(INDEX($E$18:$E$200,MATCH($A10&amp;W$9,$I$18:$I$200,0)),"")</f>
        <v/>
      </c>
      <c r="X10" t="str">
        <f t="shared" si="4"/>
        <v/>
      </c>
      <c r="Y10" t="str">
        <f t="shared" si="4"/>
        <v/>
      </c>
      <c r="Z10" t="str">
        <f t="shared" si="4"/>
        <v/>
      </c>
      <c r="AA10" t="str">
        <f t="shared" si="4"/>
        <v/>
      </c>
      <c r="AB10" t="str">
        <f t="shared" si="4"/>
        <v/>
      </c>
      <c r="AC10" t="str">
        <f t="shared" si="4"/>
        <v/>
      </c>
      <c r="AD10" t="str">
        <f t="shared" si="4"/>
        <v/>
      </c>
      <c r="AE10" t="str">
        <f t="shared" si="4"/>
        <v/>
      </c>
      <c r="AF10" t="str">
        <f t="shared" si="4"/>
        <v/>
      </c>
      <c r="AG10" t="str">
        <f t="shared" ref="AG10:AQ14" si="5">IFERROR(INDEX($E$18:$E$200,MATCH($A10&amp;AG$9,$I$18:$I$200,0)),"")</f>
        <v/>
      </c>
      <c r="AH10" t="str">
        <f t="shared" si="5"/>
        <v/>
      </c>
      <c r="AI10" t="str">
        <f t="shared" si="5"/>
        <v/>
      </c>
      <c r="AJ10" t="str">
        <f t="shared" si="5"/>
        <v/>
      </c>
      <c r="AK10" t="str">
        <f t="shared" si="5"/>
        <v/>
      </c>
      <c r="AL10" t="str">
        <f t="shared" si="5"/>
        <v/>
      </c>
      <c r="AM10" t="str">
        <f t="shared" si="5"/>
        <v/>
      </c>
      <c r="AN10" t="str">
        <f t="shared" si="5"/>
        <v/>
      </c>
      <c r="AO10" t="str">
        <f t="shared" si="5"/>
        <v/>
      </c>
      <c r="AP10" t="str">
        <f t="shared" si="5"/>
        <v/>
      </c>
      <c r="AQ10" t="str">
        <f t="shared" si="5"/>
        <v/>
      </c>
      <c r="AR10" s="158">
        <f>G100</f>
        <v>0.25</v>
      </c>
      <c r="AS10">
        <v>1.9461650587989381</v>
      </c>
      <c r="AT10">
        <v>74.914673663408365</v>
      </c>
      <c r="AU10">
        <v>16.017399666666666</v>
      </c>
    </row>
    <row r="11" spans="1:47" ht="15" x14ac:dyDescent="0.25">
      <c r="A11" t="s">
        <v>289</v>
      </c>
      <c r="B11" s="153">
        <f>G116</f>
        <v>160.30000000000001</v>
      </c>
      <c r="C11" t="str">
        <f t="shared" si="2"/>
        <v/>
      </c>
      <c r="D11">
        <f t="shared" si="2"/>
        <v>0.374</v>
      </c>
      <c r="E11" t="str">
        <f t="shared" si="2"/>
        <v/>
      </c>
      <c r="F11" t="str">
        <f t="shared" si="2"/>
        <v/>
      </c>
      <c r="G11" t="str">
        <f t="shared" si="2"/>
        <v/>
      </c>
      <c r="H11" t="str">
        <f t="shared" si="2"/>
        <v/>
      </c>
      <c r="I11" t="str">
        <f t="shared" si="2"/>
        <v/>
      </c>
      <c r="J11" t="str">
        <f t="shared" si="2"/>
        <v/>
      </c>
      <c r="K11">
        <f t="shared" si="2"/>
        <v>120.989</v>
      </c>
      <c r="L11">
        <f t="shared" si="2"/>
        <v>0</v>
      </c>
      <c r="M11">
        <f t="shared" si="3"/>
        <v>5.4131022727272722</v>
      </c>
      <c r="N11">
        <f t="shared" si="3"/>
        <v>11.111238636363638</v>
      </c>
      <c r="O11" t="str">
        <f t="shared" si="3"/>
        <v/>
      </c>
      <c r="P11">
        <f t="shared" si="3"/>
        <v>-81.233000000000004</v>
      </c>
      <c r="Q11">
        <f t="shared" si="3"/>
        <v>0</v>
      </c>
      <c r="R11">
        <f t="shared" si="3"/>
        <v>-37.993000000000002</v>
      </c>
      <c r="S11">
        <f t="shared" si="3"/>
        <v>0</v>
      </c>
      <c r="T11">
        <f t="shared" si="3"/>
        <v>62.216999999999999</v>
      </c>
      <c r="U11">
        <f t="shared" si="3"/>
        <v>0</v>
      </c>
      <c r="V11">
        <f t="shared" si="3"/>
        <v>1.8493977272727271</v>
      </c>
      <c r="W11">
        <f t="shared" si="4"/>
        <v>151.69300000000001</v>
      </c>
      <c r="X11">
        <f t="shared" si="4"/>
        <v>0</v>
      </c>
      <c r="Y11" t="str">
        <f t="shared" si="4"/>
        <v/>
      </c>
      <c r="Z11" t="str">
        <f t="shared" si="4"/>
        <v/>
      </c>
      <c r="AA11" t="str">
        <f t="shared" si="4"/>
        <v/>
      </c>
      <c r="AB11" t="str">
        <f t="shared" si="4"/>
        <v/>
      </c>
      <c r="AC11" t="str">
        <f t="shared" si="4"/>
        <v/>
      </c>
      <c r="AD11" t="str">
        <f t="shared" si="4"/>
        <v/>
      </c>
      <c r="AE11" t="str">
        <f t="shared" si="4"/>
        <v/>
      </c>
      <c r="AF11" t="str">
        <f t="shared" si="4"/>
        <v/>
      </c>
      <c r="AG11" t="str">
        <f t="shared" si="5"/>
        <v/>
      </c>
      <c r="AH11" t="str">
        <f t="shared" si="5"/>
        <v/>
      </c>
      <c r="AI11" t="str">
        <f t="shared" si="5"/>
        <v/>
      </c>
      <c r="AJ11" t="str">
        <f t="shared" si="5"/>
        <v/>
      </c>
      <c r="AK11" t="str">
        <f t="shared" si="5"/>
        <v/>
      </c>
      <c r="AL11" t="str">
        <f t="shared" si="5"/>
        <v/>
      </c>
      <c r="AM11" t="str">
        <f t="shared" si="5"/>
        <v/>
      </c>
      <c r="AN11" t="str">
        <f t="shared" si="5"/>
        <v/>
      </c>
      <c r="AO11" t="str">
        <f t="shared" si="5"/>
        <v/>
      </c>
      <c r="AP11" t="str">
        <f t="shared" si="5"/>
        <v/>
      </c>
      <c r="AQ11" t="str">
        <f t="shared" si="5"/>
        <v/>
      </c>
      <c r="AR11" s="158">
        <f>G118</f>
        <v>0.25</v>
      </c>
      <c r="AS11">
        <v>1.9461650587989381</v>
      </c>
      <c r="AT11">
        <v>74.914673663408365</v>
      </c>
      <c r="AU11">
        <v>16.017399666666666</v>
      </c>
    </row>
    <row r="12" spans="1:47" ht="15" x14ac:dyDescent="0.25">
      <c r="A12" t="s">
        <v>290</v>
      </c>
      <c r="B12">
        <f>G134</f>
        <v>19.72</v>
      </c>
      <c r="C12">
        <f t="shared" si="2"/>
        <v>0.55800000000000005</v>
      </c>
      <c r="D12">
        <f t="shared" si="2"/>
        <v>0.16200000000000001</v>
      </c>
      <c r="E12">
        <f t="shared" si="2"/>
        <v>219.56</v>
      </c>
      <c r="F12">
        <f t="shared" si="2"/>
        <v>0</v>
      </c>
      <c r="G12" t="str">
        <f t="shared" si="2"/>
        <v/>
      </c>
      <c r="H12" t="str">
        <f t="shared" si="2"/>
        <v/>
      </c>
      <c r="I12" t="str">
        <f t="shared" si="2"/>
        <v/>
      </c>
      <c r="J12" t="str">
        <f t="shared" si="2"/>
        <v/>
      </c>
      <c r="K12" t="str">
        <f t="shared" si="2"/>
        <v/>
      </c>
      <c r="L12" t="str">
        <f t="shared" si="2"/>
        <v/>
      </c>
      <c r="M12" t="str">
        <f t="shared" si="3"/>
        <v/>
      </c>
      <c r="N12" t="str">
        <f t="shared" si="3"/>
        <v/>
      </c>
      <c r="O12">
        <f t="shared" si="3"/>
        <v>2.778225806451613</v>
      </c>
      <c r="P12">
        <f t="shared" si="3"/>
        <v>101.06</v>
      </c>
      <c r="Q12">
        <f t="shared" si="3"/>
        <v>0</v>
      </c>
      <c r="R12">
        <f t="shared" si="3"/>
        <v>60.46</v>
      </c>
      <c r="S12">
        <f t="shared" si="3"/>
        <v>0</v>
      </c>
      <c r="T12">
        <f t="shared" si="3"/>
        <v>54.49</v>
      </c>
      <c r="U12">
        <f t="shared" si="3"/>
        <v>0</v>
      </c>
      <c r="V12" t="str">
        <f t="shared" si="3"/>
        <v/>
      </c>
      <c r="W12" t="str">
        <f t="shared" si="4"/>
        <v/>
      </c>
      <c r="X12" t="str">
        <f t="shared" si="4"/>
        <v/>
      </c>
      <c r="Y12">
        <f t="shared" si="4"/>
        <v>3.8479838709677421</v>
      </c>
      <c r="Z12">
        <f t="shared" si="4"/>
        <v>1.4569354838709676</v>
      </c>
      <c r="AA12" t="str">
        <f t="shared" si="4"/>
        <v/>
      </c>
      <c r="AB12" t="str">
        <f t="shared" si="4"/>
        <v/>
      </c>
      <c r="AC12" t="str">
        <f t="shared" si="4"/>
        <v/>
      </c>
      <c r="AD12" t="str">
        <f t="shared" si="4"/>
        <v/>
      </c>
      <c r="AE12" t="str">
        <f t="shared" si="4"/>
        <v/>
      </c>
      <c r="AF12" t="str">
        <f t="shared" si="4"/>
        <v/>
      </c>
      <c r="AG12" t="str">
        <f t="shared" si="5"/>
        <v/>
      </c>
      <c r="AH12" t="str">
        <f t="shared" si="5"/>
        <v/>
      </c>
      <c r="AI12" t="str">
        <f t="shared" si="5"/>
        <v/>
      </c>
      <c r="AJ12" t="str">
        <f t="shared" si="5"/>
        <v/>
      </c>
      <c r="AK12" t="str">
        <f t="shared" si="5"/>
        <v/>
      </c>
      <c r="AL12" t="str">
        <f t="shared" si="5"/>
        <v/>
      </c>
      <c r="AM12" t="str">
        <f t="shared" si="5"/>
        <v/>
      </c>
      <c r="AN12" t="str">
        <f t="shared" si="5"/>
        <v/>
      </c>
      <c r="AO12" t="str">
        <f t="shared" si="5"/>
        <v/>
      </c>
      <c r="AP12" t="str">
        <f t="shared" si="5"/>
        <v/>
      </c>
      <c r="AQ12" t="str">
        <f t="shared" si="5"/>
        <v/>
      </c>
      <c r="AR12" s="158">
        <f>G136</f>
        <v>0.25</v>
      </c>
      <c r="AS12">
        <v>1.8394300469941043</v>
      </c>
      <c r="AT12">
        <v>74.914673663408365</v>
      </c>
      <c r="AU12">
        <v>24.302454400000002</v>
      </c>
    </row>
    <row r="13" spans="1:47" ht="15" x14ac:dyDescent="0.25">
      <c r="A13" t="s">
        <v>291</v>
      </c>
      <c r="B13" s="153">
        <f>G154</f>
        <v>4.9000000000000004</v>
      </c>
      <c r="C13">
        <f t="shared" si="2"/>
        <v>1.786</v>
      </c>
      <c r="D13">
        <f t="shared" si="2"/>
        <v>0.52500000000000002</v>
      </c>
      <c r="E13" t="str">
        <f t="shared" si="2"/>
        <v/>
      </c>
      <c r="F13" t="str">
        <f t="shared" si="2"/>
        <v/>
      </c>
      <c r="G13" t="str">
        <f t="shared" si="2"/>
        <v/>
      </c>
      <c r="H13" t="str">
        <f t="shared" si="2"/>
        <v/>
      </c>
      <c r="I13" t="str">
        <f t="shared" si="2"/>
        <v/>
      </c>
      <c r="J13" t="str">
        <f t="shared" si="2"/>
        <v/>
      </c>
      <c r="K13">
        <f t="shared" si="2"/>
        <v>66.69</v>
      </c>
      <c r="L13">
        <f t="shared" si="2"/>
        <v>0</v>
      </c>
      <c r="M13">
        <f t="shared" si="3"/>
        <v>-11.113636363636363</v>
      </c>
      <c r="N13">
        <f t="shared" si="3"/>
        <v>-6.5206818181818171</v>
      </c>
      <c r="O13">
        <f t="shared" si="3"/>
        <v>-5.1745454545454548</v>
      </c>
      <c r="P13" t="str">
        <f t="shared" si="3"/>
        <v/>
      </c>
      <c r="Q13" t="str">
        <f t="shared" si="3"/>
        <v/>
      </c>
      <c r="R13" t="str">
        <f t="shared" si="3"/>
        <v/>
      </c>
      <c r="S13" t="str">
        <f t="shared" si="3"/>
        <v/>
      </c>
      <c r="T13" t="str">
        <f t="shared" si="3"/>
        <v/>
      </c>
      <c r="U13" t="str">
        <f t="shared" si="3"/>
        <v/>
      </c>
      <c r="V13" t="str">
        <f t="shared" si="3"/>
        <v/>
      </c>
      <c r="W13" t="str">
        <f t="shared" si="4"/>
        <v/>
      </c>
      <c r="X13" t="str">
        <f t="shared" si="4"/>
        <v/>
      </c>
      <c r="Y13" t="str">
        <f t="shared" si="4"/>
        <v/>
      </c>
      <c r="Z13" t="str">
        <f t="shared" si="4"/>
        <v/>
      </c>
      <c r="AA13">
        <f t="shared" si="4"/>
        <v>225.48</v>
      </c>
      <c r="AB13">
        <f t="shared" si="4"/>
        <v>0</v>
      </c>
      <c r="AC13">
        <f t="shared" si="4"/>
        <v>207.52</v>
      </c>
      <c r="AD13">
        <f t="shared" si="4"/>
        <v>0</v>
      </c>
      <c r="AE13">
        <f t="shared" si="4"/>
        <v>-37.1</v>
      </c>
      <c r="AF13">
        <f t="shared" si="4"/>
        <v>0</v>
      </c>
      <c r="AG13">
        <f t="shared" si="5"/>
        <v>86.08</v>
      </c>
      <c r="AH13">
        <f t="shared" si="5"/>
        <v>0</v>
      </c>
      <c r="AI13">
        <f t="shared" si="5"/>
        <v>8.2759090909090904</v>
      </c>
      <c r="AJ13">
        <f t="shared" si="5"/>
        <v>3.8780303030303029</v>
      </c>
      <c r="AK13">
        <f t="shared" si="5"/>
        <v>-10.538181818181819</v>
      </c>
      <c r="AL13" t="str">
        <f t="shared" si="5"/>
        <v/>
      </c>
      <c r="AM13" t="str">
        <f t="shared" si="5"/>
        <v/>
      </c>
      <c r="AN13" t="str">
        <f t="shared" si="5"/>
        <v/>
      </c>
      <c r="AO13" t="str">
        <f t="shared" si="5"/>
        <v/>
      </c>
      <c r="AP13" t="str">
        <f t="shared" si="5"/>
        <v/>
      </c>
      <c r="AQ13" t="str">
        <f t="shared" si="5"/>
        <v/>
      </c>
      <c r="AR13" s="158">
        <f>G156</f>
        <v>0.25</v>
      </c>
      <c r="AS13">
        <v>1.8394300469941043</v>
      </c>
      <c r="AT13">
        <v>74.914673663408365</v>
      </c>
      <c r="AU13">
        <v>24.302454400000002</v>
      </c>
    </row>
    <row r="14" spans="1:47" ht="15" x14ac:dyDescent="0.25">
      <c r="A14" t="s">
        <v>268</v>
      </c>
      <c r="B14" s="153">
        <f>G179</f>
        <v>14.2</v>
      </c>
      <c r="C14">
        <f t="shared" si="2"/>
        <v>3.2770000000000001</v>
      </c>
      <c r="D14" t="str">
        <f t="shared" si="2"/>
        <v/>
      </c>
      <c r="E14" t="str">
        <f t="shared" si="2"/>
        <v/>
      </c>
      <c r="F14" t="str">
        <f t="shared" si="2"/>
        <v/>
      </c>
      <c r="G14" t="str">
        <f t="shared" si="2"/>
        <v/>
      </c>
      <c r="H14" t="str">
        <f t="shared" si="2"/>
        <v/>
      </c>
      <c r="I14" t="str">
        <f t="shared" si="2"/>
        <v/>
      </c>
      <c r="J14" t="str">
        <f t="shared" si="2"/>
        <v/>
      </c>
      <c r="K14" t="str">
        <f t="shared" si="2"/>
        <v/>
      </c>
      <c r="L14" t="str">
        <f t="shared" si="2"/>
        <v/>
      </c>
      <c r="M14" t="str">
        <f t="shared" si="3"/>
        <v/>
      </c>
      <c r="N14" t="str">
        <f t="shared" si="3"/>
        <v/>
      </c>
      <c r="O14">
        <f t="shared" si="3"/>
        <v>5.1914615384615388</v>
      </c>
      <c r="P14" t="str">
        <f t="shared" si="3"/>
        <v/>
      </c>
      <c r="Q14" t="str">
        <f t="shared" si="3"/>
        <v/>
      </c>
      <c r="R14" t="str">
        <f t="shared" si="3"/>
        <v/>
      </c>
      <c r="S14" t="str">
        <f t="shared" si="3"/>
        <v/>
      </c>
      <c r="T14" t="str">
        <f t="shared" si="3"/>
        <v/>
      </c>
      <c r="U14" t="str">
        <f t="shared" si="3"/>
        <v/>
      </c>
      <c r="V14" t="str">
        <f t="shared" si="3"/>
        <v/>
      </c>
      <c r="W14" t="str">
        <f t="shared" si="4"/>
        <v/>
      </c>
      <c r="X14" t="str">
        <f t="shared" si="4"/>
        <v/>
      </c>
      <c r="Y14" t="str">
        <f t="shared" si="4"/>
        <v/>
      </c>
      <c r="Z14" t="str">
        <f t="shared" si="4"/>
        <v/>
      </c>
      <c r="AA14" t="str">
        <f t="shared" si="4"/>
        <v/>
      </c>
      <c r="AB14" t="str">
        <f t="shared" si="4"/>
        <v/>
      </c>
      <c r="AC14" t="str">
        <f t="shared" si="4"/>
        <v/>
      </c>
      <c r="AD14" t="str">
        <f t="shared" si="4"/>
        <v/>
      </c>
      <c r="AE14" t="str">
        <f t="shared" si="4"/>
        <v/>
      </c>
      <c r="AF14" t="str">
        <f t="shared" si="4"/>
        <v/>
      </c>
      <c r="AG14">
        <f t="shared" si="5"/>
        <v>-1.925</v>
      </c>
      <c r="AH14">
        <f t="shared" si="5"/>
        <v>0</v>
      </c>
      <c r="AI14" t="str">
        <f t="shared" si="5"/>
        <v/>
      </c>
      <c r="AJ14" t="str">
        <f t="shared" si="5"/>
        <v/>
      </c>
      <c r="AK14" t="str">
        <f t="shared" si="5"/>
        <v/>
      </c>
      <c r="AL14">
        <f t="shared" si="5"/>
        <v>16.608000000000001</v>
      </c>
      <c r="AM14">
        <f t="shared" si="5"/>
        <v>-1.3580000000000001</v>
      </c>
      <c r="AN14">
        <f t="shared" si="5"/>
        <v>46.456000000000003</v>
      </c>
      <c r="AO14">
        <f t="shared" si="5"/>
        <v>0</v>
      </c>
      <c r="AP14">
        <f t="shared" si="5"/>
        <v>100.63500000000001</v>
      </c>
      <c r="AQ14">
        <f t="shared" si="5"/>
        <v>0</v>
      </c>
      <c r="AR14" s="158">
        <f>G181</f>
        <v>0.25</v>
      </c>
      <c r="AS14">
        <v>2.1325159377406813</v>
      </c>
      <c r="AT14">
        <v>67.26167983080542</v>
      </c>
      <c r="AU14">
        <v>43.705339500000008</v>
      </c>
    </row>
    <row r="15" spans="1:47" ht="15" x14ac:dyDescent="0.25">
      <c r="B15" s="58"/>
    </row>
    <row r="16" spans="1:47" ht="15.75" thickBot="1" x14ac:dyDescent="0.3"/>
    <row r="17" spans="1:17" ht="24" thickBot="1" x14ac:dyDescent="0.3">
      <c r="A17" s="53" t="s">
        <v>137</v>
      </c>
      <c r="B17" s="54"/>
      <c r="C17" s="54"/>
      <c r="D17" s="54"/>
      <c r="E17" s="54"/>
      <c r="F17" s="54"/>
      <c r="G17" s="54"/>
    </row>
    <row r="18" spans="1:17" x14ac:dyDescent="0.3">
      <c r="A18" s="229" t="s">
        <v>282</v>
      </c>
      <c r="B18" s="94" t="s">
        <v>27</v>
      </c>
      <c r="C18" s="95" t="s">
        <v>18</v>
      </c>
      <c r="D18" s="96" t="s">
        <v>203</v>
      </c>
      <c r="E18" s="95">
        <v>-0.38100000000000001</v>
      </c>
      <c r="F18" s="100" t="s">
        <v>170</v>
      </c>
      <c r="G18" s="75" t="s">
        <v>131</v>
      </c>
      <c r="H18" t="str">
        <f>B18</f>
        <v>Watts</v>
      </c>
      <c r="I18" s="63" t="str">
        <f>IF(H18="","",$A$18&amp;H18)</f>
        <v>Linear Fluorescent T8 (48")Watts</v>
      </c>
      <c r="N18" t="s">
        <v>196</v>
      </c>
      <c r="O18" t="s">
        <v>242</v>
      </c>
      <c r="P18" t="s">
        <v>252</v>
      </c>
      <c r="Q18" t="s">
        <v>339</v>
      </c>
    </row>
    <row r="19" spans="1:17" x14ac:dyDescent="0.3">
      <c r="A19" s="230"/>
      <c r="B19" s="97" t="s">
        <v>154</v>
      </c>
      <c r="C19" s="95" t="s">
        <v>18</v>
      </c>
      <c r="D19" s="96" t="s">
        <v>204</v>
      </c>
      <c r="E19" s="95">
        <v>0.15</v>
      </c>
      <c r="F19" s="90" t="s">
        <v>186</v>
      </c>
      <c r="G19" s="101" t="s">
        <v>172</v>
      </c>
      <c r="H19" t="str">
        <f t="shared" ref="H19:H82" si="6">B19</f>
        <v>CRI</v>
      </c>
      <c r="I19" s="63" t="str">
        <f t="shared" ref="I19:I79" si="7">IF(H19="","",$A$18&amp;H19)</f>
        <v>Linear Fluorescent T8 (48")CRI</v>
      </c>
      <c r="N19" t="b">
        <v>1</v>
      </c>
      <c r="O19" t="s">
        <v>243</v>
      </c>
      <c r="P19" t="s">
        <v>253</v>
      </c>
      <c r="Q19" t="s">
        <v>337</v>
      </c>
    </row>
    <row r="20" spans="1:17" x14ac:dyDescent="0.3">
      <c r="A20" s="230"/>
      <c r="B20" s="97" t="s">
        <v>104</v>
      </c>
      <c r="C20" s="95" t="s">
        <v>18</v>
      </c>
      <c r="D20" s="96" t="s">
        <v>205</v>
      </c>
      <c r="E20" s="95">
        <v>4.0000000000000003E-5</v>
      </c>
      <c r="F20" s="100" t="s">
        <v>173</v>
      </c>
      <c r="G20" s="46" t="s">
        <v>133</v>
      </c>
      <c r="H20" t="str">
        <f t="shared" si="6"/>
        <v>Rated Life (hours)</v>
      </c>
      <c r="I20" s="63" t="str">
        <f t="shared" si="7"/>
        <v>Linear Fluorescent T8 (48")Rated Life (hours)</v>
      </c>
      <c r="N20" t="b">
        <v>0</v>
      </c>
      <c r="O20" t="s">
        <v>244</v>
      </c>
      <c r="P20" t="s">
        <v>254</v>
      </c>
      <c r="Q20" t="s">
        <v>338</v>
      </c>
    </row>
    <row r="21" spans="1:17" x14ac:dyDescent="0.3">
      <c r="A21" s="230"/>
      <c r="B21" s="97" t="s">
        <v>206</v>
      </c>
      <c r="C21" s="95" t="s">
        <v>18</v>
      </c>
      <c r="D21" s="96" t="s">
        <v>207</v>
      </c>
      <c r="E21" s="95">
        <v>-0.05</v>
      </c>
      <c r="F21" s="102" t="s">
        <v>174</v>
      </c>
      <c r="G21" s="74" t="s">
        <v>134</v>
      </c>
      <c r="H21" t="str">
        <f t="shared" si="6"/>
        <v>Efficacy (lumens/watt)</v>
      </c>
      <c r="I21" s="63" t="str">
        <f t="shared" si="7"/>
        <v>Linear Fluorescent T8 (48")Efficacy (lumens/watt)</v>
      </c>
    </row>
    <row r="22" spans="1:17" x14ac:dyDescent="0.3">
      <c r="A22" s="230"/>
      <c r="B22" s="228" t="s">
        <v>208</v>
      </c>
      <c r="C22" s="225" t="s">
        <v>10</v>
      </c>
      <c r="D22" s="98" t="s">
        <v>209</v>
      </c>
      <c r="E22" s="225">
        <v>-0.15272727272727274</v>
      </c>
      <c r="F22" s="100" t="s">
        <v>175</v>
      </c>
      <c r="G22" s="75" t="s">
        <v>135</v>
      </c>
      <c r="H22" t="str">
        <f t="shared" si="6"/>
        <v>Manufacturer Earthtronics</v>
      </c>
      <c r="I22" s="63" t="str">
        <f t="shared" si="7"/>
        <v>Linear Fluorescent T8 (48")Manufacturer Earthtronics</v>
      </c>
    </row>
    <row r="23" spans="1:17" x14ac:dyDescent="0.3">
      <c r="A23" s="230"/>
      <c r="B23" s="228"/>
      <c r="C23" s="225"/>
      <c r="D23" s="98" t="s">
        <v>12</v>
      </c>
      <c r="E23" s="225"/>
      <c r="F23" s="103">
        <v>165</v>
      </c>
      <c r="G23" s="74" t="s">
        <v>134</v>
      </c>
      <c r="I23" s="63" t="str">
        <f t="shared" si="7"/>
        <v/>
      </c>
    </row>
    <row r="24" spans="1:17" x14ac:dyDescent="0.3">
      <c r="A24" s="230"/>
      <c r="B24" s="228" t="s">
        <v>210</v>
      </c>
      <c r="C24" s="225" t="s">
        <v>10</v>
      </c>
      <c r="D24" s="98" t="s">
        <v>209</v>
      </c>
      <c r="E24" s="225">
        <v>0.3853012048192771</v>
      </c>
      <c r="F24" s="100" t="s">
        <v>176</v>
      </c>
      <c r="G24" s="75" t="s">
        <v>24</v>
      </c>
      <c r="H24" t="str">
        <f t="shared" si="6"/>
        <v>Safety Coating</v>
      </c>
      <c r="I24" s="63" t="str">
        <f t="shared" si="7"/>
        <v>Linear Fluorescent T8 (48")Safety Coating</v>
      </c>
    </row>
    <row r="25" spans="1:17" x14ac:dyDescent="0.3">
      <c r="A25" s="230"/>
      <c r="B25" s="228"/>
      <c r="C25" s="225"/>
      <c r="D25" s="98" t="s">
        <v>12</v>
      </c>
      <c r="E25" s="225"/>
      <c r="F25" s="68">
        <v>0.71799999999999997</v>
      </c>
      <c r="G25" s="104">
        <v>6.99</v>
      </c>
      <c r="I25" s="63" t="str">
        <f t="shared" si="7"/>
        <v/>
      </c>
    </row>
    <row r="26" spans="1:17" x14ac:dyDescent="0.3">
      <c r="A26" s="230"/>
      <c r="B26" s="228" t="s">
        <v>211</v>
      </c>
      <c r="C26" s="225" t="s">
        <v>10</v>
      </c>
      <c r="D26" s="98" t="s">
        <v>209</v>
      </c>
      <c r="E26" s="225">
        <v>0.59012048192771083</v>
      </c>
      <c r="F26" s="105" t="s">
        <v>177</v>
      </c>
      <c r="G26" s="46" t="s">
        <v>136</v>
      </c>
      <c r="H26" t="str">
        <f t="shared" si="6"/>
        <v>Low Mercury</v>
      </c>
      <c r="I26" s="63" t="str">
        <f t="shared" si="7"/>
        <v>Linear Fluorescent T8 (48")Low Mercury</v>
      </c>
    </row>
    <row r="27" spans="1:17" ht="15" thickBot="1" x14ac:dyDescent="0.35">
      <c r="A27" s="256"/>
      <c r="B27" s="257"/>
      <c r="C27" s="252"/>
      <c r="D27" s="99" t="s">
        <v>12</v>
      </c>
      <c r="E27" s="252"/>
      <c r="F27" s="106">
        <v>1.1200000000000001</v>
      </c>
      <c r="G27" s="107">
        <v>0.25</v>
      </c>
      <c r="I27" s="63" t="str">
        <f t="shared" si="7"/>
        <v/>
      </c>
    </row>
    <row r="28" spans="1:17" ht="15" thickBot="1" x14ac:dyDescent="0.35">
      <c r="A28" s="116"/>
      <c r="B28" s="116"/>
      <c r="C28" s="116"/>
      <c r="D28" s="116"/>
      <c r="E28" s="116"/>
      <c r="F28" s="116"/>
      <c r="G28" s="116"/>
      <c r="I28" s="63" t="str">
        <f>IF(H28="","",$A$18&amp;H28)</f>
        <v/>
      </c>
    </row>
    <row r="29" spans="1:17" x14ac:dyDescent="0.3">
      <c r="A29" s="229" t="s">
        <v>283</v>
      </c>
      <c r="B29" s="82" t="s">
        <v>27</v>
      </c>
      <c r="C29" s="108" t="s">
        <v>18</v>
      </c>
      <c r="D29" s="109" t="s">
        <v>212</v>
      </c>
      <c r="E29" s="108">
        <v>-0.122</v>
      </c>
      <c r="F29" s="112" t="s">
        <v>170</v>
      </c>
      <c r="G29" s="86" t="s">
        <v>131</v>
      </c>
      <c r="H29" t="str">
        <f t="shared" si="6"/>
        <v>Watts</v>
      </c>
      <c r="I29" s="63" t="str">
        <f>IF(H29="","",$A$29&amp;H29)</f>
        <v>Linear Fluorescent T8 (24" &amp; 36")Watts</v>
      </c>
    </row>
    <row r="30" spans="1:17" x14ac:dyDescent="0.3">
      <c r="A30" s="247"/>
      <c r="B30" s="66" t="s">
        <v>154</v>
      </c>
      <c r="C30" s="110" t="s">
        <v>18</v>
      </c>
      <c r="D30" s="96" t="s">
        <v>213</v>
      </c>
      <c r="E30" s="110">
        <v>0.02</v>
      </c>
      <c r="F30" s="90" t="s">
        <v>186</v>
      </c>
      <c r="G30" s="101" t="s">
        <v>172</v>
      </c>
      <c r="H30" t="str">
        <f t="shared" si="6"/>
        <v>CRI</v>
      </c>
      <c r="I30" s="63" t="str">
        <f t="shared" ref="I30:I38" si="8">IF(H30="","",$A$29&amp;H30)</f>
        <v>Linear Fluorescent T8 (24" &amp; 36")CRI</v>
      </c>
    </row>
    <row r="31" spans="1:17" x14ac:dyDescent="0.3">
      <c r="A31" s="247"/>
      <c r="B31" s="97" t="s">
        <v>206</v>
      </c>
      <c r="C31" s="110" t="s">
        <v>18</v>
      </c>
      <c r="D31" s="96" t="s">
        <v>214</v>
      </c>
      <c r="E31" s="110">
        <v>0.13</v>
      </c>
      <c r="F31" s="100" t="s">
        <v>173</v>
      </c>
      <c r="G31" s="46" t="s">
        <v>133</v>
      </c>
      <c r="H31" t="str">
        <f t="shared" si="6"/>
        <v>Efficacy (lumens/watt)</v>
      </c>
      <c r="I31" s="63" t="str">
        <f t="shared" si="8"/>
        <v>Linear Fluorescent T8 (24" &amp; 36")Efficacy (lumens/watt)</v>
      </c>
    </row>
    <row r="32" spans="1:17" x14ac:dyDescent="0.3">
      <c r="A32" s="247"/>
      <c r="B32" s="228" t="s">
        <v>208</v>
      </c>
      <c r="C32" s="225" t="s">
        <v>10</v>
      </c>
      <c r="D32" s="98" t="s">
        <v>209</v>
      </c>
      <c r="E32" s="225">
        <v>0</v>
      </c>
      <c r="F32" s="102" t="s">
        <v>174</v>
      </c>
      <c r="G32" s="74" t="s">
        <v>134</v>
      </c>
      <c r="H32" t="str">
        <f t="shared" si="6"/>
        <v>Manufacturer Earthtronics</v>
      </c>
      <c r="I32" s="63" t="str">
        <f t="shared" si="8"/>
        <v>Linear Fluorescent T8 (24" &amp; 36")Manufacturer Earthtronics</v>
      </c>
    </row>
    <row r="33" spans="1:9" x14ac:dyDescent="0.3">
      <c r="A33" s="247"/>
      <c r="B33" s="228"/>
      <c r="C33" s="225"/>
      <c r="D33" s="98" t="s">
        <v>12</v>
      </c>
      <c r="E33" s="225"/>
      <c r="F33" s="100" t="s">
        <v>175</v>
      </c>
      <c r="G33" s="75" t="s">
        <v>135</v>
      </c>
      <c r="I33" s="63" t="str">
        <f t="shared" si="8"/>
        <v/>
      </c>
    </row>
    <row r="34" spans="1:9" x14ac:dyDescent="0.3">
      <c r="A34" s="247"/>
      <c r="B34" s="235" t="s">
        <v>215</v>
      </c>
      <c r="C34" s="225" t="s">
        <v>10</v>
      </c>
      <c r="D34" s="98" t="s">
        <v>209</v>
      </c>
      <c r="E34" s="225">
        <v>0.53409638554216865</v>
      </c>
      <c r="F34" s="103">
        <v>83</v>
      </c>
      <c r="G34" s="74" t="s">
        <v>134</v>
      </c>
      <c r="H34" t="str">
        <f t="shared" si="6"/>
        <v>Extra Long Life</v>
      </c>
      <c r="I34" s="63" t="str">
        <f t="shared" si="8"/>
        <v>Linear Fluorescent T8 (24" &amp; 36")Extra Long Life</v>
      </c>
    </row>
    <row r="35" spans="1:9" x14ac:dyDescent="0.3">
      <c r="A35" s="247"/>
      <c r="B35" s="255"/>
      <c r="C35" s="225"/>
      <c r="D35" s="98" t="s">
        <v>12</v>
      </c>
      <c r="E35" s="225"/>
      <c r="F35" s="100" t="s">
        <v>176</v>
      </c>
      <c r="G35" s="75" t="s">
        <v>24</v>
      </c>
      <c r="I35" s="63" t="str">
        <f t="shared" si="8"/>
        <v/>
      </c>
    </row>
    <row r="36" spans="1:9" x14ac:dyDescent="0.3">
      <c r="A36" s="253"/>
      <c r="B36" s="231" t="s">
        <v>108</v>
      </c>
      <c r="C36" s="111"/>
      <c r="D36" s="48"/>
      <c r="E36" s="48"/>
      <c r="F36" s="113">
        <v>0.62</v>
      </c>
      <c r="G36" s="104">
        <v>-5.46</v>
      </c>
      <c r="I36" s="63" t="str">
        <f t="shared" si="8"/>
        <v/>
      </c>
    </row>
    <row r="37" spans="1:9" x14ac:dyDescent="0.3">
      <c r="A37" s="253"/>
      <c r="B37" s="232"/>
      <c r="C37" s="111"/>
      <c r="D37" s="48"/>
      <c r="E37" s="48"/>
      <c r="F37" s="105" t="s">
        <v>177</v>
      </c>
      <c r="G37" s="46" t="s">
        <v>136</v>
      </c>
      <c r="I37" s="63" t="str">
        <f t="shared" si="8"/>
        <v/>
      </c>
    </row>
    <row r="38" spans="1:9" ht="15" thickBot="1" x14ac:dyDescent="0.35">
      <c r="A38" s="254"/>
      <c r="B38" s="233"/>
      <c r="C38" s="111"/>
      <c r="D38" s="48"/>
      <c r="E38" s="48"/>
      <c r="F38" s="114">
        <v>0.86599999999999999</v>
      </c>
      <c r="G38" s="115">
        <v>0.25</v>
      </c>
      <c r="I38" s="63" t="str">
        <f t="shared" si="8"/>
        <v/>
      </c>
    </row>
    <row r="39" spans="1:9" ht="15" thickBot="1" x14ac:dyDescent="0.35">
      <c r="A39" s="117"/>
      <c r="B39" s="118"/>
      <c r="C39" s="119"/>
      <c r="D39" s="120"/>
      <c r="E39" s="120"/>
      <c r="F39" s="120"/>
      <c r="G39" s="120"/>
      <c r="I39" s="63" t="str">
        <f t="shared" si="7"/>
        <v/>
      </c>
    </row>
    <row r="40" spans="1:9" x14ac:dyDescent="0.3">
      <c r="A40" s="229" t="s">
        <v>284</v>
      </c>
      <c r="B40" s="82" t="s">
        <v>27</v>
      </c>
      <c r="C40" s="108" t="s">
        <v>18</v>
      </c>
      <c r="D40" s="109" t="s">
        <v>216</v>
      </c>
      <c r="E40" s="108">
        <v>0.59</v>
      </c>
      <c r="F40" s="112" t="s">
        <v>170</v>
      </c>
      <c r="G40" s="86" t="s">
        <v>131</v>
      </c>
      <c r="H40" t="str">
        <f t="shared" si="6"/>
        <v>Watts</v>
      </c>
      <c r="I40" s="63" t="str">
        <f>IF(H40="","",$A$40&amp;H40)</f>
        <v>Linear Fluorescent T8 (96")Watts</v>
      </c>
    </row>
    <row r="41" spans="1:9" x14ac:dyDescent="0.3">
      <c r="A41" s="247"/>
      <c r="B41" s="66" t="s">
        <v>154</v>
      </c>
      <c r="C41" s="110" t="s">
        <v>18</v>
      </c>
      <c r="D41" s="96" t="s">
        <v>213</v>
      </c>
      <c r="E41" s="110">
        <v>-0.3</v>
      </c>
      <c r="F41" s="90" t="s">
        <v>186</v>
      </c>
      <c r="G41" s="101" t="s">
        <v>172</v>
      </c>
      <c r="H41" t="str">
        <f t="shared" si="6"/>
        <v>CRI</v>
      </c>
      <c r="I41" s="63" t="str">
        <f t="shared" ref="I41:I49" si="9">IF(H41="","",$A$40&amp;H41)</f>
        <v>Linear Fluorescent T8 (96")CRI</v>
      </c>
    </row>
    <row r="42" spans="1:9" x14ac:dyDescent="0.3">
      <c r="A42" s="247"/>
      <c r="B42" s="97" t="s">
        <v>104</v>
      </c>
      <c r="C42" s="110" t="s">
        <v>18</v>
      </c>
      <c r="D42" s="96" t="s">
        <v>217</v>
      </c>
      <c r="E42" s="110">
        <v>-2.0000000000000001E-4</v>
      </c>
      <c r="F42" s="100" t="s">
        <v>173</v>
      </c>
      <c r="G42" s="46" t="s">
        <v>133</v>
      </c>
      <c r="H42" t="str">
        <f t="shared" si="6"/>
        <v>Rated Life (hours)</v>
      </c>
      <c r="I42" s="63" t="str">
        <f t="shared" si="9"/>
        <v>Linear Fluorescent T8 (96")Rated Life (hours)</v>
      </c>
    </row>
    <row r="43" spans="1:9" x14ac:dyDescent="0.3">
      <c r="A43" s="247"/>
      <c r="B43" s="97" t="s">
        <v>206</v>
      </c>
      <c r="C43" s="110" t="s">
        <v>18</v>
      </c>
      <c r="D43" s="96" t="s">
        <v>218</v>
      </c>
      <c r="E43" s="110">
        <v>2.36</v>
      </c>
      <c r="F43" s="102" t="s">
        <v>174</v>
      </c>
      <c r="G43" s="74" t="s">
        <v>134</v>
      </c>
      <c r="H43" t="str">
        <f t="shared" si="6"/>
        <v>Efficacy (lumens/watt)</v>
      </c>
      <c r="I43" s="63" t="str">
        <f t="shared" si="9"/>
        <v>Linear Fluorescent T8 (96")Efficacy (lumens/watt)</v>
      </c>
    </row>
    <row r="44" spans="1:9" x14ac:dyDescent="0.3">
      <c r="A44" s="247"/>
      <c r="B44" s="228" t="s">
        <v>210</v>
      </c>
      <c r="C44" s="225" t="s">
        <v>10</v>
      </c>
      <c r="D44" s="98" t="s">
        <v>209</v>
      </c>
      <c r="E44" s="225">
        <v>5.3605633802816897</v>
      </c>
      <c r="F44" s="100" t="s">
        <v>175</v>
      </c>
      <c r="G44" s="75" t="s">
        <v>135</v>
      </c>
      <c r="H44" t="str">
        <f t="shared" si="6"/>
        <v>Safety Coating</v>
      </c>
      <c r="I44" s="63" t="str">
        <f t="shared" si="9"/>
        <v>Linear Fluorescent T8 (96")Safety Coating</v>
      </c>
    </row>
    <row r="45" spans="1:9" x14ac:dyDescent="0.3">
      <c r="A45" s="247"/>
      <c r="B45" s="228"/>
      <c r="C45" s="225"/>
      <c r="D45" s="98" t="s">
        <v>12</v>
      </c>
      <c r="E45" s="225"/>
      <c r="F45" s="103">
        <v>71</v>
      </c>
      <c r="G45" s="74" t="s">
        <v>134</v>
      </c>
      <c r="I45" s="63" t="str">
        <f t="shared" si="9"/>
        <v/>
      </c>
    </row>
    <row r="46" spans="1:9" x14ac:dyDescent="0.3">
      <c r="A46" s="247"/>
      <c r="B46" s="231" t="s">
        <v>108</v>
      </c>
      <c r="C46" s="111"/>
      <c r="D46" s="48"/>
      <c r="E46" s="111"/>
      <c r="F46" s="100" t="s">
        <v>176</v>
      </c>
      <c r="G46" s="75" t="s">
        <v>24</v>
      </c>
      <c r="I46" s="63" t="str">
        <f t="shared" si="9"/>
        <v/>
      </c>
    </row>
    <row r="47" spans="1:9" x14ac:dyDescent="0.3">
      <c r="A47" s="247"/>
      <c r="B47" s="232"/>
      <c r="C47" s="111"/>
      <c r="D47" s="48"/>
      <c r="E47" s="111"/>
      <c r="F47" s="68">
        <v>0.76200000000000001</v>
      </c>
      <c r="G47" s="104">
        <v>-222.56</v>
      </c>
      <c r="I47" s="63" t="str">
        <f t="shared" si="9"/>
        <v/>
      </c>
    </row>
    <row r="48" spans="1:9" x14ac:dyDescent="0.3">
      <c r="A48" s="247"/>
      <c r="B48" s="232"/>
      <c r="C48" s="111"/>
      <c r="D48" s="48"/>
      <c r="E48" s="111"/>
      <c r="F48" s="105" t="s">
        <v>177</v>
      </c>
      <c r="G48" s="46" t="s">
        <v>136</v>
      </c>
      <c r="I48" s="63" t="str">
        <f t="shared" si="9"/>
        <v/>
      </c>
    </row>
    <row r="49" spans="1:9" ht="15" thickBot="1" x14ac:dyDescent="0.35">
      <c r="A49" s="248"/>
      <c r="B49" s="233"/>
      <c r="C49" s="111"/>
      <c r="D49" s="48"/>
      <c r="E49" s="111"/>
      <c r="F49" s="114">
        <v>4.57</v>
      </c>
      <c r="G49" s="107">
        <v>0.25</v>
      </c>
      <c r="I49" s="63" t="str">
        <f t="shared" si="9"/>
        <v/>
      </c>
    </row>
    <row r="50" spans="1:9" ht="15" thickBot="1" x14ac:dyDescent="0.35">
      <c r="A50" s="117"/>
      <c r="B50" s="121"/>
      <c r="C50" s="122"/>
      <c r="D50" s="123"/>
      <c r="E50" s="122"/>
      <c r="F50" s="126"/>
      <c r="G50" s="126"/>
      <c r="I50" s="63" t="str">
        <f t="shared" si="7"/>
        <v/>
      </c>
    </row>
    <row r="51" spans="1:9" x14ac:dyDescent="0.3">
      <c r="A51" s="229" t="s">
        <v>285</v>
      </c>
      <c r="B51" s="82" t="s">
        <v>27</v>
      </c>
      <c r="C51" s="108" t="s">
        <v>18</v>
      </c>
      <c r="D51" s="124" t="s">
        <v>219</v>
      </c>
      <c r="E51" s="108">
        <v>1.2999999999999999E-2</v>
      </c>
      <c r="F51" s="112" t="s">
        <v>170</v>
      </c>
      <c r="G51" s="86" t="s">
        <v>131</v>
      </c>
      <c r="H51" t="str">
        <f t="shared" si="6"/>
        <v>Watts</v>
      </c>
      <c r="I51" s="63" t="str">
        <f>IF(H51="","",$A$51&amp;H51)</f>
        <v>Linear Fluorescent T5 (all lengths)Watts</v>
      </c>
    </row>
    <row r="52" spans="1:9" x14ac:dyDescent="0.3">
      <c r="A52" s="247"/>
      <c r="B52" s="66" t="s">
        <v>154</v>
      </c>
      <c r="C52" s="110" t="s">
        <v>18</v>
      </c>
      <c r="D52" s="98" t="s">
        <v>220</v>
      </c>
      <c r="E52" s="110">
        <v>0.65100000000000002</v>
      </c>
      <c r="F52" s="90" t="s">
        <v>186</v>
      </c>
      <c r="G52" s="101" t="s">
        <v>172</v>
      </c>
      <c r="H52" t="str">
        <f t="shared" si="6"/>
        <v>CRI</v>
      </c>
      <c r="I52" s="63" t="str">
        <f t="shared" ref="I52:I67" si="10">IF(H52="","",$A$51&amp;H52)</f>
        <v>Linear Fluorescent T5 (all lengths)CRI</v>
      </c>
    </row>
    <row r="53" spans="1:9" x14ac:dyDescent="0.3">
      <c r="A53" s="247"/>
      <c r="B53" s="97" t="s">
        <v>206</v>
      </c>
      <c r="C53" s="110" t="s">
        <v>18</v>
      </c>
      <c r="D53" s="98" t="s">
        <v>221</v>
      </c>
      <c r="E53" s="110">
        <v>6.7000000000000004E-2</v>
      </c>
      <c r="F53" s="100" t="s">
        <v>173</v>
      </c>
      <c r="G53" s="46" t="s">
        <v>133</v>
      </c>
      <c r="H53" t="str">
        <f t="shared" si="6"/>
        <v>Efficacy (lumens/watt)</v>
      </c>
      <c r="I53" s="63" t="str">
        <f t="shared" si="10"/>
        <v>Linear Fluorescent T5 (all lengths)Efficacy (lumens/watt)</v>
      </c>
    </row>
    <row r="54" spans="1:9" x14ac:dyDescent="0.3">
      <c r="A54" s="247"/>
      <c r="B54" s="228" t="s">
        <v>211</v>
      </c>
      <c r="C54" s="225" t="s">
        <v>10</v>
      </c>
      <c r="D54" s="98" t="s">
        <v>209</v>
      </c>
      <c r="E54" s="225">
        <v>1.9507389162561577</v>
      </c>
      <c r="F54" s="102" t="s">
        <v>174</v>
      </c>
      <c r="G54" s="74" t="s">
        <v>134</v>
      </c>
      <c r="H54" t="str">
        <f t="shared" si="6"/>
        <v>Low Mercury</v>
      </c>
      <c r="I54" s="63" t="str">
        <f t="shared" si="10"/>
        <v>Linear Fluorescent T5 (all lengths)Low Mercury</v>
      </c>
    </row>
    <row r="55" spans="1:9" x14ac:dyDescent="0.3">
      <c r="A55" s="247"/>
      <c r="B55" s="228"/>
      <c r="C55" s="225"/>
      <c r="D55" s="98" t="s">
        <v>12</v>
      </c>
      <c r="E55" s="225"/>
      <c r="F55" s="100" t="s">
        <v>175</v>
      </c>
      <c r="G55" s="75" t="s">
        <v>135</v>
      </c>
      <c r="I55" s="63" t="str">
        <f t="shared" si="10"/>
        <v/>
      </c>
    </row>
    <row r="56" spans="1:9" x14ac:dyDescent="0.3">
      <c r="A56" s="247"/>
      <c r="B56" s="251" t="s">
        <v>210</v>
      </c>
      <c r="C56" s="225" t="s">
        <v>10</v>
      </c>
      <c r="D56" s="98" t="s">
        <v>209</v>
      </c>
      <c r="E56" s="225">
        <v>0.18837438423645322</v>
      </c>
      <c r="F56" s="103">
        <v>203</v>
      </c>
      <c r="G56" s="127" t="s">
        <v>121</v>
      </c>
      <c r="H56" t="str">
        <f t="shared" si="6"/>
        <v>Safety Coating</v>
      </c>
      <c r="I56" s="63" t="str">
        <f t="shared" si="10"/>
        <v>Linear Fluorescent T5 (all lengths)Safety Coating</v>
      </c>
    </row>
    <row r="57" spans="1:9" x14ac:dyDescent="0.3">
      <c r="A57" s="247"/>
      <c r="B57" s="228"/>
      <c r="C57" s="225"/>
      <c r="D57" s="98" t="s">
        <v>12</v>
      </c>
      <c r="E57" s="225"/>
      <c r="F57" s="100" t="s">
        <v>176</v>
      </c>
      <c r="G57" s="75" t="s">
        <v>24</v>
      </c>
      <c r="I57" s="63" t="str">
        <f t="shared" si="10"/>
        <v/>
      </c>
    </row>
    <row r="58" spans="1:9" x14ac:dyDescent="0.3">
      <c r="A58" s="247"/>
      <c r="B58" s="234" t="s">
        <v>215</v>
      </c>
      <c r="C58" s="225" t="s">
        <v>10</v>
      </c>
      <c r="D58" s="98" t="s">
        <v>209</v>
      </c>
      <c r="E58" s="225">
        <v>0.17261083743842362</v>
      </c>
      <c r="F58" s="68">
        <v>0.72499999999999998</v>
      </c>
      <c r="G58" s="104">
        <v>-54.09</v>
      </c>
      <c r="H58" t="str">
        <f t="shared" si="6"/>
        <v>Extra Long Life</v>
      </c>
      <c r="I58" s="63" t="str">
        <f t="shared" si="10"/>
        <v>Linear Fluorescent T5 (all lengths)Extra Long Life</v>
      </c>
    </row>
    <row r="59" spans="1:9" x14ac:dyDescent="0.3">
      <c r="A59" s="247"/>
      <c r="B59" s="234"/>
      <c r="C59" s="225"/>
      <c r="D59" s="98" t="s">
        <v>12</v>
      </c>
      <c r="E59" s="225"/>
      <c r="F59" s="105" t="s">
        <v>177</v>
      </c>
      <c r="G59" s="46" t="s">
        <v>136</v>
      </c>
      <c r="I59" s="63" t="str">
        <f t="shared" si="10"/>
        <v/>
      </c>
    </row>
    <row r="60" spans="1:9" x14ac:dyDescent="0.3">
      <c r="A60" s="247"/>
      <c r="B60" s="249" t="s">
        <v>208</v>
      </c>
      <c r="C60" s="225" t="s">
        <v>10</v>
      </c>
      <c r="D60" s="98" t="s">
        <v>209</v>
      </c>
      <c r="E60" s="225">
        <v>-6.1182266009852215E-2</v>
      </c>
      <c r="F60" s="68">
        <v>1.57</v>
      </c>
      <c r="G60" s="47">
        <v>0.25</v>
      </c>
      <c r="H60" t="str">
        <f t="shared" si="6"/>
        <v>Manufacturer Earthtronics</v>
      </c>
      <c r="I60" s="63" t="str">
        <f t="shared" si="10"/>
        <v>Linear Fluorescent T5 (all lengths)Manufacturer Earthtronics</v>
      </c>
    </row>
    <row r="61" spans="1:9" x14ac:dyDescent="0.3">
      <c r="A61" s="247"/>
      <c r="B61" s="249"/>
      <c r="C61" s="225"/>
      <c r="D61" s="98" t="s">
        <v>12</v>
      </c>
      <c r="E61" s="225"/>
      <c r="F61" s="48"/>
      <c r="G61" s="48"/>
      <c r="I61" s="63" t="str">
        <f t="shared" si="10"/>
        <v/>
      </c>
    </row>
    <row r="62" spans="1:9" x14ac:dyDescent="0.3">
      <c r="A62" s="247"/>
      <c r="B62" s="249" t="s">
        <v>222</v>
      </c>
      <c r="C62" s="225" t="s">
        <v>10</v>
      </c>
      <c r="D62" s="98" t="s">
        <v>209</v>
      </c>
      <c r="E62" s="225">
        <v>-0.36270000000000002</v>
      </c>
      <c r="F62" s="48"/>
      <c r="G62" s="48"/>
      <c r="H62" t="str">
        <f t="shared" si="6"/>
        <v>Manufacturer GE</v>
      </c>
      <c r="I62" s="63" t="str">
        <f t="shared" si="10"/>
        <v>Linear Fluorescent T5 (all lengths)Manufacturer GE</v>
      </c>
    </row>
    <row r="63" spans="1:9" x14ac:dyDescent="0.3">
      <c r="A63" s="247"/>
      <c r="B63" s="249"/>
      <c r="C63" s="225"/>
      <c r="D63" s="98" t="s">
        <v>12</v>
      </c>
      <c r="E63" s="225"/>
      <c r="F63" s="48"/>
      <c r="G63" s="48"/>
      <c r="I63" s="63" t="str">
        <f t="shared" si="10"/>
        <v/>
      </c>
    </row>
    <row r="64" spans="1:9" x14ac:dyDescent="0.3">
      <c r="A64" s="247"/>
      <c r="B64" s="249" t="s">
        <v>223</v>
      </c>
      <c r="C64" s="225" t="s">
        <v>10</v>
      </c>
      <c r="D64" s="98" t="s">
        <v>209</v>
      </c>
      <c r="E64" s="225">
        <v>-4.1799999999999997E-2</v>
      </c>
      <c r="F64" s="48"/>
      <c r="G64" s="48"/>
      <c r="H64" t="str">
        <f t="shared" si="6"/>
        <v>Manufacturer Satco</v>
      </c>
      <c r="I64" s="63" t="str">
        <f t="shared" si="10"/>
        <v>Linear Fluorescent T5 (all lengths)Manufacturer Satco</v>
      </c>
    </row>
    <row r="65" spans="1:9" x14ac:dyDescent="0.3">
      <c r="A65" s="247"/>
      <c r="B65" s="249"/>
      <c r="C65" s="225"/>
      <c r="D65" s="98" t="s">
        <v>12</v>
      </c>
      <c r="E65" s="225"/>
      <c r="F65" s="48"/>
      <c r="G65" s="48"/>
      <c r="I65" s="63" t="str">
        <f t="shared" si="10"/>
        <v/>
      </c>
    </row>
    <row r="66" spans="1:9" x14ac:dyDescent="0.3">
      <c r="A66" s="247"/>
      <c r="B66" s="249" t="s">
        <v>224</v>
      </c>
      <c r="C66" s="225" t="s">
        <v>10</v>
      </c>
      <c r="D66" s="98" t="s">
        <v>209</v>
      </c>
      <c r="E66" s="225">
        <v>-0.34649999999999997</v>
      </c>
      <c r="F66" s="48"/>
      <c r="G66" s="48"/>
      <c r="H66" t="str">
        <f t="shared" si="6"/>
        <v>Manufacturer Sylvania</v>
      </c>
      <c r="I66" s="63" t="str">
        <f t="shared" si="10"/>
        <v>Linear Fluorescent T5 (all lengths)Manufacturer Sylvania</v>
      </c>
    </row>
    <row r="67" spans="1:9" ht="15" thickBot="1" x14ac:dyDescent="0.35">
      <c r="A67" s="248"/>
      <c r="B67" s="250"/>
      <c r="C67" s="236"/>
      <c r="D67" s="125" t="s">
        <v>12</v>
      </c>
      <c r="E67" s="236"/>
      <c r="F67" s="48"/>
      <c r="G67" s="48"/>
      <c r="I67" s="63" t="str">
        <f t="shared" si="10"/>
        <v/>
      </c>
    </row>
    <row r="68" spans="1:9" ht="24" thickBot="1" x14ac:dyDescent="0.35">
      <c r="A68" s="53" t="s">
        <v>225</v>
      </c>
      <c r="B68" s="54"/>
      <c r="C68" s="119"/>
      <c r="D68" s="120"/>
      <c r="E68" s="119"/>
      <c r="F68" s="50"/>
      <c r="G68" s="50"/>
      <c r="I68" s="63" t="str">
        <f t="shared" si="7"/>
        <v/>
      </c>
    </row>
    <row r="69" spans="1:9" x14ac:dyDescent="0.3">
      <c r="A69" s="229" t="s">
        <v>286</v>
      </c>
      <c r="B69" s="128" t="s">
        <v>226</v>
      </c>
      <c r="C69" s="129" t="s">
        <v>18</v>
      </c>
      <c r="D69" s="96" t="s">
        <v>227</v>
      </c>
      <c r="E69" s="154">
        <v>0.161</v>
      </c>
      <c r="F69" s="100" t="s">
        <v>170</v>
      </c>
      <c r="G69" s="75" t="s">
        <v>131</v>
      </c>
      <c r="H69" t="str">
        <f t="shared" si="6"/>
        <v>Ballast Input Watts</v>
      </c>
      <c r="I69" s="63" t="str">
        <f>IF(H69="","",$A$69&amp;H69)</f>
        <v>Linear Fluorescent Ballasts (CEE/NEMA certified)Ballast Input Watts</v>
      </c>
    </row>
    <row r="70" spans="1:9" x14ac:dyDescent="0.3">
      <c r="A70" s="230"/>
      <c r="B70" s="66" t="s">
        <v>228</v>
      </c>
      <c r="C70" s="70" t="s">
        <v>18</v>
      </c>
      <c r="D70" s="96" t="s">
        <v>229</v>
      </c>
      <c r="E70" s="155">
        <v>-11.27</v>
      </c>
      <c r="F70" s="132" t="s">
        <v>171</v>
      </c>
      <c r="G70" s="101" t="s">
        <v>172</v>
      </c>
      <c r="H70" t="str">
        <f t="shared" si="6"/>
        <v>Ballast Factor</v>
      </c>
      <c r="I70" s="63" t="str">
        <f t="shared" ref="I70:I73" si="11">IF(H70="","",$A$69&amp;H70)</f>
        <v>Linear Fluorescent Ballasts (CEE/NEMA certified)Ballast Factor</v>
      </c>
    </row>
    <row r="71" spans="1:9" x14ac:dyDescent="0.3">
      <c r="A71" s="230"/>
      <c r="B71" s="234" t="s">
        <v>32</v>
      </c>
      <c r="C71" s="225" t="s">
        <v>10</v>
      </c>
      <c r="D71" s="96" t="s">
        <v>209</v>
      </c>
      <c r="E71" s="225">
        <v>9.6524999999999999</v>
      </c>
      <c r="F71" s="100" t="s">
        <v>173</v>
      </c>
      <c r="G71" s="46" t="s">
        <v>133</v>
      </c>
      <c r="H71" t="str">
        <f t="shared" si="6"/>
        <v>Dimmable</v>
      </c>
      <c r="I71" s="63" t="str">
        <f t="shared" si="11"/>
        <v>Linear Fluorescent Ballasts (CEE/NEMA certified)Dimmable</v>
      </c>
    </row>
    <row r="72" spans="1:9" x14ac:dyDescent="0.3">
      <c r="A72" s="230"/>
      <c r="B72" s="234"/>
      <c r="C72" s="225"/>
      <c r="D72" s="96" t="s">
        <v>12</v>
      </c>
      <c r="E72" s="225"/>
      <c r="F72" s="102" t="s">
        <v>174</v>
      </c>
      <c r="G72" s="74" t="s">
        <v>134</v>
      </c>
      <c r="I72" s="63" t="str">
        <f t="shared" si="7"/>
        <v/>
      </c>
    </row>
    <row r="73" spans="1:9" ht="28.95" customHeight="1" x14ac:dyDescent="0.3">
      <c r="A73" s="230"/>
      <c r="B73" s="234" t="s">
        <v>230</v>
      </c>
      <c r="C73" s="225" t="s">
        <v>10</v>
      </c>
      <c r="D73" s="96" t="s">
        <v>209</v>
      </c>
      <c r="E73" s="246">
        <v>17.190000000000001</v>
      </c>
      <c r="F73" s="100" t="s">
        <v>175</v>
      </c>
      <c r="G73" s="75" t="s">
        <v>135</v>
      </c>
      <c r="H73" t="str">
        <f t="shared" si="6"/>
        <v>Programmed Start</v>
      </c>
      <c r="I73" s="63" t="str">
        <f t="shared" si="11"/>
        <v>Linear Fluorescent Ballasts (CEE/NEMA certified)Programmed Start</v>
      </c>
    </row>
    <row r="74" spans="1:9" x14ac:dyDescent="0.3">
      <c r="A74" s="230"/>
      <c r="B74" s="234"/>
      <c r="C74" s="225"/>
      <c r="D74" s="96" t="s">
        <v>12</v>
      </c>
      <c r="E74" s="246"/>
      <c r="F74" s="103">
        <v>31</v>
      </c>
      <c r="G74" s="127" t="s">
        <v>121</v>
      </c>
      <c r="I74" s="63" t="str">
        <f t="shared" si="7"/>
        <v/>
      </c>
    </row>
    <row r="75" spans="1:9" x14ac:dyDescent="0.3">
      <c r="A75" s="230"/>
      <c r="B75" s="231" t="s">
        <v>108</v>
      </c>
      <c r="C75" s="111"/>
      <c r="D75" s="48"/>
      <c r="E75" s="111"/>
      <c r="F75" s="100" t="s">
        <v>176</v>
      </c>
      <c r="G75" s="75" t="s">
        <v>24</v>
      </c>
      <c r="I75" s="63" t="str">
        <f t="shared" si="7"/>
        <v/>
      </c>
    </row>
    <row r="76" spans="1:9" x14ac:dyDescent="0.3">
      <c r="A76" s="230"/>
      <c r="B76" s="232"/>
      <c r="C76" s="111"/>
      <c r="D76" s="48"/>
      <c r="E76" s="111"/>
      <c r="F76" s="68">
        <v>0.84799999999999998</v>
      </c>
      <c r="G76" s="104">
        <v>21.92</v>
      </c>
      <c r="I76" s="63" t="str">
        <f t="shared" si="7"/>
        <v/>
      </c>
    </row>
    <row r="77" spans="1:9" x14ac:dyDescent="0.3">
      <c r="A77" s="230"/>
      <c r="B77" s="232"/>
      <c r="C77" s="111"/>
      <c r="D77" s="48"/>
      <c r="E77" s="111"/>
      <c r="F77" s="105" t="s">
        <v>177</v>
      </c>
      <c r="G77" s="46" t="s">
        <v>136</v>
      </c>
      <c r="I77" s="63" t="str">
        <f t="shared" si="7"/>
        <v/>
      </c>
    </row>
    <row r="78" spans="1:9" ht="15" thickBot="1" x14ac:dyDescent="0.35">
      <c r="A78" s="230"/>
      <c r="B78" s="233"/>
      <c r="C78" s="111"/>
      <c r="D78" s="48"/>
      <c r="E78" s="111"/>
      <c r="F78" s="68">
        <v>7.92</v>
      </c>
      <c r="G78" s="47">
        <v>0</v>
      </c>
      <c r="I78" s="63" t="str">
        <f t="shared" si="7"/>
        <v/>
      </c>
    </row>
    <row r="79" spans="1:9" ht="18.600000000000001" thickBot="1" x14ac:dyDescent="0.35">
      <c r="A79" s="130"/>
      <c r="B79" s="118"/>
      <c r="C79" s="119"/>
      <c r="D79" s="120"/>
      <c r="E79" s="119"/>
      <c r="F79" s="50"/>
      <c r="G79" s="50"/>
      <c r="I79" s="63" t="str">
        <f t="shared" si="7"/>
        <v/>
      </c>
    </row>
    <row r="80" spans="1:9" x14ac:dyDescent="0.3">
      <c r="A80" s="229" t="s">
        <v>287</v>
      </c>
      <c r="B80" s="128" t="s">
        <v>226</v>
      </c>
      <c r="C80" s="129" t="s">
        <v>18</v>
      </c>
      <c r="D80" s="131" t="s">
        <v>231</v>
      </c>
      <c r="E80" s="129">
        <v>0.4</v>
      </c>
      <c r="F80" s="133" t="s">
        <v>170</v>
      </c>
      <c r="G80" s="134" t="s">
        <v>131</v>
      </c>
      <c r="H80" t="str">
        <f t="shared" si="6"/>
        <v>Ballast Input Watts</v>
      </c>
      <c r="I80" s="63" t="str">
        <f>IF(H80="","",$A$80&amp;H80)</f>
        <v>Linear Fluorescent Ballasts (non-CEE/NEMA certified)Ballast Input Watts</v>
      </c>
    </row>
    <row r="81" spans="1:9" x14ac:dyDescent="0.3">
      <c r="A81" s="230"/>
      <c r="B81" s="66" t="s">
        <v>228</v>
      </c>
      <c r="C81" s="70" t="s">
        <v>18</v>
      </c>
      <c r="D81" s="98" t="s">
        <v>232</v>
      </c>
      <c r="E81" s="70" t="s">
        <v>121</v>
      </c>
      <c r="F81" s="132" t="s">
        <v>171</v>
      </c>
      <c r="G81" s="101" t="s">
        <v>172</v>
      </c>
      <c r="H81" t="str">
        <f t="shared" si="6"/>
        <v>Ballast Factor</v>
      </c>
      <c r="I81" s="63" t="str">
        <f t="shared" ref="I81:I82" si="12">IF(H81="","",$A$80&amp;H81)</f>
        <v>Linear Fluorescent Ballasts (non-CEE/NEMA certified)Ballast Factor</v>
      </c>
    </row>
    <row r="82" spans="1:9" x14ac:dyDescent="0.3">
      <c r="A82" s="230"/>
      <c r="B82" s="234" t="s">
        <v>32</v>
      </c>
      <c r="C82" s="225" t="s">
        <v>10</v>
      </c>
      <c r="D82" s="98" t="s">
        <v>11</v>
      </c>
      <c r="E82" s="225">
        <v>1.6031250000000001</v>
      </c>
      <c r="F82" s="100" t="s">
        <v>173</v>
      </c>
      <c r="G82" s="46" t="s">
        <v>133</v>
      </c>
      <c r="H82" t="str">
        <f t="shared" si="6"/>
        <v>Dimmable</v>
      </c>
      <c r="I82" s="63" t="str">
        <f t="shared" si="12"/>
        <v>Linear Fluorescent Ballasts (non-CEE/NEMA certified)Dimmable</v>
      </c>
    </row>
    <row r="83" spans="1:9" x14ac:dyDescent="0.3">
      <c r="A83" s="230"/>
      <c r="B83" s="234"/>
      <c r="C83" s="225"/>
      <c r="D83" s="96" t="s">
        <v>12</v>
      </c>
      <c r="E83" s="225"/>
      <c r="F83" s="102" t="s">
        <v>174</v>
      </c>
      <c r="G83" s="74" t="s">
        <v>134</v>
      </c>
      <c r="I83" s="63" t="str">
        <f>IF(H83="","",$A$18&amp;H83)</f>
        <v/>
      </c>
    </row>
    <row r="84" spans="1:9" x14ac:dyDescent="0.3">
      <c r="A84" s="230"/>
      <c r="B84" s="234" t="s">
        <v>233</v>
      </c>
      <c r="C84" s="225" t="s">
        <v>10</v>
      </c>
      <c r="D84" s="98" t="s">
        <v>11</v>
      </c>
      <c r="E84" s="225">
        <v>-6.6601041666666667</v>
      </c>
      <c r="F84" s="100" t="s">
        <v>175</v>
      </c>
      <c r="G84" s="75" t="s">
        <v>135</v>
      </c>
      <c r="H84" t="str">
        <f t="shared" ref="H84:H141" si="13">B84</f>
        <v>Electronic Instant Start</v>
      </c>
      <c r="I84" s="63" t="str">
        <f>IF(H84="","",$A$80&amp;H84)</f>
        <v>Linear Fluorescent Ballasts (non-CEE/NEMA certified)Electronic Instant Start</v>
      </c>
    </row>
    <row r="85" spans="1:9" x14ac:dyDescent="0.3">
      <c r="A85" s="230"/>
      <c r="B85" s="234"/>
      <c r="C85" s="225"/>
      <c r="D85" s="96" t="s">
        <v>12</v>
      </c>
      <c r="E85" s="225"/>
      <c r="F85" s="103">
        <v>63</v>
      </c>
      <c r="G85" s="127" t="s">
        <v>121</v>
      </c>
      <c r="I85" s="63" t="str">
        <f>IF(H85="","",$A$18&amp;H85)</f>
        <v/>
      </c>
    </row>
    <row r="86" spans="1:9" x14ac:dyDescent="0.3">
      <c r="A86" s="230"/>
      <c r="B86" s="234" t="s">
        <v>234</v>
      </c>
      <c r="C86" s="225" t="s">
        <v>10</v>
      </c>
      <c r="D86" s="98" t="s">
        <v>11</v>
      </c>
      <c r="E86" s="225">
        <v>7.9276530612244898</v>
      </c>
      <c r="F86" s="100" t="s">
        <v>176</v>
      </c>
      <c r="G86" s="75" t="s">
        <v>24</v>
      </c>
      <c r="H86" t="str">
        <f t="shared" si="13"/>
        <v>Magnetic Rapid Start</v>
      </c>
      <c r="I86" s="63" t="str">
        <f>IF(H86="","",$A$80&amp;H86)</f>
        <v>Linear Fluorescent Ballasts (non-CEE/NEMA certified)Magnetic Rapid Start</v>
      </c>
    </row>
    <row r="87" spans="1:9" x14ac:dyDescent="0.3">
      <c r="A87" s="230"/>
      <c r="B87" s="234"/>
      <c r="C87" s="225"/>
      <c r="D87" s="96" t="s">
        <v>12</v>
      </c>
      <c r="E87" s="225"/>
      <c r="F87" s="68">
        <v>0.82299999999999995</v>
      </c>
      <c r="G87" s="104">
        <v>14.69</v>
      </c>
      <c r="I87" s="63" t="str">
        <f>IF(H87="","",$A$18&amp;H87)</f>
        <v/>
      </c>
    </row>
    <row r="88" spans="1:9" x14ac:dyDescent="0.3">
      <c r="A88" s="230"/>
      <c r="B88" s="244" t="s">
        <v>108</v>
      </c>
      <c r="C88" s="111"/>
      <c r="D88" s="48"/>
      <c r="E88" s="111"/>
      <c r="F88" s="105" t="s">
        <v>177</v>
      </c>
      <c r="G88" s="46" t="s">
        <v>136</v>
      </c>
      <c r="I88" s="63" t="str">
        <f>IF(H88="","",$A$18&amp;H88)</f>
        <v/>
      </c>
    </row>
    <row r="89" spans="1:9" ht="15" thickBot="1" x14ac:dyDescent="0.35">
      <c r="A89" s="230"/>
      <c r="B89" s="245"/>
      <c r="C89" s="111"/>
      <c r="D89" s="48"/>
      <c r="E89" s="111"/>
      <c r="F89" s="68">
        <v>20.73</v>
      </c>
      <c r="G89" s="107">
        <v>0</v>
      </c>
      <c r="I89" s="63" t="str">
        <f>IF(H89="","",$A$18&amp;H89)</f>
        <v/>
      </c>
    </row>
    <row r="90" spans="1:9" ht="24" thickBot="1" x14ac:dyDescent="0.35">
      <c r="A90" s="53" t="s">
        <v>235</v>
      </c>
      <c r="B90" s="54"/>
      <c r="C90" s="119"/>
      <c r="D90" s="120"/>
      <c r="E90" s="120"/>
      <c r="F90" s="50"/>
      <c r="G90" s="50"/>
      <c r="I90" s="63" t="str">
        <f>IF(H90="","",$A$18&amp;H90)</f>
        <v/>
      </c>
    </row>
    <row r="91" spans="1:9" x14ac:dyDescent="0.3">
      <c r="A91" s="226" t="s">
        <v>288</v>
      </c>
      <c r="B91" s="128" t="s">
        <v>236</v>
      </c>
      <c r="C91" s="135" t="s">
        <v>18</v>
      </c>
      <c r="D91" s="136" t="s">
        <v>237</v>
      </c>
      <c r="E91" s="152">
        <v>1.62</v>
      </c>
      <c r="F91" s="133" t="s">
        <v>170</v>
      </c>
      <c r="G91" s="134" t="s">
        <v>131</v>
      </c>
      <c r="H91" t="str">
        <f t="shared" si="13"/>
        <v>Fixture length (inches)</v>
      </c>
      <c r="I91" s="63" t="str">
        <f>IF(H91="","",$A$91&amp;H91)</f>
        <v>General Service Linear Fluorescent Fixtures (recessed w/cover)Fixture length (inches)</v>
      </c>
    </row>
    <row r="92" spans="1:9" x14ac:dyDescent="0.3">
      <c r="A92" s="227"/>
      <c r="B92" s="66" t="s">
        <v>238</v>
      </c>
      <c r="C92" s="110" t="s">
        <v>18</v>
      </c>
      <c r="D92" s="96" t="s">
        <v>239</v>
      </c>
      <c r="E92" s="102">
        <v>-0.17100000000000001</v>
      </c>
      <c r="F92" s="90" t="s">
        <v>186</v>
      </c>
      <c r="G92" s="101" t="s">
        <v>172</v>
      </c>
      <c r="H92" t="str">
        <f t="shared" si="13"/>
        <v>Maximum Ballast Input Watts</v>
      </c>
      <c r="I92" s="63" t="str">
        <f t="shared" ref="I92:I105" si="14">IF(H92="","",$A$91&amp;H92)</f>
        <v>General Service Linear Fluorescent Fixtures (recessed w/cover)Maximum Ballast Input Watts</v>
      </c>
    </row>
    <row r="93" spans="1:9" x14ac:dyDescent="0.3">
      <c r="A93" s="227"/>
      <c r="B93" s="234" t="s">
        <v>240</v>
      </c>
      <c r="C93" s="225" t="s">
        <v>10</v>
      </c>
      <c r="D93" s="98" t="s">
        <v>209</v>
      </c>
      <c r="E93" s="132">
        <v>33.167999999999999</v>
      </c>
      <c r="F93" s="100" t="s">
        <v>173</v>
      </c>
      <c r="G93" s="46" t="s">
        <v>133</v>
      </c>
      <c r="H93" t="str">
        <f>$B$93&amp;D93</f>
        <v xml:space="preserve">Luminaire type - direct/indirectYes </v>
      </c>
      <c r="I93" s="63" t="str">
        <f t="shared" si="14"/>
        <v xml:space="preserve">General Service Linear Fluorescent Fixtures (recessed w/cover)Luminaire type - direct/indirectYes </v>
      </c>
    </row>
    <row r="94" spans="1:9" x14ac:dyDescent="0.3">
      <c r="A94" s="227"/>
      <c r="B94" s="234"/>
      <c r="C94" s="225"/>
      <c r="D94" s="98" t="s">
        <v>12</v>
      </c>
      <c r="E94" s="132">
        <v>0</v>
      </c>
      <c r="F94" s="102" t="s">
        <v>174</v>
      </c>
      <c r="G94" s="74" t="s">
        <v>134</v>
      </c>
      <c r="H94" t="str">
        <f>$B$93&amp;D94</f>
        <v>Luminaire type - direct/indirectNo</v>
      </c>
      <c r="I94" s="63" t="str">
        <f t="shared" si="14"/>
        <v>General Service Linear Fluorescent Fixtures (recessed w/cover)Luminaire type - direct/indirectNo</v>
      </c>
    </row>
    <row r="95" spans="1:9" x14ac:dyDescent="0.3">
      <c r="A95" s="227"/>
      <c r="B95" s="234" t="s">
        <v>241</v>
      </c>
      <c r="C95" s="225" t="s">
        <v>10</v>
      </c>
      <c r="D95" s="98" t="s">
        <v>209</v>
      </c>
      <c r="E95" s="132">
        <v>117.697</v>
      </c>
      <c r="F95" s="100" t="s">
        <v>175</v>
      </c>
      <c r="G95" s="75" t="s">
        <v>135</v>
      </c>
      <c r="H95" t="str">
        <f>$B$95&amp;D95</f>
        <v xml:space="preserve">Luminaire type - troughYes </v>
      </c>
      <c r="I95" s="63" t="str">
        <f t="shared" si="14"/>
        <v xml:space="preserve">General Service Linear Fluorescent Fixtures (recessed w/cover)Luminaire type - troughYes </v>
      </c>
    </row>
    <row r="96" spans="1:9" x14ac:dyDescent="0.3">
      <c r="A96" s="227"/>
      <c r="B96" s="234"/>
      <c r="C96" s="225"/>
      <c r="D96" s="98" t="s">
        <v>12</v>
      </c>
      <c r="E96" s="132">
        <v>0</v>
      </c>
      <c r="F96" s="103">
        <v>139</v>
      </c>
      <c r="G96" s="127" t="s">
        <v>121</v>
      </c>
      <c r="H96" t="str">
        <f>$B$95&amp;D96</f>
        <v>Luminaire type - troughNo</v>
      </c>
      <c r="I96" s="63" t="str">
        <f t="shared" si="14"/>
        <v>General Service Linear Fluorescent Fixtures (recessed w/cover)Luminaire type - troughNo</v>
      </c>
    </row>
    <row r="97" spans="1:9" x14ac:dyDescent="0.3">
      <c r="A97" s="227"/>
      <c r="B97" s="234" t="s">
        <v>242</v>
      </c>
      <c r="C97" s="225" t="s">
        <v>2</v>
      </c>
      <c r="D97" s="137" t="s">
        <v>243</v>
      </c>
      <c r="E97" s="90">
        <v>38.317</v>
      </c>
      <c r="F97" s="100" t="s">
        <v>176</v>
      </c>
      <c r="G97" s="75" t="s">
        <v>24</v>
      </c>
      <c r="H97" t="str">
        <f>$B$97&amp;D97</f>
        <v>Lamp typeT5</v>
      </c>
      <c r="I97" s="63" t="str">
        <f t="shared" si="14"/>
        <v>General Service Linear Fluorescent Fixtures (recessed w/cover)Lamp typeT5</v>
      </c>
    </row>
    <row r="98" spans="1:9" x14ac:dyDescent="0.3">
      <c r="A98" s="227"/>
      <c r="B98" s="234"/>
      <c r="C98" s="225"/>
      <c r="D98" s="137" t="s">
        <v>244</v>
      </c>
      <c r="E98" s="90">
        <v>0</v>
      </c>
      <c r="F98" s="68">
        <v>0.80800000000000005</v>
      </c>
      <c r="G98" s="150">
        <v>25.315000000000001</v>
      </c>
      <c r="H98" t="str">
        <f>$B$97&amp;D98</f>
        <v>Lamp typeT8</v>
      </c>
      <c r="I98" s="63" t="str">
        <f t="shared" si="14"/>
        <v>General Service Linear Fluorescent Fixtures (recessed w/cover)Lamp typeT8</v>
      </c>
    </row>
    <row r="99" spans="1:9" x14ac:dyDescent="0.3">
      <c r="A99" s="227"/>
      <c r="B99" s="234" t="s">
        <v>245</v>
      </c>
      <c r="C99" s="225" t="s">
        <v>10</v>
      </c>
      <c r="D99" s="98" t="s">
        <v>209</v>
      </c>
      <c r="E99" s="132">
        <v>123.247</v>
      </c>
      <c r="F99" s="105" t="s">
        <v>177</v>
      </c>
      <c r="G99" s="46" t="s">
        <v>136</v>
      </c>
      <c r="H99" t="str">
        <f>$B$99&amp;D99</f>
        <v xml:space="preserve">Dimmable ballastYes </v>
      </c>
      <c r="I99" s="63" t="str">
        <f t="shared" si="14"/>
        <v xml:space="preserve">General Service Linear Fluorescent Fixtures (recessed w/cover)Dimmable ballastYes </v>
      </c>
    </row>
    <row r="100" spans="1:9" x14ac:dyDescent="0.3">
      <c r="A100" s="227"/>
      <c r="B100" s="234"/>
      <c r="C100" s="225"/>
      <c r="D100" s="98" t="s">
        <v>12</v>
      </c>
      <c r="E100" s="132">
        <v>0</v>
      </c>
      <c r="F100" s="68">
        <v>29.15</v>
      </c>
      <c r="G100" s="47">
        <v>0.25</v>
      </c>
      <c r="H100" t="str">
        <f>$B$99&amp;D100</f>
        <v>Dimmable ballastNo</v>
      </c>
      <c r="I100" s="63" t="str">
        <f t="shared" si="14"/>
        <v>General Service Linear Fluorescent Fixtures (recessed w/cover)Dimmable ballastNo</v>
      </c>
    </row>
    <row r="101" spans="1:9" x14ac:dyDescent="0.3">
      <c r="A101" s="227"/>
      <c r="B101" s="234" t="s">
        <v>246</v>
      </c>
      <c r="C101" s="225" t="s">
        <v>10</v>
      </c>
      <c r="D101" s="98" t="s">
        <v>209</v>
      </c>
      <c r="E101" s="225">
        <v>9.1979496402877707</v>
      </c>
      <c r="F101" s="48"/>
      <c r="G101" s="48"/>
      <c r="H101" t="str">
        <f t="shared" si="13"/>
        <v>Manufacturer - Lamar</v>
      </c>
      <c r="I101" s="63" t="str">
        <f t="shared" si="14"/>
        <v>General Service Linear Fluorescent Fixtures (recessed w/cover)Manufacturer - Lamar</v>
      </c>
    </row>
    <row r="102" spans="1:9" x14ac:dyDescent="0.3">
      <c r="A102" s="227"/>
      <c r="B102" s="234"/>
      <c r="C102" s="225"/>
      <c r="D102" s="98" t="s">
        <v>12</v>
      </c>
      <c r="E102" s="225"/>
      <c r="F102" s="48"/>
      <c r="G102" s="48"/>
      <c r="I102" s="63" t="str">
        <f t="shared" si="14"/>
        <v/>
      </c>
    </row>
    <row r="103" spans="1:9" x14ac:dyDescent="0.3">
      <c r="A103" s="227"/>
      <c r="B103" s="234" t="s">
        <v>247</v>
      </c>
      <c r="C103" s="225" t="s">
        <v>10</v>
      </c>
      <c r="D103" s="98" t="s">
        <v>209</v>
      </c>
      <c r="E103" s="225">
        <v>17.828417266187049</v>
      </c>
      <c r="F103" s="48"/>
      <c r="G103" s="48"/>
      <c r="H103" t="str">
        <f t="shared" si="13"/>
        <v>Manufacturer - Litolier</v>
      </c>
      <c r="I103" s="63" t="str">
        <f t="shared" si="14"/>
        <v>General Service Linear Fluorescent Fixtures (recessed w/cover)Manufacturer - Litolier</v>
      </c>
    </row>
    <row r="104" spans="1:9" x14ac:dyDescent="0.3">
      <c r="A104" s="227"/>
      <c r="B104" s="234"/>
      <c r="C104" s="225"/>
      <c r="D104" s="98" t="s">
        <v>12</v>
      </c>
      <c r="E104" s="225"/>
      <c r="F104" s="48"/>
      <c r="G104" s="48"/>
      <c r="I104" s="63" t="str">
        <f t="shared" si="14"/>
        <v/>
      </c>
    </row>
    <row r="105" spans="1:9" x14ac:dyDescent="0.3">
      <c r="A105" s="227"/>
      <c r="B105" s="234" t="s">
        <v>248</v>
      </c>
      <c r="C105" s="225" t="s">
        <v>10</v>
      </c>
      <c r="D105" s="98" t="s">
        <v>209</v>
      </c>
      <c r="E105" s="225">
        <v>5.6273741007194245</v>
      </c>
      <c r="F105" s="48"/>
      <c r="G105" s="48"/>
      <c r="H105" t="str">
        <f t="shared" si="13"/>
        <v>Manufacturer - Mercury</v>
      </c>
      <c r="I105" s="63" t="str">
        <f t="shared" si="14"/>
        <v>General Service Linear Fluorescent Fixtures (recessed w/cover)Manufacturer - Mercury</v>
      </c>
    </row>
    <row r="106" spans="1:9" x14ac:dyDescent="0.3">
      <c r="A106" s="227"/>
      <c r="B106" s="235"/>
      <c r="C106" s="236"/>
      <c r="D106" s="125" t="s">
        <v>12</v>
      </c>
      <c r="E106" s="236"/>
      <c r="F106" s="48"/>
      <c r="G106" s="48"/>
      <c r="I106" s="63" t="str">
        <f>IF(H106="","",$A$18&amp;H106)</f>
        <v/>
      </c>
    </row>
    <row r="107" spans="1:9" ht="15" thickBot="1" x14ac:dyDescent="0.35">
      <c r="A107" s="240"/>
      <c r="B107" s="138"/>
      <c r="C107" s="139"/>
      <c r="D107" s="140"/>
      <c r="E107" s="140"/>
      <c r="F107" s="48"/>
      <c r="G107" s="48"/>
      <c r="I107" s="63" t="str">
        <f>IF(H107="","",$A$18&amp;H107)</f>
        <v/>
      </c>
    </row>
    <row r="108" spans="1:9" ht="15" thickBot="1" x14ac:dyDescent="0.35">
      <c r="A108" s="117"/>
      <c r="B108" s="121"/>
      <c r="C108" s="122"/>
      <c r="D108" s="123"/>
      <c r="E108" s="123"/>
      <c r="F108" s="126"/>
      <c r="G108" s="126"/>
      <c r="I108" s="63" t="str">
        <f>IF(H108="","",$A$18&amp;H108)</f>
        <v/>
      </c>
    </row>
    <row r="109" spans="1:9" x14ac:dyDescent="0.3">
      <c r="A109" s="229" t="s">
        <v>289</v>
      </c>
      <c r="B109" s="66" t="s">
        <v>238</v>
      </c>
      <c r="C109" s="135" t="s">
        <v>18</v>
      </c>
      <c r="D109" s="131" t="s">
        <v>249</v>
      </c>
      <c r="E109" s="132">
        <v>0.374</v>
      </c>
      <c r="F109" s="133" t="s">
        <v>170</v>
      </c>
      <c r="G109" s="134" t="s">
        <v>131</v>
      </c>
      <c r="H109" t="str">
        <f t="shared" si="13"/>
        <v>Maximum Ballast Input Watts</v>
      </c>
      <c r="I109" s="63" t="str">
        <f>IF(H109="","",$A$109&amp;H109)</f>
        <v>General Service Linear Fluorescent Fixtures (recessed no cover)Maximum Ballast Input Watts</v>
      </c>
    </row>
    <row r="110" spans="1:9" x14ac:dyDescent="0.3">
      <c r="A110" s="243"/>
      <c r="B110" s="235" t="s">
        <v>250</v>
      </c>
      <c r="C110" s="225" t="s">
        <v>10</v>
      </c>
      <c r="D110" s="98" t="s">
        <v>209</v>
      </c>
      <c r="E110" s="132">
        <v>-81.233000000000004</v>
      </c>
      <c r="F110" s="90" t="s">
        <v>186</v>
      </c>
      <c r="G110" s="101" t="s">
        <v>172</v>
      </c>
      <c r="H110" t="str">
        <f>$B$110&amp;D110</f>
        <v xml:space="preserve">Luminaire type - parabolic trofferYes </v>
      </c>
      <c r="I110" s="63" t="str">
        <f t="shared" ref="I110:I118" si="15">IF(H110="","",$A$109&amp;H110)</f>
        <v xml:space="preserve">General Service Linear Fluorescent Fixtures (recessed no cover)Luminaire type - parabolic trofferYes </v>
      </c>
    </row>
    <row r="111" spans="1:9" x14ac:dyDescent="0.3">
      <c r="A111" s="243"/>
      <c r="B111" s="242"/>
      <c r="C111" s="225"/>
      <c r="D111" s="98" t="s">
        <v>12</v>
      </c>
      <c r="E111" s="132">
        <v>0</v>
      </c>
      <c r="F111" s="100" t="s">
        <v>173</v>
      </c>
      <c r="G111" s="46" t="s">
        <v>133</v>
      </c>
      <c r="H111" t="str">
        <f>$B$110&amp;D111</f>
        <v>Luminaire type - parabolic trofferNo</v>
      </c>
      <c r="I111" s="63" t="str">
        <f t="shared" si="15"/>
        <v>General Service Linear Fluorescent Fixtures (recessed no cover)Luminaire type - parabolic trofferNo</v>
      </c>
    </row>
    <row r="112" spans="1:9" x14ac:dyDescent="0.3">
      <c r="A112" s="243"/>
      <c r="B112" s="235" t="s">
        <v>251</v>
      </c>
      <c r="C112" s="225" t="s">
        <v>10</v>
      </c>
      <c r="D112" s="98" t="s">
        <v>209</v>
      </c>
      <c r="E112" s="132">
        <v>-37.993000000000002</v>
      </c>
      <c r="F112" s="102" t="s">
        <v>174</v>
      </c>
      <c r="G112" s="74" t="s">
        <v>134</v>
      </c>
      <c r="H112" t="str">
        <f>$B$112&amp;D112</f>
        <v xml:space="preserve">Luminaire type - trofferYes </v>
      </c>
      <c r="I112" s="63" t="str">
        <f t="shared" si="15"/>
        <v xml:space="preserve">General Service Linear Fluorescent Fixtures (recessed no cover)Luminaire type - trofferYes </v>
      </c>
    </row>
    <row r="113" spans="1:9" x14ac:dyDescent="0.3">
      <c r="A113" s="243"/>
      <c r="B113" s="242"/>
      <c r="C113" s="225"/>
      <c r="D113" s="98" t="s">
        <v>12</v>
      </c>
      <c r="E113" s="132">
        <v>0</v>
      </c>
      <c r="F113" s="100" t="s">
        <v>175</v>
      </c>
      <c r="G113" s="75" t="s">
        <v>135</v>
      </c>
      <c r="H113" t="str">
        <f>$B$112&amp;D113</f>
        <v>Luminaire type - trofferNo</v>
      </c>
      <c r="I113" s="63" t="str">
        <f t="shared" si="15"/>
        <v>General Service Linear Fluorescent Fixtures (recessed no cover)Luminaire type - trofferNo</v>
      </c>
    </row>
    <row r="114" spans="1:9" x14ac:dyDescent="0.3">
      <c r="A114" s="243"/>
      <c r="B114" s="235" t="s">
        <v>252</v>
      </c>
      <c r="C114" s="225" t="s">
        <v>2</v>
      </c>
      <c r="D114" s="137" t="s">
        <v>253</v>
      </c>
      <c r="E114" s="132">
        <v>62.216999999999999</v>
      </c>
      <c r="F114" s="103">
        <v>176</v>
      </c>
      <c r="G114" s="127" t="s">
        <v>121</v>
      </c>
      <c r="H114" t="str">
        <f>$B$114&amp;D114</f>
        <v>Ballast start typeProgrammed rapid start</v>
      </c>
      <c r="I114" s="63" t="str">
        <f t="shared" si="15"/>
        <v>General Service Linear Fluorescent Fixtures (recessed no cover)Ballast start typeProgrammed rapid start</v>
      </c>
    </row>
    <row r="115" spans="1:9" x14ac:dyDescent="0.3">
      <c r="A115" s="243"/>
      <c r="B115" s="242"/>
      <c r="C115" s="225"/>
      <c r="D115" s="137" t="s">
        <v>254</v>
      </c>
      <c r="E115" s="132">
        <v>0</v>
      </c>
      <c r="F115" s="100" t="s">
        <v>176</v>
      </c>
      <c r="G115" s="75" t="s">
        <v>24</v>
      </c>
      <c r="H115" t="str">
        <f>$B$114&amp;D115</f>
        <v>Ballast start typeInstant start</v>
      </c>
      <c r="I115" s="63" t="str">
        <f t="shared" si="15"/>
        <v>General Service Linear Fluorescent Fixtures (recessed no cover)Ballast start typeInstant start</v>
      </c>
    </row>
    <row r="116" spans="1:9" x14ac:dyDescent="0.3">
      <c r="A116" s="243"/>
      <c r="B116" s="234" t="s">
        <v>245</v>
      </c>
      <c r="C116" s="225" t="s">
        <v>10</v>
      </c>
      <c r="D116" s="98" t="s">
        <v>209</v>
      </c>
      <c r="E116" s="132">
        <v>120.989</v>
      </c>
      <c r="F116" s="68">
        <v>0.63400000000000001</v>
      </c>
      <c r="G116" s="150">
        <v>160.30000000000001</v>
      </c>
      <c r="H116" t="str">
        <f>$B$116&amp;D116</f>
        <v xml:space="preserve">Dimmable ballastYes </v>
      </c>
      <c r="I116" s="63" t="str">
        <f t="shared" si="15"/>
        <v xml:space="preserve">General Service Linear Fluorescent Fixtures (recessed no cover)Dimmable ballastYes </v>
      </c>
    </row>
    <row r="117" spans="1:9" x14ac:dyDescent="0.3">
      <c r="A117" s="243"/>
      <c r="B117" s="234"/>
      <c r="C117" s="225"/>
      <c r="D117" s="98" t="s">
        <v>12</v>
      </c>
      <c r="E117" s="132">
        <v>0</v>
      </c>
      <c r="F117" s="105" t="s">
        <v>177</v>
      </c>
      <c r="G117" s="46" t="s">
        <v>136</v>
      </c>
      <c r="H117" t="str">
        <f>$B$116&amp;D117</f>
        <v>Dimmable ballastNo</v>
      </c>
      <c r="I117" s="63" t="str">
        <f t="shared" si="15"/>
        <v>General Service Linear Fluorescent Fixtures (recessed no cover)Dimmable ballastNo</v>
      </c>
    </row>
    <row r="118" spans="1:9" x14ac:dyDescent="0.3">
      <c r="A118" s="243"/>
      <c r="B118" s="235" t="s">
        <v>255</v>
      </c>
      <c r="C118" s="225" t="s">
        <v>10</v>
      </c>
      <c r="D118" s="98" t="s">
        <v>209</v>
      </c>
      <c r="E118" s="225">
        <v>1.8493977272727271</v>
      </c>
      <c r="F118" s="68">
        <v>31.66</v>
      </c>
      <c r="G118" s="47">
        <v>0.25</v>
      </c>
      <c r="H118" t="str">
        <f t="shared" si="13"/>
        <v>Louvered cover</v>
      </c>
      <c r="I118" s="63" t="str">
        <f t="shared" si="15"/>
        <v>General Service Linear Fluorescent Fixtures (recessed no cover)Louvered cover</v>
      </c>
    </row>
    <row r="119" spans="1:9" x14ac:dyDescent="0.3">
      <c r="A119" s="243"/>
      <c r="B119" s="242"/>
      <c r="C119" s="225"/>
      <c r="D119" s="98" t="s">
        <v>12</v>
      </c>
      <c r="E119" s="225"/>
      <c r="F119" s="48"/>
      <c r="G119" s="48"/>
      <c r="I119" s="63" t="str">
        <f>IF(H119="","",$A$18&amp;H119)</f>
        <v/>
      </c>
    </row>
    <row r="120" spans="1:9" x14ac:dyDescent="0.3">
      <c r="A120" s="243"/>
      <c r="B120" s="235" t="s">
        <v>256</v>
      </c>
      <c r="C120" s="225" t="s">
        <v>10</v>
      </c>
      <c r="D120" s="98" t="s">
        <v>209</v>
      </c>
      <c r="E120" s="132">
        <v>151.69300000000001</v>
      </c>
      <c r="F120" s="48"/>
      <c r="G120" s="48"/>
      <c r="H120" t="str">
        <f>$B$120&amp;D120</f>
        <v xml:space="preserve">Size 96 inchesYes </v>
      </c>
      <c r="I120" s="63" t="str">
        <f t="shared" ref="I120:I122" si="16">IF(H120="","",$A$109&amp;H120)</f>
        <v xml:space="preserve">General Service Linear Fluorescent Fixtures (recessed no cover)Size 96 inchesYes </v>
      </c>
    </row>
    <row r="121" spans="1:9" x14ac:dyDescent="0.3">
      <c r="A121" s="243"/>
      <c r="B121" s="242"/>
      <c r="C121" s="225"/>
      <c r="D121" s="98" t="s">
        <v>12</v>
      </c>
      <c r="E121" s="132">
        <v>0</v>
      </c>
      <c r="F121" s="48"/>
      <c r="G121" s="48"/>
      <c r="H121" t="str">
        <f>$B$120&amp;D121</f>
        <v>Size 96 inchesNo</v>
      </c>
      <c r="I121" s="63" t="str">
        <f t="shared" si="16"/>
        <v>General Service Linear Fluorescent Fixtures (recessed no cover)Size 96 inchesNo</v>
      </c>
    </row>
    <row r="122" spans="1:9" x14ac:dyDescent="0.3">
      <c r="A122" s="243"/>
      <c r="B122" s="235" t="s">
        <v>246</v>
      </c>
      <c r="C122" s="225" t="s">
        <v>10</v>
      </c>
      <c r="D122" s="98" t="s">
        <v>209</v>
      </c>
      <c r="E122" s="225">
        <v>5.4131022727272722</v>
      </c>
      <c r="F122" s="48"/>
      <c r="G122" s="48"/>
      <c r="H122" t="str">
        <f t="shared" si="13"/>
        <v>Manufacturer - Lamar</v>
      </c>
      <c r="I122" s="63" t="str">
        <f t="shared" si="16"/>
        <v>General Service Linear Fluorescent Fixtures (recessed no cover)Manufacturer - Lamar</v>
      </c>
    </row>
    <row r="123" spans="1:9" x14ac:dyDescent="0.3">
      <c r="A123" s="243"/>
      <c r="B123" s="242"/>
      <c r="C123" s="225"/>
      <c r="D123" s="98" t="s">
        <v>12</v>
      </c>
      <c r="E123" s="225"/>
      <c r="F123" s="48"/>
      <c r="G123" s="48"/>
      <c r="I123" s="63" t="str">
        <f>IF(H123="","",$A$18&amp;H123)</f>
        <v/>
      </c>
    </row>
    <row r="124" spans="1:9" x14ac:dyDescent="0.3">
      <c r="A124" s="243"/>
      <c r="B124" s="235" t="s">
        <v>247</v>
      </c>
      <c r="C124" s="225" t="s">
        <v>18</v>
      </c>
      <c r="D124" s="98" t="s">
        <v>209</v>
      </c>
      <c r="E124" s="225">
        <v>11.111238636363638</v>
      </c>
      <c r="F124" s="48"/>
      <c r="G124" s="48"/>
      <c r="H124" t="str">
        <f t="shared" si="13"/>
        <v>Manufacturer - Litolier</v>
      </c>
      <c r="I124" s="63" t="str">
        <f>IF(H124="","",$A$109&amp;H124)</f>
        <v>General Service Linear Fluorescent Fixtures (recessed no cover)Manufacturer - Litolier</v>
      </c>
    </row>
    <row r="125" spans="1:9" ht="15" thickBot="1" x14ac:dyDescent="0.35">
      <c r="A125" s="243"/>
      <c r="B125" s="242"/>
      <c r="C125" s="236"/>
      <c r="D125" s="125" t="s">
        <v>12</v>
      </c>
      <c r="E125" s="225"/>
      <c r="F125" s="48"/>
      <c r="G125" s="48"/>
      <c r="I125" s="63" t="str">
        <f>IF(H125="","",$A$18&amp;H125)</f>
        <v/>
      </c>
    </row>
    <row r="126" spans="1:9" ht="15" thickBot="1" x14ac:dyDescent="0.35">
      <c r="A126" s="117"/>
      <c r="B126" s="121"/>
      <c r="C126" s="122"/>
      <c r="D126" s="123"/>
      <c r="E126" s="123"/>
      <c r="F126" s="126"/>
      <c r="G126" s="126"/>
      <c r="I126" s="63" t="str">
        <f>IF(H126="","",$A$18&amp;H126)</f>
        <v/>
      </c>
    </row>
    <row r="127" spans="1:9" x14ac:dyDescent="0.3">
      <c r="A127" s="226" t="s">
        <v>290</v>
      </c>
      <c r="B127" s="66" t="s">
        <v>238</v>
      </c>
      <c r="C127" s="135" t="s">
        <v>18</v>
      </c>
      <c r="D127" s="136" t="s">
        <v>257</v>
      </c>
      <c r="E127" s="132">
        <v>0.16200000000000001</v>
      </c>
      <c r="F127" s="133" t="s">
        <v>170</v>
      </c>
      <c r="G127" s="134" t="s">
        <v>131</v>
      </c>
      <c r="H127" t="str">
        <f t="shared" si="13"/>
        <v>Maximum Ballast Input Watts</v>
      </c>
      <c r="I127" s="63" t="str">
        <f t="shared" ref="I127:I145" si="17">IF(H127="","",$A$127&amp;H127)</f>
        <v>General Service Linear Fluorescent Fixtures (surface mounted)Maximum Ballast Input Watts</v>
      </c>
    </row>
    <row r="128" spans="1:9" x14ac:dyDescent="0.3">
      <c r="A128" s="227"/>
      <c r="B128" s="82" t="s">
        <v>236</v>
      </c>
      <c r="C128" s="110" t="s">
        <v>18</v>
      </c>
      <c r="D128" s="96" t="s">
        <v>237</v>
      </c>
      <c r="E128" s="132">
        <v>0.55800000000000005</v>
      </c>
      <c r="F128" s="90" t="s">
        <v>186</v>
      </c>
      <c r="G128" s="101" t="s">
        <v>172</v>
      </c>
      <c r="H128" t="str">
        <f t="shared" si="13"/>
        <v>Fixture length (inches)</v>
      </c>
      <c r="I128" s="63" t="str">
        <f t="shared" si="17"/>
        <v>General Service Linear Fluorescent Fixtures (surface mounted)Fixture length (inches)</v>
      </c>
    </row>
    <row r="129" spans="1:9" x14ac:dyDescent="0.3">
      <c r="A129" s="227"/>
      <c r="B129" s="234" t="s">
        <v>240</v>
      </c>
      <c r="C129" s="225" t="s">
        <v>10</v>
      </c>
      <c r="D129" s="98" t="s">
        <v>209</v>
      </c>
      <c r="E129" s="132">
        <v>219.56</v>
      </c>
      <c r="F129" s="100" t="s">
        <v>173</v>
      </c>
      <c r="G129" s="46" t="s">
        <v>133</v>
      </c>
      <c r="H129" t="str">
        <f>$B$129&amp;D129</f>
        <v xml:space="preserve">Luminaire type - direct/indirectYes </v>
      </c>
      <c r="I129" s="63" t="str">
        <f t="shared" si="17"/>
        <v xml:space="preserve">General Service Linear Fluorescent Fixtures (surface mounted)Luminaire type - direct/indirectYes </v>
      </c>
    </row>
    <row r="130" spans="1:9" x14ac:dyDescent="0.3">
      <c r="A130" s="227"/>
      <c r="B130" s="234"/>
      <c r="C130" s="225"/>
      <c r="D130" s="98" t="s">
        <v>12</v>
      </c>
      <c r="E130" s="132">
        <v>0</v>
      </c>
      <c r="F130" s="102" t="s">
        <v>174</v>
      </c>
      <c r="G130" s="74" t="s">
        <v>134</v>
      </c>
      <c r="H130" t="str">
        <f>$B$129&amp;D130</f>
        <v>Luminaire type - direct/indirectNo</v>
      </c>
      <c r="I130" s="63" t="str">
        <f t="shared" si="17"/>
        <v>General Service Linear Fluorescent Fixtures (surface mounted)Luminaire type - direct/indirectNo</v>
      </c>
    </row>
    <row r="131" spans="1:9" x14ac:dyDescent="0.3">
      <c r="A131" s="227"/>
      <c r="B131" s="235" t="s">
        <v>250</v>
      </c>
      <c r="C131" s="225" t="s">
        <v>10</v>
      </c>
      <c r="D131" s="98" t="s">
        <v>209</v>
      </c>
      <c r="E131" s="132">
        <v>101.06</v>
      </c>
      <c r="F131" s="100" t="s">
        <v>175</v>
      </c>
      <c r="G131" s="75" t="s">
        <v>135</v>
      </c>
      <c r="H131" t="str">
        <f>$B$131&amp;D131</f>
        <v xml:space="preserve">Luminaire type - parabolic trofferYes </v>
      </c>
      <c r="I131" s="63" t="str">
        <f t="shared" si="17"/>
        <v xml:space="preserve">General Service Linear Fluorescent Fixtures (surface mounted)Luminaire type - parabolic trofferYes </v>
      </c>
    </row>
    <row r="132" spans="1:9" x14ac:dyDescent="0.3">
      <c r="A132" s="227"/>
      <c r="B132" s="242"/>
      <c r="C132" s="225"/>
      <c r="D132" s="98" t="s">
        <v>12</v>
      </c>
      <c r="E132" s="132">
        <v>0</v>
      </c>
      <c r="F132" s="103">
        <v>124</v>
      </c>
      <c r="G132" s="127" t="s">
        <v>121</v>
      </c>
      <c r="H132" t="str">
        <f>$B$131&amp;D132</f>
        <v>Luminaire type - parabolic trofferNo</v>
      </c>
      <c r="I132" s="63" t="str">
        <f t="shared" si="17"/>
        <v>General Service Linear Fluorescent Fixtures (surface mounted)Luminaire type - parabolic trofferNo</v>
      </c>
    </row>
    <row r="133" spans="1:9" x14ac:dyDescent="0.3">
      <c r="A133" s="227"/>
      <c r="B133" s="235" t="s">
        <v>251</v>
      </c>
      <c r="C133" s="225" t="s">
        <v>10</v>
      </c>
      <c r="D133" s="98" t="s">
        <v>209</v>
      </c>
      <c r="E133" s="132">
        <v>60.46</v>
      </c>
      <c r="F133" s="100" t="s">
        <v>176</v>
      </c>
      <c r="G133" s="75" t="s">
        <v>24</v>
      </c>
      <c r="H133" t="str">
        <f>$B$133&amp;D133</f>
        <v xml:space="preserve">Luminaire type - trofferYes </v>
      </c>
      <c r="I133" s="63" t="str">
        <f t="shared" si="17"/>
        <v xml:space="preserve">General Service Linear Fluorescent Fixtures (surface mounted)Luminaire type - trofferYes </v>
      </c>
    </row>
    <row r="134" spans="1:9" x14ac:dyDescent="0.3">
      <c r="A134" s="227"/>
      <c r="B134" s="242"/>
      <c r="C134" s="225"/>
      <c r="D134" s="98" t="s">
        <v>12</v>
      </c>
      <c r="E134" s="132">
        <v>0</v>
      </c>
      <c r="F134" s="68">
        <v>0.88400000000000001</v>
      </c>
      <c r="G134" s="104">
        <v>19.72</v>
      </c>
      <c r="H134" t="str">
        <f>$B$133&amp;D134</f>
        <v>Luminaire type - trofferNo</v>
      </c>
      <c r="I134" s="63" t="str">
        <f t="shared" si="17"/>
        <v>General Service Linear Fluorescent Fixtures (surface mounted)Luminaire type - trofferNo</v>
      </c>
    </row>
    <row r="135" spans="1:9" x14ac:dyDescent="0.3">
      <c r="A135" s="227"/>
      <c r="B135" s="235" t="s">
        <v>252</v>
      </c>
      <c r="C135" s="225" t="s">
        <v>2</v>
      </c>
      <c r="D135" s="137" t="s">
        <v>253</v>
      </c>
      <c r="E135" s="132">
        <v>54.49</v>
      </c>
      <c r="F135" s="105" t="s">
        <v>177</v>
      </c>
      <c r="G135" s="46" t="s">
        <v>136</v>
      </c>
      <c r="H135" t="str">
        <f>$B$135&amp;D135</f>
        <v>Ballast start typeProgrammed rapid start</v>
      </c>
      <c r="I135" s="63" t="str">
        <f t="shared" si="17"/>
        <v>General Service Linear Fluorescent Fixtures (surface mounted)Ballast start typeProgrammed rapid start</v>
      </c>
    </row>
    <row r="136" spans="1:9" x14ac:dyDescent="0.3">
      <c r="A136" s="227"/>
      <c r="B136" s="242"/>
      <c r="C136" s="225"/>
      <c r="D136" s="137" t="s">
        <v>254</v>
      </c>
      <c r="E136" s="132">
        <v>0</v>
      </c>
      <c r="F136" s="68">
        <v>19.149999999999999</v>
      </c>
      <c r="G136" s="47">
        <v>0.25</v>
      </c>
      <c r="H136" t="str">
        <f>$B$135&amp;D136</f>
        <v>Ballast start typeInstant start</v>
      </c>
      <c r="I136" s="63" t="str">
        <f t="shared" si="17"/>
        <v>General Service Linear Fluorescent Fixtures (surface mounted)Ballast start typeInstant start</v>
      </c>
    </row>
    <row r="137" spans="1:9" x14ac:dyDescent="0.3">
      <c r="A137" s="227"/>
      <c r="B137" s="234" t="s">
        <v>248</v>
      </c>
      <c r="C137" s="225" t="s">
        <v>10</v>
      </c>
      <c r="D137" s="98" t="s">
        <v>209</v>
      </c>
      <c r="E137" s="225">
        <v>2.778225806451613</v>
      </c>
      <c r="F137" s="48"/>
      <c r="G137" s="48"/>
      <c r="H137" t="str">
        <f t="shared" si="13"/>
        <v>Manufacturer - Mercury</v>
      </c>
      <c r="I137" s="63" t="str">
        <f t="shared" si="17"/>
        <v>General Service Linear Fluorescent Fixtures (surface mounted)Manufacturer - Mercury</v>
      </c>
    </row>
    <row r="138" spans="1:9" x14ac:dyDescent="0.3">
      <c r="A138" s="227"/>
      <c r="B138" s="234"/>
      <c r="C138" s="225"/>
      <c r="D138" s="98" t="s">
        <v>12</v>
      </c>
      <c r="E138" s="225"/>
      <c r="F138" s="48"/>
      <c r="G138" s="48"/>
      <c r="I138" s="63" t="str">
        <f t="shared" si="17"/>
        <v/>
      </c>
    </row>
    <row r="139" spans="1:9" x14ac:dyDescent="0.3">
      <c r="A139" s="227"/>
      <c r="B139" s="234" t="s">
        <v>258</v>
      </c>
      <c r="C139" s="225" t="s">
        <v>10</v>
      </c>
      <c r="D139" s="98" t="s">
        <v>209</v>
      </c>
      <c r="E139" s="225">
        <v>3.8479838709677421</v>
      </c>
      <c r="F139" s="48"/>
      <c r="G139" s="48"/>
      <c r="H139" t="str">
        <f t="shared" si="13"/>
        <v>Manufacturer - Metalux</v>
      </c>
      <c r="I139" s="63" t="str">
        <f t="shared" si="17"/>
        <v>General Service Linear Fluorescent Fixtures (surface mounted)Manufacturer - Metalux</v>
      </c>
    </row>
    <row r="140" spans="1:9" x14ac:dyDescent="0.3">
      <c r="A140" s="227"/>
      <c r="B140" s="234"/>
      <c r="C140" s="225"/>
      <c r="D140" s="98" t="s">
        <v>12</v>
      </c>
      <c r="E140" s="225"/>
      <c r="F140" s="48"/>
      <c r="G140" s="48"/>
      <c r="I140" s="63" t="str">
        <f t="shared" si="17"/>
        <v/>
      </c>
    </row>
    <row r="141" spans="1:9" x14ac:dyDescent="0.3">
      <c r="A141" s="227"/>
      <c r="B141" s="234" t="s">
        <v>259</v>
      </c>
      <c r="C141" s="225" t="s">
        <v>10</v>
      </c>
      <c r="D141" s="98" t="s">
        <v>209</v>
      </c>
      <c r="E141" s="225">
        <v>1.4569354838709676</v>
      </c>
      <c r="F141" s="48"/>
      <c r="G141" s="48"/>
      <c r="H141" t="str">
        <f t="shared" si="13"/>
        <v>Manfacturer - Simkar</v>
      </c>
      <c r="I141" s="63" t="str">
        <f t="shared" si="17"/>
        <v>General Service Linear Fluorescent Fixtures (surface mounted)Manfacturer - Simkar</v>
      </c>
    </row>
    <row r="142" spans="1:9" x14ac:dyDescent="0.3">
      <c r="A142" s="227"/>
      <c r="B142" s="235"/>
      <c r="C142" s="236"/>
      <c r="D142" s="125" t="s">
        <v>12</v>
      </c>
      <c r="E142" s="225"/>
      <c r="F142" s="48"/>
      <c r="G142" s="48"/>
      <c r="I142" s="63" t="str">
        <f t="shared" si="17"/>
        <v/>
      </c>
    </row>
    <row r="143" spans="1:9" x14ac:dyDescent="0.3">
      <c r="A143" s="227"/>
      <c r="B143" s="231" t="s">
        <v>108</v>
      </c>
      <c r="C143" s="141"/>
      <c r="D143" s="142"/>
      <c r="E143" s="142"/>
      <c r="F143" s="48"/>
      <c r="G143" s="48"/>
      <c r="I143" s="63" t="str">
        <f t="shared" si="17"/>
        <v/>
      </c>
    </row>
    <row r="144" spans="1:9" x14ac:dyDescent="0.3">
      <c r="A144" s="227"/>
      <c r="B144" s="232"/>
      <c r="C144" s="143"/>
      <c r="D144" s="48"/>
      <c r="E144" s="48"/>
      <c r="F144" s="48"/>
      <c r="G144" s="48"/>
      <c r="I144" s="63" t="str">
        <f t="shared" si="17"/>
        <v/>
      </c>
    </row>
    <row r="145" spans="1:9" ht="15" thickBot="1" x14ac:dyDescent="0.35">
      <c r="A145" s="240"/>
      <c r="B145" s="233"/>
      <c r="C145" s="144"/>
      <c r="D145" s="145"/>
      <c r="E145" s="145"/>
      <c r="F145" s="48"/>
      <c r="G145" s="48"/>
      <c r="I145" s="63" t="str">
        <f t="shared" si="17"/>
        <v/>
      </c>
    </row>
    <row r="146" spans="1:9" ht="15" thickBot="1" x14ac:dyDescent="0.35">
      <c r="A146" s="117"/>
      <c r="B146" s="121"/>
      <c r="C146" s="122"/>
      <c r="D146" s="123"/>
      <c r="E146" s="123"/>
      <c r="F146" s="126"/>
      <c r="G146" s="126"/>
      <c r="I146" s="63" t="str">
        <f>IF(H146="","",$A$18&amp;H146)</f>
        <v/>
      </c>
    </row>
    <row r="147" spans="1:9" x14ac:dyDescent="0.3">
      <c r="A147" s="229" t="s">
        <v>291</v>
      </c>
      <c r="B147" s="66" t="s">
        <v>238</v>
      </c>
      <c r="C147" s="135" t="s">
        <v>18</v>
      </c>
      <c r="D147" s="136" t="s">
        <v>260</v>
      </c>
      <c r="E147" s="132">
        <v>0.52500000000000002</v>
      </c>
      <c r="F147" s="133" t="s">
        <v>170</v>
      </c>
      <c r="G147" s="134" t="s">
        <v>131</v>
      </c>
      <c r="H147" t="str">
        <f t="shared" ref="H147:H196" si="18">B147</f>
        <v>Maximum Ballast Input Watts</v>
      </c>
      <c r="I147" s="63" t="str">
        <f>IF(H147="","",$A$147&amp;H147)</f>
        <v>General Service Linear Fluorescent Fixtures (suspended)Maximum Ballast Input Watts</v>
      </c>
    </row>
    <row r="148" spans="1:9" x14ac:dyDescent="0.3">
      <c r="A148" s="241"/>
      <c r="B148" s="82" t="s">
        <v>236</v>
      </c>
      <c r="C148" s="110" t="s">
        <v>18</v>
      </c>
      <c r="D148" s="96" t="s">
        <v>237</v>
      </c>
      <c r="E148" s="132">
        <v>1.786</v>
      </c>
      <c r="F148" s="90" t="s">
        <v>186</v>
      </c>
      <c r="G148" s="101" t="s">
        <v>172</v>
      </c>
      <c r="H148" t="str">
        <f t="shared" si="18"/>
        <v>Fixture length (inches)</v>
      </c>
      <c r="I148" s="63" t="str">
        <f t="shared" ref="I148:I159" si="19">IF(H148="","",$A$147&amp;H148)</f>
        <v>General Service Linear Fluorescent Fixtures (suspended)Fixture length (inches)</v>
      </c>
    </row>
    <row r="149" spans="1:9" x14ac:dyDescent="0.3">
      <c r="A149" s="241"/>
      <c r="B149" s="234" t="s">
        <v>261</v>
      </c>
      <c r="C149" s="225" t="s">
        <v>10</v>
      </c>
      <c r="D149" s="98" t="s">
        <v>209</v>
      </c>
      <c r="E149" s="132">
        <v>225.48</v>
      </c>
      <c r="F149" s="100" t="s">
        <v>173</v>
      </c>
      <c r="G149" s="46" t="s">
        <v>133</v>
      </c>
      <c r="H149" t="str">
        <f>$B$149&amp;D149</f>
        <v xml:space="preserve">Luminaire type - direct pendantYes </v>
      </c>
      <c r="I149" s="63" t="str">
        <f t="shared" si="19"/>
        <v xml:space="preserve">General Service Linear Fluorescent Fixtures (suspended)Luminaire type - direct pendantYes </v>
      </c>
    </row>
    <row r="150" spans="1:9" x14ac:dyDescent="0.3">
      <c r="A150" s="241"/>
      <c r="B150" s="234"/>
      <c r="C150" s="225"/>
      <c r="D150" s="98" t="s">
        <v>12</v>
      </c>
      <c r="E150" s="132">
        <v>0</v>
      </c>
      <c r="F150" s="102" t="s">
        <v>174</v>
      </c>
      <c r="G150" s="74" t="s">
        <v>134</v>
      </c>
      <c r="H150" t="str">
        <f>$B$149&amp;D150</f>
        <v>Luminaire type - direct pendantNo</v>
      </c>
      <c r="I150" s="63" t="str">
        <f t="shared" si="19"/>
        <v>General Service Linear Fluorescent Fixtures (suspended)Luminaire type - direct pendantNo</v>
      </c>
    </row>
    <row r="151" spans="1:9" x14ac:dyDescent="0.3">
      <c r="A151" s="241"/>
      <c r="B151" s="234" t="s">
        <v>262</v>
      </c>
      <c r="C151" s="225" t="s">
        <v>10</v>
      </c>
      <c r="D151" s="98" t="s">
        <v>209</v>
      </c>
      <c r="E151" s="132">
        <v>207.52</v>
      </c>
      <c r="F151" s="100" t="s">
        <v>175</v>
      </c>
      <c r="G151" s="75" t="s">
        <v>135</v>
      </c>
      <c r="H151" t="str">
        <f>$B$151&amp;D151</f>
        <v xml:space="preserve">Luminaire type - direct/indirect pendantYes </v>
      </c>
      <c r="I151" s="63" t="str">
        <f t="shared" si="19"/>
        <v xml:space="preserve">General Service Linear Fluorescent Fixtures (suspended)Luminaire type - direct/indirect pendantYes </v>
      </c>
    </row>
    <row r="152" spans="1:9" x14ac:dyDescent="0.3">
      <c r="A152" s="241"/>
      <c r="B152" s="234"/>
      <c r="C152" s="225"/>
      <c r="D152" s="98" t="s">
        <v>12</v>
      </c>
      <c r="E152" s="132">
        <v>0</v>
      </c>
      <c r="F152" s="103">
        <v>132</v>
      </c>
      <c r="G152" s="127" t="s">
        <v>121</v>
      </c>
      <c r="H152" t="str">
        <f>$B$151&amp;D152</f>
        <v>Luminaire type - direct/indirect pendantNo</v>
      </c>
      <c r="I152" s="63" t="str">
        <f t="shared" si="19"/>
        <v>General Service Linear Fluorescent Fixtures (suspended)Luminaire type - direct/indirect pendantNo</v>
      </c>
    </row>
    <row r="153" spans="1:9" x14ac:dyDescent="0.3">
      <c r="A153" s="241"/>
      <c r="B153" s="235" t="s">
        <v>263</v>
      </c>
      <c r="C153" s="225" t="s">
        <v>10</v>
      </c>
      <c r="D153" s="98" t="s">
        <v>209</v>
      </c>
      <c r="E153" s="132">
        <v>-37.1</v>
      </c>
      <c r="F153" s="100" t="s">
        <v>176</v>
      </c>
      <c r="G153" s="75" t="s">
        <v>24</v>
      </c>
      <c r="H153" t="str">
        <f>$B$153&amp;D153</f>
        <v xml:space="preserve">Instant start ballastYes </v>
      </c>
      <c r="I153" s="63" t="str">
        <f t="shared" si="19"/>
        <v xml:space="preserve">General Service Linear Fluorescent Fixtures (suspended)Instant start ballastYes </v>
      </c>
    </row>
    <row r="154" spans="1:9" x14ac:dyDescent="0.3">
      <c r="A154" s="241"/>
      <c r="B154" s="242"/>
      <c r="C154" s="225"/>
      <c r="D154" s="98" t="s">
        <v>12</v>
      </c>
      <c r="E154" s="132">
        <v>0</v>
      </c>
      <c r="F154" s="68">
        <v>0.751</v>
      </c>
      <c r="G154" s="150">
        <v>4.9000000000000004</v>
      </c>
      <c r="H154" t="str">
        <f>$B$153&amp;D154</f>
        <v>Instant start ballastNo</v>
      </c>
      <c r="I154" s="63" t="str">
        <f t="shared" si="19"/>
        <v>General Service Linear Fluorescent Fixtures (suspended)Instant start ballastNo</v>
      </c>
    </row>
    <row r="155" spans="1:9" x14ac:dyDescent="0.3">
      <c r="A155" s="241"/>
      <c r="B155" s="234" t="s">
        <v>264</v>
      </c>
      <c r="C155" s="225" t="s">
        <v>10</v>
      </c>
      <c r="D155" s="98" t="s">
        <v>209</v>
      </c>
      <c r="E155" s="132">
        <v>86.08</v>
      </c>
      <c r="F155" s="105" t="s">
        <v>177</v>
      </c>
      <c r="G155" s="46" t="s">
        <v>136</v>
      </c>
      <c r="H155" t="str">
        <f>$B$155&amp;D155</f>
        <v xml:space="preserve">Programmed rapid start ballastYes </v>
      </c>
      <c r="I155" s="63" t="str">
        <f t="shared" si="19"/>
        <v xml:space="preserve">General Service Linear Fluorescent Fixtures (suspended)Programmed rapid start ballastYes </v>
      </c>
    </row>
    <row r="156" spans="1:9" x14ac:dyDescent="0.3">
      <c r="A156" s="241"/>
      <c r="B156" s="234"/>
      <c r="C156" s="225"/>
      <c r="D156" s="98" t="s">
        <v>12</v>
      </c>
      <c r="E156" s="132">
        <v>0</v>
      </c>
      <c r="F156" s="68">
        <v>41.31</v>
      </c>
      <c r="G156" s="47">
        <v>0.25</v>
      </c>
      <c r="H156" t="str">
        <f>$B$155&amp;D156</f>
        <v>Programmed rapid start ballastNo</v>
      </c>
      <c r="I156" s="63" t="str">
        <f t="shared" si="19"/>
        <v>General Service Linear Fluorescent Fixtures (suspended)Programmed rapid start ballastNo</v>
      </c>
    </row>
    <row r="157" spans="1:9" x14ac:dyDescent="0.3">
      <c r="A157" s="241"/>
      <c r="B157" s="234" t="s">
        <v>245</v>
      </c>
      <c r="C157" s="225" t="s">
        <v>10</v>
      </c>
      <c r="D157" s="98" t="s">
        <v>209</v>
      </c>
      <c r="E157" s="132">
        <v>66.69</v>
      </c>
      <c r="F157" s="48"/>
      <c r="G157" s="48"/>
      <c r="H157" t="str">
        <f>$B$157&amp;D157</f>
        <v xml:space="preserve">Dimmable ballastYes </v>
      </c>
      <c r="I157" s="63" t="str">
        <f t="shared" si="19"/>
        <v xml:space="preserve">General Service Linear Fluorescent Fixtures (suspended)Dimmable ballastYes </v>
      </c>
    </row>
    <row r="158" spans="1:9" x14ac:dyDescent="0.3">
      <c r="A158" s="241"/>
      <c r="B158" s="234"/>
      <c r="C158" s="225"/>
      <c r="D158" s="98" t="s">
        <v>12</v>
      </c>
      <c r="E158" s="132">
        <v>0</v>
      </c>
      <c r="F158" s="48"/>
      <c r="G158" s="48"/>
      <c r="H158" t="str">
        <f>$B$157&amp;D158</f>
        <v>Dimmable ballastNo</v>
      </c>
      <c r="I158" s="63" t="str">
        <f t="shared" si="19"/>
        <v>General Service Linear Fluorescent Fixtures (suspended)Dimmable ballastNo</v>
      </c>
    </row>
    <row r="159" spans="1:9" x14ac:dyDescent="0.3">
      <c r="A159" s="241"/>
      <c r="B159" s="234" t="s">
        <v>265</v>
      </c>
      <c r="C159" s="225" t="s">
        <v>10</v>
      </c>
      <c r="D159" s="98" t="s">
        <v>209</v>
      </c>
      <c r="E159" s="225">
        <v>8.2759090909090904</v>
      </c>
      <c r="F159" s="48"/>
      <c r="G159" s="48"/>
      <c r="H159" t="str">
        <f t="shared" si="18"/>
        <v>Parabolic louvers</v>
      </c>
      <c r="I159" s="63" t="str">
        <f t="shared" si="19"/>
        <v>General Service Linear Fluorescent Fixtures (suspended)Parabolic louvers</v>
      </c>
    </row>
    <row r="160" spans="1:9" x14ac:dyDescent="0.3">
      <c r="A160" s="241"/>
      <c r="B160" s="234"/>
      <c r="C160" s="225"/>
      <c r="D160" s="98" t="s">
        <v>12</v>
      </c>
      <c r="E160" s="225"/>
      <c r="F160" s="48"/>
      <c r="G160" s="48"/>
      <c r="I160" s="63" t="str">
        <f>IF(H160="","",$A$18&amp;H160)</f>
        <v/>
      </c>
    </row>
    <row r="161" spans="1:9" x14ac:dyDescent="0.3">
      <c r="A161" s="241"/>
      <c r="B161" s="234" t="s">
        <v>266</v>
      </c>
      <c r="C161" s="225" t="s">
        <v>10</v>
      </c>
      <c r="D161" s="98" t="s">
        <v>209</v>
      </c>
      <c r="E161" s="225">
        <v>3.8780303030303029</v>
      </c>
      <c r="F161" s="48"/>
      <c r="G161" s="48"/>
      <c r="H161" t="str">
        <f t="shared" si="18"/>
        <v>Wire guard</v>
      </c>
      <c r="I161" s="63" t="str">
        <f>IF(H161="","",$A$147&amp;H161)</f>
        <v>General Service Linear Fluorescent Fixtures (suspended)Wire guard</v>
      </c>
    </row>
    <row r="162" spans="1:9" x14ac:dyDescent="0.3">
      <c r="A162" s="241"/>
      <c r="B162" s="234"/>
      <c r="C162" s="225"/>
      <c r="D162" s="98" t="s">
        <v>12</v>
      </c>
      <c r="E162" s="225"/>
      <c r="F162" s="48"/>
      <c r="G162" s="48"/>
      <c r="I162" s="63" t="str">
        <f>IF(H162="","",$A$18&amp;H162)</f>
        <v/>
      </c>
    </row>
    <row r="163" spans="1:9" x14ac:dyDescent="0.3">
      <c r="A163" s="241"/>
      <c r="B163" s="234" t="s">
        <v>267</v>
      </c>
      <c r="C163" s="225" t="s">
        <v>10</v>
      </c>
      <c r="D163" s="98" t="s">
        <v>209</v>
      </c>
      <c r="E163" s="225">
        <v>-10.538181818181819</v>
      </c>
      <c r="F163" s="48"/>
      <c r="G163" s="48"/>
      <c r="H163" t="str">
        <f t="shared" si="18"/>
        <v>Manfacturer - Alera</v>
      </c>
      <c r="I163" s="63" t="str">
        <f>IF(H163="","",$A$147&amp;H163)</f>
        <v>General Service Linear Fluorescent Fixtures (suspended)Manfacturer - Alera</v>
      </c>
    </row>
    <row r="164" spans="1:9" x14ac:dyDescent="0.3">
      <c r="A164" s="241"/>
      <c r="B164" s="234"/>
      <c r="C164" s="225"/>
      <c r="D164" s="98" t="s">
        <v>12</v>
      </c>
      <c r="E164" s="225"/>
      <c r="F164" s="48"/>
      <c r="G164" s="48"/>
      <c r="I164" s="63" t="str">
        <f>IF(H164="","",$A$18&amp;H164)</f>
        <v/>
      </c>
    </row>
    <row r="165" spans="1:9" x14ac:dyDescent="0.3">
      <c r="A165" s="241"/>
      <c r="B165" s="234" t="s">
        <v>246</v>
      </c>
      <c r="C165" s="225" t="s">
        <v>10</v>
      </c>
      <c r="D165" s="98" t="s">
        <v>209</v>
      </c>
      <c r="E165" s="225">
        <v>-11.113636363636363</v>
      </c>
      <c r="F165" s="48"/>
      <c r="G165" s="48"/>
      <c r="H165" t="str">
        <f t="shared" si="18"/>
        <v>Manufacturer - Lamar</v>
      </c>
      <c r="I165" s="63" t="str">
        <f>IF(H165="","",$A$147&amp;H165)</f>
        <v>General Service Linear Fluorescent Fixtures (suspended)Manufacturer - Lamar</v>
      </c>
    </row>
    <row r="166" spans="1:9" x14ac:dyDescent="0.3">
      <c r="A166" s="241"/>
      <c r="B166" s="234"/>
      <c r="C166" s="225"/>
      <c r="D166" s="98" t="s">
        <v>12</v>
      </c>
      <c r="E166" s="225"/>
      <c r="F166" s="48"/>
      <c r="G166" s="48"/>
      <c r="I166" s="63" t="str">
        <f>IF(H166="","",$A$18&amp;H166)</f>
        <v/>
      </c>
    </row>
    <row r="167" spans="1:9" x14ac:dyDescent="0.3">
      <c r="A167" s="241"/>
      <c r="B167" s="234" t="s">
        <v>247</v>
      </c>
      <c r="C167" s="225" t="s">
        <v>10</v>
      </c>
      <c r="D167" s="98" t="s">
        <v>209</v>
      </c>
      <c r="E167" s="225">
        <v>-6.5206818181818171</v>
      </c>
      <c r="F167" s="48"/>
      <c r="G167" s="48"/>
      <c r="H167" t="str">
        <f t="shared" si="18"/>
        <v>Manufacturer - Litolier</v>
      </c>
      <c r="I167" s="63" t="str">
        <f>IF(H167="","",$A$147&amp;H167)</f>
        <v>General Service Linear Fluorescent Fixtures (suspended)Manufacturer - Litolier</v>
      </c>
    </row>
    <row r="168" spans="1:9" x14ac:dyDescent="0.3">
      <c r="A168" s="241"/>
      <c r="B168" s="234"/>
      <c r="C168" s="225"/>
      <c r="D168" s="98" t="s">
        <v>12</v>
      </c>
      <c r="E168" s="225"/>
      <c r="F168" s="48"/>
      <c r="G168" s="48"/>
      <c r="I168" s="63" t="str">
        <f>IF(H168="","",$A$18&amp;H168)</f>
        <v/>
      </c>
    </row>
    <row r="169" spans="1:9" x14ac:dyDescent="0.3">
      <c r="A169" s="241"/>
      <c r="B169" s="234" t="s">
        <v>248</v>
      </c>
      <c r="C169" s="225" t="s">
        <v>10</v>
      </c>
      <c r="D169" s="98" t="s">
        <v>209</v>
      </c>
      <c r="E169" s="225">
        <v>-5.1745454545454548</v>
      </c>
      <c r="F169" s="48"/>
      <c r="G169" s="48"/>
      <c r="H169" t="str">
        <f t="shared" si="18"/>
        <v>Manufacturer - Mercury</v>
      </c>
      <c r="I169" s="63" t="str">
        <f>IF(H169="","",$A$147&amp;H169)</f>
        <v>General Service Linear Fluorescent Fixtures (suspended)Manufacturer - Mercury</v>
      </c>
    </row>
    <row r="170" spans="1:9" ht="15" thickBot="1" x14ac:dyDescent="0.35">
      <c r="A170" s="241"/>
      <c r="B170" s="235"/>
      <c r="C170" s="236"/>
      <c r="D170" s="125" t="s">
        <v>12</v>
      </c>
      <c r="E170" s="225"/>
      <c r="F170" s="48"/>
      <c r="G170" s="48"/>
      <c r="I170" s="63" t="str">
        <f>IF(H170="","",$A$18&amp;H170)</f>
        <v/>
      </c>
    </row>
    <row r="171" spans="1:9" ht="15" thickBot="1" x14ac:dyDescent="0.35">
      <c r="A171" s="117"/>
      <c r="B171" s="121"/>
      <c r="C171" s="122"/>
      <c r="D171" s="123"/>
      <c r="E171" s="123"/>
      <c r="F171" s="126"/>
      <c r="G171" s="126"/>
      <c r="I171" s="63" t="str">
        <f>IF(H171="","",$A$18&amp;H171)</f>
        <v/>
      </c>
    </row>
    <row r="172" spans="1:9" x14ac:dyDescent="0.3">
      <c r="A172" s="237" t="s">
        <v>268</v>
      </c>
      <c r="B172" s="128" t="s">
        <v>236</v>
      </c>
      <c r="C172" s="135" t="s">
        <v>18</v>
      </c>
      <c r="D172" s="146" t="s">
        <v>237</v>
      </c>
      <c r="E172" s="132">
        <v>3.2770000000000001</v>
      </c>
      <c r="F172" s="133" t="s">
        <v>170</v>
      </c>
      <c r="G172" s="134" t="s">
        <v>131</v>
      </c>
      <c r="H172" t="str">
        <f t="shared" si="18"/>
        <v>Fixture length (inches)</v>
      </c>
      <c r="I172" s="63" t="str">
        <f>IF(H172="","",$A$172&amp;H172)</f>
        <v>High Bay Linear Fluorescent FixturesFixture length (inches)</v>
      </c>
    </row>
    <row r="173" spans="1:9" x14ac:dyDescent="0.3">
      <c r="A173" s="238"/>
      <c r="B173" s="66" t="s">
        <v>269</v>
      </c>
      <c r="C173" s="110" t="s">
        <v>18</v>
      </c>
      <c r="D173" s="147" t="s">
        <v>270</v>
      </c>
      <c r="E173" s="132">
        <v>16.608000000000001</v>
      </c>
      <c r="F173" s="90" t="s">
        <v>186</v>
      </c>
      <c r="G173" s="101" t="s">
        <v>172</v>
      </c>
      <c r="H173" t="str">
        <f t="shared" si="18"/>
        <v>Number of lamps</v>
      </c>
      <c r="I173" s="63" t="str">
        <f t="shared" ref="I173:I181" si="20">IF(H173="","",$A$172&amp;H173)</f>
        <v>High Bay Linear Fluorescent FixturesNumber of lamps</v>
      </c>
    </row>
    <row r="174" spans="1:9" x14ac:dyDescent="0.3">
      <c r="A174" s="238"/>
      <c r="B174" s="66" t="s">
        <v>271</v>
      </c>
      <c r="C174" s="110" t="s">
        <v>18</v>
      </c>
      <c r="D174" s="103" t="s">
        <v>272</v>
      </c>
      <c r="E174" s="132">
        <v>-1.3580000000000001</v>
      </c>
      <c r="F174" s="100" t="s">
        <v>173</v>
      </c>
      <c r="G174" s="46" t="s">
        <v>133</v>
      </c>
      <c r="H174" t="str">
        <f t="shared" si="18"/>
        <v>Lamp watts</v>
      </c>
      <c r="I174" s="63" t="str">
        <f t="shared" si="20"/>
        <v>High Bay Linear Fluorescent FixturesLamp watts</v>
      </c>
    </row>
    <row r="175" spans="1:9" x14ac:dyDescent="0.3">
      <c r="A175" s="238"/>
      <c r="B175" s="234" t="s">
        <v>273</v>
      </c>
      <c r="C175" s="225" t="s">
        <v>10</v>
      </c>
      <c r="D175" s="98" t="s">
        <v>209</v>
      </c>
      <c r="E175" s="132">
        <v>46.456000000000003</v>
      </c>
      <c r="F175" s="102" t="s">
        <v>174</v>
      </c>
      <c r="G175" s="74" t="s">
        <v>134</v>
      </c>
      <c r="H175" t="str">
        <f>$B$175&amp;D175</f>
        <v xml:space="preserve">LensYes </v>
      </c>
      <c r="I175" s="63" t="str">
        <f t="shared" si="20"/>
        <v xml:space="preserve">High Bay Linear Fluorescent FixturesLensYes </v>
      </c>
    </row>
    <row r="176" spans="1:9" x14ac:dyDescent="0.3">
      <c r="A176" s="238"/>
      <c r="B176" s="234"/>
      <c r="C176" s="225"/>
      <c r="D176" s="98" t="s">
        <v>12</v>
      </c>
      <c r="E176" s="132">
        <v>0</v>
      </c>
      <c r="F176" s="100" t="s">
        <v>175</v>
      </c>
      <c r="G176" s="75" t="s">
        <v>135</v>
      </c>
      <c r="H176" t="str">
        <f>$B$175&amp;D176</f>
        <v>LensNo</v>
      </c>
      <c r="I176" s="63" t="str">
        <f t="shared" si="20"/>
        <v>High Bay Linear Fluorescent FixturesLensNo</v>
      </c>
    </row>
    <row r="177" spans="1:9" x14ac:dyDescent="0.3">
      <c r="A177" s="238"/>
      <c r="B177" s="234" t="s">
        <v>274</v>
      </c>
      <c r="C177" s="225" t="s">
        <v>10</v>
      </c>
      <c r="D177" s="98" t="s">
        <v>209</v>
      </c>
      <c r="E177" s="132">
        <v>100.63500000000001</v>
      </c>
      <c r="F177" s="103">
        <v>52</v>
      </c>
      <c r="G177" s="127" t="s">
        <v>121</v>
      </c>
      <c r="H177" t="str">
        <f>$B$177&amp;D177</f>
        <v xml:space="preserve">Occupancy sensorYes </v>
      </c>
      <c r="I177" s="63" t="str">
        <f t="shared" si="20"/>
        <v xml:space="preserve">High Bay Linear Fluorescent FixturesOccupancy sensorYes </v>
      </c>
    </row>
    <row r="178" spans="1:9" x14ac:dyDescent="0.3">
      <c r="A178" s="238"/>
      <c r="B178" s="234"/>
      <c r="C178" s="225"/>
      <c r="D178" s="98" t="s">
        <v>12</v>
      </c>
      <c r="E178" s="132">
        <v>0</v>
      </c>
      <c r="F178" s="100" t="s">
        <v>176</v>
      </c>
      <c r="G178" s="75" t="s">
        <v>24</v>
      </c>
      <c r="H178" t="str">
        <f>$B$177&amp;D178</f>
        <v>Occupancy sensorNo</v>
      </c>
      <c r="I178" s="63" t="str">
        <f t="shared" si="20"/>
        <v>High Bay Linear Fluorescent FixturesOccupancy sensorNo</v>
      </c>
    </row>
    <row r="179" spans="1:9" x14ac:dyDescent="0.3">
      <c r="A179" s="238"/>
      <c r="B179" s="234" t="s">
        <v>264</v>
      </c>
      <c r="C179" s="225" t="s">
        <v>10</v>
      </c>
      <c r="D179" s="98" t="s">
        <v>209</v>
      </c>
      <c r="E179" s="132">
        <v>-1.925</v>
      </c>
      <c r="F179" s="68">
        <v>0.65800000000000003</v>
      </c>
      <c r="G179" s="150">
        <v>14.2</v>
      </c>
      <c r="H179" t="str">
        <f>$B$179&amp;D179</f>
        <v xml:space="preserve">Programmed rapid start ballastYes </v>
      </c>
      <c r="I179" s="63" t="str">
        <f t="shared" si="20"/>
        <v xml:space="preserve">High Bay Linear Fluorescent FixturesProgrammed rapid start ballastYes </v>
      </c>
    </row>
    <row r="180" spans="1:9" x14ac:dyDescent="0.3">
      <c r="A180" s="238"/>
      <c r="B180" s="234"/>
      <c r="C180" s="225"/>
      <c r="D180" s="98" t="s">
        <v>12</v>
      </c>
      <c r="E180" s="132">
        <v>0</v>
      </c>
      <c r="F180" s="105" t="s">
        <v>177</v>
      </c>
      <c r="G180" s="46" t="s">
        <v>136</v>
      </c>
      <c r="H180" t="str">
        <f>$B$179&amp;D180</f>
        <v>Programmed rapid start ballastNo</v>
      </c>
      <c r="I180" s="63" t="str">
        <f t="shared" si="20"/>
        <v>High Bay Linear Fluorescent FixturesProgrammed rapid start ballastNo</v>
      </c>
    </row>
    <row r="181" spans="1:9" x14ac:dyDescent="0.3">
      <c r="A181" s="238"/>
      <c r="B181" s="234" t="s">
        <v>248</v>
      </c>
      <c r="C181" s="225" t="s">
        <v>10</v>
      </c>
      <c r="D181" s="98" t="s">
        <v>209</v>
      </c>
      <c r="E181" s="225">
        <v>5.1914615384615388</v>
      </c>
      <c r="F181" s="68">
        <v>34.89</v>
      </c>
      <c r="G181" s="47">
        <v>0.25</v>
      </c>
      <c r="H181" t="str">
        <f t="shared" si="18"/>
        <v>Manufacturer - Mercury</v>
      </c>
      <c r="I181" s="63" t="str">
        <f t="shared" si="20"/>
        <v>High Bay Linear Fluorescent FixturesManufacturer - Mercury</v>
      </c>
    </row>
    <row r="182" spans="1:9" x14ac:dyDescent="0.3">
      <c r="A182" s="238"/>
      <c r="B182" s="234"/>
      <c r="C182" s="225"/>
      <c r="D182" s="98" t="s">
        <v>12</v>
      </c>
      <c r="E182" s="225"/>
      <c r="F182" s="48"/>
      <c r="G182" s="48"/>
      <c r="I182" s="63" t="str">
        <f t="shared" ref="I182:I190" si="21">IF(H182="","",$A$18&amp;H182)</f>
        <v/>
      </c>
    </row>
    <row r="183" spans="1:9" x14ac:dyDescent="0.3">
      <c r="A183" s="238"/>
      <c r="B183" s="231" t="s">
        <v>108</v>
      </c>
      <c r="C183" s="51"/>
      <c r="D183" s="48"/>
      <c r="E183" s="48"/>
      <c r="F183" s="48"/>
      <c r="G183" s="48"/>
      <c r="I183" s="63" t="str">
        <f t="shared" si="21"/>
        <v/>
      </c>
    </row>
    <row r="184" spans="1:9" x14ac:dyDescent="0.3">
      <c r="A184" s="238"/>
      <c r="B184" s="232"/>
      <c r="C184" s="51"/>
      <c r="D184" s="48"/>
      <c r="E184" s="48"/>
      <c r="F184" s="48"/>
      <c r="G184" s="48"/>
      <c r="I184" s="63" t="str">
        <f t="shared" si="21"/>
        <v/>
      </c>
    </row>
    <row r="185" spans="1:9" x14ac:dyDescent="0.3">
      <c r="A185" s="238"/>
      <c r="B185" s="232"/>
      <c r="C185" s="51"/>
      <c r="D185" s="48"/>
      <c r="E185" s="48"/>
      <c r="F185" s="48"/>
      <c r="G185" s="48"/>
      <c r="I185" s="63" t="str">
        <f t="shared" si="21"/>
        <v/>
      </c>
    </row>
    <row r="186" spans="1:9" x14ac:dyDescent="0.3">
      <c r="A186" s="238"/>
      <c r="B186" s="232"/>
      <c r="C186" s="51"/>
      <c r="D186" s="48"/>
      <c r="E186" s="48"/>
      <c r="F186" s="48"/>
      <c r="G186" s="48"/>
      <c r="I186" s="63" t="str">
        <f t="shared" si="21"/>
        <v/>
      </c>
    </row>
    <row r="187" spans="1:9" x14ac:dyDescent="0.3">
      <c r="A187" s="238"/>
      <c r="B187" s="232"/>
      <c r="C187" s="51"/>
      <c r="D187" s="48"/>
      <c r="E187" s="48"/>
      <c r="F187" s="48"/>
      <c r="G187" s="48"/>
      <c r="I187" s="63" t="str">
        <f t="shared" si="21"/>
        <v/>
      </c>
    </row>
    <row r="188" spans="1:9" x14ac:dyDescent="0.3">
      <c r="A188" s="238"/>
      <c r="B188" s="232"/>
      <c r="C188" s="51"/>
      <c r="D188" s="48"/>
      <c r="E188" s="48"/>
      <c r="F188" s="48"/>
      <c r="G188" s="48"/>
      <c r="I188" s="63" t="str">
        <f t="shared" si="21"/>
        <v/>
      </c>
    </row>
    <row r="189" spans="1:9" ht="15" thickBot="1" x14ac:dyDescent="0.35">
      <c r="A189" s="239"/>
      <c r="B189" s="233"/>
      <c r="C189" s="51"/>
      <c r="D189" s="48"/>
      <c r="E189" s="48"/>
      <c r="F189" s="48"/>
      <c r="G189" s="48"/>
      <c r="I189" s="63" t="str">
        <f t="shared" si="21"/>
        <v/>
      </c>
    </row>
    <row r="190" spans="1:9" ht="15" thickBot="1" x14ac:dyDescent="0.35">
      <c r="A190" s="117"/>
      <c r="B190" s="118"/>
      <c r="C190" s="119"/>
      <c r="D190" s="120"/>
      <c r="E190" s="120"/>
      <c r="F190" s="50"/>
      <c r="G190" s="50"/>
      <c r="I190" s="63" t="str">
        <f t="shared" si="21"/>
        <v/>
      </c>
    </row>
    <row r="191" spans="1:9" x14ac:dyDescent="0.3">
      <c r="A191" s="229" t="s">
        <v>292</v>
      </c>
      <c r="B191" s="82" t="s">
        <v>238</v>
      </c>
      <c r="C191" s="83" t="s">
        <v>18</v>
      </c>
      <c r="D191" s="148" t="s">
        <v>275</v>
      </c>
      <c r="E191" s="132">
        <v>-0.1464946</v>
      </c>
      <c r="F191" s="85" t="s">
        <v>170</v>
      </c>
      <c r="G191" s="86" t="s">
        <v>131</v>
      </c>
      <c r="H191" t="str">
        <f t="shared" si="18"/>
        <v>Maximum Ballast Input Watts</v>
      </c>
      <c r="I191" s="63" t="str">
        <f>IF(H191="","",$A$191&amp;H191)</f>
        <v>Bi-Level Linear Fluorescent Fixtures (garage/stairwell lighting)Maximum Ballast Input Watts</v>
      </c>
    </row>
    <row r="192" spans="1:9" x14ac:dyDescent="0.3">
      <c r="A192" s="230"/>
      <c r="B192" s="228" t="s">
        <v>276</v>
      </c>
      <c r="C192" s="225" t="s">
        <v>10</v>
      </c>
      <c r="D192" s="68" t="s">
        <v>11</v>
      </c>
      <c r="E192" s="132">
        <v>117.1066386</v>
      </c>
      <c r="F192" s="70" t="s">
        <v>171</v>
      </c>
      <c r="G192" s="71" t="s">
        <v>172</v>
      </c>
      <c r="H192" t="str">
        <f>$B$192&amp;D192</f>
        <v>Emergency backup powerYes</v>
      </c>
      <c r="I192" s="63" t="str">
        <f t="shared" ref="I192:I200" si="22">IF(H192="","",$A$191&amp;H192)</f>
        <v>Bi-Level Linear Fluorescent Fixtures (garage/stairwell lighting)Emergency backup powerYes</v>
      </c>
    </row>
    <row r="193" spans="1:9" x14ac:dyDescent="0.3">
      <c r="A193" s="230"/>
      <c r="B193" s="228"/>
      <c r="C193" s="225"/>
      <c r="D193" s="68" t="s">
        <v>12</v>
      </c>
      <c r="E193" s="132">
        <v>0</v>
      </c>
      <c r="F193" s="72" t="s">
        <v>173</v>
      </c>
      <c r="G193" s="46" t="s">
        <v>133</v>
      </c>
      <c r="H193" t="str">
        <f>$B$192&amp;D193</f>
        <v>Emergency backup powerNo</v>
      </c>
      <c r="I193" s="63" t="str">
        <f t="shared" si="22"/>
        <v>Bi-Level Linear Fluorescent Fixtures (garage/stairwell lighting)Emergency backup powerNo</v>
      </c>
    </row>
    <row r="194" spans="1:9" x14ac:dyDescent="0.3">
      <c r="A194" s="230"/>
      <c r="B194" s="228" t="s">
        <v>245</v>
      </c>
      <c r="C194" s="225" t="s">
        <v>10</v>
      </c>
      <c r="D194" s="68" t="s">
        <v>209</v>
      </c>
      <c r="E194" s="132">
        <v>45.670737600000002</v>
      </c>
      <c r="F194" s="73" t="s">
        <v>174</v>
      </c>
      <c r="G194" s="74" t="s">
        <v>134</v>
      </c>
      <c r="H194" t="str">
        <f>$B$194&amp;D194</f>
        <v xml:space="preserve">Dimmable ballastYes </v>
      </c>
      <c r="I194" s="63" t="str">
        <f t="shared" si="22"/>
        <v xml:space="preserve">Bi-Level Linear Fluorescent Fixtures (garage/stairwell lighting)Dimmable ballastYes </v>
      </c>
    </row>
    <row r="195" spans="1:9" x14ac:dyDescent="0.3">
      <c r="A195" s="230"/>
      <c r="B195" s="228"/>
      <c r="C195" s="225"/>
      <c r="D195" s="68" t="s">
        <v>12</v>
      </c>
      <c r="E195" s="132">
        <v>0</v>
      </c>
      <c r="F195" s="72" t="s">
        <v>175</v>
      </c>
      <c r="G195" s="75" t="s">
        <v>135</v>
      </c>
      <c r="H195" t="str">
        <f>$B$194&amp;D195</f>
        <v>Dimmable ballastNo</v>
      </c>
      <c r="I195" s="63" t="str">
        <f t="shared" si="22"/>
        <v>Bi-Level Linear Fluorescent Fixtures (garage/stairwell lighting)Dimmable ballastNo</v>
      </c>
    </row>
    <row r="196" spans="1:9" x14ac:dyDescent="0.3">
      <c r="A196" s="230"/>
      <c r="B196" s="228" t="s">
        <v>277</v>
      </c>
      <c r="C196" s="225" t="s">
        <v>2</v>
      </c>
      <c r="D196" s="68" t="s">
        <v>278</v>
      </c>
      <c r="E196" s="225">
        <v>15.323007773913043</v>
      </c>
      <c r="F196" s="76">
        <v>23</v>
      </c>
      <c r="G196" s="74" t="s">
        <v>134</v>
      </c>
      <c r="H196" t="str">
        <f t="shared" si="18"/>
        <v>Brand</v>
      </c>
      <c r="I196" s="63" t="str">
        <f t="shared" si="22"/>
        <v>Bi-Level Linear Fluorescent Fixtures (garage/stairwell lighting)Brand</v>
      </c>
    </row>
    <row r="197" spans="1:9" x14ac:dyDescent="0.3">
      <c r="A197" s="230"/>
      <c r="B197" s="228"/>
      <c r="C197" s="225"/>
      <c r="D197" s="68" t="s">
        <v>279</v>
      </c>
      <c r="E197" s="225"/>
      <c r="F197" s="72" t="s">
        <v>176</v>
      </c>
      <c r="G197" s="75" t="s">
        <v>24</v>
      </c>
      <c r="I197" s="63" t="str">
        <f t="shared" si="22"/>
        <v/>
      </c>
    </row>
    <row r="198" spans="1:9" x14ac:dyDescent="0.3">
      <c r="A198" s="230"/>
      <c r="B198" s="228"/>
      <c r="C198" s="225"/>
      <c r="D198" s="68" t="s">
        <v>280</v>
      </c>
      <c r="E198" s="225"/>
      <c r="F198" s="88">
        <v>0.97951900000000003</v>
      </c>
      <c r="G198" s="78">
        <v>222.08760670000001</v>
      </c>
      <c r="I198" s="63" t="str">
        <f t="shared" si="22"/>
        <v/>
      </c>
    </row>
    <row r="199" spans="1:9" x14ac:dyDescent="0.3">
      <c r="A199" s="230"/>
      <c r="B199" s="228"/>
      <c r="C199" s="225"/>
      <c r="D199" s="68" t="s">
        <v>281</v>
      </c>
      <c r="E199" s="225"/>
      <c r="F199" s="79" t="s">
        <v>177</v>
      </c>
      <c r="G199" s="46" t="s">
        <v>136</v>
      </c>
      <c r="I199" s="63" t="str">
        <f t="shared" si="22"/>
        <v/>
      </c>
    </row>
    <row r="200" spans="1:9" x14ac:dyDescent="0.3">
      <c r="A200" s="230"/>
      <c r="B200" s="149" t="s">
        <v>130</v>
      </c>
      <c r="C200" s="111"/>
      <c r="D200" s="48"/>
      <c r="E200" s="48"/>
      <c r="F200" s="151">
        <v>8.7650000000000006</v>
      </c>
      <c r="G200" s="81">
        <v>0.2</v>
      </c>
      <c r="I200" s="63" t="str">
        <f t="shared" si="22"/>
        <v/>
      </c>
    </row>
  </sheetData>
  <mergeCells count="169">
    <mergeCell ref="E22:E23"/>
    <mergeCell ref="E24:E25"/>
    <mergeCell ref="E26:E27"/>
    <mergeCell ref="A29:A38"/>
    <mergeCell ref="B32:B33"/>
    <mergeCell ref="C32:C33"/>
    <mergeCell ref="B34:B35"/>
    <mergeCell ref="C34:C35"/>
    <mergeCell ref="B36:B38"/>
    <mergeCell ref="E32:E33"/>
    <mergeCell ref="A18:A27"/>
    <mergeCell ref="B22:B23"/>
    <mergeCell ref="C22:C23"/>
    <mergeCell ref="B24:B25"/>
    <mergeCell ref="C24:C25"/>
    <mergeCell ref="B26:B27"/>
    <mergeCell ref="C26:C27"/>
    <mergeCell ref="C58:C59"/>
    <mergeCell ref="B60:B61"/>
    <mergeCell ref="C60:C61"/>
    <mergeCell ref="B62:B63"/>
    <mergeCell ref="E64:E65"/>
    <mergeCell ref="E66:E67"/>
    <mergeCell ref="E34:E35"/>
    <mergeCell ref="A40:A49"/>
    <mergeCell ref="B44:B45"/>
    <mergeCell ref="C44:C45"/>
    <mergeCell ref="B46:B49"/>
    <mergeCell ref="E44:E45"/>
    <mergeCell ref="A69:A78"/>
    <mergeCell ref="B71:B72"/>
    <mergeCell ref="C71:C72"/>
    <mergeCell ref="B73:B74"/>
    <mergeCell ref="C73:C74"/>
    <mergeCell ref="B75:B78"/>
    <mergeCell ref="E71:E72"/>
    <mergeCell ref="E73:E74"/>
    <mergeCell ref="A51:A67"/>
    <mergeCell ref="C62:C63"/>
    <mergeCell ref="B64:B65"/>
    <mergeCell ref="C64:C65"/>
    <mergeCell ref="B66:B67"/>
    <mergeCell ref="C66:C67"/>
    <mergeCell ref="E54:E55"/>
    <mergeCell ref="E56:E57"/>
    <mergeCell ref="E58:E59"/>
    <mergeCell ref="E60:E61"/>
    <mergeCell ref="E62:E63"/>
    <mergeCell ref="B54:B55"/>
    <mergeCell ref="C54:C55"/>
    <mergeCell ref="B56:B57"/>
    <mergeCell ref="C56:C57"/>
    <mergeCell ref="B58:B59"/>
    <mergeCell ref="E82:E83"/>
    <mergeCell ref="E84:E85"/>
    <mergeCell ref="E86:E87"/>
    <mergeCell ref="A91:A107"/>
    <mergeCell ref="B93:B94"/>
    <mergeCell ref="C93:C94"/>
    <mergeCell ref="B95:B96"/>
    <mergeCell ref="C95:C96"/>
    <mergeCell ref="B97:B98"/>
    <mergeCell ref="C97:C98"/>
    <mergeCell ref="A80:A89"/>
    <mergeCell ref="B82:B83"/>
    <mergeCell ref="C82:C83"/>
    <mergeCell ref="B84:B85"/>
    <mergeCell ref="C84:C85"/>
    <mergeCell ref="B86:B87"/>
    <mergeCell ref="C86:C87"/>
    <mergeCell ref="B88:B89"/>
    <mergeCell ref="E101:E102"/>
    <mergeCell ref="E103:E104"/>
    <mergeCell ref="E105:E106"/>
    <mergeCell ref="A109:A125"/>
    <mergeCell ref="B110:B111"/>
    <mergeCell ref="C110:C111"/>
    <mergeCell ref="B112:B113"/>
    <mergeCell ref="C112:C113"/>
    <mergeCell ref="B114:B115"/>
    <mergeCell ref="C114:C115"/>
    <mergeCell ref="B116:B117"/>
    <mergeCell ref="B99:B100"/>
    <mergeCell ref="C99:C100"/>
    <mergeCell ref="B101:B102"/>
    <mergeCell ref="C101:C102"/>
    <mergeCell ref="B103:B104"/>
    <mergeCell ref="C103:C104"/>
    <mergeCell ref="C116:C117"/>
    <mergeCell ref="B118:B119"/>
    <mergeCell ref="C118:C119"/>
    <mergeCell ref="B120:B121"/>
    <mergeCell ref="C120:C121"/>
    <mergeCell ref="B122:B123"/>
    <mergeCell ref="C122:C123"/>
    <mergeCell ref="B105:B106"/>
    <mergeCell ref="C105:C106"/>
    <mergeCell ref="B124:B125"/>
    <mergeCell ref="B165:B166"/>
    <mergeCell ref="C165:C166"/>
    <mergeCell ref="B167:B168"/>
    <mergeCell ref="C167:C168"/>
    <mergeCell ref="C124:C125"/>
    <mergeCell ref="B129:B130"/>
    <mergeCell ref="C129:C130"/>
    <mergeCell ref="B131:B132"/>
    <mergeCell ref="C131:C132"/>
    <mergeCell ref="B133:B134"/>
    <mergeCell ref="C133:C134"/>
    <mergeCell ref="B135:B136"/>
    <mergeCell ref="B143:B145"/>
    <mergeCell ref="A127:A145"/>
    <mergeCell ref="C135:C136"/>
    <mergeCell ref="B137:B138"/>
    <mergeCell ref="C137:C138"/>
    <mergeCell ref="B139:B140"/>
    <mergeCell ref="C139:C140"/>
    <mergeCell ref="B141:B142"/>
    <mergeCell ref="C141:C142"/>
    <mergeCell ref="C163:C164"/>
    <mergeCell ref="B157:B158"/>
    <mergeCell ref="C157:C158"/>
    <mergeCell ref="B159:B160"/>
    <mergeCell ref="C159:C160"/>
    <mergeCell ref="B161:B162"/>
    <mergeCell ref="C161:C162"/>
    <mergeCell ref="A147:A170"/>
    <mergeCell ref="B149:B150"/>
    <mergeCell ref="C149:C150"/>
    <mergeCell ref="B151:B152"/>
    <mergeCell ref="C151:C152"/>
    <mergeCell ref="B153:B154"/>
    <mergeCell ref="C153:C154"/>
    <mergeCell ref="B155:B156"/>
    <mergeCell ref="C155:C156"/>
    <mergeCell ref="E118:E119"/>
    <mergeCell ref="C181:C182"/>
    <mergeCell ref="B183:B189"/>
    <mergeCell ref="A191:A200"/>
    <mergeCell ref="B192:B193"/>
    <mergeCell ref="C192:C193"/>
    <mergeCell ref="B194:B195"/>
    <mergeCell ref="C194:C195"/>
    <mergeCell ref="B196:B199"/>
    <mergeCell ref="C196:C199"/>
    <mergeCell ref="B169:B170"/>
    <mergeCell ref="C169:C170"/>
    <mergeCell ref="A172:A189"/>
    <mergeCell ref="B175:B176"/>
    <mergeCell ref="C175:C176"/>
    <mergeCell ref="B177:B178"/>
    <mergeCell ref="C177:C178"/>
    <mergeCell ref="B179:B180"/>
    <mergeCell ref="C179:C180"/>
    <mergeCell ref="E165:E166"/>
    <mergeCell ref="E167:E168"/>
    <mergeCell ref="E169:E170"/>
    <mergeCell ref="B181:B182"/>
    <mergeCell ref="B163:B164"/>
    <mergeCell ref="E181:E182"/>
    <mergeCell ref="E196:E199"/>
    <mergeCell ref="E137:E138"/>
    <mergeCell ref="E139:E140"/>
    <mergeCell ref="E141:E142"/>
    <mergeCell ref="E159:E160"/>
    <mergeCell ref="E161:E162"/>
    <mergeCell ref="E163:E164"/>
    <mergeCell ref="E122:E123"/>
    <mergeCell ref="E124:E125"/>
  </mergeCells>
  <pageMargins left="0.7" right="0.7" top="0.75" bottom="0.75" header="0.3" footer="0.3"/>
  <pageSetup orientation="portrait" verticalDpi="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WP Cost Summary</vt:lpstr>
      <vt:lpstr>LED,CFL,Inc Lamp - Calculator</vt:lpstr>
      <vt:lpstr>LED,CFL,Inc Lamp - WO017</vt:lpstr>
      <vt:lpstr>HID Lamp - Calculator</vt:lpstr>
      <vt:lpstr>HID Lamp - WO017</vt:lpstr>
      <vt:lpstr>LF Lamp - Calculator</vt:lpstr>
      <vt:lpstr>LF Lamp - WO017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Jason H Wang</dc:creator>
  <cp:lastModifiedBy>Scott Mitchell</cp:lastModifiedBy>
  <dcterms:created xsi:type="dcterms:W3CDTF">2015-07-10T17:23:31Z</dcterms:created>
  <dcterms:modified xsi:type="dcterms:W3CDTF">2017-01-05T17:11:05Z</dcterms:modified>
</cp:coreProperties>
</file>