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TRC\SCE Workpapers\(012.2) SCE17HC043.0 - Water Cooled Chiller\2017 Updated Workpaper Files\Deliverables\Attachments\"/>
    </mc:Choice>
  </mc:AlternateContent>
  <bookViews>
    <workbookView xWindow="0" yWindow="0" windowWidth="23040" windowHeight="9390" activeTab="4"/>
  </bookViews>
  <sheets>
    <sheet name="Background" sheetId="14" r:id="rId1"/>
    <sheet name="SCE Measure Summary" sheetId="12" r:id="rId2"/>
    <sheet name="PG&amp;E Measure Summary" sheetId="13" r:id="rId3"/>
    <sheet name="Cost per Solution Code" sheetId="15" r:id="rId4"/>
    <sheet name="IMC Summary" sheetId="2" r:id="rId5"/>
    <sheet name="Raw Data" sheetId="1" r:id="rId6"/>
  </sheets>
  <externalReferences>
    <externalReference r:id="rId7"/>
  </externalReferences>
  <definedNames>
    <definedName name="_xlnm._FilterDatabase" localSheetId="3" hidden="1">'Cost per Solution Code'!$B$4:$H$64</definedName>
    <definedName name="_xlnm._FilterDatabase" localSheetId="1" hidden="1">'SCE Measure Summary'!$B$2:$V$24</definedName>
    <definedName name="Delivery_and_Incentive_Method">'[1]Delivery &amp; Incentive Method'!$A$2:$A$25</definedName>
    <definedName name="Interactive_Effects">'[1]Load Shapes'!$L$2:$L$3</definedName>
    <definedName name="_xlnm.Print_Area" localSheetId="5">'Raw Data'!$A$1:$P$32</definedName>
    <definedName name="Program_Type">'[1]Load Shapes'!$C$1:$C$5</definedName>
  </definedName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4" i="15" l="1"/>
  <c r="H63" i="15"/>
  <c r="H62" i="15"/>
  <c r="H61" i="15"/>
  <c r="H60" i="15"/>
  <c r="H59" i="15"/>
  <c r="H58" i="15"/>
  <c r="H57" i="15"/>
  <c r="H56" i="15"/>
  <c r="H55" i="15"/>
  <c r="H54" i="15"/>
  <c r="H53" i="15"/>
  <c r="H52" i="15"/>
  <c r="H51" i="15"/>
  <c r="H50" i="15"/>
  <c r="H49" i="15"/>
  <c r="H48" i="15"/>
  <c r="H47" i="15"/>
  <c r="H46" i="15"/>
  <c r="H45" i="15"/>
  <c r="H44" i="15"/>
  <c r="H43" i="15"/>
  <c r="H42" i="15"/>
  <c r="H41" i="15"/>
  <c r="H40" i="15"/>
  <c r="H39" i="15"/>
  <c r="H38" i="15"/>
  <c r="H37" i="15"/>
  <c r="H36" i="15"/>
  <c r="H35" i="15"/>
  <c r="H34" i="15"/>
  <c r="H33" i="15"/>
  <c r="H32" i="15"/>
  <c r="H31" i="15"/>
  <c r="H30" i="15"/>
  <c r="H29" i="15"/>
  <c r="H28" i="15"/>
  <c r="H27" i="15"/>
  <c r="H26" i="15"/>
  <c r="H25" i="15"/>
  <c r="H24" i="15"/>
  <c r="H23" i="15"/>
  <c r="H22" i="15"/>
  <c r="H21" i="15"/>
  <c r="H20" i="15"/>
  <c r="H19" i="15"/>
  <c r="H18" i="15"/>
  <c r="H17" i="15"/>
  <c r="H16" i="15"/>
  <c r="H15" i="15"/>
  <c r="H14" i="15"/>
  <c r="H13" i="15"/>
  <c r="H12" i="15"/>
  <c r="H11" i="15"/>
  <c r="H10" i="15"/>
  <c r="H9" i="15"/>
  <c r="H8" i="15"/>
  <c r="H7" i="15"/>
  <c r="H6" i="15"/>
  <c r="H5" i="15"/>
  <c r="G4" i="2" l="1"/>
  <c r="G5" i="2"/>
  <c r="G6" i="2"/>
  <c r="G7" i="2"/>
  <c r="G8" i="2"/>
  <c r="G9" i="2"/>
  <c r="G10" i="2"/>
  <c r="G11" i="2"/>
  <c r="G12" i="2"/>
  <c r="H4" i="2"/>
  <c r="H5" i="2"/>
  <c r="H6" i="2"/>
  <c r="H7" i="2"/>
  <c r="H8" i="2"/>
  <c r="H9" i="2"/>
  <c r="H10" i="2"/>
  <c r="H11" i="2"/>
  <c r="H12" i="2"/>
  <c r="H3" i="2"/>
  <c r="G3" i="2" l="1"/>
  <c r="N12" i="2" l="1"/>
  <c r="M12" i="2"/>
  <c r="N11" i="2"/>
  <c r="M11" i="2"/>
  <c r="N10" i="2"/>
  <c r="M10" i="2"/>
  <c r="N6" i="2"/>
  <c r="M6" i="2"/>
  <c r="R22" i="13"/>
  <c r="T22" i="13" s="1"/>
  <c r="R21" i="13"/>
  <c r="T21" i="13" s="1"/>
  <c r="R20" i="13"/>
  <c r="T20" i="13" s="1"/>
  <c r="R19" i="13"/>
  <c r="T19" i="13" s="1"/>
  <c r="R18" i="13"/>
  <c r="T18" i="13" s="1"/>
  <c r="R17" i="13"/>
  <c r="T17" i="13" s="1"/>
  <c r="R16" i="13"/>
  <c r="T16" i="13" s="1"/>
  <c r="R15" i="13"/>
  <c r="T15" i="13" s="1"/>
  <c r="R14" i="13"/>
  <c r="T14" i="13" s="1"/>
  <c r="R13" i="13"/>
  <c r="T13" i="13" s="1"/>
  <c r="R10" i="13"/>
  <c r="T10" i="13" s="1"/>
  <c r="R9" i="13"/>
  <c r="T9" i="13" s="1"/>
  <c r="P9" i="12"/>
  <c r="R9" i="12" s="1"/>
  <c r="P10" i="12"/>
  <c r="R10" i="12" s="1"/>
  <c r="P13" i="12"/>
  <c r="R13" i="12" s="1"/>
  <c r="P14" i="12"/>
  <c r="R14" i="12" s="1"/>
  <c r="P15" i="12"/>
  <c r="R15" i="12" s="1"/>
  <c r="P16" i="12"/>
  <c r="R16" i="12" s="1"/>
  <c r="P17" i="12"/>
  <c r="R17" i="12" s="1"/>
  <c r="P18" i="12"/>
  <c r="R18" i="12" s="1"/>
  <c r="P19" i="12"/>
  <c r="R19" i="12" s="1"/>
  <c r="P20" i="12"/>
  <c r="R20" i="12" s="1"/>
  <c r="P21" i="12"/>
  <c r="R21" i="12" s="1"/>
  <c r="P22" i="12"/>
  <c r="R22" i="12" s="1"/>
  <c r="M19" i="13"/>
  <c r="P19" i="13" s="1"/>
  <c r="N19" i="13"/>
  <c r="M20" i="13"/>
  <c r="N20" i="13"/>
  <c r="Q20" i="13" s="1"/>
  <c r="M21" i="13"/>
  <c r="N21" i="13"/>
  <c r="M22" i="13"/>
  <c r="N22" i="13"/>
  <c r="M4" i="13"/>
  <c r="P4" i="13" s="1"/>
  <c r="N4" i="13"/>
  <c r="Q4" i="13" s="1"/>
  <c r="M5" i="13"/>
  <c r="N5" i="13"/>
  <c r="Q5" i="13" s="1"/>
  <c r="M6" i="13"/>
  <c r="P6" i="13" s="1"/>
  <c r="N6" i="13"/>
  <c r="Q6" i="13" s="1"/>
  <c r="M7" i="13"/>
  <c r="N7" i="13"/>
  <c r="Q7" i="13" s="1"/>
  <c r="M8" i="13"/>
  <c r="P8" i="13" s="1"/>
  <c r="N8" i="13"/>
  <c r="Q8" i="13" s="1"/>
  <c r="M9" i="13"/>
  <c r="P9" i="13" s="1"/>
  <c r="N9" i="13"/>
  <c r="M10" i="13"/>
  <c r="N10" i="13"/>
  <c r="Q10" i="13" s="1"/>
  <c r="M11" i="13"/>
  <c r="N11" i="13"/>
  <c r="M12" i="13"/>
  <c r="P12" i="13" s="1"/>
  <c r="N12" i="13"/>
  <c r="Q12" i="13" s="1"/>
  <c r="M13" i="13"/>
  <c r="N13" i="13"/>
  <c r="Q13" i="13" s="1"/>
  <c r="M14" i="13"/>
  <c r="P14" i="13" s="1"/>
  <c r="N14" i="13"/>
  <c r="Q14" i="13" s="1"/>
  <c r="M15" i="13"/>
  <c r="N15" i="13"/>
  <c r="M16" i="13"/>
  <c r="N16" i="13"/>
  <c r="Q16" i="13" s="1"/>
  <c r="M17" i="13"/>
  <c r="N17" i="13"/>
  <c r="Q17" i="13" s="1"/>
  <c r="M18" i="13"/>
  <c r="P18" i="13" s="1"/>
  <c r="N18" i="13"/>
  <c r="N3" i="13"/>
  <c r="M3" i="13"/>
  <c r="P3" i="13"/>
  <c r="J22" i="13"/>
  <c r="G22" i="13"/>
  <c r="A22" i="13"/>
  <c r="J21" i="13"/>
  <c r="G21" i="13"/>
  <c r="A21" i="13"/>
  <c r="P20" i="13"/>
  <c r="J20" i="13"/>
  <c r="G20" i="13"/>
  <c r="A20" i="13"/>
  <c r="J19" i="13"/>
  <c r="G19" i="13"/>
  <c r="A19" i="13"/>
  <c r="J18" i="13"/>
  <c r="G18" i="13"/>
  <c r="A18" i="13"/>
  <c r="J17" i="13"/>
  <c r="G17" i="13"/>
  <c r="A17" i="13"/>
  <c r="J16" i="13"/>
  <c r="G16" i="13"/>
  <c r="A16" i="13"/>
  <c r="P15" i="13"/>
  <c r="J15" i="13"/>
  <c r="G15" i="13"/>
  <c r="A15" i="13"/>
  <c r="J14" i="13"/>
  <c r="G14" i="13"/>
  <c r="A14" i="13"/>
  <c r="P13" i="13"/>
  <c r="J13" i="13"/>
  <c r="G13" i="13"/>
  <c r="A13" i="13"/>
  <c r="J12" i="13"/>
  <c r="G12" i="13"/>
  <c r="A12" i="13"/>
  <c r="Q11" i="13"/>
  <c r="P11" i="13"/>
  <c r="J11" i="13"/>
  <c r="G11" i="13"/>
  <c r="A11" i="13"/>
  <c r="P10" i="13"/>
  <c r="J10" i="13"/>
  <c r="G10" i="13"/>
  <c r="A10" i="13"/>
  <c r="Q9" i="13"/>
  <c r="J9" i="13"/>
  <c r="G9" i="13"/>
  <c r="A9" i="13"/>
  <c r="J8" i="13"/>
  <c r="G8" i="13"/>
  <c r="A8" i="13"/>
  <c r="P7" i="13"/>
  <c r="J7" i="13"/>
  <c r="G7" i="13"/>
  <c r="A7" i="13"/>
  <c r="J6" i="13"/>
  <c r="G6" i="13"/>
  <c r="A6" i="13"/>
  <c r="P5" i="13"/>
  <c r="J5" i="13"/>
  <c r="G5" i="13"/>
  <c r="A5" i="13"/>
  <c r="J4" i="13"/>
  <c r="G4" i="13"/>
  <c r="A4" i="13"/>
  <c r="Q3" i="13"/>
  <c r="J3" i="13"/>
  <c r="G3" i="13"/>
  <c r="A3" i="13"/>
  <c r="T23" i="12"/>
  <c r="O22" i="12"/>
  <c r="V22" i="12" s="1"/>
  <c r="N22" i="12"/>
  <c r="U22" i="12" s="1"/>
  <c r="K22" i="12"/>
  <c r="H22" i="12"/>
  <c r="A22" i="12"/>
  <c r="O21" i="12"/>
  <c r="V21" i="12" s="1"/>
  <c r="N21" i="12"/>
  <c r="U21" i="12" s="1"/>
  <c r="K21" i="12"/>
  <c r="H21" i="12"/>
  <c r="A21" i="12"/>
  <c r="O20" i="12"/>
  <c r="V20" i="12" s="1"/>
  <c r="N20" i="12"/>
  <c r="U20" i="12" s="1"/>
  <c r="K20" i="12"/>
  <c r="H20" i="12"/>
  <c r="A20" i="12"/>
  <c r="O19" i="12"/>
  <c r="V19" i="12" s="1"/>
  <c r="N19" i="12"/>
  <c r="U19" i="12" s="1"/>
  <c r="K19" i="12"/>
  <c r="H19" i="12"/>
  <c r="A19" i="12"/>
  <c r="O18" i="12"/>
  <c r="V18" i="12" s="1"/>
  <c r="N18" i="12"/>
  <c r="U18" i="12" s="1"/>
  <c r="K18" i="12"/>
  <c r="H18" i="12"/>
  <c r="A18" i="12"/>
  <c r="O17" i="12"/>
  <c r="V17" i="12" s="1"/>
  <c r="N17" i="12"/>
  <c r="U17" i="12" s="1"/>
  <c r="K17" i="12"/>
  <c r="H17" i="12"/>
  <c r="A17" i="12"/>
  <c r="O16" i="12"/>
  <c r="V16" i="12" s="1"/>
  <c r="N16" i="12"/>
  <c r="U16" i="12" s="1"/>
  <c r="K16" i="12"/>
  <c r="H16" i="12"/>
  <c r="A16" i="12"/>
  <c r="O15" i="12"/>
  <c r="V15" i="12" s="1"/>
  <c r="N15" i="12"/>
  <c r="U15" i="12" s="1"/>
  <c r="K15" i="12"/>
  <c r="H15" i="12"/>
  <c r="A15" i="12"/>
  <c r="O14" i="12"/>
  <c r="V14" i="12" s="1"/>
  <c r="N14" i="12"/>
  <c r="U14" i="12" s="1"/>
  <c r="K14" i="12"/>
  <c r="H14" i="12"/>
  <c r="A14" i="12"/>
  <c r="O13" i="12"/>
  <c r="V13" i="12" s="1"/>
  <c r="N13" i="12"/>
  <c r="U13" i="12" s="1"/>
  <c r="K13" i="12"/>
  <c r="H13" i="12"/>
  <c r="A13" i="12"/>
  <c r="O12" i="12"/>
  <c r="V12" i="12" s="1"/>
  <c r="N12" i="12"/>
  <c r="U12" i="12" s="1"/>
  <c r="K12" i="12"/>
  <c r="H12" i="12"/>
  <c r="A12" i="12"/>
  <c r="O11" i="12"/>
  <c r="V11" i="12" s="1"/>
  <c r="N11" i="12"/>
  <c r="U11" i="12" s="1"/>
  <c r="K11" i="12"/>
  <c r="H11" i="12"/>
  <c r="A11" i="12"/>
  <c r="O10" i="12"/>
  <c r="V10" i="12" s="1"/>
  <c r="N10" i="12"/>
  <c r="U10" i="12" s="1"/>
  <c r="K10" i="12"/>
  <c r="H10" i="12"/>
  <c r="A10" i="12"/>
  <c r="O9" i="12"/>
  <c r="V9" i="12" s="1"/>
  <c r="N9" i="12"/>
  <c r="U9" i="12" s="1"/>
  <c r="K9" i="12"/>
  <c r="H9" i="12"/>
  <c r="A9" i="12"/>
  <c r="O8" i="12"/>
  <c r="V8" i="12" s="1"/>
  <c r="N8" i="12"/>
  <c r="U8" i="12" s="1"/>
  <c r="K8" i="12"/>
  <c r="H8" i="12"/>
  <c r="A8" i="12"/>
  <c r="O7" i="12"/>
  <c r="V7" i="12" s="1"/>
  <c r="N7" i="12"/>
  <c r="U7" i="12" s="1"/>
  <c r="K7" i="12"/>
  <c r="H7" i="12"/>
  <c r="A7" i="12"/>
  <c r="O6" i="12"/>
  <c r="V6" i="12" s="1"/>
  <c r="N6" i="12"/>
  <c r="U6" i="12" s="1"/>
  <c r="K6" i="12"/>
  <c r="H6" i="12"/>
  <c r="A6" i="12"/>
  <c r="O5" i="12"/>
  <c r="V5" i="12" s="1"/>
  <c r="N5" i="12"/>
  <c r="U5" i="12" s="1"/>
  <c r="K5" i="12"/>
  <c r="H5" i="12"/>
  <c r="A5" i="12"/>
  <c r="O4" i="12"/>
  <c r="V4" i="12" s="1"/>
  <c r="N4" i="12"/>
  <c r="U4" i="12" s="1"/>
  <c r="K4" i="12"/>
  <c r="H4" i="12"/>
  <c r="A4" i="12"/>
  <c r="O3" i="12"/>
  <c r="V3" i="12" s="1"/>
  <c r="N3" i="12"/>
  <c r="U3" i="12" s="1"/>
  <c r="K3" i="12"/>
  <c r="H3" i="12"/>
  <c r="A3" i="12"/>
  <c r="V23" i="12" l="1"/>
  <c r="Q15" i="13"/>
  <c r="Q23" i="13" s="1"/>
  <c r="P21" i="13"/>
  <c r="P22" i="13"/>
  <c r="P16" i="13"/>
  <c r="P23" i="13" s="1"/>
  <c r="P17" i="13"/>
  <c r="Q21" i="13"/>
  <c r="Q19" i="13"/>
  <c r="Q18" i="13"/>
  <c r="Q22" i="13"/>
  <c r="U23" i="12"/>
  <c r="B18" i="2" l="1"/>
  <c r="B26" i="2"/>
  <c r="C26" i="2" s="1"/>
  <c r="C18" i="2" l="1"/>
  <c r="D19" i="2" s="1"/>
  <c r="C3" i="2" l="1"/>
  <c r="C7" i="2"/>
  <c r="C4" i="2"/>
  <c r="C5" i="2"/>
  <c r="D27" i="2"/>
  <c r="B22" i="2"/>
  <c r="C22" i="2" l="1"/>
  <c r="D23" i="2" s="1"/>
  <c r="E5" i="2"/>
  <c r="E7" i="2"/>
  <c r="E3" i="2"/>
  <c r="E4" i="2"/>
  <c r="D3" i="2" l="1"/>
  <c r="D5" i="2"/>
  <c r="D7" i="2"/>
  <c r="D4" i="2"/>
  <c r="R4" i="13"/>
  <c r="T4" i="13" s="1"/>
  <c r="P4" i="12"/>
  <c r="R4" i="12" s="1"/>
  <c r="R12" i="13"/>
  <c r="T12" i="13" s="1"/>
  <c r="P12" i="12"/>
  <c r="R12" i="12" s="1"/>
  <c r="R8" i="13"/>
  <c r="T8" i="13" s="1"/>
  <c r="P8" i="12"/>
  <c r="R8" i="12" s="1"/>
  <c r="R6" i="13"/>
  <c r="T6" i="13" s="1"/>
  <c r="P6" i="12"/>
  <c r="R6" i="12" s="1"/>
  <c r="P5" i="12" l="1"/>
  <c r="R5" i="12" s="1"/>
  <c r="R5" i="13"/>
  <c r="T5" i="13" s="1"/>
  <c r="P11" i="12"/>
  <c r="R11" i="12" s="1"/>
  <c r="R11" i="13"/>
  <c r="T11" i="13" s="1"/>
  <c r="P7" i="12"/>
  <c r="R7" i="12" s="1"/>
  <c r="R7" i="13"/>
  <c r="T7" i="13" s="1"/>
  <c r="R3" i="13"/>
  <c r="T3" i="13" s="1"/>
  <c r="P3" i="12"/>
  <c r="R3" i="12" s="1"/>
</calcChain>
</file>

<file path=xl/sharedStrings.xml><?xml version="1.0" encoding="utf-8"?>
<sst xmlns="http://schemas.openxmlformats.org/spreadsheetml/2006/main" count="450" uniqueCount="214">
  <si>
    <t>Chiller Type</t>
  </si>
  <si>
    <t>Capacity Range</t>
  </si>
  <si>
    <t>Efficiency Category</t>
  </si>
  <si>
    <t>Path</t>
  </si>
  <si>
    <t>Full Load Rating</t>
  </si>
  <si>
    <t>Full Load</t>
  </si>
  <si>
    <t>IPLV</t>
  </si>
  <si>
    <t>&lt; 75 tons</t>
  </si>
  <si>
    <t>Code Baseline</t>
  </si>
  <si>
    <t>kW/ton</t>
  </si>
  <si>
    <t>Measure (+10%)</t>
  </si>
  <si>
    <t>Measure (+15%)</t>
  </si>
  <si>
    <t>75 to 149 tons</t>
  </si>
  <si>
    <t>150 to 299 tons</t>
  </si>
  <si>
    <t>300 to 599 tons</t>
  </si>
  <si>
    <t>&gt;= 600 tons</t>
  </si>
  <si>
    <t>Water Cooled Variable Speed Screw Chiller</t>
  </si>
  <si>
    <t>B</t>
  </si>
  <si>
    <t>Water Cooled Variable Speed Centrifugal Chiller (Conventional Compressor)</t>
  </si>
  <si>
    <t>&lt; 150 tons</t>
  </si>
  <si>
    <t>300 to 399 tons</t>
  </si>
  <si>
    <t>400 to 599 tons</t>
  </si>
  <si>
    <t>Tons</t>
  </si>
  <si>
    <t>FLE</t>
  </si>
  <si>
    <t>Tier</t>
  </si>
  <si>
    <t>Baseline Cost</t>
  </si>
  <si>
    <t>Tier 1 IMC</t>
  </si>
  <si>
    <t>Tier 2 IMC</t>
  </si>
  <si>
    <t>Cost/ton</t>
  </si>
  <si>
    <t>Tier 1 Centrifugal Trend Line</t>
  </si>
  <si>
    <t>Value for 400-599 Tons</t>
  </si>
  <si>
    <t>Tier 1 Screw/Scroll Trend Line</t>
  </si>
  <si>
    <t>Tier 2 Centrifugal Trend Line</t>
  </si>
  <si>
    <t>Tier 2 Screw/Scroll Trend Line</t>
  </si>
  <si>
    <t>Baseline Centrifugal Trend Line</t>
  </si>
  <si>
    <t>Baseline Screw/Scroll Trend Line</t>
  </si>
  <si>
    <t>Size Category</t>
  </si>
  <si>
    <t>New Data</t>
  </si>
  <si>
    <t>Old Data</t>
  </si>
  <si>
    <t>Percent Difference</t>
  </si>
  <si>
    <t>Example Product 1</t>
  </si>
  <si>
    <t>Example Product 2</t>
  </si>
  <si>
    <t>SCE*</t>
  </si>
  <si>
    <t>PG&amp;E*</t>
  </si>
  <si>
    <t>Compressor</t>
  </si>
  <si>
    <t>Size</t>
  </si>
  <si>
    <t>Title 24 IPLV (at AHRI)</t>
  </si>
  <si>
    <t>Tier % over Title 24 IPLV Requirement</t>
  </si>
  <si>
    <t>Title 24 Full Load (at AHRI)</t>
  </si>
  <si>
    <t>Tier % over Title 24 kW/ton</t>
  </si>
  <si>
    <t>Tier kW/ton (at AHRI)</t>
  </si>
  <si>
    <t>DEER Measure kW/ton</t>
  </si>
  <si>
    <t>DEER Measure kWh/ton</t>
  </si>
  <si>
    <t>Tier kW/ton Demand Reduction</t>
  </si>
  <si>
    <t>Tier kWh/ton Energy Savings</t>
  </si>
  <si>
    <t>Estimated Annual Participation</t>
  </si>
  <si>
    <t>kW</t>
  </si>
  <si>
    <t>kWh</t>
  </si>
  <si>
    <t>Postive Displacement (Screw, Scroll, Helical Rotary)</t>
  </si>
  <si>
    <t>&lt;75 Tons</t>
  </si>
  <si>
    <t>75-150 Tons</t>
  </si>
  <si>
    <t>150-300 Tons</t>
  </si>
  <si>
    <t>300 -600 Tons</t>
  </si>
  <si>
    <t>&gt;600 Tons</t>
  </si>
  <si>
    <t>Centrifugal</t>
  </si>
  <si>
    <t>&lt;150 Tons</t>
  </si>
  <si>
    <t>300 -400 Tons</t>
  </si>
  <si>
    <t>300-400 Tons</t>
  </si>
  <si>
    <t>400-600 Tons</t>
  </si>
  <si>
    <t>Total</t>
  </si>
  <si>
    <t>Estimated TRC:</t>
  </si>
  <si>
    <t xml:space="preserve">Savings estimates are directly from DEER and interpolation techinique descripted in the Short Term Workpaper Approach. Participation estimates are based on previous participation. </t>
  </si>
  <si>
    <t>*Uses Com Building Type and IOU CZ for PG&amp;E IOU</t>
  </si>
  <si>
    <t>*Uses Com Building Type and IOU CZ for SCE IOU</t>
  </si>
  <si>
    <t>IMC</t>
  </si>
  <si>
    <t>GMC</t>
  </si>
  <si>
    <t>Data was not provided for cells in red. Trend lines were created to estimate IMC and Baseline Costs</t>
  </si>
  <si>
    <t>Because a limited data set was provided for IMCs, old cost data was compared to ensure data was accurate. IMCs were generally found to be similar, but generally had lower baselines costs.</t>
  </si>
  <si>
    <t xml:space="preserve">For each size category the trend line for the centrifgual units was used to fill in missing data for scroll units. For this analysis it was assumed that the cost by size category for positive displacement chillers was similar to those of centrifugal chillers. Although this trend may not be 100% accurate is the best available data. In addition, very little participation is expected for positive displacement chillers. </t>
  </si>
  <si>
    <t>Percent over Title 24</t>
  </si>
  <si>
    <t>Proposed Incentive</t>
  </si>
  <si>
    <t xml:space="preserve">How was the baseline cost determined?  Was it also determined using a single chiller manufacturer?  </t>
  </si>
  <si>
    <t>Reply: The cost data is from one manufacturer for sample units that they provided.</t>
  </si>
  <si>
    <t xml:space="preserve">Is cost documentation for both base and measure cases based on 2017 market availability?  Please confirm that program data was not used for determining 2017 measure cost.  </t>
  </si>
  <si>
    <t xml:space="preserve">Reply: Yes the data is based on market availability the program does not collect program data and is not used for measure costs. </t>
  </si>
  <si>
    <t xml:space="preserve">If there is very limited equipment availability for the 10% tier and nothing for the 15% tier, how was the cost determined (and/or extrapolated) for both 10% and 15%?  </t>
  </si>
  <si>
    <t xml:space="preserve">Reply: The manufacturer did have some equipment that met the 15% tier for centrifugal equipment, although they only had one size category of positive displacement chillers.  In order to come up with data for these size categories the data was estimated using a trend line based on the difference in pricing between size categories for centrifugal chillers. There is little participation expected for these measures. </t>
  </si>
  <si>
    <t xml:space="preserve">Did EnergySolution indicated sample data points supporting each tier and measure (size) category? </t>
  </si>
  <si>
    <t xml:space="preserve">Reply: Energy Solutions provided the attached worksheets as the raw data used to supply IMC data. They also compared that data to some data that was previously collected to ensure that IMCs were still in line with what we have seen before. </t>
  </si>
  <si>
    <t>General Background on cost documentation supporting workpaper update</t>
  </si>
  <si>
    <t>Tier 1
GMC</t>
  </si>
  <si>
    <t>Tier 2
GMC</t>
  </si>
  <si>
    <t>Measure ID</t>
  </si>
  <si>
    <t>NE-HVAC-Chlr-WtrCldCentChlr-Conv-150to299tons-0.519kwpton-0.468IPLV</t>
  </si>
  <si>
    <t>NE-HVAC-Chlr-WtrCldCentChlr-Conv-150to299tons-0.549kwpton-0.495IPLV</t>
  </si>
  <si>
    <t>NE-HVAC-Chlr-WtrCldCentChlr-Conv-1Cmp-150to299tons-0.54kwpton-0.34IPLV-VarSpd-CndRlf</t>
  </si>
  <si>
    <t>NE-HVAC-Chlr-WtrCldCentChlr-Conv-1Cmp-150to299tons-0.572kwpton-0.36IPLV-VarSpd-CndRlf</t>
  </si>
  <si>
    <t>NE-HVAC-Chlr-WtrCldCentChlr-Conv-1Cmp-300to399tons-0.506kwpton-0.332IPLV-VarSpd-CndRlf</t>
  </si>
  <si>
    <t>NE-HVAC-Chlr-WtrCldCentChlr-Conv-1Cmp-300to399tons-0.536kwpton-0.351IPLV-VarSpd-CndRlf</t>
  </si>
  <si>
    <t>NE-HVAC-Chlr-WtrCldCentChlr-Conv-1Cmp-400to599tons-0.497kwpton-0.323IPLV-VarSpd-CndRlf</t>
  </si>
  <si>
    <t>NE-HVAC-Chlr-WtrCldCentChlr-Conv-1Cmp-400to599tons-0.527kwpton-0.342IPLV-VarSpd-CndRlf</t>
  </si>
  <si>
    <t>NE-HVAC-Chlr-WtrCldCentChlr-Conv-1Cmp-gte600tons-0.497kwpton-0.323IPLV-VarSpd-CndRlf</t>
  </si>
  <si>
    <t>NE-HVAC-Chlr-WtrCldCentChlr-Conv-1Cmp-gte600tons-0.527kwpton-0.342IPLV-VarSpd-CndRlf</t>
  </si>
  <si>
    <t>NE-HVAC-Chlr-WtrCldCentChlr-Conv-1Cmp-lt150tons-0.591kwpton-0.374IPLV-VarSpd-CndRlf</t>
  </si>
  <si>
    <t>NE-HVAC-Chlr-WtrCldCentChlr-Conv-1Cmp-lt150tons-0.626kwpton-0.396IPLV-VarSpd-CndRlf</t>
  </si>
  <si>
    <t>NE-HVAC-Chlr-WtrCldCentChlr-Conv-300to399tons-0.476kwpton-0.442IPLV</t>
  </si>
  <si>
    <t>NE-HVAC-Chlr-WtrCldCentChlr-Conv-300to399tons-0.504kwpton-0.468IPLV</t>
  </si>
  <si>
    <t>NE-HVAC-Chlr-WtrCldCentChlr-Conv-400to599tons-0.476kwpton-0.425IPLV</t>
  </si>
  <si>
    <t>NE-HVAC-Chlr-WtrCldCentChlr-Conv-400to599tons-0.504kwpton-0.5IPLV</t>
  </si>
  <si>
    <t>NE-HVAC-Chlr-WtrCldCentChlr-Conv-gte600tons-0.476kwpton-0.425IPLV</t>
  </si>
  <si>
    <t>NE-HVAC-Chlr-WtrCldCentChlr-Conv-gte600tons-0.504kwpton-0.45IPLV</t>
  </si>
  <si>
    <t>NE-HVAC-Chlr-WtrCldCentChlr-Conv-lt150tons-0.519kwpton-0.468IPLV</t>
  </si>
  <si>
    <t>NE-HVAC-Chlr-WtrCldCentChlr-Conv-lt150tons-0.549kwpton-0.495IPLV</t>
  </si>
  <si>
    <t>NE-HVAC-Chlr-WtrCldCentChlr-NoFric-1Cmp-150to299tons-0.54kwpton-0.34IPLV-VarSpd-CndRlf</t>
  </si>
  <si>
    <t>NE-HVAC-Chlr-WtrCldCentChlr-NoFric-1Cmp-150to299tons-0.572kwpton-0.36IPLV-VarSpd-CndRlf</t>
  </si>
  <si>
    <t>NE-HVAC-Chlr-WtrCldCentChlr-NoFric-1Cmp-300to399tons-0.506kwpton-0.332IPLV-VarSpd-CndRlf</t>
  </si>
  <si>
    <t>NE-HVAC-Chlr-WtrCldCentChlr-NoFric-1Cmp-300to399tons-0.536kwpton-0.351IPLV-VarSpd-CndRlf</t>
  </si>
  <si>
    <t>NE-HVAC-Chlr-WtrCldCentChlr-NoFric-1Cmp-400to599tons-0.497kwpton-0.323IPLV-VarSpd-CndRlf</t>
  </si>
  <si>
    <t>NE-HVAC-Chlr-WtrCldCentChlr-NoFric-1Cmp-400to599tons-0.527kwpton-0.342IPLV-VarSpd-CndRlf</t>
  </si>
  <si>
    <t>NE-HVAC-Chlr-WtrCldCentChlr-NoFric-1Cmp-gte600tons-0.497kwpton-0.323IPLV-VarSpd-CndRlf</t>
  </si>
  <si>
    <t>NE-HVAC-Chlr-WtrCldCentChlr-NoFric-1Cmp-gte600tons-0.527kwpton-0.342IPLV-VarSpd-CndRlf</t>
  </si>
  <si>
    <t>NE-HVAC-Chlr-WtrCldCentChlr-NoFric-1Cmp-lt150tons-0.591kwpton-0.374IPLV-VarSpd-CndRlf</t>
  </si>
  <si>
    <t>NE-HVAC-Chlr-WtrCldCentChlr-NoFric-1Cmp-lt150tons-0.626kwpton-0.396IPLV-VarSpd-CndRlf</t>
  </si>
  <si>
    <t>NE-HVAC-Chlr-WtrCldCentChlr-NoFric-2Cmp-150to299tons-0.54kwpton-0.34IPLV-VarSpd-CndRlf</t>
  </si>
  <si>
    <t>NE-HVAC-Chlr-WtrCldCentChlr-NoFric-2Cmp-150to299tons-0.572kwpton-0.36IPLV-VarSpd-CndRlf</t>
  </si>
  <si>
    <t>NE-HVAC-Chlr-WtrCldCentChlr-NoFric-2Cmp-300to399tons-0.506kwpton-0.332IPLV-VarSpd-CndRlf</t>
  </si>
  <si>
    <t>NE-HVAC-Chlr-WtrCldCentChlr-NoFric-2Cmp-300to399tons-0.536kwpton-0.351IPLV-VarSpd-CndRlf</t>
  </si>
  <si>
    <t>NE-HVAC-Chlr-WtrCldCentChlr-NoFric-2Cmp-400to599tons-0.497kwpton-0.323IPLV-VarSpd-CndRlf</t>
  </si>
  <si>
    <t>NE-HVAC-Chlr-WtrCldCentChlr-NoFric-2Cmp-400to599tons-0.527kwpton-0.342IPLV-VarSpd-CndRlf</t>
  </si>
  <si>
    <t>NE-HVAC-Chlr-WtrCldCentChlr-NoFric-2Cmp-gte600tons-0.497kwpton-0.323IPLV-VarSpd-CndRlf</t>
  </si>
  <si>
    <t>NE-HVAC-Chlr-WtrCldCentChlr-NoFric-2Cmp-gte600tons-0.527kwpton-0.342IPLV-VarSpd-CndRlf</t>
  </si>
  <si>
    <t>NE-HVAC-Chlr-WtrCldCentChlr-NoFric-2Cmp-lt150tons-0.591kwpton-0.374IPLV-VarSpd-CndRlf</t>
  </si>
  <si>
    <t>NE-HVAC-Chlr-WtrCldCentChlr-NoFric-2Cmp-lt150tons-0.626kwpton-0.396IPLV-VarSpd-CndRlf</t>
  </si>
  <si>
    <t>NE-HVAC-Chlr-WtrCldScrewChlr-150to299tons-0.561kwpton-0.459IPLV</t>
  </si>
  <si>
    <t>NE-HVAC-Chlr-WtrCldScrewChlr-150to299tons-0.578kwpton-0.374IPLV-VarSpd</t>
  </si>
  <si>
    <t>NE-HVAC-Chlr-WtrCldScrewChlr-150to299tons-0.594kwpton-0.486IPLV</t>
  </si>
  <si>
    <t>NE-HVAC-Chlr-WtrCldScrewChlr-150to299tons-0.612kwpton-0.396IPLV-VarSpd</t>
  </si>
  <si>
    <t>NE-HVAC-Chlr-WtrCldScrewChlr-300to599tons-0.519kwpton-0.442IPLV</t>
  </si>
  <si>
    <t>NE-HVAC-Chlr-WtrCldScrewChlr-300to599tons-0.531kwpton-0.349IPLV-VarSpd</t>
  </si>
  <si>
    <t>NE-HVAC-Chlr-WtrCldScrewChlr-300to599tons-0.549kwpton-0.468IPLV</t>
  </si>
  <si>
    <t>NE-HVAC-Chlr-WtrCldScrewChlr-300to599tons-0.563kwpton-0.369IPLV-VarSpd</t>
  </si>
  <si>
    <t>NE-HVAC-Chlr-WtrCldScrewChlr-75to149tons-0.612kwpton-0.476IPLV</t>
  </si>
  <si>
    <t>NE-HVAC-Chlr-WtrCldScrewChlr-75to149tons-0.638kwpton-0.417IPLV-VarSpd</t>
  </si>
  <si>
    <t>NE-HVAC-Chlr-WtrCldScrewChlr-75to149tons-0.648kwpton-0.504IPLV</t>
  </si>
  <si>
    <t>NE-HVAC-Chlr-WtrCldScrewChlr-75to149tons-0.675kwpton-0.441IPLV-VarSpd</t>
  </si>
  <si>
    <t>NE-HVAC-Chlr-WtrCldScrewChlr-gte600tons-0.476kwpton-0.425IPLV</t>
  </si>
  <si>
    <t>NE-HVAC-Chlr-WtrCldScrewChlr-gte600tons-0.497kwpton-0.323IPLV-VarSpd</t>
  </si>
  <si>
    <t>NE-HVAC-Chlr-WtrCldScrewChlr-gte600tons-0.504kwpton-0.45IPLV</t>
  </si>
  <si>
    <t>NE-HVAC-Chlr-WtrCldScrewChlr-gte600tons-0.527kwpton-0.342IPLV-VarSpd</t>
  </si>
  <si>
    <t>NE-HVAC-Chlr-WtrCldScrewChlr-lt75tons-0.638kwpton-0.51IPLV</t>
  </si>
  <si>
    <t>NE-HVAC-Chlr-WtrCldScrewChlr-lt75tons-0.663kwpton-0.425IPLV-VarSpd</t>
  </si>
  <si>
    <t>NE-HVAC-Chlr-WtrCldScrewChlr-lt75tons-0.675kwpton-0.54IPLV</t>
  </si>
  <si>
    <t>NE-HVAC-Chlr-WtrCldScrewChlr-lt75tons-0.702kwpton-0.45IPLV-VarSpd</t>
  </si>
  <si>
    <t>Solution Code</t>
  </si>
  <si>
    <t>AC-20031</t>
  </si>
  <si>
    <t>AC-20032</t>
  </si>
  <si>
    <t>AC-20033</t>
  </si>
  <si>
    <t>AC-20034</t>
  </si>
  <si>
    <t>AC-20035</t>
  </si>
  <si>
    <t>AC-20036</t>
  </si>
  <si>
    <t>AC-20037</t>
  </si>
  <si>
    <t>AC-20038</t>
  </si>
  <si>
    <t>AC-20039</t>
  </si>
  <si>
    <t>AC-20040</t>
  </si>
  <si>
    <t>AC-20041</t>
  </si>
  <si>
    <t>AC-20043</t>
  </si>
  <si>
    <t>AC-20044</t>
  </si>
  <si>
    <t>AC-20045</t>
  </si>
  <si>
    <t>AC-20046</t>
  </si>
  <si>
    <t>AC-20047</t>
  </si>
  <si>
    <t>AC-20048</t>
  </si>
  <si>
    <t>AC-20049</t>
  </si>
  <si>
    <t>AC-20050</t>
  </si>
  <si>
    <t>AC-20051</t>
  </si>
  <si>
    <t>AC-20052</t>
  </si>
  <si>
    <t>AC-20053</t>
  </si>
  <si>
    <t>AC-20054</t>
  </si>
  <si>
    <t>AC-20055</t>
  </si>
  <si>
    <t>AC-20057</t>
  </si>
  <si>
    <t>AC-20058</t>
  </si>
  <si>
    <t>AC-20059</t>
  </si>
  <si>
    <t>AC-20060</t>
  </si>
  <si>
    <t>AC-20061</t>
  </si>
  <si>
    <t>AC-20062</t>
  </si>
  <si>
    <t>AC-20063</t>
  </si>
  <si>
    <t>AC-20064</t>
  </si>
  <si>
    <t>AC-20065</t>
  </si>
  <si>
    <t>AC-20066</t>
  </si>
  <si>
    <t>AC-20067</t>
  </si>
  <si>
    <t>AC-20068</t>
  </si>
  <si>
    <t>AC-20069</t>
  </si>
  <si>
    <t>AC-20070</t>
  </si>
  <si>
    <t>AC-20071</t>
  </si>
  <si>
    <t>AC-20072</t>
  </si>
  <si>
    <t>AC-20073</t>
  </si>
  <si>
    <t>AC-20074</t>
  </si>
  <si>
    <t>AC-20075</t>
  </si>
  <si>
    <t>AC-20076</t>
  </si>
  <si>
    <t>AC-20077</t>
  </si>
  <si>
    <t>AC-20078</t>
  </si>
  <si>
    <t>AC-20079</t>
  </si>
  <si>
    <t>AC-20080</t>
  </si>
  <si>
    <t>AC-20081</t>
  </si>
  <si>
    <t>AC-20082</t>
  </si>
  <si>
    <t>AC-20083</t>
  </si>
  <si>
    <t>AC-20084</t>
  </si>
  <si>
    <t>AC-20085</t>
  </si>
  <si>
    <t>AC-20086</t>
  </si>
  <si>
    <t>AC-20088</t>
  </si>
  <si>
    <t>AC-20089</t>
  </si>
  <si>
    <t>AC-20090</t>
  </si>
  <si>
    <t>AC-20091</t>
  </si>
  <si>
    <t>AC-20092</t>
  </si>
  <si>
    <t>AC-20093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</si>
</sst>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4" formatCode="_(&quot;$&quot;* #,##0.00_);_(&quot;$&quot;* \(#,##0.00\);_(&quot;$&quot;* &quot;-&quot;??_);_(@_)"/>
    <numFmt numFmtId="43" formatCode="_(* #,##0.00_);_(* \(#,##0.00\);_(* &quot;-&quot;??_);_(@_)"/>
    <numFmt numFmtId="164" formatCode="&quot;$&quot;#,##0.00"/>
    <numFmt numFmtId="165" formatCode="_([$$-409]* #,##0.00_);_([$$-409]* \(#,##0.00\);_([$$-409]* &quot;-&quot;??_);_(@_)"/>
    <numFmt numFmtId="166" formatCode="_(&quot;$&quot;* #,##0_);_(&quot;$&quot;* \(#,##0\);_(&quot;$&quot;* &quot;-&quot;??_);_(@_)"/>
    <numFmt numFmtId="167" formatCode="_(* #,##0.000_);_(* \(#,##0.000\);_(* &quot;-&quot;??_);_(@_)"/>
    <numFmt numFmtId="168" formatCode="0.0%"/>
    <numFmt numFmtId="169" formatCode="0.000"/>
    <numFmt numFmtId="170" formatCode="_(* #,##0.0_);_(* \(#,##0.0\);_(* &quot;-&quot;??_);_(@_)"/>
    <numFmt numFmtId="171" formatCode="_(* #,##0_);_(* \(#,##0\);_(* &quot;-&quot;??_);_(@_)"/>
    <numFmt numFmtId="172" formatCode="0.0"/>
    <numFmt numFmtId="173" formatCode="_(* #,##0.0_);_(* \(#,##0.0\);_(* &quot;-&quot;???_);_(@_)"/>
    <numFmt numFmtId="174" formatCode="&quot;$&quot;0.00"/>
  </numFmts>
  <fonts count="9"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sz val="10"/>
      <name val="Arial"/>
      <family val="2"/>
    </font>
    <font>
      <b/>
      <sz val="11"/>
      <color rgb="FFFF0000"/>
      <name val="Calibri"/>
      <family val="2"/>
      <scheme val="minor"/>
    </font>
    <font>
      <sz val="11"/>
      <name val="Calibri"/>
      <family val="2"/>
      <scheme val="minor"/>
    </font>
    <font>
      <b/>
      <sz val="11"/>
      <name val="Calibri"/>
      <family val="2"/>
      <scheme val="minor"/>
    </font>
    <font>
      <b/>
      <sz val="18"/>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double">
        <color indexed="64"/>
      </bottom>
      <diagonal/>
    </border>
    <border>
      <left style="thin">
        <color indexed="64"/>
      </left>
      <right/>
      <top style="thin">
        <color indexed="64"/>
      </top>
      <bottom style="thin">
        <color indexed="64"/>
      </bottom>
      <diagonal/>
    </border>
    <border>
      <left/>
      <right/>
      <top style="thin">
        <color indexed="64"/>
      </top>
      <bottom/>
      <diagonal/>
    </border>
  </borders>
  <cellStyleXfs count="11">
    <xf numFmtId="0" fontId="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4" fillId="0" borderId="0"/>
    <xf numFmtId="44" fontId="4" fillId="0" borderId="0" applyFont="0" applyFill="0" applyBorder="0" applyAlignment="0" applyProtection="0"/>
    <xf numFmtId="0" fontId="2" fillId="0" borderId="0"/>
    <xf numFmtId="9" fontId="4" fillId="0" borderId="0" applyFont="0" applyFill="0" applyBorder="0" applyAlignment="0" applyProtection="0"/>
    <xf numFmtId="9" fontId="2" fillId="0" borderId="0" applyFont="0" applyFill="0" applyBorder="0" applyAlignment="0" applyProtection="0"/>
    <xf numFmtId="0" fontId="4" fillId="0" borderId="0"/>
    <xf numFmtId="43" fontId="4" fillId="0" borderId="0" applyFont="0" applyFill="0" applyBorder="0" applyAlignment="0" applyProtection="0"/>
  </cellStyleXfs>
  <cellXfs count="105">
    <xf numFmtId="0" fontId="0" fillId="0" borderId="0" xfId="0"/>
    <xf numFmtId="0" fontId="1" fillId="0" borderId="1" xfId="0" applyFont="1" applyBorder="1" applyAlignment="1">
      <alignment horizontal="center" wrapText="1"/>
    </xf>
    <xf numFmtId="0" fontId="0" fillId="0" borderId="1" xfId="0"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vertical="center"/>
    </xf>
    <xf numFmtId="0" fontId="1" fillId="0" borderId="1" xfId="0" applyFont="1" applyFill="1" applyBorder="1" applyAlignment="1">
      <alignment horizontal="center" wrapText="1"/>
    </xf>
    <xf numFmtId="0" fontId="0" fillId="0" borderId="1" xfId="0" applyBorder="1" applyAlignment="1">
      <alignment horizontal="center" vertical="center"/>
    </xf>
    <xf numFmtId="164" fontId="0" fillId="2" borderId="1" xfId="0" applyNumberFormat="1" applyFill="1" applyBorder="1" applyAlignment="1">
      <alignment horizontal="center"/>
    </xf>
    <xf numFmtId="0" fontId="0" fillId="0" borderId="1" xfId="0" applyBorder="1"/>
    <xf numFmtId="0" fontId="0" fillId="0" borderId="1" xfId="0" applyBorder="1" applyAlignment="1">
      <alignment horizontal="center" vertical="center"/>
    </xf>
    <xf numFmtId="165" fontId="0" fillId="0" borderId="1" xfId="0" applyNumberFormat="1" applyBorder="1" applyAlignment="1">
      <alignment horizontal="center" vertical="center"/>
    </xf>
    <xf numFmtId="165" fontId="1" fillId="0" borderId="1" xfId="0" applyNumberFormat="1" applyFont="1" applyFill="1" applyBorder="1" applyAlignment="1">
      <alignment horizontal="center" vertical="center" wrapText="1"/>
    </xf>
    <xf numFmtId="165" fontId="0" fillId="0" borderId="1" xfId="0" applyNumberFormat="1" applyBorder="1" applyAlignment="1">
      <alignment vertical="center"/>
    </xf>
    <xf numFmtId="165" fontId="0" fillId="0" borderId="0" xfId="0" applyNumberFormat="1" applyAlignment="1">
      <alignment vertical="center"/>
    </xf>
    <xf numFmtId="0" fontId="1" fillId="0" borderId="1" xfId="0" applyFont="1" applyBorder="1"/>
    <xf numFmtId="0" fontId="1" fillId="0" borderId="0" xfId="0" applyFont="1"/>
    <xf numFmtId="44" fontId="0" fillId="0" borderId="0" xfId="2" applyNumberFormat="1" applyFont="1"/>
    <xf numFmtId="44" fontId="0" fillId="0" borderId="1" xfId="2" applyNumberFormat="1" applyFont="1" applyBorder="1"/>
    <xf numFmtId="44" fontId="0" fillId="0" borderId="0" xfId="0" applyNumberFormat="1"/>
    <xf numFmtId="171" fontId="0" fillId="0" borderId="0" xfId="1" applyNumberFormat="1" applyFont="1"/>
    <xf numFmtId="171" fontId="0" fillId="0" borderId="0" xfId="1" applyNumberFormat="1" applyFont="1" applyFill="1" applyBorder="1"/>
    <xf numFmtId="167" fontId="1" fillId="0" borderId="0" xfId="1" applyNumberFormat="1" applyFont="1"/>
    <xf numFmtId="0" fontId="1" fillId="0" borderId="0" xfId="0" applyFont="1" applyAlignment="1">
      <alignment wrapText="1"/>
    </xf>
    <xf numFmtId="167" fontId="1" fillId="0" borderId="0" xfId="1" applyNumberFormat="1" applyFont="1" applyAlignment="1">
      <alignment wrapText="1"/>
    </xf>
    <xf numFmtId="43" fontId="1" fillId="0" borderId="0" xfId="1" applyFont="1" applyAlignment="1">
      <alignment wrapText="1"/>
    </xf>
    <xf numFmtId="9" fontId="0" fillId="0" borderId="0" xfId="0" applyNumberFormat="1"/>
    <xf numFmtId="167" fontId="0" fillId="0" borderId="0" xfId="1" applyNumberFormat="1" applyFont="1"/>
    <xf numFmtId="168" fontId="0" fillId="0" borderId="0" xfId="3" applyNumberFormat="1" applyFont="1"/>
    <xf numFmtId="169" fontId="0" fillId="0" borderId="0" xfId="0" applyNumberFormat="1"/>
    <xf numFmtId="43" fontId="0" fillId="0" borderId="0" xfId="0" applyNumberFormat="1"/>
    <xf numFmtId="0" fontId="1" fillId="0" borderId="0" xfId="0" applyFont="1" applyAlignment="1">
      <alignment horizontal="right"/>
    </xf>
    <xf numFmtId="43" fontId="5" fillId="0" borderId="0" xfId="1" applyNumberFormat="1" applyFont="1"/>
    <xf numFmtId="171" fontId="0" fillId="0" borderId="1" xfId="1" applyNumberFormat="1" applyFont="1" applyBorder="1"/>
    <xf numFmtId="170" fontId="0" fillId="0" borderId="1" xfId="1" applyNumberFormat="1" applyFont="1" applyBorder="1"/>
    <xf numFmtId="167" fontId="0" fillId="0" borderId="0" xfId="0" applyNumberFormat="1"/>
    <xf numFmtId="173" fontId="0" fillId="0" borderId="0" xfId="0" applyNumberFormat="1"/>
    <xf numFmtId="173" fontId="0" fillId="0" borderId="6" xfId="0" applyNumberFormat="1" applyBorder="1"/>
    <xf numFmtId="171" fontId="0" fillId="0" borderId="0" xfId="0" applyNumberFormat="1"/>
    <xf numFmtId="166" fontId="0" fillId="0" borderId="1" xfId="2" applyNumberFormat="1" applyFont="1" applyBorder="1"/>
    <xf numFmtId="0" fontId="1" fillId="0" borderId="0" xfId="0" applyFont="1" applyAlignment="1">
      <alignment horizontal="center"/>
    </xf>
    <xf numFmtId="171" fontId="6" fillId="0" borderId="0" xfId="1" applyNumberFormat="1" applyFont="1"/>
    <xf numFmtId="170" fontId="6" fillId="0" borderId="0" xfId="1" applyNumberFormat="1" applyFont="1"/>
    <xf numFmtId="0" fontId="6" fillId="0" borderId="0" xfId="0" applyFont="1"/>
    <xf numFmtId="171" fontId="6" fillId="0" borderId="6" xfId="1" applyNumberFormat="1" applyFont="1" applyBorder="1"/>
    <xf numFmtId="170" fontId="6" fillId="0" borderId="6" xfId="1" applyNumberFormat="1" applyFont="1" applyBorder="1"/>
    <xf numFmtId="0" fontId="6" fillId="0" borderId="6" xfId="0" applyFont="1" applyBorder="1"/>
    <xf numFmtId="171" fontId="7" fillId="0" borderId="0" xfId="1" applyNumberFormat="1" applyFont="1"/>
    <xf numFmtId="172" fontId="7" fillId="0" borderId="0" xfId="0" applyNumberFormat="1" applyFont="1"/>
    <xf numFmtId="0" fontId="7" fillId="0" borderId="0" xfId="0" applyFont="1" applyAlignment="1">
      <alignment horizontal="right"/>
    </xf>
    <xf numFmtId="0" fontId="1" fillId="0" borderId="7" xfId="0" applyFont="1" applyBorder="1" applyAlignment="1">
      <alignment horizontal="center" wrapText="1"/>
    </xf>
    <xf numFmtId="0" fontId="0" fillId="0" borderId="7" xfId="0" applyBorder="1" applyAlignment="1">
      <alignment horizontal="center" vertical="center"/>
    </xf>
    <xf numFmtId="44" fontId="3" fillId="0" borderId="1" xfId="2" applyNumberFormat="1" applyFont="1" applyBorder="1"/>
    <xf numFmtId="44" fontId="0" fillId="0" borderId="1" xfId="2" applyNumberFormat="1" applyFont="1" applyFill="1" applyBorder="1"/>
    <xf numFmtId="9" fontId="0" fillId="0" borderId="1" xfId="3" applyFont="1" applyBorder="1"/>
    <xf numFmtId="0" fontId="0" fillId="0" borderId="0" xfId="0" applyAlignment="1">
      <alignment horizontal="left" wrapText="1"/>
    </xf>
    <xf numFmtId="0" fontId="1" fillId="0" borderId="1" xfId="0" applyFont="1" applyBorder="1" applyAlignment="1">
      <alignment wrapText="1"/>
    </xf>
    <xf numFmtId="167" fontId="1" fillId="0" borderId="1" xfId="1" applyNumberFormat="1" applyFont="1" applyBorder="1" applyAlignment="1">
      <alignment wrapText="1"/>
    </xf>
    <xf numFmtId="43" fontId="1" fillId="0" borderId="1" xfId="1" applyFont="1" applyBorder="1" applyAlignment="1">
      <alignment wrapText="1"/>
    </xf>
    <xf numFmtId="171" fontId="1" fillId="0" borderId="1" xfId="1" applyNumberFormat="1" applyFont="1" applyBorder="1" applyAlignment="1">
      <alignment wrapText="1"/>
    </xf>
    <xf numFmtId="167" fontId="0" fillId="0" borderId="1" xfId="1" applyNumberFormat="1" applyFont="1" applyBorder="1"/>
    <xf numFmtId="168" fontId="0" fillId="0" borderId="1" xfId="3" applyNumberFormat="1" applyFont="1" applyBorder="1"/>
    <xf numFmtId="169" fontId="0" fillId="0" borderId="1" xfId="0" applyNumberFormat="1" applyBorder="1"/>
    <xf numFmtId="9" fontId="0" fillId="0" borderId="1" xfId="0" applyNumberFormat="1" applyBorder="1"/>
    <xf numFmtId="167" fontId="0" fillId="0" borderId="1" xfId="0" applyNumberFormat="1" applyBorder="1"/>
    <xf numFmtId="173" fontId="0" fillId="0" borderId="1" xfId="0" applyNumberFormat="1" applyBorder="1"/>
    <xf numFmtId="44" fontId="0" fillId="0" borderId="1" xfId="0" applyNumberFormat="1" applyBorder="1"/>
    <xf numFmtId="171" fontId="1" fillId="0" borderId="1" xfId="1" applyNumberFormat="1" applyFont="1" applyBorder="1"/>
    <xf numFmtId="172" fontId="1" fillId="0" borderId="1" xfId="0" applyNumberFormat="1" applyFont="1" applyBorder="1"/>
    <xf numFmtId="0" fontId="1" fillId="0" borderId="1" xfId="0" applyFont="1" applyBorder="1" applyAlignment="1">
      <alignment horizontal="right"/>
    </xf>
    <xf numFmtId="43" fontId="7" fillId="0" borderId="1" xfId="1" applyNumberFormat="1" applyFont="1" applyBorder="1"/>
    <xf numFmtId="0" fontId="0" fillId="0" borderId="0" xfId="0" applyFont="1"/>
    <xf numFmtId="0" fontId="0" fillId="0" borderId="0" xfId="0" applyBorder="1" applyAlignment="1">
      <alignment horizontal="center" vertical="center" wrapText="1"/>
    </xf>
    <xf numFmtId="0" fontId="0" fillId="0" borderId="0" xfId="0" applyAlignment="1">
      <alignment horizontal="center" wrapText="1"/>
    </xf>
    <xf numFmtId="0" fontId="3" fillId="0" borderId="0" xfId="0" applyFont="1" applyAlignment="1">
      <alignment horizontal="center" vertical="center" wrapText="1"/>
    </xf>
    <xf numFmtId="0" fontId="1" fillId="0" borderId="0" xfId="0" applyFont="1" applyAlignment="1">
      <alignment horizontal="left"/>
    </xf>
    <xf numFmtId="0" fontId="0" fillId="0" borderId="0" xfId="0" applyAlignment="1">
      <alignment horizontal="left"/>
    </xf>
    <xf numFmtId="0" fontId="0" fillId="0" borderId="0" xfId="0" applyAlignment="1">
      <alignment horizontal="right"/>
    </xf>
    <xf numFmtId="0" fontId="8" fillId="0" borderId="0" xfId="0" applyFont="1" applyAlignment="1">
      <alignment horizontal="left"/>
    </xf>
    <xf numFmtId="0" fontId="0" fillId="0" borderId="0" xfId="0" applyBorder="1" applyAlignment="1">
      <alignment horizontal="center"/>
    </xf>
    <xf numFmtId="0" fontId="3" fillId="0" borderId="0" xfId="0" applyFont="1" applyBorder="1" applyAlignment="1">
      <alignment horizontal="center" vertical="center" wrapText="1"/>
    </xf>
    <xf numFmtId="0" fontId="0" fillId="0" borderId="1" xfId="0" applyBorder="1" applyAlignment="1">
      <alignment wrapText="1"/>
    </xf>
    <xf numFmtId="0" fontId="0" fillId="0" borderId="0" xfId="0" applyAlignment="1">
      <alignment horizontal="center" wrapText="1"/>
    </xf>
    <xf numFmtId="0" fontId="3" fillId="0" borderId="0" xfId="0" applyFont="1" applyAlignment="1">
      <alignment horizontal="center" vertical="center" wrapText="1"/>
    </xf>
    <xf numFmtId="0" fontId="0" fillId="2" borderId="0" xfId="0" applyFill="1"/>
    <xf numFmtId="0" fontId="0" fillId="2" borderId="1" xfId="0" applyFill="1" applyBorder="1" applyAlignment="1">
      <alignment horizontal="center" vertical="center"/>
    </xf>
    <xf numFmtId="174" fontId="0" fillId="2" borderId="1" xfId="0" applyNumberFormat="1" applyFill="1" applyBorder="1" applyAlignment="1">
      <alignment horizontal="center" vertical="center"/>
    </xf>
    <xf numFmtId="0" fontId="0" fillId="2" borderId="0" xfId="0" applyFill="1" applyAlignment="1">
      <alignment horizontal="center" vertical="center"/>
    </xf>
    <xf numFmtId="0" fontId="0" fillId="2" borderId="1" xfId="0" applyFill="1" applyBorder="1" applyAlignment="1">
      <alignment horizontal="left" vertical="center"/>
    </xf>
    <xf numFmtId="0" fontId="1" fillId="3" borderId="1" xfId="0" applyFont="1" applyFill="1" applyBorder="1" applyAlignment="1">
      <alignment horizontal="center" vertical="center"/>
    </xf>
    <xf numFmtId="0" fontId="0" fillId="0" borderId="0" xfId="0" applyAlignment="1">
      <alignment horizontal="center"/>
    </xf>
    <xf numFmtId="0" fontId="0" fillId="0" borderId="0" xfId="0" applyAlignment="1">
      <alignment horizont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left" wrapText="1"/>
    </xf>
    <xf numFmtId="0" fontId="0" fillId="0" borderId="0" xfId="0" applyAlignment="1">
      <alignment horizontal="center" vertical="center"/>
    </xf>
    <xf numFmtId="0" fontId="1" fillId="0" borderId="0" xfId="0" applyFont="1" applyAlignment="1">
      <alignment horizontal="center"/>
    </xf>
    <xf numFmtId="0" fontId="0" fillId="0" borderId="0" xfId="0"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1" xfId="0" applyBorder="1" applyAlignment="1">
      <alignment horizontal="center"/>
    </xf>
    <xf numFmtId="0" fontId="3" fillId="0" borderId="8" xfId="0" applyFont="1" applyBorder="1" applyAlignment="1">
      <alignment horizontal="center" vertical="center" wrapText="1"/>
    </xf>
    <xf numFmtId="0" fontId="3" fillId="0" borderId="0" xfId="0" applyFont="1" applyAlignment="1">
      <alignment horizontal="center" vertical="center" wrapText="1"/>
    </xf>
    <xf numFmtId="0" fontId="0" fillId="0" borderId="8" xfId="0" applyBorder="1" applyAlignment="1">
      <alignment horizontal="center" wrapText="1"/>
    </xf>
    <xf numFmtId="0" fontId="0" fillId="0" borderId="5" xfId="0" applyBorder="1" applyAlignment="1">
      <alignment horizontal="center"/>
    </xf>
  </cellXfs>
  <cellStyles count="11">
    <cellStyle name="Comma" xfId="1" builtinId="3"/>
    <cellStyle name="Comma 2" xfId="10"/>
    <cellStyle name="Currency" xfId="2" builtinId="4"/>
    <cellStyle name="Currency 2" xfId="5"/>
    <cellStyle name="Normal" xfId="0" builtinId="0"/>
    <cellStyle name="Normal 10" xfId="4"/>
    <cellStyle name="Normal 16 2 2" xfId="6"/>
    <cellStyle name="Normal 2" xfId="9"/>
    <cellStyle name="Percent" xfId="3" builtinId="5"/>
    <cellStyle name="Percent 2" xfId="7"/>
    <cellStyle name="Percent 5 2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Trended Data for Baseline Cost and IMC</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'IMC Summary'!$D$2</c:f>
              <c:strCache>
                <c:ptCount val="1"/>
                <c:pt idx="0">
                  <c:v>Tier 1 IMC</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dispRSqr val="1"/>
            <c:dispEq val="1"/>
            <c:trendlineLbl>
              <c:layout>
                <c:manualLayout>
                  <c:x val="0.31733752497355738"/>
                  <c:y val="2.0587383473617521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'IMC Summary'!$F$8:$F$12</c:f>
              <c:numCache>
                <c:formatCode>General</c:formatCode>
                <c:ptCount val="5"/>
                <c:pt idx="0">
                  <c:v>1</c:v>
                </c:pt>
                <c:pt idx="1">
                  <c:v>2</c:v>
                </c:pt>
                <c:pt idx="2">
                  <c:v>3</c:v>
                </c:pt>
                <c:pt idx="3">
                  <c:v>4</c:v>
                </c:pt>
                <c:pt idx="4">
                  <c:v>5</c:v>
                </c:pt>
              </c:numCache>
            </c:numRef>
          </c:xVal>
          <c:yVal>
            <c:numRef>
              <c:f>'IMC Summary'!$D$8:$D$12</c:f>
              <c:numCache>
                <c:formatCode>_("$"* #,##0.00_);_("$"* \(#,##0.00\);_("$"* "-"??_);_(@_)</c:formatCode>
                <c:ptCount val="5"/>
                <c:pt idx="0">
                  <c:v>132.42758620689654</c:v>
                </c:pt>
                <c:pt idx="1">
                  <c:v>98.127999999999986</c:v>
                </c:pt>
                <c:pt idx="2">
                  <c:v>97.888571428571424</c:v>
                </c:pt>
                <c:pt idx="3">
                  <c:v>68.456470588235277</c:v>
                </c:pt>
                <c:pt idx="4">
                  <c:v>41.57116666666667</c:v>
                </c:pt>
              </c:numCache>
            </c:numRef>
          </c:yVal>
          <c:smooth val="0"/>
          <c:extLst xmlns:c16r2="http://schemas.microsoft.com/office/drawing/2015/06/chart">
            <c:ext xmlns:c16="http://schemas.microsoft.com/office/drawing/2014/chart" uri="{C3380CC4-5D6E-409C-BE32-E72D297353CC}">
              <c16:uniqueId val="{00000000-C6C1-4714-8E36-71DF63C302EC}"/>
            </c:ext>
          </c:extLst>
        </c:ser>
        <c:ser>
          <c:idx val="1"/>
          <c:order val="1"/>
          <c:tx>
            <c:strRef>
              <c:f>'IMC Summary'!$E$2</c:f>
              <c:strCache>
                <c:ptCount val="1"/>
                <c:pt idx="0">
                  <c:v>Tier 2 IMC</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ly"/>
            <c:order val="2"/>
            <c:dispRSqr val="1"/>
            <c:dispEq val="1"/>
            <c:trendlineLbl>
              <c:layout>
                <c:manualLayout>
                  <c:x val="-0.1433466525639519"/>
                  <c:y val="-0.14757232932090386"/>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'IMC Summary'!$F$8:$F$12</c:f>
              <c:numCache>
                <c:formatCode>General</c:formatCode>
                <c:ptCount val="5"/>
                <c:pt idx="0">
                  <c:v>1</c:v>
                </c:pt>
                <c:pt idx="1">
                  <c:v>2</c:v>
                </c:pt>
                <c:pt idx="2">
                  <c:v>3</c:v>
                </c:pt>
                <c:pt idx="3">
                  <c:v>4</c:v>
                </c:pt>
                <c:pt idx="4">
                  <c:v>5</c:v>
                </c:pt>
              </c:numCache>
            </c:numRef>
          </c:xVal>
          <c:yVal>
            <c:numRef>
              <c:f>'IMC Summary'!$E$8:$E$12</c:f>
              <c:numCache>
                <c:formatCode>_("$"* #,##0.00_);_("$"* \(#,##0.00\);_("$"* "-"??_);_(@_)</c:formatCode>
                <c:ptCount val="5"/>
                <c:pt idx="0">
                  <c:v>248.60689655172405</c:v>
                </c:pt>
                <c:pt idx="1">
                  <c:v>168.5</c:v>
                </c:pt>
                <c:pt idx="2">
                  <c:v>144.12857142857143</c:v>
                </c:pt>
                <c:pt idx="3">
                  <c:v>150.21411764705886</c:v>
                </c:pt>
                <c:pt idx="4">
                  <c:v>99.354166666666686</c:v>
                </c:pt>
              </c:numCache>
            </c:numRef>
          </c:yVal>
          <c:smooth val="0"/>
          <c:extLst xmlns:c16r2="http://schemas.microsoft.com/office/drawing/2015/06/chart">
            <c:ext xmlns:c16="http://schemas.microsoft.com/office/drawing/2014/chart" uri="{C3380CC4-5D6E-409C-BE32-E72D297353CC}">
              <c16:uniqueId val="{00000001-C6C1-4714-8E36-71DF63C302EC}"/>
            </c:ext>
          </c:extLst>
        </c:ser>
        <c:ser>
          <c:idx val="2"/>
          <c:order val="2"/>
          <c:tx>
            <c:strRef>
              <c:f>'IMC Summary'!$C$2</c:f>
              <c:strCache>
                <c:ptCount val="1"/>
                <c:pt idx="0">
                  <c:v>Baseline Cost</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ly"/>
            <c:order val="2"/>
            <c:dispRSqr val="1"/>
            <c:dispEq val="1"/>
            <c:trendlineLbl>
              <c:layout>
                <c:manualLayout>
                  <c:x val="0.14769812355545109"/>
                  <c:y val="-0.2005249343832021"/>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'IMC Summary'!$F$8:$F$12</c:f>
              <c:numCache>
                <c:formatCode>General</c:formatCode>
                <c:ptCount val="5"/>
                <c:pt idx="0">
                  <c:v>1</c:v>
                </c:pt>
                <c:pt idx="1">
                  <c:v>2</c:v>
                </c:pt>
                <c:pt idx="2">
                  <c:v>3</c:v>
                </c:pt>
                <c:pt idx="3">
                  <c:v>4</c:v>
                </c:pt>
                <c:pt idx="4">
                  <c:v>5</c:v>
                </c:pt>
              </c:numCache>
            </c:numRef>
          </c:xVal>
          <c:yVal>
            <c:numRef>
              <c:f>'IMC Summary'!$C$8:$C$12</c:f>
              <c:numCache>
                <c:formatCode>_("$"* #,##0.00_);_("$"* \(#,##0.00\);_("$"* "-"??_);_(@_)</c:formatCode>
                <c:ptCount val="5"/>
                <c:pt idx="0">
                  <c:v>642.21</c:v>
                </c:pt>
                <c:pt idx="1">
                  <c:v>399.23599999999999</c:v>
                </c:pt>
                <c:pt idx="2">
                  <c:v>301.577</c:v>
                </c:pt>
                <c:pt idx="3">
                  <c:v>284.13</c:v>
                </c:pt>
                <c:pt idx="4">
                  <c:v>212.11199999999999</c:v>
                </c:pt>
              </c:numCache>
            </c:numRef>
          </c:yVal>
          <c:smooth val="0"/>
          <c:extLst xmlns:c16r2="http://schemas.microsoft.com/office/drawing/2015/06/chart">
            <c:ext xmlns:c16="http://schemas.microsoft.com/office/drawing/2014/chart" uri="{C3380CC4-5D6E-409C-BE32-E72D297353CC}">
              <c16:uniqueId val="{00000004-C6C1-4714-8E36-71DF63C302EC}"/>
            </c:ext>
          </c:extLst>
        </c:ser>
        <c:dLbls>
          <c:showLegendKey val="0"/>
          <c:showVal val="0"/>
          <c:showCatName val="0"/>
          <c:showSerName val="0"/>
          <c:showPercent val="0"/>
          <c:showBubbleSize val="0"/>
        </c:dLbls>
        <c:axId val="631016576"/>
        <c:axId val="631016968"/>
      </c:scatterChart>
      <c:valAx>
        <c:axId val="63101657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Size Category</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1016968"/>
        <c:crosses val="autoZero"/>
        <c:crossBetween val="midCat"/>
      </c:valAx>
      <c:valAx>
        <c:axId val="6310169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quot;$&quot;* #,##0.00_);_(&quot;$&quot;* \(#,##0.00\);_(&quot;$&quot;*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1016576"/>
        <c:crosses val="autoZero"/>
        <c:crossBetween val="midCat"/>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472440</xdr:colOff>
      <xdr:row>15</xdr:row>
      <xdr:rowOff>80010</xdr:rowOff>
    </xdr:from>
    <xdr:to>
      <xdr:col>15</xdr:col>
      <xdr:colOff>541020</xdr:colOff>
      <xdr:row>30</xdr:row>
      <xdr:rowOff>80010</xdr:rowOff>
    </xdr:to>
    <xdr:graphicFrame macro="">
      <xdr:nvGraphicFramePr>
        <xdr:cNvPr id="2" name="Chart 1">
          <a:extLst>
            <a:ext uri="{FF2B5EF4-FFF2-40B4-BE49-F238E27FC236}">
              <a16:creationId xmlns:a16="http://schemas.microsoft.com/office/drawing/2014/main" xmlns="" id="{840F470F-D44A-420F-B3CD-69CC87347FC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Worksheet%20in%20%20%20Esfiles1%20data%20Client%20Programs%2010-1201%20SCE%20Upstream%20SCE%20Upstream%202010-12%204-%20Implementation%209-%20New%20Measures%20Water-Cooled%20Chillers%20Work%20Paper%20WPSCNRHC0043%200_Upstream%20Water%20Cooled%20Chiller_10.1%20ES%20Revision%20v5.doc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ources"/>
      <sheetName val="Summary Table"/>
      <sheetName val="Summary Table - Cost - NTG"/>
      <sheetName val="Detail Calcs"/>
      <sheetName val="Detail Cost - NTG"/>
      <sheetName val="IE by Building Type"/>
      <sheetName val="Cost Multipliers"/>
      <sheetName val="Load Shapes"/>
      <sheetName val="E3 Alt. BT"/>
      <sheetName val="Delivery &amp; Incentive Method"/>
      <sheetName val="MMDB Input - Savings"/>
      <sheetName val="MMDB Input - Cost"/>
    </sheetNames>
    <sheetDataSet>
      <sheetData sheetId="0" refreshError="1"/>
      <sheetData sheetId="1"/>
      <sheetData sheetId="2" refreshError="1"/>
      <sheetData sheetId="3"/>
      <sheetData sheetId="4" refreshError="1"/>
      <sheetData sheetId="5" refreshError="1"/>
      <sheetData sheetId="6" refreshError="1"/>
      <sheetData sheetId="7">
        <row r="1">
          <cell r="C1" t="str">
            <v>PROGRAM TYPE Selection List</v>
          </cell>
        </row>
        <row r="2">
          <cell r="C2" t="str">
            <v>Ret</v>
          </cell>
          <cell r="L2" t="str">
            <v>Yes</v>
          </cell>
        </row>
        <row r="3">
          <cell r="C3" t="str">
            <v>Rea</v>
          </cell>
          <cell r="L3" t="str">
            <v>No</v>
          </cell>
        </row>
        <row r="4">
          <cell r="C4" t="str">
            <v>ROB</v>
          </cell>
        </row>
        <row r="5">
          <cell r="C5" t="str">
            <v>NEW</v>
          </cell>
        </row>
      </sheetData>
      <sheetData sheetId="8" refreshError="1"/>
      <sheetData sheetId="9">
        <row r="2">
          <cell r="A2" t="str">
            <v>Appliance Turn-in and Recycling / Down-Stream Incentive - Deemed</v>
          </cell>
        </row>
        <row r="3">
          <cell r="A3" t="str">
            <v>Audit/Information -Testing Services / Other</v>
          </cell>
        </row>
        <row r="4">
          <cell r="A4" t="str">
            <v>Commissioning / Down-Stream Incentive - Calculated</v>
          </cell>
        </row>
        <row r="5">
          <cell r="A5" t="str">
            <v>Commissioning / Down-Stream Incentive - Deemed</v>
          </cell>
        </row>
        <row r="6">
          <cell r="A6" t="str">
            <v>Financial Support / Direct Install</v>
          </cell>
        </row>
        <row r="7">
          <cell r="A7" t="str">
            <v>Financial Support / Down-Stream Incentive - Calculated</v>
          </cell>
        </row>
        <row r="8">
          <cell r="A8" t="str">
            <v>Financial Support / Down-Stream Incentive - Deemed</v>
          </cell>
        </row>
        <row r="9">
          <cell r="A9" t="str">
            <v>Financial Support / Exchange - Replacement</v>
          </cell>
        </row>
        <row r="10">
          <cell r="A10" t="str">
            <v>Financial Support / Giveaway</v>
          </cell>
        </row>
        <row r="11">
          <cell r="A11" t="str">
            <v>Financial Support / On-bill Finance - loan</v>
          </cell>
        </row>
        <row r="12">
          <cell r="A12" t="str">
            <v>Innovative Design / Direct Install</v>
          </cell>
        </row>
        <row r="13">
          <cell r="A13" t="str">
            <v>Innovative Design / Down-Stream Incentive - Deemed</v>
          </cell>
        </row>
        <row r="14">
          <cell r="A14" t="str">
            <v>Innovative Design / Mid-Stream Incentive</v>
          </cell>
        </row>
        <row r="15">
          <cell r="A15" t="str">
            <v>Innovative Design / On-bill Finance - loan</v>
          </cell>
        </row>
        <row r="16">
          <cell r="A16" t="str">
            <v>Innovative Design / Up-Stream Incentive</v>
          </cell>
        </row>
        <row r="17">
          <cell r="A17" t="str">
            <v>Midstream Programs / Mid-Stream Incentive</v>
          </cell>
        </row>
        <row r="18">
          <cell r="A18" t="str">
            <v>Partnership / Direct Install</v>
          </cell>
        </row>
        <row r="19">
          <cell r="A19" t="str">
            <v>Partnership / Down-Stream Incentive - Calculated</v>
          </cell>
        </row>
        <row r="20">
          <cell r="A20" t="str">
            <v>Partnership / Down-Stream Incentive - Deemed</v>
          </cell>
        </row>
        <row r="21">
          <cell r="A21" t="str">
            <v>Partnership / Exchange/Replacement</v>
          </cell>
        </row>
        <row r="22">
          <cell r="A22" t="str">
            <v>Partnership / Giveaway</v>
          </cell>
        </row>
        <row r="23">
          <cell r="A23" t="str">
            <v>Partnership / On-bill Finance/Loan</v>
          </cell>
        </row>
        <row r="24">
          <cell r="A24" t="str">
            <v>Upstream Programs / Up-Stream Buy Down</v>
          </cell>
        </row>
        <row r="25">
          <cell r="A25" t="str">
            <v>Upstream Programs / Up-Stream Incentive</v>
          </cell>
        </row>
      </sheetData>
      <sheetData sheetId="10"/>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6"/>
  <sheetViews>
    <sheetView zoomScaleNormal="100" workbookViewId="0">
      <selection activeCell="C11" sqref="C11"/>
    </sheetView>
  </sheetViews>
  <sheetFormatPr defaultRowHeight="15" x14ac:dyDescent="0.25"/>
  <cols>
    <col min="1" max="1" width="2.5703125" customWidth="1"/>
    <col min="2" max="2" width="8.85546875" style="76"/>
  </cols>
  <sheetData>
    <row r="2" spans="2:3" ht="23.25" x14ac:dyDescent="0.35">
      <c r="C2" s="77" t="s">
        <v>89</v>
      </c>
    </row>
    <row r="4" spans="2:3" s="74" customFormat="1" x14ac:dyDescent="0.25">
      <c r="B4" s="30">
        <v>1</v>
      </c>
      <c r="C4" s="74" t="s">
        <v>81</v>
      </c>
    </row>
    <row r="5" spans="2:3" s="75" customFormat="1" x14ac:dyDescent="0.25">
      <c r="B5" s="76"/>
      <c r="C5" s="75" t="s">
        <v>82</v>
      </c>
    </row>
    <row r="6" spans="2:3" s="75" customFormat="1" x14ac:dyDescent="0.25">
      <c r="B6" s="76"/>
    </row>
    <row r="7" spans="2:3" s="74" customFormat="1" x14ac:dyDescent="0.25">
      <c r="B7" s="30">
        <v>2</v>
      </c>
      <c r="C7" s="74" t="s">
        <v>83</v>
      </c>
    </row>
    <row r="8" spans="2:3" s="75" customFormat="1" x14ac:dyDescent="0.25">
      <c r="B8" s="76"/>
      <c r="C8" s="75" t="s">
        <v>84</v>
      </c>
    </row>
    <row r="9" spans="2:3" s="75" customFormat="1" x14ac:dyDescent="0.25">
      <c r="B9" s="76"/>
    </row>
    <row r="10" spans="2:3" s="74" customFormat="1" x14ac:dyDescent="0.25">
      <c r="B10" s="30">
        <v>3</v>
      </c>
      <c r="C10" s="74" t="s">
        <v>85</v>
      </c>
    </row>
    <row r="11" spans="2:3" s="75" customFormat="1" x14ac:dyDescent="0.25">
      <c r="B11" s="76"/>
      <c r="C11" s="75" t="s">
        <v>86</v>
      </c>
    </row>
    <row r="12" spans="2:3" s="75" customFormat="1" x14ac:dyDescent="0.25">
      <c r="B12" s="76"/>
    </row>
    <row r="13" spans="2:3" s="74" customFormat="1" x14ac:dyDescent="0.25">
      <c r="B13" s="30">
        <v>4</v>
      </c>
      <c r="C13" s="74" t="s">
        <v>87</v>
      </c>
    </row>
    <row r="14" spans="2:3" s="75" customFormat="1" x14ac:dyDescent="0.25">
      <c r="B14" s="76"/>
      <c r="C14" s="75" t="s">
        <v>88</v>
      </c>
    </row>
    <row r="15" spans="2:3" s="75" customFormat="1" x14ac:dyDescent="0.25">
      <c r="B15" s="76"/>
    </row>
    <row r="16" spans="2:3" s="75" customFormat="1" x14ac:dyDescent="0.25">
      <c r="B16" s="76"/>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4"/>
  <sheetViews>
    <sheetView topLeftCell="B1" workbookViewId="0">
      <selection activeCell="R3" sqref="R3:R22"/>
    </sheetView>
  </sheetViews>
  <sheetFormatPr defaultRowHeight="15" x14ac:dyDescent="0.25"/>
  <cols>
    <col min="1" max="1" width="24.28515625" hidden="1" customWidth="1"/>
    <col min="2" max="2" width="13.140625" customWidth="1"/>
    <col min="3" max="3" width="12" customWidth="1"/>
    <col min="4" max="4" width="4.140625" customWidth="1"/>
    <col min="5" max="5" width="10.5703125" style="26" hidden="1" customWidth="1"/>
    <col min="6" max="6" width="8.5703125" style="26" customWidth="1"/>
    <col min="7" max="7" width="12.28515625" hidden="1" customWidth="1"/>
    <col min="8" max="13" width="10.5703125" hidden="1" customWidth="1"/>
    <col min="14" max="15" width="10.5703125" customWidth="1"/>
    <col min="16" max="18" width="8.7109375" bestFit="1" customWidth="1"/>
    <col min="19" max="19" width="9" bestFit="1" customWidth="1"/>
    <col min="20" max="20" width="11.7109375" style="19" bestFit="1" customWidth="1"/>
    <col min="21" max="21" width="5.85546875" customWidth="1"/>
    <col min="22" max="22" width="8.85546875" bestFit="1" customWidth="1"/>
  </cols>
  <sheetData>
    <row r="1" spans="1:22" s="15" customFormat="1" x14ac:dyDescent="0.25">
      <c r="E1" s="21"/>
      <c r="F1" s="21"/>
      <c r="L1" s="39" t="s">
        <v>42</v>
      </c>
      <c r="M1" s="39"/>
      <c r="N1" s="39"/>
      <c r="O1" s="39"/>
      <c r="T1" s="39"/>
      <c r="U1" s="39"/>
      <c r="V1" s="39"/>
    </row>
    <row r="2" spans="1:22" s="22" customFormat="1" ht="60" x14ac:dyDescent="0.25">
      <c r="B2" s="55" t="s">
        <v>44</v>
      </c>
      <c r="C2" s="55" t="s">
        <v>45</v>
      </c>
      <c r="D2" s="55" t="s">
        <v>24</v>
      </c>
      <c r="E2" s="56" t="s">
        <v>46</v>
      </c>
      <c r="F2" s="56" t="s">
        <v>79</v>
      </c>
      <c r="G2" s="55" t="s">
        <v>47</v>
      </c>
      <c r="H2" s="57" t="s">
        <v>50</v>
      </c>
      <c r="I2" s="55" t="s">
        <v>48</v>
      </c>
      <c r="J2" s="55" t="s">
        <v>49</v>
      </c>
      <c r="K2" s="57" t="s">
        <v>50</v>
      </c>
      <c r="L2" s="57" t="s">
        <v>51</v>
      </c>
      <c r="M2" s="57" t="s">
        <v>52</v>
      </c>
      <c r="N2" s="55" t="s">
        <v>53</v>
      </c>
      <c r="O2" s="55" t="s">
        <v>54</v>
      </c>
      <c r="P2" s="55" t="s">
        <v>74</v>
      </c>
      <c r="Q2" s="55" t="s">
        <v>25</v>
      </c>
      <c r="R2" s="55" t="s">
        <v>75</v>
      </c>
      <c r="S2" s="55" t="s">
        <v>80</v>
      </c>
      <c r="T2" s="58" t="s">
        <v>55</v>
      </c>
      <c r="U2" s="55" t="s">
        <v>56</v>
      </c>
      <c r="V2" s="55" t="s">
        <v>57</v>
      </c>
    </row>
    <row r="3" spans="1:22" x14ac:dyDescent="0.25">
      <c r="A3" t="str">
        <f>"Screw/Scroll "&amp;C3&amp;" Tier "&amp;D3</f>
        <v>Screw/Scroll &lt;75 Tons Tier 1</v>
      </c>
      <c r="B3" s="92" t="s">
        <v>58</v>
      </c>
      <c r="C3" s="91" t="s">
        <v>59</v>
      </c>
      <c r="D3" s="8">
        <v>1</v>
      </c>
      <c r="E3" s="59">
        <v>0.6</v>
      </c>
      <c r="F3" s="53">
        <v>0.1</v>
      </c>
      <c r="G3" s="60">
        <v>0.1</v>
      </c>
      <c r="H3" s="59">
        <f>E3*(1-G3)</f>
        <v>0.54</v>
      </c>
      <c r="I3" s="61">
        <v>0.78</v>
      </c>
      <c r="J3" s="62">
        <v>0.1</v>
      </c>
      <c r="K3" s="59">
        <f t="shared" ref="K3:K12" si="0">I3*(1-J3)</f>
        <v>0.70200000000000007</v>
      </c>
      <c r="L3" s="59">
        <v>4.8000000000000001E-2</v>
      </c>
      <c r="M3" s="59">
        <v>88.4</v>
      </c>
      <c r="N3" s="63">
        <f t="shared" ref="N3:N11" si="1">L3*J3/0.1</f>
        <v>4.8000000000000001E-2</v>
      </c>
      <c r="O3" s="64">
        <f>M3*G3/0.1</f>
        <v>88.4</v>
      </c>
      <c r="P3" s="17">
        <f>'IMC Summary'!D3</f>
        <v>161.60369230769231</v>
      </c>
      <c r="Q3" s="17">
        <v>636.29999999999995</v>
      </c>
      <c r="R3" s="17">
        <f>Q3+P3</f>
        <v>797.90369230769227</v>
      </c>
      <c r="S3" s="65">
        <v>120</v>
      </c>
      <c r="T3" s="32">
        <v>0</v>
      </c>
      <c r="U3" s="33">
        <f t="shared" ref="U3:U22" si="2">N3*T3</f>
        <v>0</v>
      </c>
      <c r="V3" s="32">
        <f t="shared" ref="V3:V22" si="3">O3*T3</f>
        <v>0</v>
      </c>
    </row>
    <row r="4" spans="1:22" x14ac:dyDescent="0.25">
      <c r="A4" t="str">
        <f t="shared" ref="A4:A22" si="4">"Screw/Scroll "&amp;C4&amp;" Tier "&amp;D4</f>
        <v>Screw/Scroll &lt;75 Tons Tier 2</v>
      </c>
      <c r="B4" s="92"/>
      <c r="C4" s="91" t="s">
        <v>59</v>
      </c>
      <c r="D4" s="8">
        <v>2</v>
      </c>
      <c r="E4" s="59">
        <v>0.6</v>
      </c>
      <c r="F4" s="53">
        <v>0.15</v>
      </c>
      <c r="G4" s="60">
        <v>0.15</v>
      </c>
      <c r="H4" s="59">
        <f t="shared" ref="H4:H12" si="5">E4*(1-G4)</f>
        <v>0.51</v>
      </c>
      <c r="I4" s="61">
        <v>0.78</v>
      </c>
      <c r="J4" s="62">
        <v>0.15</v>
      </c>
      <c r="K4" s="59">
        <f t="shared" si="0"/>
        <v>0.66300000000000003</v>
      </c>
      <c r="L4" s="59">
        <v>4.8000000000000001E-2</v>
      </c>
      <c r="M4" s="59">
        <v>88.4</v>
      </c>
      <c r="N4" s="63">
        <f t="shared" si="1"/>
        <v>7.1999999999999995E-2</v>
      </c>
      <c r="O4" s="64">
        <f t="shared" ref="O4:O11" si="6">M4*G4/0.1</f>
        <v>132.6</v>
      </c>
      <c r="P4" s="17">
        <f>'IMC Summary'!E3</f>
        <v>295.53284615384609</v>
      </c>
      <c r="Q4" s="17">
        <v>636.29999999999995</v>
      </c>
      <c r="R4" s="17">
        <f t="shared" ref="R4:R22" si="7">Q4+P4</f>
        <v>931.83284615384605</v>
      </c>
      <c r="S4" s="65">
        <v>200</v>
      </c>
      <c r="T4" s="32">
        <v>0</v>
      </c>
      <c r="U4" s="33">
        <f t="shared" si="2"/>
        <v>0</v>
      </c>
      <c r="V4" s="32">
        <f t="shared" si="3"/>
        <v>0</v>
      </c>
    </row>
    <row r="5" spans="1:22" x14ac:dyDescent="0.25">
      <c r="A5" t="str">
        <f t="shared" si="4"/>
        <v>Screw/Scroll 75-150 Tons Tier 1</v>
      </c>
      <c r="B5" s="92"/>
      <c r="C5" s="91" t="s">
        <v>60</v>
      </c>
      <c r="D5" s="8">
        <v>1</v>
      </c>
      <c r="E5" s="59">
        <v>0.56000000000000005</v>
      </c>
      <c r="F5" s="53">
        <v>0.1</v>
      </c>
      <c r="G5" s="60">
        <v>0.1</v>
      </c>
      <c r="H5" s="59">
        <f t="shared" si="5"/>
        <v>0.50400000000000011</v>
      </c>
      <c r="I5" s="61">
        <v>0.75</v>
      </c>
      <c r="J5" s="62">
        <v>0.1</v>
      </c>
      <c r="K5" s="59">
        <f t="shared" si="0"/>
        <v>0.67500000000000004</v>
      </c>
      <c r="L5" s="59">
        <v>4.5999999999999999E-2</v>
      </c>
      <c r="M5" s="59">
        <v>84.8</v>
      </c>
      <c r="N5" s="63">
        <f t="shared" si="1"/>
        <v>4.5999999999999999E-2</v>
      </c>
      <c r="O5" s="64">
        <f t="shared" si="6"/>
        <v>84.8</v>
      </c>
      <c r="P5" s="17">
        <f>'IMC Summary'!D4</f>
        <v>143.54369230769231</v>
      </c>
      <c r="Q5" s="17">
        <v>448.31599999999997</v>
      </c>
      <c r="R5" s="17">
        <f t="shared" si="7"/>
        <v>591.85969230769228</v>
      </c>
      <c r="S5" s="65">
        <v>120</v>
      </c>
      <c r="T5" s="32">
        <v>100</v>
      </c>
      <c r="U5" s="33">
        <f t="shared" si="2"/>
        <v>4.5999999999999996</v>
      </c>
      <c r="V5" s="32">
        <f t="shared" si="3"/>
        <v>8480</v>
      </c>
    </row>
    <row r="6" spans="1:22" x14ac:dyDescent="0.25">
      <c r="A6" t="str">
        <f t="shared" si="4"/>
        <v>Screw/Scroll 75-150 Tons Tier 2</v>
      </c>
      <c r="B6" s="92"/>
      <c r="C6" s="91" t="s">
        <v>60</v>
      </c>
      <c r="D6" s="8">
        <v>2</v>
      </c>
      <c r="E6" s="59">
        <v>0.56000000000000005</v>
      </c>
      <c r="F6" s="53">
        <v>0.15</v>
      </c>
      <c r="G6" s="60">
        <v>0.15</v>
      </c>
      <c r="H6" s="59">
        <f t="shared" si="5"/>
        <v>0.47600000000000003</v>
      </c>
      <c r="I6" s="61">
        <v>0.75</v>
      </c>
      <c r="J6" s="62">
        <v>0.15</v>
      </c>
      <c r="K6" s="59">
        <f t="shared" si="0"/>
        <v>0.63749999999999996</v>
      </c>
      <c r="L6" s="59">
        <v>4.5999999999999999E-2</v>
      </c>
      <c r="M6" s="59">
        <v>84.8</v>
      </c>
      <c r="N6" s="63">
        <f t="shared" si="1"/>
        <v>6.8999999999999992E-2</v>
      </c>
      <c r="O6" s="64">
        <f t="shared" si="6"/>
        <v>127.19999999999999</v>
      </c>
      <c r="P6" s="17">
        <f>'IMC Summary'!E4</f>
        <v>244.79264615384611</v>
      </c>
      <c r="Q6" s="17">
        <v>448.31599999999997</v>
      </c>
      <c r="R6" s="17">
        <f t="shared" si="7"/>
        <v>693.10864615384605</v>
      </c>
      <c r="S6" s="65">
        <v>200</v>
      </c>
      <c r="T6" s="32">
        <v>75</v>
      </c>
      <c r="U6" s="33">
        <f t="shared" si="2"/>
        <v>5.1749999999999998</v>
      </c>
      <c r="V6" s="32">
        <f t="shared" si="3"/>
        <v>9540</v>
      </c>
    </row>
    <row r="7" spans="1:22" x14ac:dyDescent="0.25">
      <c r="A7" t="str">
        <f t="shared" si="4"/>
        <v>Screw/Scroll 150-300 Tons Tier 1</v>
      </c>
      <c r="B7" s="92"/>
      <c r="C7" s="91" t="s">
        <v>61</v>
      </c>
      <c r="D7" s="8">
        <v>1</v>
      </c>
      <c r="E7" s="59">
        <v>0.54</v>
      </c>
      <c r="F7" s="53">
        <v>0.1</v>
      </c>
      <c r="G7" s="60">
        <v>0.1</v>
      </c>
      <c r="H7" s="59">
        <f t="shared" si="5"/>
        <v>0.48600000000000004</v>
      </c>
      <c r="I7" s="61">
        <v>0.68</v>
      </c>
      <c r="J7" s="62">
        <v>0.1</v>
      </c>
      <c r="K7" s="59">
        <f t="shared" si="0"/>
        <v>0.6120000000000001</v>
      </c>
      <c r="L7" s="59">
        <v>4.2000000000000003E-2</v>
      </c>
      <c r="M7" s="59">
        <v>77.8</v>
      </c>
      <c r="N7" s="63">
        <f t="shared" si="1"/>
        <v>4.2000000000000003E-2</v>
      </c>
      <c r="O7" s="64">
        <f t="shared" si="6"/>
        <v>77.8</v>
      </c>
      <c r="P7" s="17">
        <f>'IMC Summary'!D5</f>
        <v>123.43169230769232</v>
      </c>
      <c r="Q7" s="17">
        <v>320.63600000000002</v>
      </c>
      <c r="R7" s="17">
        <f t="shared" si="7"/>
        <v>444.06769230769237</v>
      </c>
      <c r="S7" s="65">
        <v>70</v>
      </c>
      <c r="T7" s="32">
        <v>200</v>
      </c>
      <c r="U7" s="33">
        <f t="shared" si="2"/>
        <v>8.4</v>
      </c>
      <c r="V7" s="32">
        <f t="shared" si="3"/>
        <v>15560</v>
      </c>
    </row>
    <row r="8" spans="1:22" x14ac:dyDescent="0.25">
      <c r="A8" t="str">
        <f t="shared" si="4"/>
        <v>Screw/Scroll 150-300 Tons Tier 2</v>
      </c>
      <c r="B8" s="92"/>
      <c r="C8" s="91" t="s">
        <v>61</v>
      </c>
      <c r="D8" s="8">
        <v>2</v>
      </c>
      <c r="E8" s="59">
        <v>0.54</v>
      </c>
      <c r="F8" s="53">
        <v>0.15</v>
      </c>
      <c r="G8" s="60">
        <v>0.15</v>
      </c>
      <c r="H8" s="59">
        <f t="shared" si="5"/>
        <v>0.45900000000000002</v>
      </c>
      <c r="I8" s="61">
        <v>0.68</v>
      </c>
      <c r="J8" s="62">
        <v>0.15</v>
      </c>
      <c r="K8" s="59">
        <f t="shared" si="0"/>
        <v>0.57800000000000007</v>
      </c>
      <c r="L8" s="59">
        <v>4.2000000000000003E-2</v>
      </c>
      <c r="M8" s="59">
        <v>77.8</v>
      </c>
      <c r="N8" s="63">
        <f t="shared" si="1"/>
        <v>6.3E-2</v>
      </c>
      <c r="O8" s="64">
        <f t="shared" si="6"/>
        <v>116.69999999999999</v>
      </c>
      <c r="P8" s="17">
        <f>'IMC Summary'!E5</f>
        <v>206.75964615384609</v>
      </c>
      <c r="Q8" s="17">
        <v>320.63600000000002</v>
      </c>
      <c r="R8" s="17">
        <f t="shared" si="7"/>
        <v>527.39564615384609</v>
      </c>
      <c r="S8" s="65">
        <v>140</v>
      </c>
      <c r="T8" s="32">
        <v>0</v>
      </c>
      <c r="U8" s="33">
        <f t="shared" si="2"/>
        <v>0</v>
      </c>
      <c r="V8" s="32">
        <f t="shared" si="3"/>
        <v>0</v>
      </c>
    </row>
    <row r="9" spans="1:22" x14ac:dyDescent="0.25">
      <c r="A9" t="str">
        <f t="shared" si="4"/>
        <v>Screw/Scroll 300 -600 Tons Tier 1</v>
      </c>
      <c r="B9" s="92"/>
      <c r="C9" s="91" t="s">
        <v>62</v>
      </c>
      <c r="D9" s="8">
        <v>1</v>
      </c>
      <c r="E9" s="59">
        <v>0.52</v>
      </c>
      <c r="F9" s="53">
        <v>0.1</v>
      </c>
      <c r="G9" s="60">
        <v>0.1</v>
      </c>
      <c r="H9" s="59">
        <f t="shared" si="5"/>
        <v>0.46800000000000003</v>
      </c>
      <c r="I9" s="61">
        <v>0.625</v>
      </c>
      <c r="J9" s="62">
        <v>0.1</v>
      </c>
      <c r="K9" s="59">
        <f t="shared" si="0"/>
        <v>0.5625</v>
      </c>
      <c r="L9" s="59">
        <v>3.9E-2</v>
      </c>
      <c r="M9" s="59">
        <v>71.900000000000006</v>
      </c>
      <c r="N9" s="63">
        <f t="shared" si="1"/>
        <v>3.9E-2</v>
      </c>
      <c r="O9" s="64">
        <f t="shared" si="6"/>
        <v>71.900000000000006</v>
      </c>
      <c r="P9" s="17">
        <f>'IMC Summary'!D6</f>
        <v>101.26769230769233</v>
      </c>
      <c r="Q9" s="17">
        <v>253.26</v>
      </c>
      <c r="R9" s="17">
        <f t="shared" si="7"/>
        <v>354.52769230769229</v>
      </c>
      <c r="S9" s="65">
        <v>70</v>
      </c>
      <c r="T9" s="32">
        <v>0</v>
      </c>
      <c r="U9" s="33">
        <f t="shared" si="2"/>
        <v>0</v>
      </c>
      <c r="V9" s="32">
        <f t="shared" si="3"/>
        <v>0</v>
      </c>
    </row>
    <row r="10" spans="1:22" x14ac:dyDescent="0.25">
      <c r="A10" t="str">
        <f t="shared" si="4"/>
        <v>Screw/Scroll 300 -600 Tons Tier 2</v>
      </c>
      <c r="B10" s="92"/>
      <c r="C10" s="91" t="s">
        <v>62</v>
      </c>
      <c r="D10" s="8">
        <v>2</v>
      </c>
      <c r="E10" s="59">
        <v>0.52</v>
      </c>
      <c r="F10" s="53">
        <v>0.15</v>
      </c>
      <c r="G10" s="60">
        <v>0.15</v>
      </c>
      <c r="H10" s="59">
        <f t="shared" si="5"/>
        <v>0.442</v>
      </c>
      <c r="I10" s="61">
        <v>0.625</v>
      </c>
      <c r="J10" s="62">
        <v>0.15</v>
      </c>
      <c r="K10" s="59">
        <f t="shared" si="0"/>
        <v>0.53125</v>
      </c>
      <c r="L10" s="59">
        <v>3.9E-2</v>
      </c>
      <c r="M10" s="59">
        <v>71.900000000000006</v>
      </c>
      <c r="N10" s="63">
        <f t="shared" si="1"/>
        <v>5.8499999999999996E-2</v>
      </c>
      <c r="O10" s="64">
        <f t="shared" si="6"/>
        <v>107.85</v>
      </c>
      <c r="P10" s="17">
        <f>'IMC Summary'!E6</f>
        <v>181.43384615384613</v>
      </c>
      <c r="Q10" s="17">
        <v>253.26</v>
      </c>
      <c r="R10" s="17">
        <f t="shared" si="7"/>
        <v>434.69384615384615</v>
      </c>
      <c r="S10" s="65">
        <v>140</v>
      </c>
      <c r="T10" s="32">
        <v>0</v>
      </c>
      <c r="U10" s="33">
        <f t="shared" si="2"/>
        <v>0</v>
      </c>
      <c r="V10" s="32">
        <f t="shared" si="3"/>
        <v>0</v>
      </c>
    </row>
    <row r="11" spans="1:22" x14ac:dyDescent="0.25">
      <c r="A11" t="str">
        <f t="shared" si="4"/>
        <v>Screw/Scroll &gt;600 Tons Tier 1</v>
      </c>
      <c r="B11" s="92"/>
      <c r="C11" s="91" t="s">
        <v>63</v>
      </c>
      <c r="D11" s="8">
        <v>1</v>
      </c>
      <c r="E11" s="59">
        <v>0.5</v>
      </c>
      <c r="F11" s="53">
        <v>0.1</v>
      </c>
      <c r="G11" s="60">
        <v>0.1</v>
      </c>
      <c r="H11" s="59">
        <f t="shared" si="5"/>
        <v>0.45</v>
      </c>
      <c r="I11" s="61">
        <v>0.58499999999999996</v>
      </c>
      <c r="J11" s="62">
        <v>0.1</v>
      </c>
      <c r="K11" s="59">
        <f t="shared" si="0"/>
        <v>0.52649999999999997</v>
      </c>
      <c r="L11" s="59">
        <v>3.5999999999999997E-2</v>
      </c>
      <c r="M11" s="59">
        <v>66</v>
      </c>
      <c r="N11" s="63">
        <f t="shared" si="1"/>
        <v>3.5999999999999997E-2</v>
      </c>
      <c r="O11" s="64">
        <f t="shared" si="6"/>
        <v>66</v>
      </c>
      <c r="P11" s="17">
        <f>'IMC Summary'!D7</f>
        <v>77.051692307692321</v>
      </c>
      <c r="Q11" s="17">
        <v>246.18799999999987</v>
      </c>
      <c r="R11" s="17">
        <f t="shared" si="7"/>
        <v>323.23969230769217</v>
      </c>
      <c r="S11" s="65">
        <v>70</v>
      </c>
      <c r="T11" s="32">
        <v>0</v>
      </c>
      <c r="U11" s="33">
        <f t="shared" si="2"/>
        <v>0</v>
      </c>
      <c r="V11" s="32">
        <f t="shared" si="3"/>
        <v>0</v>
      </c>
    </row>
    <row r="12" spans="1:22" x14ac:dyDescent="0.25">
      <c r="A12" t="str">
        <f t="shared" si="4"/>
        <v>Screw/Scroll &gt;600 Tons Tier 2</v>
      </c>
      <c r="B12" s="92"/>
      <c r="C12" s="91" t="s">
        <v>63</v>
      </c>
      <c r="D12" s="8">
        <v>2</v>
      </c>
      <c r="E12" s="59">
        <v>0.5</v>
      </c>
      <c r="F12" s="53">
        <v>0.15</v>
      </c>
      <c r="G12" s="60">
        <v>0.15</v>
      </c>
      <c r="H12" s="59">
        <f t="shared" si="5"/>
        <v>0.42499999999999999</v>
      </c>
      <c r="I12" s="61">
        <v>0.58499999999999996</v>
      </c>
      <c r="J12" s="62">
        <v>0.15</v>
      </c>
      <c r="K12" s="59">
        <f t="shared" si="0"/>
        <v>0.49724999999999997</v>
      </c>
      <c r="L12" s="59">
        <v>3.5999999999999997E-2</v>
      </c>
      <c r="M12" s="59">
        <v>66</v>
      </c>
      <c r="N12" s="63">
        <f>L12*J12/0.1</f>
        <v>5.3999999999999992E-2</v>
      </c>
      <c r="O12" s="64">
        <f>M12*G12/0.1</f>
        <v>99</v>
      </c>
      <c r="P12" s="17">
        <f>'IMC Summary'!E7</f>
        <v>168.81524615384612</v>
      </c>
      <c r="Q12" s="17">
        <v>246.18799999999987</v>
      </c>
      <c r="R12" s="17">
        <f t="shared" si="7"/>
        <v>415.00324615384602</v>
      </c>
      <c r="S12" s="65">
        <v>140</v>
      </c>
      <c r="T12" s="32">
        <v>0</v>
      </c>
      <c r="U12" s="33">
        <f t="shared" si="2"/>
        <v>0</v>
      </c>
      <c r="V12" s="32">
        <f t="shared" si="3"/>
        <v>0</v>
      </c>
    </row>
    <row r="13" spans="1:22" x14ac:dyDescent="0.25">
      <c r="A13" t="str">
        <f t="shared" si="4"/>
        <v>Screw/Scroll &lt;150 Tons Tier 1</v>
      </c>
      <c r="B13" s="91" t="s">
        <v>64</v>
      </c>
      <c r="C13" s="91" t="s">
        <v>65</v>
      </c>
      <c r="D13" s="8">
        <v>1</v>
      </c>
      <c r="E13" s="59">
        <v>0.44</v>
      </c>
      <c r="F13" s="53">
        <v>0.1</v>
      </c>
      <c r="G13" s="60">
        <v>0.1</v>
      </c>
      <c r="H13" s="59">
        <f>E13*(1-G13)</f>
        <v>0.39600000000000002</v>
      </c>
      <c r="I13" s="61">
        <v>0.69499999999999995</v>
      </c>
      <c r="J13" s="62">
        <v>0.1</v>
      </c>
      <c r="K13" s="59">
        <f>I13*(1-J13)</f>
        <v>0.62549999999999994</v>
      </c>
      <c r="L13" s="59">
        <v>6.0999999999999999E-2</v>
      </c>
      <c r="M13" s="59">
        <v>125.5</v>
      </c>
      <c r="N13" s="63">
        <f t="shared" ref="N13:N21" si="8">L13*J13/0.15</f>
        <v>4.066666666666667E-2</v>
      </c>
      <c r="O13" s="64">
        <f t="shared" ref="O13:O21" si="9">M13*G13/0.15</f>
        <v>83.666666666666671</v>
      </c>
      <c r="P13" s="17">
        <f>'IMC Summary'!D8</f>
        <v>132.42758620689654</v>
      </c>
      <c r="Q13" s="17">
        <v>642.21</v>
      </c>
      <c r="R13" s="17">
        <f t="shared" si="7"/>
        <v>774.63758620689657</v>
      </c>
      <c r="S13" s="65">
        <v>70</v>
      </c>
      <c r="T13" s="32">
        <v>100</v>
      </c>
      <c r="U13" s="33">
        <f t="shared" si="2"/>
        <v>4.0666666666666673</v>
      </c>
      <c r="V13" s="32">
        <f t="shared" si="3"/>
        <v>8366.6666666666679</v>
      </c>
    </row>
    <row r="14" spans="1:22" x14ac:dyDescent="0.25">
      <c r="A14" t="str">
        <f t="shared" si="4"/>
        <v>Screw/Scroll &lt;150 Tons Tier 2</v>
      </c>
      <c r="B14" s="91"/>
      <c r="C14" s="91" t="s">
        <v>65</v>
      </c>
      <c r="D14" s="8">
        <v>2</v>
      </c>
      <c r="E14" s="59">
        <v>0.44</v>
      </c>
      <c r="F14" s="53">
        <v>0.15</v>
      </c>
      <c r="G14" s="60">
        <v>0.15</v>
      </c>
      <c r="H14" s="59">
        <f t="shared" ref="H14:H22" si="10">E14*(1-G14)</f>
        <v>0.374</v>
      </c>
      <c r="I14" s="61">
        <v>0.69499999999999995</v>
      </c>
      <c r="J14" s="62">
        <v>0.15</v>
      </c>
      <c r="K14" s="59">
        <f t="shared" ref="K14:K22" si="11">I14*(1-J14)</f>
        <v>0.59075</v>
      </c>
      <c r="L14" s="59">
        <v>6.0999999999999999E-2</v>
      </c>
      <c r="M14" s="59">
        <v>125.5</v>
      </c>
      <c r="N14" s="63">
        <f t="shared" si="8"/>
        <v>6.1000000000000006E-2</v>
      </c>
      <c r="O14" s="64">
        <f t="shared" si="9"/>
        <v>125.5</v>
      </c>
      <c r="P14" s="17">
        <f>'IMC Summary'!E8</f>
        <v>248.60689655172405</v>
      </c>
      <c r="Q14" s="17">
        <v>642.21</v>
      </c>
      <c r="R14" s="17">
        <f t="shared" si="7"/>
        <v>890.81689655172408</v>
      </c>
      <c r="S14" s="65">
        <v>140</v>
      </c>
      <c r="T14" s="32">
        <v>0</v>
      </c>
      <c r="U14" s="33">
        <f t="shared" si="2"/>
        <v>0</v>
      </c>
      <c r="V14" s="32">
        <f t="shared" si="3"/>
        <v>0</v>
      </c>
    </row>
    <row r="15" spans="1:22" x14ac:dyDescent="0.25">
      <c r="A15" t="str">
        <f t="shared" si="4"/>
        <v>Screw/Scroll 150-300 Tons Tier 1</v>
      </c>
      <c r="B15" s="91"/>
      <c r="C15" s="91" t="s">
        <v>61</v>
      </c>
      <c r="D15" s="8">
        <v>1</v>
      </c>
      <c r="E15" s="59">
        <v>0.4</v>
      </c>
      <c r="F15" s="53">
        <v>0.1</v>
      </c>
      <c r="G15" s="60">
        <v>0.1</v>
      </c>
      <c r="H15" s="59">
        <f t="shared" si="10"/>
        <v>0.36000000000000004</v>
      </c>
      <c r="I15" s="61">
        <v>0.63500000000000001</v>
      </c>
      <c r="J15" s="62">
        <v>0.1</v>
      </c>
      <c r="K15" s="59">
        <f t="shared" si="11"/>
        <v>0.57150000000000001</v>
      </c>
      <c r="L15" s="59">
        <v>5.6000000000000001E-2</v>
      </c>
      <c r="M15" s="59">
        <v>114.6</v>
      </c>
      <c r="N15" s="63">
        <f t="shared" si="8"/>
        <v>3.7333333333333343E-2</v>
      </c>
      <c r="O15" s="64">
        <f t="shared" si="9"/>
        <v>76.400000000000006</v>
      </c>
      <c r="P15" s="17">
        <f>'IMC Summary'!D9</f>
        <v>98.127999999999986</v>
      </c>
      <c r="Q15" s="17">
        <v>399.23599999999999</v>
      </c>
      <c r="R15" s="17">
        <f t="shared" si="7"/>
        <v>497.36399999999998</v>
      </c>
      <c r="S15" s="65">
        <v>70</v>
      </c>
      <c r="T15" s="32">
        <v>600</v>
      </c>
      <c r="U15" s="33">
        <f t="shared" si="2"/>
        <v>22.400000000000006</v>
      </c>
      <c r="V15" s="32">
        <f t="shared" si="3"/>
        <v>45840</v>
      </c>
    </row>
    <row r="16" spans="1:22" x14ac:dyDescent="0.25">
      <c r="A16" t="str">
        <f t="shared" si="4"/>
        <v>Screw/Scroll 150-300 Tons Tier 2</v>
      </c>
      <c r="B16" s="91"/>
      <c r="C16" s="91" t="s">
        <v>61</v>
      </c>
      <c r="D16" s="8">
        <v>2</v>
      </c>
      <c r="E16" s="59">
        <v>0.4</v>
      </c>
      <c r="F16" s="53">
        <v>0.15</v>
      </c>
      <c r="G16" s="60">
        <v>0.15</v>
      </c>
      <c r="H16" s="59">
        <f t="shared" si="10"/>
        <v>0.34</v>
      </c>
      <c r="I16" s="61">
        <v>0.63500000000000001</v>
      </c>
      <c r="J16" s="62">
        <v>0.15</v>
      </c>
      <c r="K16" s="59">
        <f t="shared" si="11"/>
        <v>0.53974999999999995</v>
      </c>
      <c r="L16" s="59">
        <v>5.6000000000000001E-2</v>
      </c>
      <c r="M16" s="59">
        <v>114.6</v>
      </c>
      <c r="N16" s="63">
        <f t="shared" si="8"/>
        <v>5.6000000000000001E-2</v>
      </c>
      <c r="O16" s="64">
        <f t="shared" si="9"/>
        <v>114.6</v>
      </c>
      <c r="P16" s="17">
        <f>'IMC Summary'!E9</f>
        <v>168.5</v>
      </c>
      <c r="Q16" s="17">
        <v>399.23599999999999</v>
      </c>
      <c r="R16" s="17">
        <f t="shared" si="7"/>
        <v>567.73599999999999</v>
      </c>
      <c r="S16" s="65">
        <v>140</v>
      </c>
      <c r="T16" s="32">
        <v>150</v>
      </c>
      <c r="U16" s="33">
        <f t="shared" si="2"/>
        <v>8.4</v>
      </c>
      <c r="V16" s="32">
        <f t="shared" si="3"/>
        <v>17190</v>
      </c>
    </row>
    <row r="17" spans="1:23" x14ac:dyDescent="0.25">
      <c r="A17" t="str">
        <f t="shared" si="4"/>
        <v>Screw/Scroll 300 -400 Tons Tier 1</v>
      </c>
      <c r="B17" s="91"/>
      <c r="C17" s="91" t="s">
        <v>66</v>
      </c>
      <c r="D17" s="8">
        <v>1</v>
      </c>
      <c r="E17" s="59">
        <v>0.39</v>
      </c>
      <c r="F17" s="53">
        <v>0.1</v>
      </c>
      <c r="G17" s="60">
        <v>0.1</v>
      </c>
      <c r="H17" s="59">
        <f t="shared" si="10"/>
        <v>0.35100000000000003</v>
      </c>
      <c r="I17" s="61">
        <v>0.59499999999999997</v>
      </c>
      <c r="J17" s="62">
        <v>0.1</v>
      </c>
      <c r="K17" s="59">
        <f t="shared" si="11"/>
        <v>0.53549999999999998</v>
      </c>
      <c r="L17" s="59">
        <v>5.1999999999999998E-2</v>
      </c>
      <c r="M17" s="59">
        <v>107.4</v>
      </c>
      <c r="N17" s="63">
        <f t="shared" si="8"/>
        <v>3.4666666666666665E-2</v>
      </c>
      <c r="O17" s="64">
        <f t="shared" si="9"/>
        <v>71.600000000000023</v>
      </c>
      <c r="P17" s="17">
        <f>'IMC Summary'!D10</f>
        <v>97.888571428571424</v>
      </c>
      <c r="Q17" s="17">
        <v>301.577</v>
      </c>
      <c r="R17" s="17">
        <f t="shared" si="7"/>
        <v>399.46557142857142</v>
      </c>
      <c r="S17" s="65">
        <v>70</v>
      </c>
      <c r="T17" s="32">
        <v>600</v>
      </c>
      <c r="U17" s="33">
        <f t="shared" si="2"/>
        <v>20.8</v>
      </c>
      <c r="V17" s="32">
        <f t="shared" si="3"/>
        <v>42960.000000000015</v>
      </c>
    </row>
    <row r="18" spans="1:23" x14ac:dyDescent="0.25">
      <c r="A18" t="str">
        <f t="shared" si="4"/>
        <v>Screw/Scroll 300-400 Tons Tier 2</v>
      </c>
      <c r="B18" s="91"/>
      <c r="C18" s="91" t="s">
        <v>67</v>
      </c>
      <c r="D18" s="8">
        <v>2</v>
      </c>
      <c r="E18" s="59">
        <v>0.39</v>
      </c>
      <c r="F18" s="53">
        <v>0.15</v>
      </c>
      <c r="G18" s="60">
        <v>0.15</v>
      </c>
      <c r="H18" s="59">
        <f t="shared" si="10"/>
        <v>0.33150000000000002</v>
      </c>
      <c r="I18" s="61">
        <v>0.59499999999999997</v>
      </c>
      <c r="J18" s="62">
        <v>0.15</v>
      </c>
      <c r="K18" s="59">
        <f t="shared" si="11"/>
        <v>0.50574999999999992</v>
      </c>
      <c r="L18" s="59">
        <v>5.1999999999999998E-2</v>
      </c>
      <c r="M18" s="59">
        <v>107.4</v>
      </c>
      <c r="N18" s="63">
        <f t="shared" si="8"/>
        <v>5.1999999999999998E-2</v>
      </c>
      <c r="O18" s="64">
        <f t="shared" si="9"/>
        <v>107.4</v>
      </c>
      <c r="P18" s="17">
        <f>'IMC Summary'!E10</f>
        <v>144.12857142857143</v>
      </c>
      <c r="Q18" s="17">
        <v>301.577</v>
      </c>
      <c r="R18" s="17">
        <f t="shared" si="7"/>
        <v>445.70557142857143</v>
      </c>
      <c r="S18" s="65">
        <v>140</v>
      </c>
      <c r="T18" s="32">
        <v>300</v>
      </c>
      <c r="U18" s="33">
        <f t="shared" si="2"/>
        <v>15.6</v>
      </c>
      <c r="V18" s="32">
        <f t="shared" si="3"/>
        <v>32220</v>
      </c>
    </row>
    <row r="19" spans="1:23" x14ac:dyDescent="0.25">
      <c r="A19" t="str">
        <f t="shared" si="4"/>
        <v>Screw/Scroll 400-600 Tons Tier 1</v>
      </c>
      <c r="B19" s="91"/>
      <c r="C19" s="91" t="s">
        <v>68</v>
      </c>
      <c r="D19" s="8">
        <v>1</v>
      </c>
      <c r="E19" s="59">
        <v>0.38</v>
      </c>
      <c r="F19" s="53">
        <v>0.1</v>
      </c>
      <c r="G19" s="60">
        <v>0.1</v>
      </c>
      <c r="H19" s="59">
        <f t="shared" si="10"/>
        <v>0.34200000000000003</v>
      </c>
      <c r="I19" s="61">
        <v>0.58499999999999996</v>
      </c>
      <c r="J19" s="62">
        <v>0.1</v>
      </c>
      <c r="K19" s="59">
        <f t="shared" si="11"/>
        <v>0.52649999999999997</v>
      </c>
      <c r="L19" s="59">
        <v>5.0999999999999997E-2</v>
      </c>
      <c r="M19" s="59">
        <v>105.6</v>
      </c>
      <c r="N19" s="63">
        <f t="shared" si="8"/>
        <v>3.4000000000000002E-2</v>
      </c>
      <c r="O19" s="64">
        <f t="shared" si="9"/>
        <v>70.400000000000006</v>
      </c>
      <c r="P19" s="17">
        <f>'IMC Summary'!D11</f>
        <v>68.456470588235277</v>
      </c>
      <c r="Q19" s="17">
        <v>284.13</v>
      </c>
      <c r="R19" s="17">
        <f t="shared" si="7"/>
        <v>352.58647058823527</v>
      </c>
      <c r="S19" s="65">
        <v>40</v>
      </c>
      <c r="T19" s="32">
        <v>900</v>
      </c>
      <c r="U19" s="33">
        <f t="shared" si="2"/>
        <v>30.6</v>
      </c>
      <c r="V19" s="32">
        <f t="shared" si="3"/>
        <v>63360.000000000007</v>
      </c>
    </row>
    <row r="20" spans="1:23" x14ac:dyDescent="0.25">
      <c r="A20" t="str">
        <f t="shared" si="4"/>
        <v>Screw/Scroll 400-600 Tons Tier 2</v>
      </c>
      <c r="B20" s="91"/>
      <c r="C20" s="91" t="s">
        <v>68</v>
      </c>
      <c r="D20" s="8">
        <v>2</v>
      </c>
      <c r="E20" s="59">
        <v>0.38</v>
      </c>
      <c r="F20" s="53">
        <v>0.15</v>
      </c>
      <c r="G20" s="60">
        <v>0.15</v>
      </c>
      <c r="H20" s="59">
        <f t="shared" si="10"/>
        <v>0.32300000000000001</v>
      </c>
      <c r="I20" s="61">
        <v>0.58499999999999996</v>
      </c>
      <c r="J20" s="62">
        <v>0.15</v>
      </c>
      <c r="K20" s="59">
        <f t="shared" si="11"/>
        <v>0.49724999999999997</v>
      </c>
      <c r="L20" s="59">
        <v>5.0999999999999997E-2</v>
      </c>
      <c r="M20" s="59">
        <v>105.6</v>
      </c>
      <c r="N20" s="63">
        <f t="shared" si="8"/>
        <v>5.0999999999999997E-2</v>
      </c>
      <c r="O20" s="64">
        <f t="shared" si="9"/>
        <v>105.6</v>
      </c>
      <c r="P20" s="17">
        <f>'IMC Summary'!E11</f>
        <v>150.21411764705886</v>
      </c>
      <c r="Q20" s="17">
        <v>284.13</v>
      </c>
      <c r="R20" s="17">
        <f t="shared" si="7"/>
        <v>434.34411764705885</v>
      </c>
      <c r="S20" s="65">
        <v>90</v>
      </c>
      <c r="T20" s="32">
        <v>0</v>
      </c>
      <c r="U20" s="33">
        <f t="shared" si="2"/>
        <v>0</v>
      </c>
      <c r="V20" s="32">
        <f t="shared" si="3"/>
        <v>0</v>
      </c>
    </row>
    <row r="21" spans="1:23" x14ac:dyDescent="0.25">
      <c r="A21" t="str">
        <f t="shared" si="4"/>
        <v>Screw/Scroll &gt;600 Tons Tier 1</v>
      </c>
      <c r="B21" s="91"/>
      <c r="C21" s="91" t="s">
        <v>63</v>
      </c>
      <c r="D21" s="8">
        <v>1</v>
      </c>
      <c r="E21" s="59">
        <v>0.38</v>
      </c>
      <c r="F21" s="53">
        <v>0.1</v>
      </c>
      <c r="G21" s="60">
        <v>0.1</v>
      </c>
      <c r="H21" s="59">
        <f t="shared" si="10"/>
        <v>0.34200000000000003</v>
      </c>
      <c r="I21" s="61">
        <v>0.58499999999999996</v>
      </c>
      <c r="J21" s="62">
        <v>0.1</v>
      </c>
      <c r="K21" s="59">
        <f t="shared" si="11"/>
        <v>0.52649999999999997</v>
      </c>
      <c r="L21" s="59">
        <v>5.0999999999999997E-2</v>
      </c>
      <c r="M21" s="59">
        <v>105.6</v>
      </c>
      <c r="N21" s="63">
        <f t="shared" si="8"/>
        <v>3.4000000000000002E-2</v>
      </c>
      <c r="O21" s="64">
        <f t="shared" si="9"/>
        <v>70.400000000000006</v>
      </c>
      <c r="P21" s="17">
        <f>'IMC Summary'!D12</f>
        <v>41.57116666666667</v>
      </c>
      <c r="Q21" s="17">
        <v>212.11199999999999</v>
      </c>
      <c r="R21" s="17">
        <f t="shared" si="7"/>
        <v>253.68316666666666</v>
      </c>
      <c r="S21" s="65">
        <v>40</v>
      </c>
      <c r="T21" s="32">
        <v>2900</v>
      </c>
      <c r="U21" s="33">
        <f t="shared" si="2"/>
        <v>98.600000000000009</v>
      </c>
      <c r="V21" s="32">
        <f t="shared" si="3"/>
        <v>204160.00000000003</v>
      </c>
    </row>
    <row r="22" spans="1:23" x14ac:dyDescent="0.25">
      <c r="A22" t="str">
        <f t="shared" si="4"/>
        <v>Screw/Scroll &gt;600 Tons Tier 2</v>
      </c>
      <c r="B22" s="91"/>
      <c r="C22" s="91" t="s">
        <v>63</v>
      </c>
      <c r="D22" s="8">
        <v>2</v>
      </c>
      <c r="E22" s="59">
        <v>0.38</v>
      </c>
      <c r="F22" s="53">
        <v>0.15</v>
      </c>
      <c r="G22" s="60">
        <v>0.15</v>
      </c>
      <c r="H22" s="59">
        <f t="shared" si="10"/>
        <v>0.32300000000000001</v>
      </c>
      <c r="I22" s="61">
        <v>0.58499999999999996</v>
      </c>
      <c r="J22" s="62">
        <v>0.15</v>
      </c>
      <c r="K22" s="59">
        <f t="shared" si="11"/>
        <v>0.49724999999999997</v>
      </c>
      <c r="L22" s="59">
        <v>5.0999999999999997E-2</v>
      </c>
      <c r="M22" s="59">
        <v>105.6</v>
      </c>
      <c r="N22" s="63">
        <f>L22*J22/0.15</f>
        <v>5.0999999999999997E-2</v>
      </c>
      <c r="O22" s="64">
        <f>M22*G22/0.15</f>
        <v>105.6</v>
      </c>
      <c r="P22" s="17">
        <f>'IMC Summary'!E12</f>
        <v>99.354166666666686</v>
      </c>
      <c r="Q22" s="17">
        <v>212.11199999999999</v>
      </c>
      <c r="R22" s="17">
        <f t="shared" si="7"/>
        <v>311.46616666666671</v>
      </c>
      <c r="S22" s="65">
        <v>90</v>
      </c>
      <c r="T22" s="32">
        <v>600</v>
      </c>
      <c r="U22" s="33">
        <f t="shared" si="2"/>
        <v>30.599999999999998</v>
      </c>
      <c r="V22" s="32">
        <f t="shared" si="3"/>
        <v>63360</v>
      </c>
    </row>
    <row r="23" spans="1:23" x14ac:dyDescent="0.25">
      <c r="R23" s="18"/>
      <c r="S23" s="14" t="s">
        <v>69</v>
      </c>
      <c r="T23" s="66">
        <f>SUM(T3:T22)</f>
        <v>6525</v>
      </c>
      <c r="U23" s="67">
        <f>SUM(U3:U22)</f>
        <v>249.24166666666665</v>
      </c>
      <c r="V23" s="66">
        <f>SUM(V3:V22)</f>
        <v>511036.66666666674</v>
      </c>
    </row>
    <row r="24" spans="1:23" x14ac:dyDescent="0.25">
      <c r="B24" s="89"/>
      <c r="G24" s="70"/>
      <c r="L24" t="s">
        <v>73</v>
      </c>
      <c r="R24" s="18"/>
      <c r="S24" s="8"/>
      <c r="T24" s="32"/>
      <c r="U24" s="68" t="s">
        <v>70</v>
      </c>
      <c r="V24" s="69">
        <v>1.2</v>
      </c>
    </row>
    <row r="25" spans="1:23" ht="14.45" customHeight="1" x14ac:dyDescent="0.25">
      <c r="B25" s="89"/>
      <c r="R25" s="18"/>
    </row>
    <row r="26" spans="1:23" x14ac:dyDescent="0.25">
      <c r="R26" s="18"/>
      <c r="S26" s="90" t="s">
        <v>71</v>
      </c>
      <c r="T26" s="90"/>
      <c r="U26" s="90"/>
      <c r="V26" s="90"/>
    </row>
    <row r="28" spans="1:23" ht="14.45" customHeight="1" x14ac:dyDescent="0.25">
      <c r="P28" s="54"/>
      <c r="Q28" s="54"/>
      <c r="R28" s="54"/>
      <c r="S28" s="54"/>
      <c r="T28"/>
      <c r="V28" s="54"/>
      <c r="W28" s="54"/>
    </row>
    <row r="29" spans="1:23" x14ac:dyDescent="0.25">
      <c r="P29" s="54"/>
      <c r="Q29" s="54"/>
      <c r="R29" s="54"/>
      <c r="S29" s="54"/>
      <c r="T29"/>
      <c r="U29" s="54"/>
      <c r="V29" s="54"/>
      <c r="W29" s="54"/>
    </row>
    <row r="30" spans="1:23" x14ac:dyDescent="0.25">
      <c r="T30"/>
    </row>
    <row r="33" spans="20:20" x14ac:dyDescent="0.25">
      <c r="T33"/>
    </row>
    <row r="34" spans="20:20" x14ac:dyDescent="0.25">
      <c r="T34"/>
    </row>
    <row r="35" spans="20:20" x14ac:dyDescent="0.25">
      <c r="T35"/>
    </row>
    <row r="36" spans="20:20" x14ac:dyDescent="0.25">
      <c r="T36"/>
    </row>
    <row r="37" spans="20:20" x14ac:dyDescent="0.25">
      <c r="T37"/>
    </row>
    <row r="38" spans="20:20" x14ac:dyDescent="0.25">
      <c r="T38"/>
    </row>
    <row r="39" spans="20:20" x14ac:dyDescent="0.25">
      <c r="T39"/>
    </row>
    <row r="40" spans="20:20" x14ac:dyDescent="0.25">
      <c r="T40"/>
    </row>
    <row r="41" spans="20:20" x14ac:dyDescent="0.25">
      <c r="T41"/>
    </row>
    <row r="42" spans="20:20" x14ac:dyDescent="0.25">
      <c r="T42"/>
    </row>
    <row r="43" spans="20:20" x14ac:dyDescent="0.25">
      <c r="T43"/>
    </row>
    <row r="44" spans="20:20" x14ac:dyDescent="0.25">
      <c r="T44"/>
    </row>
  </sheetData>
  <autoFilter ref="B2:V24"/>
  <mergeCells count="14">
    <mergeCell ref="B3:B12"/>
    <mergeCell ref="C3:C4"/>
    <mergeCell ref="C5:C6"/>
    <mergeCell ref="C7:C8"/>
    <mergeCell ref="C9:C10"/>
    <mergeCell ref="C11:C12"/>
    <mergeCell ref="B24:B25"/>
    <mergeCell ref="S26:V26"/>
    <mergeCell ref="B13:B22"/>
    <mergeCell ref="C13:C14"/>
    <mergeCell ref="C15:C16"/>
    <mergeCell ref="C17:C18"/>
    <mergeCell ref="C19:C20"/>
    <mergeCell ref="C21:C22"/>
  </mergeCells>
  <pageMargins left="0.7" right="0.7" top="0.75" bottom="0.75" header="0.3" footer="0.3"/>
  <pageSetup scale="7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44"/>
  <sheetViews>
    <sheetView topLeftCell="B1" workbookViewId="0">
      <selection activeCell="T3" sqref="T3:T22"/>
    </sheetView>
  </sheetViews>
  <sheetFormatPr defaultRowHeight="15" x14ac:dyDescent="0.25"/>
  <cols>
    <col min="1" max="1" width="24.28515625" hidden="1" customWidth="1"/>
    <col min="2" max="2" width="13.85546875" customWidth="1"/>
    <col min="3" max="3" width="12" customWidth="1"/>
    <col min="4" max="4" width="4.140625" customWidth="1"/>
    <col min="5" max="5" width="10.5703125" style="26" customWidth="1"/>
    <col min="6" max="6" width="12.28515625" customWidth="1"/>
    <col min="7" max="14" width="10.5703125" customWidth="1"/>
    <col min="15" max="15" width="12" style="19" customWidth="1"/>
    <col min="16" max="17" width="11.140625" customWidth="1"/>
    <col min="18" max="20" width="10.5703125" customWidth="1"/>
    <col min="21" max="21" width="9.140625" customWidth="1"/>
    <col min="22" max="22" width="12.140625" customWidth="1"/>
    <col min="23" max="23" width="8.85546875" customWidth="1"/>
    <col min="24" max="24" width="9.140625" customWidth="1"/>
  </cols>
  <sheetData>
    <row r="1" spans="1:24" s="15" customFormat="1" x14ac:dyDescent="0.25">
      <c r="E1" s="21"/>
      <c r="K1" s="95" t="s">
        <v>43</v>
      </c>
      <c r="L1" s="95"/>
      <c r="M1" s="95"/>
      <c r="N1" s="95"/>
      <c r="O1" s="95"/>
      <c r="P1" s="95"/>
      <c r="Q1" s="95"/>
      <c r="R1" s="39"/>
      <c r="S1" s="39"/>
      <c r="T1" s="39"/>
      <c r="U1" s="39"/>
      <c r="V1" s="39"/>
      <c r="W1" s="39"/>
      <c r="X1" s="39"/>
    </row>
    <row r="2" spans="1:24" s="22" customFormat="1" ht="60" x14ac:dyDescent="0.25">
      <c r="B2" s="22" t="s">
        <v>44</v>
      </c>
      <c r="C2" s="22" t="s">
        <v>45</v>
      </c>
      <c r="D2" s="22" t="s">
        <v>24</v>
      </c>
      <c r="E2" s="23" t="s">
        <v>46</v>
      </c>
      <c r="F2" s="22" t="s">
        <v>47</v>
      </c>
      <c r="G2" s="24" t="s">
        <v>50</v>
      </c>
      <c r="H2" s="22" t="s">
        <v>48</v>
      </c>
      <c r="I2" s="22" t="s">
        <v>49</v>
      </c>
      <c r="J2" s="24" t="s">
        <v>50</v>
      </c>
      <c r="K2" s="24" t="s">
        <v>51</v>
      </c>
      <c r="L2" s="24" t="s">
        <v>52</v>
      </c>
      <c r="M2" s="22" t="s">
        <v>53</v>
      </c>
      <c r="N2" s="22" t="s">
        <v>54</v>
      </c>
      <c r="O2" s="22" t="s">
        <v>55</v>
      </c>
      <c r="P2" s="22" t="s">
        <v>56</v>
      </c>
      <c r="Q2" s="22" t="s">
        <v>57</v>
      </c>
      <c r="R2" s="22" t="s">
        <v>74</v>
      </c>
      <c r="S2" s="22" t="s">
        <v>25</v>
      </c>
      <c r="T2" s="22" t="s">
        <v>75</v>
      </c>
      <c r="U2" s="55" t="s">
        <v>80</v>
      </c>
    </row>
    <row r="3" spans="1:24" x14ac:dyDescent="0.25">
      <c r="A3" t="str">
        <f>"Screw/Scroll "&amp;C3&amp;" Tier "&amp;D3</f>
        <v>Screw/Scroll &lt;75 Tons Tier 1</v>
      </c>
      <c r="B3" s="96" t="s">
        <v>58</v>
      </c>
      <c r="C3" s="94" t="s">
        <v>59</v>
      </c>
      <c r="D3">
        <v>1</v>
      </c>
      <c r="E3" s="26">
        <v>0.6</v>
      </c>
      <c r="F3" s="27">
        <v>0.1</v>
      </c>
      <c r="G3" s="26">
        <f>E3*(1-F3)</f>
        <v>0.54</v>
      </c>
      <c r="H3" s="28">
        <v>0.78</v>
      </c>
      <c r="I3" s="25">
        <v>0.1</v>
      </c>
      <c r="J3" s="26">
        <f t="shared" ref="J3:J12" si="0">H3*(1-I3)</f>
        <v>0.70200000000000007</v>
      </c>
      <c r="K3" s="26">
        <v>2.9000000000000001E-2</v>
      </c>
      <c r="L3" s="26">
        <v>63.7</v>
      </c>
      <c r="M3" s="34">
        <f t="shared" ref="M3" si="1">K3*I3/0.15</f>
        <v>1.9333333333333334E-2</v>
      </c>
      <c r="N3" s="35">
        <f t="shared" ref="N3" si="2">L3*F3/0.15</f>
        <v>42.466666666666676</v>
      </c>
      <c r="O3" s="40">
        <v>0</v>
      </c>
      <c r="P3" s="41">
        <f>M3*O3</f>
        <v>0</v>
      </c>
      <c r="Q3" s="42">
        <f>N3*O3</f>
        <v>0</v>
      </c>
      <c r="R3" s="16">
        <f>'IMC Summary'!D3</f>
        <v>161.60369230769231</v>
      </c>
      <c r="S3" s="16">
        <v>636.29999999999995</v>
      </c>
      <c r="T3" s="16">
        <f>S3+R3</f>
        <v>797.90369230769227</v>
      </c>
      <c r="U3" s="65">
        <v>120</v>
      </c>
    </row>
    <row r="4" spans="1:24" x14ac:dyDescent="0.25">
      <c r="A4" t="str">
        <f t="shared" ref="A4:A22" si="3">"Screw/Scroll "&amp;C4&amp;" Tier "&amp;D4</f>
        <v>Screw/Scroll &lt;75 Tons Tier 2</v>
      </c>
      <c r="B4" s="96"/>
      <c r="C4" s="94" t="s">
        <v>59</v>
      </c>
      <c r="D4">
        <v>2</v>
      </c>
      <c r="E4" s="26">
        <v>0.6</v>
      </c>
      <c r="F4" s="27">
        <v>0.15</v>
      </c>
      <c r="G4" s="26">
        <f t="shared" ref="G4:G12" si="4">E4*(1-F4)</f>
        <v>0.51</v>
      </c>
      <c r="H4" s="28">
        <v>0.78</v>
      </c>
      <c r="I4" s="25">
        <v>0.15</v>
      </c>
      <c r="J4" s="26">
        <f t="shared" si="0"/>
        <v>0.66300000000000003</v>
      </c>
      <c r="K4" s="26">
        <v>2.9000000000000001E-2</v>
      </c>
      <c r="L4" s="26">
        <v>63.7</v>
      </c>
      <c r="M4" s="34">
        <f t="shared" ref="M4:M18" si="5">K4*I4/0.15</f>
        <v>2.8999999999999998E-2</v>
      </c>
      <c r="N4" s="35">
        <f t="shared" ref="N4:N18" si="6">L4*F4/0.15</f>
        <v>63.7</v>
      </c>
      <c r="O4" s="40">
        <v>0</v>
      </c>
      <c r="P4" s="41">
        <f t="shared" ref="P4:P22" si="7">M4*O4</f>
        <v>0</v>
      </c>
      <c r="Q4" s="42">
        <f t="shared" ref="Q4:Q22" si="8">N4*O4</f>
        <v>0</v>
      </c>
      <c r="R4" s="16">
        <f>'IMC Summary'!E3</f>
        <v>295.53284615384609</v>
      </c>
      <c r="S4" s="16">
        <v>636.29999999999995</v>
      </c>
      <c r="T4" s="16">
        <f t="shared" ref="T4:T22" si="9">S4+R4</f>
        <v>931.83284615384605</v>
      </c>
      <c r="U4" s="65">
        <v>200</v>
      </c>
    </row>
    <row r="5" spans="1:24" x14ac:dyDescent="0.25">
      <c r="A5" t="str">
        <f t="shared" si="3"/>
        <v>Screw/Scroll 75-150 Tons Tier 1</v>
      </c>
      <c r="B5" s="96"/>
      <c r="C5" s="94" t="s">
        <v>60</v>
      </c>
      <c r="D5">
        <v>1</v>
      </c>
      <c r="E5" s="26">
        <v>0.56000000000000005</v>
      </c>
      <c r="F5" s="27">
        <v>0.1</v>
      </c>
      <c r="G5" s="26">
        <f t="shared" si="4"/>
        <v>0.50400000000000011</v>
      </c>
      <c r="H5" s="28">
        <v>0.75</v>
      </c>
      <c r="I5" s="25">
        <v>0.1</v>
      </c>
      <c r="J5" s="26">
        <f t="shared" si="0"/>
        <v>0.67500000000000004</v>
      </c>
      <c r="K5" s="26">
        <v>2.7E-2</v>
      </c>
      <c r="L5" s="26">
        <v>61.1</v>
      </c>
      <c r="M5" s="34">
        <f t="shared" si="5"/>
        <v>1.8000000000000002E-2</v>
      </c>
      <c r="N5" s="35">
        <f t="shared" si="6"/>
        <v>40.733333333333334</v>
      </c>
      <c r="O5" s="40">
        <v>180</v>
      </c>
      <c r="P5" s="41">
        <f t="shared" si="7"/>
        <v>3.24</v>
      </c>
      <c r="Q5" s="42">
        <f t="shared" si="8"/>
        <v>7332</v>
      </c>
      <c r="R5" s="16">
        <f>'IMC Summary'!D4</f>
        <v>143.54369230769231</v>
      </c>
      <c r="S5" s="16">
        <v>448.31599999999997</v>
      </c>
      <c r="T5" s="16">
        <f t="shared" si="9"/>
        <v>591.85969230769228</v>
      </c>
      <c r="U5" s="65">
        <v>120</v>
      </c>
    </row>
    <row r="6" spans="1:24" x14ac:dyDescent="0.25">
      <c r="A6" t="str">
        <f t="shared" si="3"/>
        <v>Screw/Scroll 75-150 Tons Tier 2</v>
      </c>
      <c r="B6" s="96"/>
      <c r="C6" s="94" t="s">
        <v>60</v>
      </c>
      <c r="D6">
        <v>2</v>
      </c>
      <c r="E6" s="26">
        <v>0.56000000000000005</v>
      </c>
      <c r="F6" s="27">
        <v>0.15</v>
      </c>
      <c r="G6" s="26">
        <f t="shared" si="4"/>
        <v>0.47600000000000003</v>
      </c>
      <c r="H6" s="28">
        <v>0.75</v>
      </c>
      <c r="I6" s="25">
        <v>0.15</v>
      </c>
      <c r="J6" s="26">
        <f t="shared" si="0"/>
        <v>0.63749999999999996</v>
      </c>
      <c r="K6" s="26">
        <v>2.7E-2</v>
      </c>
      <c r="L6" s="26">
        <v>61.1</v>
      </c>
      <c r="M6" s="34">
        <f t="shared" si="5"/>
        <v>2.7E-2</v>
      </c>
      <c r="N6" s="35">
        <f t="shared" si="6"/>
        <v>61.099999999999994</v>
      </c>
      <c r="O6" s="40">
        <v>90</v>
      </c>
      <c r="P6" s="41">
        <f t="shared" si="7"/>
        <v>2.4300000000000002</v>
      </c>
      <c r="Q6" s="42">
        <f t="shared" si="8"/>
        <v>5498.9999999999991</v>
      </c>
      <c r="R6" s="16">
        <f>'IMC Summary'!E4</f>
        <v>244.79264615384611</v>
      </c>
      <c r="S6" s="16">
        <v>448.31599999999997</v>
      </c>
      <c r="T6" s="16">
        <f t="shared" si="9"/>
        <v>693.10864615384605</v>
      </c>
      <c r="U6" s="65">
        <v>200</v>
      </c>
    </row>
    <row r="7" spans="1:24" x14ac:dyDescent="0.25">
      <c r="A7" t="str">
        <f t="shared" si="3"/>
        <v>Screw/Scroll 150-300 Tons Tier 1</v>
      </c>
      <c r="B7" s="96"/>
      <c r="C7" s="94" t="s">
        <v>61</v>
      </c>
      <c r="D7">
        <v>1</v>
      </c>
      <c r="E7" s="26">
        <v>0.54</v>
      </c>
      <c r="F7" s="27">
        <v>0.1</v>
      </c>
      <c r="G7" s="26">
        <f t="shared" si="4"/>
        <v>0.48600000000000004</v>
      </c>
      <c r="H7" s="28">
        <v>0.68</v>
      </c>
      <c r="I7" s="25">
        <v>0.1</v>
      </c>
      <c r="J7" s="26">
        <f t="shared" si="0"/>
        <v>0.6120000000000001</v>
      </c>
      <c r="K7" s="26">
        <v>2.5000000000000001E-2</v>
      </c>
      <c r="L7" s="26">
        <v>56</v>
      </c>
      <c r="M7" s="34">
        <f t="shared" si="5"/>
        <v>1.666666666666667E-2</v>
      </c>
      <c r="N7" s="35">
        <f t="shared" si="6"/>
        <v>37.333333333333336</v>
      </c>
      <c r="O7" s="40">
        <v>170</v>
      </c>
      <c r="P7" s="41">
        <f t="shared" si="7"/>
        <v>2.8333333333333339</v>
      </c>
      <c r="Q7" s="42">
        <f t="shared" si="8"/>
        <v>6346.666666666667</v>
      </c>
      <c r="R7" s="16">
        <f>'IMC Summary'!D5</f>
        <v>123.43169230769232</v>
      </c>
      <c r="S7" s="16">
        <v>320.63600000000002</v>
      </c>
      <c r="T7" s="16">
        <f t="shared" si="9"/>
        <v>444.06769230769237</v>
      </c>
      <c r="U7" s="65">
        <v>70</v>
      </c>
    </row>
    <row r="8" spans="1:24" x14ac:dyDescent="0.25">
      <c r="A8" t="str">
        <f t="shared" si="3"/>
        <v>Screw/Scroll 150-300 Tons Tier 2</v>
      </c>
      <c r="B8" s="96"/>
      <c r="C8" s="94" t="s">
        <v>61</v>
      </c>
      <c r="D8">
        <v>2</v>
      </c>
      <c r="E8" s="26">
        <v>0.54</v>
      </c>
      <c r="F8" s="27">
        <v>0.15</v>
      </c>
      <c r="G8" s="26">
        <f t="shared" si="4"/>
        <v>0.45900000000000002</v>
      </c>
      <c r="H8" s="28">
        <v>0.68</v>
      </c>
      <c r="I8" s="25">
        <v>0.15</v>
      </c>
      <c r="J8" s="26">
        <f t="shared" si="0"/>
        <v>0.57800000000000007</v>
      </c>
      <c r="K8" s="26">
        <v>2.5000000000000001E-2</v>
      </c>
      <c r="L8" s="26">
        <v>56</v>
      </c>
      <c r="M8" s="34">
        <f t="shared" si="5"/>
        <v>2.5000000000000001E-2</v>
      </c>
      <c r="N8" s="35">
        <f t="shared" si="6"/>
        <v>56.000000000000007</v>
      </c>
      <c r="O8" s="40">
        <v>150</v>
      </c>
      <c r="P8" s="41">
        <f t="shared" si="7"/>
        <v>3.75</v>
      </c>
      <c r="Q8" s="42">
        <f t="shared" si="8"/>
        <v>8400.0000000000018</v>
      </c>
      <c r="R8" s="16">
        <f>'IMC Summary'!E5</f>
        <v>206.75964615384609</v>
      </c>
      <c r="S8" s="16">
        <v>320.63600000000002</v>
      </c>
      <c r="T8" s="16">
        <f t="shared" si="9"/>
        <v>527.39564615384609</v>
      </c>
      <c r="U8" s="65">
        <v>140</v>
      </c>
    </row>
    <row r="9" spans="1:24" x14ac:dyDescent="0.25">
      <c r="A9" t="str">
        <f t="shared" si="3"/>
        <v>Screw/Scroll 300 -600 Tons Tier 1</v>
      </c>
      <c r="B9" s="96"/>
      <c r="C9" s="94" t="s">
        <v>62</v>
      </c>
      <c r="D9">
        <v>1</v>
      </c>
      <c r="E9" s="26">
        <v>0.52</v>
      </c>
      <c r="F9" s="27">
        <v>0.1</v>
      </c>
      <c r="G9" s="26">
        <f t="shared" si="4"/>
        <v>0.46800000000000003</v>
      </c>
      <c r="H9" s="28">
        <v>0.625</v>
      </c>
      <c r="I9" s="25">
        <v>0.1</v>
      </c>
      <c r="J9" s="26">
        <f t="shared" si="0"/>
        <v>0.5625</v>
      </c>
      <c r="K9" s="26">
        <v>2.3E-2</v>
      </c>
      <c r="L9" s="26">
        <v>51.8</v>
      </c>
      <c r="M9" s="34">
        <f t="shared" si="5"/>
        <v>1.5333333333333334E-2</v>
      </c>
      <c r="N9" s="35">
        <f t="shared" si="6"/>
        <v>34.533333333333331</v>
      </c>
      <c r="O9" s="40">
        <v>450</v>
      </c>
      <c r="P9" s="41">
        <f t="shared" si="7"/>
        <v>6.9</v>
      </c>
      <c r="Q9" s="42">
        <f t="shared" si="8"/>
        <v>15540</v>
      </c>
      <c r="R9" s="16">
        <f>'IMC Summary'!D6</f>
        <v>101.26769230769233</v>
      </c>
      <c r="S9" s="16">
        <v>253.26</v>
      </c>
      <c r="T9" s="16">
        <f t="shared" si="9"/>
        <v>354.52769230769229</v>
      </c>
      <c r="U9" s="65">
        <v>70</v>
      </c>
    </row>
    <row r="10" spans="1:24" x14ac:dyDescent="0.25">
      <c r="A10" t="str">
        <f t="shared" si="3"/>
        <v>Screw/Scroll 300 -600 Tons Tier 2</v>
      </c>
      <c r="B10" s="96"/>
      <c r="C10" s="94" t="s">
        <v>62</v>
      </c>
      <c r="D10">
        <v>2</v>
      </c>
      <c r="E10" s="26">
        <v>0.52</v>
      </c>
      <c r="F10" s="27">
        <v>0.15</v>
      </c>
      <c r="G10" s="26">
        <f t="shared" si="4"/>
        <v>0.442</v>
      </c>
      <c r="H10" s="28">
        <v>0.625</v>
      </c>
      <c r="I10" s="25">
        <v>0.15</v>
      </c>
      <c r="J10" s="26">
        <f t="shared" si="0"/>
        <v>0.53125</v>
      </c>
      <c r="K10" s="26">
        <v>2.3E-2</v>
      </c>
      <c r="L10" s="26">
        <v>51.8</v>
      </c>
      <c r="M10" s="34">
        <f t="shared" si="5"/>
        <v>2.3E-2</v>
      </c>
      <c r="N10" s="35">
        <f t="shared" si="6"/>
        <v>51.8</v>
      </c>
      <c r="O10" s="40">
        <v>0</v>
      </c>
      <c r="P10" s="41">
        <f t="shared" si="7"/>
        <v>0</v>
      </c>
      <c r="Q10" s="42">
        <f t="shared" si="8"/>
        <v>0</v>
      </c>
      <c r="R10" s="16">
        <f>'IMC Summary'!E6</f>
        <v>181.43384615384613</v>
      </c>
      <c r="S10" s="16">
        <v>253.26</v>
      </c>
      <c r="T10" s="16">
        <f t="shared" si="9"/>
        <v>434.69384615384615</v>
      </c>
      <c r="U10" s="65">
        <v>140</v>
      </c>
    </row>
    <row r="11" spans="1:24" x14ac:dyDescent="0.25">
      <c r="A11" t="str">
        <f t="shared" si="3"/>
        <v>Screw/Scroll &gt;600 Tons Tier 1</v>
      </c>
      <c r="B11" s="96"/>
      <c r="C11" s="94" t="s">
        <v>63</v>
      </c>
      <c r="D11">
        <v>1</v>
      </c>
      <c r="E11" s="26">
        <v>0.5</v>
      </c>
      <c r="F11" s="27">
        <v>0.1</v>
      </c>
      <c r="G11" s="26">
        <f t="shared" si="4"/>
        <v>0.45</v>
      </c>
      <c r="H11" s="28">
        <v>0.58499999999999996</v>
      </c>
      <c r="I11" s="25">
        <v>0.1</v>
      </c>
      <c r="J11" s="26">
        <f t="shared" si="0"/>
        <v>0.52649999999999997</v>
      </c>
      <c r="K11" s="26">
        <v>2.1000000000000001E-2</v>
      </c>
      <c r="L11" s="26">
        <v>47.5</v>
      </c>
      <c r="M11" s="34">
        <f t="shared" si="5"/>
        <v>1.4000000000000002E-2</v>
      </c>
      <c r="N11" s="35">
        <f t="shared" si="6"/>
        <v>31.666666666666668</v>
      </c>
      <c r="O11" s="40">
        <v>0</v>
      </c>
      <c r="P11" s="41">
        <f t="shared" si="7"/>
        <v>0</v>
      </c>
      <c r="Q11" s="42">
        <f t="shared" si="8"/>
        <v>0</v>
      </c>
      <c r="R11" s="16">
        <f>'IMC Summary'!D7</f>
        <v>77.051692307692321</v>
      </c>
      <c r="S11" s="16">
        <v>246.18799999999987</v>
      </c>
      <c r="T11" s="16">
        <f t="shared" si="9"/>
        <v>323.23969230769217</v>
      </c>
      <c r="U11" s="65">
        <v>70</v>
      </c>
    </row>
    <row r="12" spans="1:24" x14ac:dyDescent="0.25">
      <c r="A12" t="str">
        <f t="shared" si="3"/>
        <v>Screw/Scroll &gt;600 Tons Tier 2</v>
      </c>
      <c r="B12" s="96"/>
      <c r="C12" s="94" t="s">
        <v>63</v>
      </c>
      <c r="D12">
        <v>2</v>
      </c>
      <c r="E12" s="26">
        <v>0.5</v>
      </c>
      <c r="F12" s="27">
        <v>0.15</v>
      </c>
      <c r="G12" s="26">
        <f t="shared" si="4"/>
        <v>0.42499999999999999</v>
      </c>
      <c r="H12" s="28">
        <v>0.58499999999999996</v>
      </c>
      <c r="I12" s="25">
        <v>0.15</v>
      </c>
      <c r="J12" s="26">
        <f t="shared" si="0"/>
        <v>0.49724999999999997</v>
      </c>
      <c r="K12" s="26">
        <v>2.1000000000000001E-2</v>
      </c>
      <c r="L12" s="26">
        <v>47.5</v>
      </c>
      <c r="M12" s="34">
        <f t="shared" si="5"/>
        <v>2.1000000000000001E-2</v>
      </c>
      <c r="N12" s="35">
        <f t="shared" si="6"/>
        <v>47.5</v>
      </c>
      <c r="O12" s="40">
        <v>0</v>
      </c>
      <c r="P12" s="41">
        <f t="shared" si="7"/>
        <v>0</v>
      </c>
      <c r="Q12" s="42">
        <f t="shared" si="8"/>
        <v>0</v>
      </c>
      <c r="R12" s="16">
        <f>'IMC Summary'!E7</f>
        <v>168.81524615384612</v>
      </c>
      <c r="S12" s="16">
        <v>246.18799999999987</v>
      </c>
      <c r="T12" s="16">
        <f t="shared" si="9"/>
        <v>415.00324615384602</v>
      </c>
      <c r="U12" s="65">
        <v>140</v>
      </c>
    </row>
    <row r="13" spans="1:24" x14ac:dyDescent="0.25">
      <c r="A13" t="str">
        <f t="shared" si="3"/>
        <v>Screw/Scroll &lt;150 Tons Tier 1</v>
      </c>
      <c r="B13" s="94" t="s">
        <v>64</v>
      </c>
      <c r="C13" s="94" t="s">
        <v>65</v>
      </c>
      <c r="D13">
        <v>1</v>
      </c>
      <c r="E13" s="26">
        <v>0.44</v>
      </c>
      <c r="F13" s="27">
        <v>0.1</v>
      </c>
      <c r="G13" s="26">
        <f>E13*(1-F13)</f>
        <v>0.39600000000000002</v>
      </c>
      <c r="H13" s="28">
        <v>0.69499999999999995</v>
      </c>
      <c r="I13" s="25">
        <v>0.1</v>
      </c>
      <c r="J13" s="26">
        <f>H13*(1-I13)</f>
        <v>0.62549999999999994</v>
      </c>
      <c r="K13" s="26">
        <v>3.6999999999999998E-2</v>
      </c>
      <c r="L13" s="26">
        <v>94.7</v>
      </c>
      <c r="M13" s="34">
        <f t="shared" si="5"/>
        <v>2.466666666666667E-2</v>
      </c>
      <c r="N13" s="35">
        <f t="shared" si="6"/>
        <v>63.13333333333334</v>
      </c>
      <c r="O13" s="40">
        <v>0</v>
      </c>
      <c r="P13" s="41">
        <f t="shared" si="7"/>
        <v>0</v>
      </c>
      <c r="Q13" s="42">
        <f t="shared" si="8"/>
        <v>0</v>
      </c>
      <c r="R13" s="16">
        <f>'IMC Summary'!D8</f>
        <v>132.42758620689654</v>
      </c>
      <c r="S13" s="16">
        <v>642.21</v>
      </c>
      <c r="T13" s="16">
        <f t="shared" si="9"/>
        <v>774.63758620689657</v>
      </c>
      <c r="U13" s="65">
        <v>70</v>
      </c>
    </row>
    <row r="14" spans="1:24" x14ac:dyDescent="0.25">
      <c r="A14" t="str">
        <f t="shared" si="3"/>
        <v>Screw/Scroll &lt;150 Tons Tier 2</v>
      </c>
      <c r="B14" s="94"/>
      <c r="C14" s="94" t="s">
        <v>65</v>
      </c>
      <c r="D14">
        <v>2</v>
      </c>
      <c r="E14" s="26">
        <v>0.44</v>
      </c>
      <c r="F14" s="27">
        <v>0.15</v>
      </c>
      <c r="G14" s="26">
        <f t="shared" ref="G14:G22" si="10">E14*(1-F14)</f>
        <v>0.374</v>
      </c>
      <c r="H14" s="28">
        <v>0.69499999999999995</v>
      </c>
      <c r="I14" s="25">
        <v>0.15</v>
      </c>
      <c r="J14" s="26">
        <f t="shared" ref="J14:J22" si="11">H14*(1-I14)</f>
        <v>0.59075</v>
      </c>
      <c r="K14" s="26">
        <v>3.6999999999999998E-2</v>
      </c>
      <c r="L14" s="26">
        <v>94.7</v>
      </c>
      <c r="M14" s="34">
        <f t="shared" si="5"/>
        <v>3.6999999999999998E-2</v>
      </c>
      <c r="N14" s="35">
        <f t="shared" si="6"/>
        <v>94.7</v>
      </c>
      <c r="O14" s="40">
        <v>0</v>
      </c>
      <c r="P14" s="41">
        <f t="shared" si="7"/>
        <v>0</v>
      </c>
      <c r="Q14" s="42">
        <f t="shared" si="8"/>
        <v>0</v>
      </c>
      <c r="R14" s="16">
        <f>'IMC Summary'!E8</f>
        <v>248.60689655172405</v>
      </c>
      <c r="S14" s="16">
        <v>642.21</v>
      </c>
      <c r="T14" s="16">
        <f t="shared" si="9"/>
        <v>890.81689655172408</v>
      </c>
      <c r="U14" s="65">
        <v>140</v>
      </c>
    </row>
    <row r="15" spans="1:24" x14ac:dyDescent="0.25">
      <c r="A15" t="str">
        <f t="shared" si="3"/>
        <v>Screw/Scroll 150-300 Tons Tier 1</v>
      </c>
      <c r="B15" s="94"/>
      <c r="C15" s="94" t="s">
        <v>61</v>
      </c>
      <c r="D15">
        <v>1</v>
      </c>
      <c r="E15" s="26">
        <v>0.4</v>
      </c>
      <c r="F15" s="27">
        <v>0.1</v>
      </c>
      <c r="G15" s="26">
        <f t="shared" si="10"/>
        <v>0.36000000000000004</v>
      </c>
      <c r="H15" s="28">
        <v>0.63500000000000001</v>
      </c>
      <c r="I15" s="25">
        <v>0.1</v>
      </c>
      <c r="J15" s="26">
        <f t="shared" si="11"/>
        <v>0.57150000000000001</v>
      </c>
      <c r="K15" s="26">
        <v>3.4000000000000002E-2</v>
      </c>
      <c r="L15" s="26">
        <v>86.5</v>
      </c>
      <c r="M15" s="34">
        <f t="shared" si="5"/>
        <v>2.2666666666666668E-2</v>
      </c>
      <c r="N15" s="35">
        <f t="shared" si="6"/>
        <v>57.666666666666671</v>
      </c>
      <c r="O15" s="40">
        <v>720</v>
      </c>
      <c r="P15" s="41">
        <f t="shared" si="7"/>
        <v>16.32</v>
      </c>
      <c r="Q15" s="42">
        <f t="shared" si="8"/>
        <v>41520</v>
      </c>
      <c r="R15" s="16">
        <f>'IMC Summary'!D9</f>
        <v>98.127999999999986</v>
      </c>
      <c r="S15" s="16">
        <v>399.23599999999999</v>
      </c>
      <c r="T15" s="16">
        <f t="shared" si="9"/>
        <v>497.36399999999998</v>
      </c>
      <c r="U15" s="65">
        <v>70</v>
      </c>
    </row>
    <row r="16" spans="1:24" x14ac:dyDescent="0.25">
      <c r="A16" t="str">
        <f t="shared" si="3"/>
        <v>Screw/Scroll 150-300 Tons Tier 2</v>
      </c>
      <c r="B16" s="94"/>
      <c r="C16" s="94" t="s">
        <v>61</v>
      </c>
      <c r="D16">
        <v>2</v>
      </c>
      <c r="E16" s="26">
        <v>0.4</v>
      </c>
      <c r="F16" s="27">
        <v>0.15</v>
      </c>
      <c r="G16" s="26">
        <f t="shared" si="10"/>
        <v>0.34</v>
      </c>
      <c r="H16" s="28">
        <v>0.63500000000000001</v>
      </c>
      <c r="I16" s="25">
        <v>0.15</v>
      </c>
      <c r="J16" s="26">
        <f t="shared" si="11"/>
        <v>0.53974999999999995</v>
      </c>
      <c r="K16" s="26">
        <v>3.4000000000000002E-2</v>
      </c>
      <c r="L16" s="26">
        <v>86.5</v>
      </c>
      <c r="M16" s="34">
        <f t="shared" si="5"/>
        <v>3.4000000000000002E-2</v>
      </c>
      <c r="N16" s="35">
        <f t="shared" si="6"/>
        <v>86.5</v>
      </c>
      <c r="O16" s="40">
        <v>180</v>
      </c>
      <c r="P16" s="41">
        <f t="shared" si="7"/>
        <v>6.12</v>
      </c>
      <c r="Q16" s="42">
        <f t="shared" si="8"/>
        <v>15570</v>
      </c>
      <c r="R16" s="16">
        <f>'IMC Summary'!E9</f>
        <v>168.5</v>
      </c>
      <c r="S16" s="16">
        <v>399.23599999999999</v>
      </c>
      <c r="T16" s="16">
        <f t="shared" si="9"/>
        <v>567.73599999999999</v>
      </c>
      <c r="U16" s="65">
        <v>140</v>
      </c>
    </row>
    <row r="17" spans="1:24" x14ac:dyDescent="0.25">
      <c r="A17" t="str">
        <f t="shared" si="3"/>
        <v>Screw/Scroll 300 -400 Tons Tier 1</v>
      </c>
      <c r="B17" s="94"/>
      <c r="C17" s="94" t="s">
        <v>66</v>
      </c>
      <c r="D17">
        <v>1</v>
      </c>
      <c r="E17" s="26">
        <v>0.39</v>
      </c>
      <c r="F17" s="27">
        <v>0.1</v>
      </c>
      <c r="G17" s="26">
        <f t="shared" si="10"/>
        <v>0.35100000000000003</v>
      </c>
      <c r="H17" s="28">
        <v>0.59499999999999997</v>
      </c>
      <c r="I17" s="25">
        <v>0.1</v>
      </c>
      <c r="J17" s="26">
        <f t="shared" si="11"/>
        <v>0.53549999999999998</v>
      </c>
      <c r="K17" s="26">
        <v>3.2000000000000001E-2</v>
      </c>
      <c r="L17" s="26">
        <v>81.099999999999994</v>
      </c>
      <c r="M17" s="34">
        <f t="shared" si="5"/>
        <v>2.1333333333333336E-2</v>
      </c>
      <c r="N17" s="35">
        <f t="shared" si="6"/>
        <v>54.066666666666663</v>
      </c>
      <c r="O17" s="40">
        <v>720</v>
      </c>
      <c r="P17" s="41">
        <f t="shared" si="7"/>
        <v>15.360000000000001</v>
      </c>
      <c r="Q17" s="42">
        <f t="shared" si="8"/>
        <v>38928</v>
      </c>
      <c r="R17" s="16">
        <f>'IMC Summary'!D10</f>
        <v>97.888571428571424</v>
      </c>
      <c r="S17" s="16">
        <v>301.577</v>
      </c>
      <c r="T17" s="16">
        <f t="shared" si="9"/>
        <v>399.46557142857142</v>
      </c>
      <c r="U17" s="65">
        <v>70</v>
      </c>
    </row>
    <row r="18" spans="1:24" x14ac:dyDescent="0.25">
      <c r="A18" t="str">
        <f t="shared" si="3"/>
        <v>Screw/Scroll 300-400 Tons Tier 2</v>
      </c>
      <c r="B18" s="94"/>
      <c r="C18" s="94" t="s">
        <v>67</v>
      </c>
      <c r="D18">
        <v>2</v>
      </c>
      <c r="E18" s="26">
        <v>0.39</v>
      </c>
      <c r="F18" s="27">
        <v>0.15</v>
      </c>
      <c r="G18" s="26">
        <f t="shared" si="10"/>
        <v>0.33150000000000002</v>
      </c>
      <c r="H18" s="28">
        <v>0.59499999999999997</v>
      </c>
      <c r="I18" s="25">
        <v>0.15</v>
      </c>
      <c r="J18" s="26">
        <f t="shared" si="11"/>
        <v>0.50574999999999992</v>
      </c>
      <c r="K18" s="26">
        <v>3.2000000000000001E-2</v>
      </c>
      <c r="L18" s="26">
        <v>81.099999999999994</v>
      </c>
      <c r="M18" s="34">
        <f t="shared" si="5"/>
        <v>3.2000000000000001E-2</v>
      </c>
      <c r="N18" s="35">
        <f t="shared" si="6"/>
        <v>81.099999999999994</v>
      </c>
      <c r="O18" s="40">
        <v>360</v>
      </c>
      <c r="P18" s="41">
        <f t="shared" si="7"/>
        <v>11.52</v>
      </c>
      <c r="Q18" s="42">
        <f t="shared" si="8"/>
        <v>29195.999999999996</v>
      </c>
      <c r="R18" s="16">
        <f>'IMC Summary'!E10</f>
        <v>144.12857142857143</v>
      </c>
      <c r="S18" s="16">
        <v>301.577</v>
      </c>
      <c r="T18" s="16">
        <f t="shared" si="9"/>
        <v>445.70557142857143</v>
      </c>
      <c r="U18" s="65">
        <v>140</v>
      </c>
    </row>
    <row r="19" spans="1:24" x14ac:dyDescent="0.25">
      <c r="A19" t="str">
        <f t="shared" si="3"/>
        <v>Screw/Scroll 400-600 Tons Tier 1</v>
      </c>
      <c r="B19" s="94"/>
      <c r="C19" s="94" t="s">
        <v>68</v>
      </c>
      <c r="D19">
        <v>1</v>
      </c>
      <c r="E19" s="26">
        <v>0.38</v>
      </c>
      <c r="F19" s="27">
        <v>0.1</v>
      </c>
      <c r="G19" s="26">
        <f t="shared" si="10"/>
        <v>0.34200000000000003</v>
      </c>
      <c r="H19" s="28">
        <v>0.58499999999999996</v>
      </c>
      <c r="I19" s="25">
        <v>0.1</v>
      </c>
      <c r="J19" s="26">
        <f t="shared" si="11"/>
        <v>0.52649999999999997</v>
      </c>
      <c r="K19" s="26">
        <v>3.1E-2</v>
      </c>
      <c r="L19" s="26">
        <v>79.7</v>
      </c>
      <c r="M19" s="34">
        <f t="shared" ref="M19:M22" si="12">K19*I19/0.15</f>
        <v>2.066666666666667E-2</v>
      </c>
      <c r="N19" s="35">
        <f t="shared" ref="N19:N22" si="13">L19*F19/0.15</f>
        <v>53.13333333333334</v>
      </c>
      <c r="O19" s="40">
        <v>1080</v>
      </c>
      <c r="P19" s="41">
        <f t="shared" si="7"/>
        <v>22.320000000000004</v>
      </c>
      <c r="Q19" s="42">
        <f t="shared" si="8"/>
        <v>57384.000000000007</v>
      </c>
      <c r="R19" s="16">
        <f>'IMC Summary'!D11</f>
        <v>68.456470588235277</v>
      </c>
      <c r="S19" s="16">
        <v>284.13</v>
      </c>
      <c r="T19" s="16">
        <f t="shared" si="9"/>
        <v>352.58647058823527</v>
      </c>
      <c r="U19" s="65">
        <v>40</v>
      </c>
    </row>
    <row r="20" spans="1:24" x14ac:dyDescent="0.25">
      <c r="A20" t="str">
        <f t="shared" si="3"/>
        <v>Screw/Scroll 400-600 Tons Tier 2</v>
      </c>
      <c r="B20" s="94"/>
      <c r="C20" s="94" t="s">
        <v>68</v>
      </c>
      <c r="D20">
        <v>2</v>
      </c>
      <c r="E20" s="26">
        <v>0.38</v>
      </c>
      <c r="F20" s="27">
        <v>0.15</v>
      </c>
      <c r="G20" s="26">
        <f t="shared" si="10"/>
        <v>0.32300000000000001</v>
      </c>
      <c r="H20" s="28">
        <v>0.58499999999999996</v>
      </c>
      <c r="I20" s="25">
        <v>0.15</v>
      </c>
      <c r="J20" s="26">
        <f t="shared" si="11"/>
        <v>0.49724999999999997</v>
      </c>
      <c r="K20" s="26">
        <v>3.1E-2</v>
      </c>
      <c r="L20" s="26">
        <v>79.7</v>
      </c>
      <c r="M20" s="34">
        <f t="shared" si="12"/>
        <v>3.1E-2</v>
      </c>
      <c r="N20" s="35">
        <f t="shared" si="13"/>
        <v>79.7</v>
      </c>
      <c r="O20" s="40">
        <v>0</v>
      </c>
      <c r="P20" s="41">
        <f t="shared" si="7"/>
        <v>0</v>
      </c>
      <c r="Q20" s="42">
        <f t="shared" si="8"/>
        <v>0</v>
      </c>
      <c r="R20" s="16">
        <f>'IMC Summary'!E11</f>
        <v>150.21411764705886</v>
      </c>
      <c r="S20" s="16">
        <v>284.13</v>
      </c>
      <c r="T20" s="16">
        <f t="shared" si="9"/>
        <v>434.34411764705885</v>
      </c>
      <c r="U20" s="65">
        <v>90</v>
      </c>
    </row>
    <row r="21" spans="1:24" x14ac:dyDescent="0.25">
      <c r="A21" t="str">
        <f t="shared" si="3"/>
        <v>Screw/Scroll &gt;600 Tons Tier 1</v>
      </c>
      <c r="B21" s="94"/>
      <c r="C21" s="94" t="s">
        <v>63</v>
      </c>
      <c r="D21">
        <v>1</v>
      </c>
      <c r="E21" s="26">
        <v>0.38</v>
      </c>
      <c r="F21" s="27">
        <v>0.1</v>
      </c>
      <c r="G21" s="26">
        <f t="shared" si="10"/>
        <v>0.34200000000000003</v>
      </c>
      <c r="H21" s="28">
        <v>0.58499999999999996</v>
      </c>
      <c r="I21" s="25">
        <v>0.1</v>
      </c>
      <c r="J21" s="26">
        <f t="shared" si="11"/>
        <v>0.52649999999999997</v>
      </c>
      <c r="K21" s="26">
        <v>3.1E-2</v>
      </c>
      <c r="L21" s="26">
        <v>79.7</v>
      </c>
      <c r="M21" s="34">
        <f t="shared" si="12"/>
        <v>2.066666666666667E-2</v>
      </c>
      <c r="N21" s="35">
        <f t="shared" si="13"/>
        <v>53.13333333333334</v>
      </c>
      <c r="O21" s="40">
        <v>3480</v>
      </c>
      <c r="P21" s="41">
        <f t="shared" si="7"/>
        <v>71.920000000000016</v>
      </c>
      <c r="Q21" s="42">
        <f t="shared" si="8"/>
        <v>184904.00000000003</v>
      </c>
      <c r="R21" s="16">
        <f>'IMC Summary'!D12</f>
        <v>41.57116666666667</v>
      </c>
      <c r="S21" s="16">
        <v>212.11199999999999</v>
      </c>
      <c r="T21" s="16">
        <f t="shared" si="9"/>
        <v>253.68316666666666</v>
      </c>
      <c r="U21" s="65">
        <v>40</v>
      </c>
    </row>
    <row r="22" spans="1:24" ht="15.75" thickBot="1" x14ac:dyDescent="0.3">
      <c r="A22" t="str">
        <f t="shared" si="3"/>
        <v>Screw/Scroll &gt;600 Tons Tier 2</v>
      </c>
      <c r="B22" s="94"/>
      <c r="C22" s="94" t="s">
        <v>63</v>
      </c>
      <c r="D22">
        <v>2</v>
      </c>
      <c r="E22" s="26">
        <v>0.38</v>
      </c>
      <c r="F22" s="27">
        <v>0.15</v>
      </c>
      <c r="G22" s="26">
        <f t="shared" si="10"/>
        <v>0.32300000000000001</v>
      </c>
      <c r="H22" s="28">
        <v>0.58499999999999996</v>
      </c>
      <c r="I22" s="25">
        <v>0.15</v>
      </c>
      <c r="J22" s="26">
        <f t="shared" si="11"/>
        <v>0.49724999999999997</v>
      </c>
      <c r="K22" s="26">
        <v>3.1E-2</v>
      </c>
      <c r="L22" s="26">
        <v>79.7</v>
      </c>
      <c r="M22" s="34">
        <f t="shared" si="12"/>
        <v>3.1E-2</v>
      </c>
      <c r="N22" s="36">
        <f t="shared" si="13"/>
        <v>79.7</v>
      </c>
      <c r="O22" s="43">
        <v>720</v>
      </c>
      <c r="P22" s="44">
        <f t="shared" si="7"/>
        <v>22.32</v>
      </c>
      <c r="Q22" s="45">
        <f t="shared" si="8"/>
        <v>57384</v>
      </c>
      <c r="R22" s="16">
        <f>'IMC Summary'!E12</f>
        <v>99.354166666666686</v>
      </c>
      <c r="S22" s="16">
        <v>212.11199999999999</v>
      </c>
      <c r="T22" s="16">
        <f t="shared" si="9"/>
        <v>311.46616666666671</v>
      </c>
      <c r="U22" s="65">
        <v>90</v>
      </c>
    </row>
    <row r="23" spans="1:24" ht="15.75" thickTop="1" x14ac:dyDescent="0.25">
      <c r="K23" s="37"/>
      <c r="L23" s="29"/>
      <c r="N23" s="15" t="s">
        <v>69</v>
      </c>
      <c r="O23" s="46">
        <v>8300</v>
      </c>
      <c r="P23" s="47">
        <f>SUM(P3:P22)</f>
        <v>185.03333333333336</v>
      </c>
      <c r="Q23" s="46">
        <f>SUM(Q3:Q22)</f>
        <v>468003.66666666674</v>
      </c>
    </row>
    <row r="24" spans="1:24" x14ac:dyDescent="0.25">
      <c r="B24" s="89"/>
      <c r="K24" t="s">
        <v>72</v>
      </c>
      <c r="O24" s="40"/>
      <c r="P24" s="48"/>
      <c r="Q24" s="31"/>
      <c r="W24" s="30"/>
      <c r="X24" s="31"/>
    </row>
    <row r="25" spans="1:24" x14ac:dyDescent="0.25">
      <c r="B25" s="89"/>
      <c r="K25" s="93" t="s">
        <v>71</v>
      </c>
      <c r="L25" s="93"/>
      <c r="M25" s="93"/>
      <c r="N25" s="93"/>
      <c r="O25" s="93"/>
      <c r="P25" s="93"/>
      <c r="Q25" s="93"/>
    </row>
    <row r="26" spans="1:24" x14ac:dyDescent="0.25">
      <c r="K26" s="93"/>
      <c r="L26" s="93"/>
      <c r="M26" s="93"/>
      <c r="N26" s="93"/>
      <c r="O26" s="93"/>
      <c r="P26" s="93"/>
      <c r="Q26" s="93"/>
    </row>
    <row r="28" spans="1:24" x14ac:dyDescent="0.25">
      <c r="O28"/>
    </row>
    <row r="29" spans="1:24" x14ac:dyDescent="0.25">
      <c r="O29"/>
    </row>
    <row r="30" spans="1:24" x14ac:dyDescent="0.25">
      <c r="O30"/>
    </row>
    <row r="33" spans="15:15" x14ac:dyDescent="0.25">
      <c r="O33"/>
    </row>
    <row r="34" spans="15:15" x14ac:dyDescent="0.25">
      <c r="O34"/>
    </row>
    <row r="35" spans="15:15" x14ac:dyDescent="0.25">
      <c r="O35"/>
    </row>
    <row r="36" spans="15:15" x14ac:dyDescent="0.25">
      <c r="O36"/>
    </row>
    <row r="37" spans="15:15" x14ac:dyDescent="0.25">
      <c r="O37"/>
    </row>
    <row r="38" spans="15:15" x14ac:dyDescent="0.25">
      <c r="O38"/>
    </row>
    <row r="39" spans="15:15" x14ac:dyDescent="0.25">
      <c r="O39"/>
    </row>
    <row r="40" spans="15:15" x14ac:dyDescent="0.25">
      <c r="O40"/>
    </row>
    <row r="41" spans="15:15" x14ac:dyDescent="0.25">
      <c r="O41"/>
    </row>
    <row r="42" spans="15:15" x14ac:dyDescent="0.25">
      <c r="O42"/>
    </row>
    <row r="43" spans="15:15" x14ac:dyDescent="0.25">
      <c r="O43"/>
    </row>
    <row r="44" spans="15:15" x14ac:dyDescent="0.25">
      <c r="O44"/>
    </row>
  </sheetData>
  <mergeCells count="15">
    <mergeCell ref="K1:Q1"/>
    <mergeCell ref="B3:B12"/>
    <mergeCell ref="C3:C4"/>
    <mergeCell ref="C5:C6"/>
    <mergeCell ref="C7:C8"/>
    <mergeCell ref="C9:C10"/>
    <mergeCell ref="C11:C12"/>
    <mergeCell ref="B24:B25"/>
    <mergeCell ref="K25:Q26"/>
    <mergeCell ref="B13:B22"/>
    <mergeCell ref="C13:C14"/>
    <mergeCell ref="C15:C16"/>
    <mergeCell ref="C17:C18"/>
    <mergeCell ref="C19:C20"/>
    <mergeCell ref="C21:C22"/>
  </mergeCells>
  <pageMargins left="0.25" right="0.25" top="0.75" bottom="0.75" header="0.3" footer="0.3"/>
  <pageSetup scale="4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B1:H64"/>
  <sheetViews>
    <sheetView zoomScale="85" zoomScaleNormal="85" workbookViewId="0">
      <selection activeCell="C9" sqref="C9"/>
    </sheetView>
  </sheetViews>
  <sheetFormatPr defaultRowHeight="15" x14ac:dyDescent="0.25"/>
  <cols>
    <col min="1" max="1" width="9.140625" style="83"/>
    <col min="2" max="2" width="13.5703125" style="86" bestFit="1" customWidth="1"/>
    <col min="3" max="4" width="90" style="86" bestFit="1" customWidth="1"/>
    <col min="5" max="5" width="4.42578125" style="86" bestFit="1" customWidth="1"/>
    <col min="6" max="7" width="7.5703125" style="86" bestFit="1" customWidth="1"/>
    <col min="8" max="8" width="12.85546875" style="86" bestFit="1" customWidth="1"/>
    <col min="9" max="16384" width="9.140625" style="83"/>
  </cols>
  <sheetData>
    <row r="1" spans="2:8" x14ac:dyDescent="0.25">
      <c r="B1" s="83"/>
      <c r="C1" s="83"/>
      <c r="D1" s="83"/>
      <c r="E1" s="83"/>
      <c r="F1" s="83"/>
      <c r="G1" s="83"/>
      <c r="H1" s="83"/>
    </row>
    <row r="2" spans="2:8" x14ac:dyDescent="0.25">
      <c r="B2" s="83"/>
      <c r="C2" s="83"/>
      <c r="D2" s="83"/>
      <c r="E2" s="83"/>
      <c r="F2" s="83"/>
      <c r="G2" s="83"/>
      <c r="H2" s="83"/>
    </row>
    <row r="3" spans="2:8" x14ac:dyDescent="0.25">
      <c r="B3" s="83"/>
      <c r="C3" s="83"/>
      <c r="D3" s="83"/>
      <c r="E3" s="83"/>
      <c r="F3" s="83"/>
      <c r="G3" s="83"/>
      <c r="H3" s="83"/>
    </row>
    <row r="4" spans="2:8" ht="34.5" customHeight="1" x14ac:dyDescent="0.25">
      <c r="B4" s="88" t="s">
        <v>153</v>
      </c>
      <c r="C4" s="88" t="s">
        <v>0</v>
      </c>
      <c r="D4" s="88" t="s">
        <v>92</v>
      </c>
      <c r="E4" s="88" t="s">
        <v>24</v>
      </c>
      <c r="F4" s="88" t="s">
        <v>75</v>
      </c>
      <c r="G4" s="88" t="s">
        <v>74</v>
      </c>
      <c r="H4" s="88" t="s">
        <v>25</v>
      </c>
    </row>
    <row r="5" spans="2:8" hidden="1" x14ac:dyDescent="0.25">
      <c r="B5" s="84" t="s">
        <v>154</v>
      </c>
      <c r="C5" s="87" t="s">
        <v>93</v>
      </c>
      <c r="D5" s="87" t="s">
        <v>93</v>
      </c>
      <c r="E5" s="84">
        <v>2</v>
      </c>
      <c r="F5" s="85">
        <v>567.73599999999999</v>
      </c>
      <c r="G5" s="85">
        <v>168.5</v>
      </c>
      <c r="H5" s="85">
        <f t="shared" ref="H5:H64" si="0">F5-G5</f>
        <v>399.23599999999999</v>
      </c>
    </row>
    <row r="6" spans="2:8" hidden="1" x14ac:dyDescent="0.25">
      <c r="B6" s="84" t="s">
        <v>155</v>
      </c>
      <c r="C6" s="87" t="s">
        <v>94</v>
      </c>
      <c r="D6" s="87" t="s">
        <v>94</v>
      </c>
      <c r="E6" s="84">
        <v>1</v>
      </c>
      <c r="F6" s="85">
        <v>497.36399999999998</v>
      </c>
      <c r="G6" s="85">
        <v>98.127999999999986</v>
      </c>
      <c r="H6" s="85">
        <f t="shared" si="0"/>
        <v>399.23599999999999</v>
      </c>
    </row>
    <row r="7" spans="2:8" x14ac:dyDescent="0.25">
      <c r="B7" s="84" t="s">
        <v>156</v>
      </c>
      <c r="C7" s="87" t="s">
        <v>95</v>
      </c>
      <c r="D7" s="87" t="s">
        <v>95</v>
      </c>
      <c r="E7" s="84">
        <v>2</v>
      </c>
      <c r="F7" s="85">
        <v>567.73599999999999</v>
      </c>
      <c r="G7" s="85">
        <v>168.5</v>
      </c>
      <c r="H7" s="85">
        <f t="shared" si="0"/>
        <v>399.23599999999999</v>
      </c>
    </row>
    <row r="8" spans="2:8" x14ac:dyDescent="0.25">
      <c r="B8" s="84" t="s">
        <v>157</v>
      </c>
      <c r="C8" s="87" t="s">
        <v>96</v>
      </c>
      <c r="D8" s="87" t="s">
        <v>96</v>
      </c>
      <c r="E8" s="84">
        <v>1</v>
      </c>
      <c r="F8" s="85">
        <v>497.36399999999998</v>
      </c>
      <c r="G8" s="85">
        <v>98.127999999999986</v>
      </c>
      <c r="H8" s="85">
        <f t="shared" si="0"/>
        <v>399.23599999999999</v>
      </c>
    </row>
    <row r="9" spans="2:8" x14ac:dyDescent="0.25">
      <c r="B9" s="84" t="s">
        <v>158</v>
      </c>
      <c r="C9" s="87" t="s">
        <v>97</v>
      </c>
      <c r="D9" s="87" t="s">
        <v>97</v>
      </c>
      <c r="E9" s="84">
        <v>2</v>
      </c>
      <c r="F9" s="85">
        <v>445.70557142857143</v>
      </c>
      <c r="G9" s="85">
        <v>144.12857142857143</v>
      </c>
      <c r="H9" s="85">
        <f t="shared" si="0"/>
        <v>301.577</v>
      </c>
    </row>
    <row r="10" spans="2:8" x14ac:dyDescent="0.25">
      <c r="B10" s="84" t="s">
        <v>159</v>
      </c>
      <c r="C10" s="87" t="s">
        <v>98</v>
      </c>
      <c r="D10" s="87" t="s">
        <v>98</v>
      </c>
      <c r="E10" s="84">
        <v>1</v>
      </c>
      <c r="F10" s="85">
        <v>399.46557142857142</v>
      </c>
      <c r="G10" s="85">
        <v>97.888571428571424</v>
      </c>
      <c r="H10" s="85">
        <f t="shared" si="0"/>
        <v>301.577</v>
      </c>
    </row>
    <row r="11" spans="2:8" x14ac:dyDescent="0.25">
      <c r="B11" s="84" t="s">
        <v>160</v>
      </c>
      <c r="C11" s="87" t="s">
        <v>99</v>
      </c>
      <c r="D11" s="87" t="s">
        <v>99</v>
      </c>
      <c r="E11" s="84">
        <v>2</v>
      </c>
      <c r="F11" s="85">
        <v>434.34411764705885</v>
      </c>
      <c r="G11" s="85">
        <v>150.21411764705886</v>
      </c>
      <c r="H11" s="85">
        <f t="shared" si="0"/>
        <v>284.13</v>
      </c>
    </row>
    <row r="12" spans="2:8" x14ac:dyDescent="0.25">
      <c r="B12" s="84" t="s">
        <v>161</v>
      </c>
      <c r="C12" s="87" t="s">
        <v>100</v>
      </c>
      <c r="D12" s="87" t="s">
        <v>100</v>
      </c>
      <c r="E12" s="84">
        <v>1</v>
      </c>
      <c r="F12" s="85">
        <v>352.58647058823527</v>
      </c>
      <c r="G12" s="85">
        <v>68.456470588235277</v>
      </c>
      <c r="H12" s="85">
        <f t="shared" si="0"/>
        <v>284.13</v>
      </c>
    </row>
    <row r="13" spans="2:8" x14ac:dyDescent="0.25">
      <c r="B13" s="84" t="s">
        <v>162</v>
      </c>
      <c r="C13" s="87" t="s">
        <v>101</v>
      </c>
      <c r="D13" s="87" t="s">
        <v>101</v>
      </c>
      <c r="E13" s="84">
        <v>2</v>
      </c>
      <c r="F13" s="85">
        <v>311.46616666666671</v>
      </c>
      <c r="G13" s="85">
        <v>99.354166666666686</v>
      </c>
      <c r="H13" s="85">
        <f t="shared" si="0"/>
        <v>212.11200000000002</v>
      </c>
    </row>
    <row r="14" spans="2:8" x14ac:dyDescent="0.25">
      <c r="B14" s="84" t="s">
        <v>163</v>
      </c>
      <c r="C14" s="87" t="s">
        <v>102</v>
      </c>
      <c r="D14" s="87" t="s">
        <v>102</v>
      </c>
      <c r="E14" s="84">
        <v>1</v>
      </c>
      <c r="F14" s="85">
        <v>253.68316666666666</v>
      </c>
      <c r="G14" s="85">
        <v>41.57116666666667</v>
      </c>
      <c r="H14" s="85">
        <f t="shared" si="0"/>
        <v>212.11199999999999</v>
      </c>
    </row>
    <row r="15" spans="2:8" x14ac:dyDescent="0.25">
      <c r="B15" s="84" t="s">
        <v>164</v>
      </c>
      <c r="C15" s="87" t="s">
        <v>103</v>
      </c>
      <c r="D15" s="87" t="s">
        <v>103</v>
      </c>
      <c r="E15" s="84">
        <v>2</v>
      </c>
      <c r="F15" s="85">
        <v>890.81689655172408</v>
      </c>
      <c r="G15" s="85">
        <v>248.60689655172405</v>
      </c>
      <c r="H15" s="85">
        <f t="shared" si="0"/>
        <v>642.21</v>
      </c>
    </row>
    <row r="16" spans="2:8" x14ac:dyDescent="0.25">
      <c r="B16" s="84" t="s">
        <v>165</v>
      </c>
      <c r="C16" s="87" t="s">
        <v>104</v>
      </c>
      <c r="D16" s="87" t="s">
        <v>104</v>
      </c>
      <c r="E16" s="84">
        <v>1</v>
      </c>
      <c r="F16" s="85">
        <v>774.63758620689657</v>
      </c>
      <c r="G16" s="85">
        <v>132.42758620689654</v>
      </c>
      <c r="H16" s="85">
        <f t="shared" si="0"/>
        <v>642.21</v>
      </c>
    </row>
    <row r="17" spans="2:8" hidden="1" x14ac:dyDescent="0.25">
      <c r="B17" s="84" t="s">
        <v>166</v>
      </c>
      <c r="C17" s="87" t="s">
        <v>105</v>
      </c>
      <c r="D17" s="87" t="s">
        <v>105</v>
      </c>
      <c r="E17" s="84">
        <v>2</v>
      </c>
      <c r="F17" s="85">
        <v>445.70557142857143</v>
      </c>
      <c r="G17" s="85">
        <v>144.12857142857143</v>
      </c>
      <c r="H17" s="85">
        <f t="shared" si="0"/>
        <v>301.577</v>
      </c>
    </row>
    <row r="18" spans="2:8" hidden="1" x14ac:dyDescent="0.25">
      <c r="B18" s="84" t="s">
        <v>167</v>
      </c>
      <c r="C18" s="87" t="s">
        <v>106</v>
      </c>
      <c r="D18" s="87" t="s">
        <v>106</v>
      </c>
      <c r="E18" s="84">
        <v>1</v>
      </c>
      <c r="F18" s="85">
        <v>399.46557142857142</v>
      </c>
      <c r="G18" s="85">
        <v>97.888571428571424</v>
      </c>
      <c r="H18" s="85">
        <f t="shared" si="0"/>
        <v>301.577</v>
      </c>
    </row>
    <row r="19" spans="2:8" hidden="1" x14ac:dyDescent="0.25">
      <c r="B19" s="84" t="s">
        <v>168</v>
      </c>
      <c r="C19" s="87" t="s">
        <v>107</v>
      </c>
      <c r="D19" s="87" t="s">
        <v>107</v>
      </c>
      <c r="E19" s="84">
        <v>2</v>
      </c>
      <c r="F19" s="85">
        <v>434.34411764705885</v>
      </c>
      <c r="G19" s="85">
        <v>150.21411764705886</v>
      </c>
      <c r="H19" s="85">
        <f t="shared" si="0"/>
        <v>284.13</v>
      </c>
    </row>
    <row r="20" spans="2:8" hidden="1" x14ac:dyDescent="0.25">
      <c r="B20" s="84" t="s">
        <v>169</v>
      </c>
      <c r="C20" s="87" t="s">
        <v>108</v>
      </c>
      <c r="D20" s="87" t="s">
        <v>108</v>
      </c>
      <c r="E20" s="84">
        <v>1</v>
      </c>
      <c r="F20" s="85">
        <v>352.58647058823527</v>
      </c>
      <c r="G20" s="85">
        <v>68.456470588235277</v>
      </c>
      <c r="H20" s="85">
        <f t="shared" si="0"/>
        <v>284.13</v>
      </c>
    </row>
    <row r="21" spans="2:8" hidden="1" x14ac:dyDescent="0.25">
      <c r="B21" s="84" t="s">
        <v>170</v>
      </c>
      <c r="C21" s="87" t="s">
        <v>109</v>
      </c>
      <c r="D21" s="87" t="s">
        <v>109</v>
      </c>
      <c r="E21" s="84">
        <v>2</v>
      </c>
      <c r="F21" s="85">
        <v>311.46616666666671</v>
      </c>
      <c r="G21" s="85">
        <v>99.354166666666686</v>
      </c>
      <c r="H21" s="85">
        <f t="shared" si="0"/>
        <v>212.11200000000002</v>
      </c>
    </row>
    <row r="22" spans="2:8" hidden="1" x14ac:dyDescent="0.25">
      <c r="B22" s="84" t="s">
        <v>171</v>
      </c>
      <c r="C22" s="87" t="s">
        <v>110</v>
      </c>
      <c r="D22" s="87" t="s">
        <v>110</v>
      </c>
      <c r="E22" s="84">
        <v>1</v>
      </c>
      <c r="F22" s="85">
        <v>253.68316666666666</v>
      </c>
      <c r="G22" s="85">
        <v>41.57116666666667</v>
      </c>
      <c r="H22" s="85">
        <f t="shared" si="0"/>
        <v>212.11199999999999</v>
      </c>
    </row>
    <row r="23" spans="2:8" hidden="1" x14ac:dyDescent="0.25">
      <c r="B23" s="84" t="s">
        <v>172</v>
      </c>
      <c r="C23" s="87" t="s">
        <v>111</v>
      </c>
      <c r="D23" s="87" t="s">
        <v>111</v>
      </c>
      <c r="E23" s="84">
        <v>2</v>
      </c>
      <c r="F23" s="85">
        <v>890.81689655172408</v>
      </c>
      <c r="G23" s="85">
        <v>248.60689655172405</v>
      </c>
      <c r="H23" s="85">
        <f t="shared" si="0"/>
        <v>642.21</v>
      </c>
    </row>
    <row r="24" spans="2:8" hidden="1" x14ac:dyDescent="0.25">
      <c r="B24" s="84" t="s">
        <v>173</v>
      </c>
      <c r="C24" s="87" t="s">
        <v>112</v>
      </c>
      <c r="D24" s="87" t="s">
        <v>112</v>
      </c>
      <c r="E24" s="84">
        <v>1</v>
      </c>
      <c r="F24" s="85">
        <v>774.63758620689657</v>
      </c>
      <c r="G24" s="85">
        <v>132.42758620689654</v>
      </c>
      <c r="H24" s="85">
        <f t="shared" si="0"/>
        <v>642.21</v>
      </c>
    </row>
    <row r="25" spans="2:8" hidden="1" x14ac:dyDescent="0.25">
      <c r="B25" s="84" t="s">
        <v>174</v>
      </c>
      <c r="C25" s="87" t="s">
        <v>113</v>
      </c>
      <c r="D25" s="87" t="s">
        <v>113</v>
      </c>
      <c r="E25" s="84">
        <v>2</v>
      </c>
      <c r="F25" s="85">
        <v>567.73599999999999</v>
      </c>
      <c r="G25" s="85">
        <v>168.5</v>
      </c>
      <c r="H25" s="85">
        <f t="shared" si="0"/>
        <v>399.23599999999999</v>
      </c>
    </row>
    <row r="26" spans="2:8" hidden="1" x14ac:dyDescent="0.25">
      <c r="B26" s="84" t="s">
        <v>175</v>
      </c>
      <c r="C26" s="87" t="s">
        <v>114</v>
      </c>
      <c r="D26" s="87" t="s">
        <v>114</v>
      </c>
      <c r="E26" s="84">
        <v>1</v>
      </c>
      <c r="F26" s="85">
        <v>497.36399999999998</v>
      </c>
      <c r="G26" s="85">
        <v>98.127999999999986</v>
      </c>
      <c r="H26" s="85">
        <f t="shared" si="0"/>
        <v>399.23599999999999</v>
      </c>
    </row>
    <row r="27" spans="2:8" hidden="1" x14ac:dyDescent="0.25">
      <c r="B27" s="84" t="s">
        <v>176</v>
      </c>
      <c r="C27" s="87" t="s">
        <v>115</v>
      </c>
      <c r="D27" s="87" t="s">
        <v>115</v>
      </c>
      <c r="E27" s="84">
        <v>2</v>
      </c>
      <c r="F27" s="85">
        <v>445.70557142857143</v>
      </c>
      <c r="G27" s="85">
        <v>144.12857142857143</v>
      </c>
      <c r="H27" s="85">
        <f t="shared" si="0"/>
        <v>301.577</v>
      </c>
    </row>
    <row r="28" spans="2:8" hidden="1" x14ac:dyDescent="0.25">
      <c r="B28" s="84" t="s">
        <v>177</v>
      </c>
      <c r="C28" s="87" t="s">
        <v>116</v>
      </c>
      <c r="D28" s="87" t="s">
        <v>116</v>
      </c>
      <c r="E28" s="84">
        <v>1</v>
      </c>
      <c r="F28" s="85">
        <v>399.46557142857142</v>
      </c>
      <c r="G28" s="85">
        <v>97.888571428571424</v>
      </c>
      <c r="H28" s="85">
        <f t="shared" si="0"/>
        <v>301.577</v>
      </c>
    </row>
    <row r="29" spans="2:8" hidden="1" x14ac:dyDescent="0.25">
      <c r="B29" s="84" t="s">
        <v>178</v>
      </c>
      <c r="C29" s="87" t="s">
        <v>117</v>
      </c>
      <c r="D29" s="87" t="s">
        <v>117</v>
      </c>
      <c r="E29" s="84">
        <v>2</v>
      </c>
      <c r="F29" s="85">
        <v>434.34411764705885</v>
      </c>
      <c r="G29" s="85">
        <v>150.21411764705886</v>
      </c>
      <c r="H29" s="85">
        <f t="shared" si="0"/>
        <v>284.13</v>
      </c>
    </row>
    <row r="30" spans="2:8" hidden="1" x14ac:dyDescent="0.25">
      <c r="B30" s="84" t="s">
        <v>179</v>
      </c>
      <c r="C30" s="87" t="s">
        <v>118</v>
      </c>
      <c r="D30" s="87" t="s">
        <v>118</v>
      </c>
      <c r="E30" s="84">
        <v>1</v>
      </c>
      <c r="F30" s="85">
        <v>352.58647058823527</v>
      </c>
      <c r="G30" s="85">
        <v>68.456470588235277</v>
      </c>
      <c r="H30" s="85">
        <f t="shared" si="0"/>
        <v>284.13</v>
      </c>
    </row>
    <row r="31" spans="2:8" hidden="1" x14ac:dyDescent="0.25">
      <c r="B31" s="84" t="s">
        <v>180</v>
      </c>
      <c r="C31" s="87" t="s">
        <v>119</v>
      </c>
      <c r="D31" s="87" t="s">
        <v>119</v>
      </c>
      <c r="E31" s="84">
        <v>2</v>
      </c>
      <c r="F31" s="85">
        <v>311.46616666666671</v>
      </c>
      <c r="G31" s="85">
        <v>99.354166666666686</v>
      </c>
      <c r="H31" s="85">
        <f t="shared" si="0"/>
        <v>212.11200000000002</v>
      </c>
    </row>
    <row r="32" spans="2:8" hidden="1" x14ac:dyDescent="0.25">
      <c r="B32" s="84" t="s">
        <v>181</v>
      </c>
      <c r="C32" s="87" t="s">
        <v>120</v>
      </c>
      <c r="D32" s="87" t="s">
        <v>120</v>
      </c>
      <c r="E32" s="84">
        <v>1</v>
      </c>
      <c r="F32" s="85">
        <v>253.68316666666666</v>
      </c>
      <c r="G32" s="85">
        <v>41.57116666666667</v>
      </c>
      <c r="H32" s="85">
        <f t="shared" si="0"/>
        <v>212.11199999999999</v>
      </c>
    </row>
    <row r="33" spans="2:8" hidden="1" x14ac:dyDescent="0.25">
      <c r="B33" s="84" t="s">
        <v>182</v>
      </c>
      <c r="C33" s="87" t="s">
        <v>121</v>
      </c>
      <c r="D33" s="87" t="s">
        <v>121</v>
      </c>
      <c r="E33" s="84">
        <v>2</v>
      </c>
      <c r="F33" s="85">
        <v>890.81689655172408</v>
      </c>
      <c r="G33" s="85">
        <v>248.60689655172405</v>
      </c>
      <c r="H33" s="85">
        <f t="shared" si="0"/>
        <v>642.21</v>
      </c>
    </row>
    <row r="34" spans="2:8" hidden="1" x14ac:dyDescent="0.25">
      <c r="B34" s="84" t="s">
        <v>183</v>
      </c>
      <c r="C34" s="87" t="s">
        <v>122</v>
      </c>
      <c r="D34" s="87" t="s">
        <v>122</v>
      </c>
      <c r="E34" s="84">
        <v>1</v>
      </c>
      <c r="F34" s="85">
        <v>774.63758620689657</v>
      </c>
      <c r="G34" s="85">
        <v>132.42758620689654</v>
      </c>
      <c r="H34" s="85">
        <f t="shared" si="0"/>
        <v>642.21</v>
      </c>
    </row>
    <row r="35" spans="2:8" hidden="1" x14ac:dyDescent="0.25">
      <c r="B35" s="84" t="s">
        <v>184</v>
      </c>
      <c r="C35" s="87" t="s">
        <v>123</v>
      </c>
      <c r="D35" s="87" t="s">
        <v>123</v>
      </c>
      <c r="E35" s="84">
        <v>2</v>
      </c>
      <c r="F35" s="85">
        <v>567.73599999999999</v>
      </c>
      <c r="G35" s="85">
        <v>168.5</v>
      </c>
      <c r="H35" s="85">
        <f t="shared" si="0"/>
        <v>399.23599999999999</v>
      </c>
    </row>
    <row r="36" spans="2:8" hidden="1" x14ac:dyDescent="0.25">
      <c r="B36" s="84" t="s">
        <v>185</v>
      </c>
      <c r="C36" s="87" t="s">
        <v>124</v>
      </c>
      <c r="D36" s="87" t="s">
        <v>124</v>
      </c>
      <c r="E36" s="84">
        <v>1</v>
      </c>
      <c r="F36" s="85">
        <v>497.36399999999998</v>
      </c>
      <c r="G36" s="85">
        <v>98.127999999999986</v>
      </c>
      <c r="H36" s="85">
        <f t="shared" si="0"/>
        <v>399.23599999999999</v>
      </c>
    </row>
    <row r="37" spans="2:8" hidden="1" x14ac:dyDescent="0.25">
      <c r="B37" s="84" t="s">
        <v>186</v>
      </c>
      <c r="C37" s="87" t="s">
        <v>125</v>
      </c>
      <c r="D37" s="87" t="s">
        <v>125</v>
      </c>
      <c r="E37" s="84">
        <v>2</v>
      </c>
      <c r="F37" s="85">
        <v>445.70557142857143</v>
      </c>
      <c r="G37" s="85">
        <v>144.12857142857143</v>
      </c>
      <c r="H37" s="85">
        <f t="shared" si="0"/>
        <v>301.577</v>
      </c>
    </row>
    <row r="38" spans="2:8" hidden="1" x14ac:dyDescent="0.25">
      <c r="B38" s="84" t="s">
        <v>187</v>
      </c>
      <c r="C38" s="87" t="s">
        <v>126</v>
      </c>
      <c r="D38" s="87" t="s">
        <v>126</v>
      </c>
      <c r="E38" s="84">
        <v>1</v>
      </c>
      <c r="F38" s="85">
        <v>399.46557142857142</v>
      </c>
      <c r="G38" s="85">
        <v>97.888571428571424</v>
      </c>
      <c r="H38" s="85">
        <f t="shared" si="0"/>
        <v>301.577</v>
      </c>
    </row>
    <row r="39" spans="2:8" hidden="1" x14ac:dyDescent="0.25">
      <c r="B39" s="84" t="s">
        <v>188</v>
      </c>
      <c r="C39" s="87" t="s">
        <v>127</v>
      </c>
      <c r="D39" s="87" t="s">
        <v>127</v>
      </c>
      <c r="E39" s="84">
        <v>2</v>
      </c>
      <c r="F39" s="85">
        <v>434.34411764705885</v>
      </c>
      <c r="G39" s="85">
        <v>150.21411764705886</v>
      </c>
      <c r="H39" s="85">
        <f t="shared" si="0"/>
        <v>284.13</v>
      </c>
    </row>
    <row r="40" spans="2:8" hidden="1" x14ac:dyDescent="0.25">
      <c r="B40" s="84" t="s">
        <v>189</v>
      </c>
      <c r="C40" s="87" t="s">
        <v>128</v>
      </c>
      <c r="D40" s="87" t="s">
        <v>128</v>
      </c>
      <c r="E40" s="84">
        <v>1</v>
      </c>
      <c r="F40" s="85">
        <v>352.58647058823527</v>
      </c>
      <c r="G40" s="85">
        <v>68.456470588235277</v>
      </c>
      <c r="H40" s="85">
        <f t="shared" si="0"/>
        <v>284.13</v>
      </c>
    </row>
    <row r="41" spans="2:8" hidden="1" x14ac:dyDescent="0.25">
      <c r="B41" s="84" t="s">
        <v>190</v>
      </c>
      <c r="C41" s="87" t="s">
        <v>129</v>
      </c>
      <c r="D41" s="87" t="s">
        <v>129</v>
      </c>
      <c r="E41" s="84">
        <v>2</v>
      </c>
      <c r="F41" s="85">
        <v>311.46616666666671</v>
      </c>
      <c r="G41" s="85">
        <v>99.354166666666686</v>
      </c>
      <c r="H41" s="85">
        <f t="shared" si="0"/>
        <v>212.11200000000002</v>
      </c>
    </row>
    <row r="42" spans="2:8" hidden="1" x14ac:dyDescent="0.25">
      <c r="B42" s="84" t="s">
        <v>191</v>
      </c>
      <c r="C42" s="87" t="s">
        <v>130</v>
      </c>
      <c r="D42" s="87" t="s">
        <v>130</v>
      </c>
      <c r="E42" s="84">
        <v>1</v>
      </c>
      <c r="F42" s="85">
        <v>253.68316666666666</v>
      </c>
      <c r="G42" s="85">
        <v>41.57116666666667</v>
      </c>
      <c r="H42" s="85">
        <f t="shared" si="0"/>
        <v>212.11199999999999</v>
      </c>
    </row>
    <row r="43" spans="2:8" hidden="1" x14ac:dyDescent="0.25">
      <c r="B43" s="84" t="s">
        <v>192</v>
      </c>
      <c r="C43" s="87" t="s">
        <v>131</v>
      </c>
      <c r="D43" s="87" t="s">
        <v>131</v>
      </c>
      <c r="E43" s="84">
        <v>2</v>
      </c>
      <c r="F43" s="85">
        <v>890.81689655172408</v>
      </c>
      <c r="G43" s="85">
        <v>248.60689655172405</v>
      </c>
      <c r="H43" s="85">
        <f t="shared" si="0"/>
        <v>642.21</v>
      </c>
    </row>
    <row r="44" spans="2:8" hidden="1" x14ac:dyDescent="0.25">
      <c r="B44" s="84" t="s">
        <v>193</v>
      </c>
      <c r="C44" s="87" t="s">
        <v>132</v>
      </c>
      <c r="D44" s="87" t="s">
        <v>132</v>
      </c>
      <c r="E44" s="84">
        <v>1</v>
      </c>
      <c r="F44" s="85">
        <v>774.63758620689657</v>
      </c>
      <c r="G44" s="85">
        <v>132.42758620689654</v>
      </c>
      <c r="H44" s="85">
        <f t="shared" si="0"/>
        <v>642.21</v>
      </c>
    </row>
    <row r="45" spans="2:8" hidden="1" x14ac:dyDescent="0.25">
      <c r="B45" s="84" t="s">
        <v>194</v>
      </c>
      <c r="C45" s="87" t="s">
        <v>133</v>
      </c>
      <c r="D45" s="87" t="s">
        <v>133</v>
      </c>
      <c r="E45" s="84">
        <v>2</v>
      </c>
      <c r="F45" s="85">
        <v>527.39564615384609</v>
      </c>
      <c r="G45" s="85">
        <v>206.75964615384609</v>
      </c>
      <c r="H45" s="85">
        <f t="shared" si="0"/>
        <v>320.63599999999997</v>
      </c>
    </row>
    <row r="46" spans="2:8" x14ac:dyDescent="0.25">
      <c r="B46" s="84" t="s">
        <v>195</v>
      </c>
      <c r="C46" s="87" t="s">
        <v>134</v>
      </c>
      <c r="D46" s="87" t="s">
        <v>134</v>
      </c>
      <c r="E46" s="84">
        <v>2</v>
      </c>
      <c r="F46" s="85">
        <v>527.39564615384609</v>
      </c>
      <c r="G46" s="85">
        <v>206.75964615384609</v>
      </c>
      <c r="H46" s="85">
        <f t="shared" si="0"/>
        <v>320.63599999999997</v>
      </c>
    </row>
    <row r="47" spans="2:8" hidden="1" x14ac:dyDescent="0.25">
      <c r="B47" s="84" t="s">
        <v>196</v>
      </c>
      <c r="C47" s="87" t="s">
        <v>135</v>
      </c>
      <c r="D47" s="87" t="s">
        <v>135</v>
      </c>
      <c r="E47" s="84">
        <v>1</v>
      </c>
      <c r="F47" s="85">
        <v>444.06769230769237</v>
      </c>
      <c r="G47" s="85">
        <v>123.43169230769232</v>
      </c>
      <c r="H47" s="85">
        <f t="shared" si="0"/>
        <v>320.63600000000008</v>
      </c>
    </row>
    <row r="48" spans="2:8" x14ac:dyDescent="0.25">
      <c r="B48" s="84" t="s">
        <v>197</v>
      </c>
      <c r="C48" s="87" t="s">
        <v>136</v>
      </c>
      <c r="D48" s="87" t="s">
        <v>136</v>
      </c>
      <c r="E48" s="84">
        <v>1</v>
      </c>
      <c r="F48" s="85">
        <v>444.06769230769237</v>
      </c>
      <c r="G48" s="85">
        <v>123.43169230769232</v>
      </c>
      <c r="H48" s="85">
        <f t="shared" si="0"/>
        <v>320.63600000000008</v>
      </c>
    </row>
    <row r="49" spans="2:8" hidden="1" x14ac:dyDescent="0.25">
      <c r="B49" s="84" t="s">
        <v>198</v>
      </c>
      <c r="C49" s="87" t="s">
        <v>137</v>
      </c>
      <c r="D49" s="87" t="s">
        <v>137</v>
      </c>
      <c r="E49" s="84">
        <v>2</v>
      </c>
      <c r="F49" s="85">
        <v>434.69384615384615</v>
      </c>
      <c r="G49" s="85">
        <v>181.43384615384613</v>
      </c>
      <c r="H49" s="85">
        <f t="shared" si="0"/>
        <v>253.26000000000002</v>
      </c>
    </row>
    <row r="50" spans="2:8" x14ac:dyDescent="0.25">
      <c r="B50" s="84" t="s">
        <v>199</v>
      </c>
      <c r="C50" s="87" t="s">
        <v>138</v>
      </c>
      <c r="D50" s="87" t="s">
        <v>138</v>
      </c>
      <c r="E50" s="84">
        <v>2</v>
      </c>
      <c r="F50" s="85">
        <v>434.69384615384615</v>
      </c>
      <c r="G50" s="85">
        <v>181.43384615384613</v>
      </c>
      <c r="H50" s="85">
        <f t="shared" si="0"/>
        <v>253.26000000000002</v>
      </c>
    </row>
    <row r="51" spans="2:8" hidden="1" x14ac:dyDescent="0.25">
      <c r="B51" s="84" t="s">
        <v>200</v>
      </c>
      <c r="C51" s="87" t="s">
        <v>139</v>
      </c>
      <c r="D51" s="87" t="s">
        <v>139</v>
      </c>
      <c r="E51" s="84">
        <v>1</v>
      </c>
      <c r="F51" s="85">
        <v>354.52769230769229</v>
      </c>
      <c r="G51" s="85">
        <v>101.26769230769233</v>
      </c>
      <c r="H51" s="85">
        <f t="shared" si="0"/>
        <v>253.25999999999996</v>
      </c>
    </row>
    <row r="52" spans="2:8" x14ac:dyDescent="0.25">
      <c r="B52" s="84" t="s">
        <v>201</v>
      </c>
      <c r="C52" s="87" t="s">
        <v>140</v>
      </c>
      <c r="D52" s="87" t="s">
        <v>140</v>
      </c>
      <c r="E52" s="84">
        <v>1</v>
      </c>
      <c r="F52" s="85">
        <v>354.52769230769229</v>
      </c>
      <c r="G52" s="85">
        <v>101.26769230769233</v>
      </c>
      <c r="H52" s="85">
        <f t="shared" si="0"/>
        <v>253.25999999999996</v>
      </c>
    </row>
    <row r="53" spans="2:8" hidden="1" x14ac:dyDescent="0.25">
      <c r="B53" s="84" t="s">
        <v>202</v>
      </c>
      <c r="C53" s="87" t="s">
        <v>141</v>
      </c>
      <c r="D53" s="87" t="s">
        <v>141</v>
      </c>
      <c r="E53" s="84">
        <v>2</v>
      </c>
      <c r="F53" s="85">
        <v>693.10864615384605</v>
      </c>
      <c r="G53" s="85">
        <v>244.79264615384611</v>
      </c>
      <c r="H53" s="85">
        <f t="shared" si="0"/>
        <v>448.31599999999992</v>
      </c>
    </row>
    <row r="54" spans="2:8" x14ac:dyDescent="0.25">
      <c r="B54" s="84" t="s">
        <v>203</v>
      </c>
      <c r="C54" s="87" t="s">
        <v>142</v>
      </c>
      <c r="D54" s="87" t="s">
        <v>142</v>
      </c>
      <c r="E54" s="84">
        <v>2</v>
      </c>
      <c r="F54" s="85">
        <v>693.10864615384605</v>
      </c>
      <c r="G54" s="85">
        <v>244.79264615384611</v>
      </c>
      <c r="H54" s="85">
        <f t="shared" si="0"/>
        <v>448.31599999999992</v>
      </c>
    </row>
    <row r="55" spans="2:8" hidden="1" x14ac:dyDescent="0.25">
      <c r="B55" s="84" t="s">
        <v>204</v>
      </c>
      <c r="C55" s="87" t="s">
        <v>143</v>
      </c>
      <c r="D55" s="87" t="s">
        <v>143</v>
      </c>
      <c r="E55" s="84">
        <v>1</v>
      </c>
      <c r="F55" s="85">
        <v>591.85969230769228</v>
      </c>
      <c r="G55" s="85">
        <v>143.54369230769231</v>
      </c>
      <c r="H55" s="85">
        <f t="shared" si="0"/>
        <v>448.31599999999997</v>
      </c>
    </row>
    <row r="56" spans="2:8" x14ac:dyDescent="0.25">
      <c r="B56" s="84" t="s">
        <v>205</v>
      </c>
      <c r="C56" s="87" t="s">
        <v>144</v>
      </c>
      <c r="D56" s="87" t="s">
        <v>144</v>
      </c>
      <c r="E56" s="84">
        <v>1</v>
      </c>
      <c r="F56" s="85">
        <v>591.85969230769228</v>
      </c>
      <c r="G56" s="85">
        <v>143.54369230769231</v>
      </c>
      <c r="H56" s="85">
        <f t="shared" si="0"/>
        <v>448.31599999999997</v>
      </c>
    </row>
    <row r="57" spans="2:8" hidden="1" x14ac:dyDescent="0.25">
      <c r="B57" s="84" t="s">
        <v>206</v>
      </c>
      <c r="C57" s="87" t="s">
        <v>145</v>
      </c>
      <c r="D57" s="87" t="s">
        <v>145</v>
      </c>
      <c r="E57" s="84">
        <v>2</v>
      </c>
      <c r="F57" s="85">
        <v>415.00324615384602</v>
      </c>
      <c r="G57" s="85">
        <v>168.81524615384612</v>
      </c>
      <c r="H57" s="85">
        <f t="shared" si="0"/>
        <v>246.1879999999999</v>
      </c>
    </row>
    <row r="58" spans="2:8" x14ac:dyDescent="0.25">
      <c r="B58" s="84" t="s">
        <v>207</v>
      </c>
      <c r="C58" s="87" t="s">
        <v>146</v>
      </c>
      <c r="D58" s="87" t="s">
        <v>146</v>
      </c>
      <c r="E58" s="84">
        <v>2</v>
      </c>
      <c r="F58" s="85">
        <v>415.00324615384602</v>
      </c>
      <c r="G58" s="85">
        <v>168.81524615384612</v>
      </c>
      <c r="H58" s="85">
        <f t="shared" si="0"/>
        <v>246.1879999999999</v>
      </c>
    </row>
    <row r="59" spans="2:8" hidden="1" x14ac:dyDescent="0.25">
      <c r="B59" s="84" t="s">
        <v>208</v>
      </c>
      <c r="C59" s="87" t="s">
        <v>147</v>
      </c>
      <c r="D59" s="87" t="s">
        <v>147</v>
      </c>
      <c r="E59" s="84">
        <v>1</v>
      </c>
      <c r="F59" s="85">
        <v>323.23969230769217</v>
      </c>
      <c r="G59" s="85">
        <v>77.051692307692321</v>
      </c>
      <c r="H59" s="85">
        <f t="shared" si="0"/>
        <v>246.18799999999985</v>
      </c>
    </row>
    <row r="60" spans="2:8" x14ac:dyDescent="0.25">
      <c r="B60" s="84" t="s">
        <v>209</v>
      </c>
      <c r="C60" s="87" t="s">
        <v>148</v>
      </c>
      <c r="D60" s="87" t="s">
        <v>148</v>
      </c>
      <c r="E60" s="84">
        <v>1</v>
      </c>
      <c r="F60" s="85">
        <v>323.23969230769217</v>
      </c>
      <c r="G60" s="85">
        <v>77.051692307692321</v>
      </c>
      <c r="H60" s="85">
        <f t="shared" si="0"/>
        <v>246.18799999999985</v>
      </c>
    </row>
    <row r="61" spans="2:8" hidden="1" x14ac:dyDescent="0.25">
      <c r="B61" s="84" t="s">
        <v>210</v>
      </c>
      <c r="C61" s="87" t="s">
        <v>149</v>
      </c>
      <c r="D61" s="87" t="s">
        <v>149</v>
      </c>
      <c r="E61" s="84">
        <v>2</v>
      </c>
      <c r="F61" s="85">
        <v>931.83284615384605</v>
      </c>
      <c r="G61" s="85">
        <v>295.53284615384609</v>
      </c>
      <c r="H61" s="85">
        <f t="shared" si="0"/>
        <v>636.29999999999995</v>
      </c>
    </row>
    <row r="62" spans="2:8" x14ac:dyDescent="0.25">
      <c r="B62" s="84" t="s">
        <v>211</v>
      </c>
      <c r="C62" s="87" t="s">
        <v>150</v>
      </c>
      <c r="D62" s="87" t="s">
        <v>150</v>
      </c>
      <c r="E62" s="84">
        <v>2</v>
      </c>
      <c r="F62" s="85">
        <v>931.83284615384605</v>
      </c>
      <c r="G62" s="85">
        <v>295.53284615384609</v>
      </c>
      <c r="H62" s="85">
        <f t="shared" si="0"/>
        <v>636.29999999999995</v>
      </c>
    </row>
    <row r="63" spans="2:8" hidden="1" x14ac:dyDescent="0.25">
      <c r="B63" s="84" t="s">
        <v>212</v>
      </c>
      <c r="C63" s="87" t="s">
        <v>151</v>
      </c>
      <c r="D63" s="87" t="s">
        <v>151</v>
      </c>
      <c r="E63" s="84">
        <v>1</v>
      </c>
      <c r="F63" s="85">
        <v>797.90369230769227</v>
      </c>
      <c r="G63" s="85">
        <v>161.60369230769231</v>
      </c>
      <c r="H63" s="85">
        <f t="shared" si="0"/>
        <v>636.29999999999995</v>
      </c>
    </row>
    <row r="64" spans="2:8" x14ac:dyDescent="0.25">
      <c r="B64" s="84" t="s">
        <v>213</v>
      </c>
      <c r="C64" s="87" t="s">
        <v>152</v>
      </c>
      <c r="D64" s="87" t="s">
        <v>152</v>
      </c>
      <c r="E64" s="84">
        <v>1</v>
      </c>
      <c r="F64" s="85">
        <v>797.90369230769227</v>
      </c>
      <c r="G64" s="85">
        <v>161.60369230769231</v>
      </c>
      <c r="H64" s="85">
        <f t="shared" si="0"/>
        <v>636.29999999999995</v>
      </c>
    </row>
  </sheetData>
  <autoFilter ref="B4:H64">
    <filterColumn colId="1">
      <filters>
        <filter val="NE-HVAC-Chlr-WtrCldCentChlr-Conv-1Cmp-150to299tons-0.54kwpton-0.34IPLV-VarSpd-CndRlf"/>
        <filter val="NE-HVAC-Chlr-WtrCldCentChlr-Conv-1Cmp-150to299tons-0.572kwpton-0.36IPLV-VarSpd-CndRlf"/>
        <filter val="NE-HVAC-Chlr-WtrCldCentChlr-Conv-1Cmp-300to399tons-0.506kwpton-0.332IPLV-VarSpd-CndRlf"/>
        <filter val="NE-HVAC-Chlr-WtrCldCentChlr-Conv-1Cmp-300to399tons-0.536kwpton-0.351IPLV-VarSpd-CndRlf"/>
        <filter val="NE-HVAC-Chlr-WtrCldCentChlr-Conv-1Cmp-400to599tons-0.497kwpton-0.323IPLV-VarSpd-CndRlf"/>
        <filter val="NE-HVAC-Chlr-WtrCldCentChlr-Conv-1Cmp-400to599tons-0.527kwpton-0.342IPLV-VarSpd-CndRlf"/>
        <filter val="NE-HVAC-Chlr-WtrCldCentChlr-Conv-1Cmp-gte600tons-0.497kwpton-0.323IPLV-VarSpd-CndRlf"/>
        <filter val="NE-HVAC-Chlr-WtrCldCentChlr-Conv-1Cmp-gte600tons-0.527kwpton-0.342IPLV-VarSpd-CndRlf"/>
        <filter val="NE-HVAC-Chlr-WtrCldCentChlr-Conv-1Cmp-lt150tons-0.591kwpton-0.374IPLV-VarSpd-CndRlf"/>
        <filter val="NE-HVAC-Chlr-WtrCldCentChlr-Conv-1Cmp-lt150tons-0.626kwpton-0.396IPLV-VarSpd-CndRlf"/>
        <filter val="NE-HVAC-Chlr-WtrCldScrewChlr-150to299tons-0.578kwpton-0.374IPLV-VarSpd"/>
        <filter val="NE-HVAC-Chlr-WtrCldScrewChlr-150to299tons-0.612kwpton-0.396IPLV-VarSpd"/>
        <filter val="NE-HVAC-Chlr-WtrCldScrewChlr-300to599tons-0.531kwpton-0.349IPLV-VarSpd"/>
        <filter val="NE-HVAC-Chlr-WtrCldScrewChlr-300to599tons-0.563kwpton-0.369IPLV-VarSpd"/>
        <filter val="NE-HVAC-Chlr-WtrCldScrewChlr-75to149tons-0.638kwpton-0.417IPLV-VarSpd"/>
        <filter val="NE-HVAC-Chlr-WtrCldScrewChlr-75to149tons-0.675kwpton-0.441IPLV-VarSpd"/>
        <filter val="NE-HVAC-Chlr-WtrCldScrewChlr-gte600tons-0.497kwpton-0.323IPLV-VarSpd"/>
        <filter val="NE-HVAC-Chlr-WtrCldScrewChlr-gte600tons-0.527kwpton-0.342IPLV-VarSpd"/>
        <filter val="NE-HVAC-Chlr-WtrCldScrewChlr-lt75tons-0.663kwpton-0.425IPLV-VarSpd"/>
        <filter val="NE-HVAC-Chlr-WtrCldScrewChlr-lt75tons-0.702kwpton-0.45IPLV-VarSpd"/>
      </filters>
    </filterColumn>
  </autoFilter>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7"/>
  <sheetViews>
    <sheetView tabSelected="1" zoomScale="145" zoomScaleNormal="145" workbookViewId="0">
      <selection activeCell="C10" sqref="C10"/>
    </sheetView>
  </sheetViews>
  <sheetFormatPr defaultRowHeight="15" x14ac:dyDescent="0.25"/>
  <cols>
    <col min="1" max="1" width="31.85546875" bestFit="1" customWidth="1"/>
    <col min="2" max="2" width="13.28515625" customWidth="1"/>
    <col min="3" max="3" width="13.85546875" bestFit="1" customWidth="1"/>
    <col min="4" max="4" width="12.28515625" bestFit="1" customWidth="1"/>
    <col min="5" max="5" width="10" bestFit="1" customWidth="1"/>
    <col min="6" max="6" width="13.140625" bestFit="1" customWidth="1"/>
    <col min="7" max="8" width="14.140625" customWidth="1"/>
    <col min="9" max="9" width="12.28515625" customWidth="1"/>
    <col min="10" max="10" width="11.85546875" bestFit="1" customWidth="1"/>
    <col min="11" max="12" width="9.28515625" bestFit="1" customWidth="1"/>
    <col min="13" max="13" width="11.85546875" bestFit="1" customWidth="1"/>
    <col min="14" max="15" width="9.28515625" bestFit="1" customWidth="1"/>
  </cols>
  <sheetData>
    <row r="1" spans="1:15" x14ac:dyDescent="0.25">
      <c r="C1" s="100" t="s">
        <v>37</v>
      </c>
      <c r="D1" s="100"/>
      <c r="E1" s="100"/>
      <c r="F1" s="100"/>
      <c r="G1" s="78"/>
      <c r="H1" s="78"/>
      <c r="J1" s="100" t="s">
        <v>38</v>
      </c>
      <c r="K1" s="100"/>
      <c r="L1" s="100"/>
      <c r="M1" s="100" t="s">
        <v>39</v>
      </c>
      <c r="N1" s="100"/>
      <c r="O1" s="100"/>
    </row>
    <row r="2" spans="1:15" ht="30" x14ac:dyDescent="0.25">
      <c r="B2" s="49" t="s">
        <v>1</v>
      </c>
      <c r="C2" s="8" t="s">
        <v>25</v>
      </c>
      <c r="D2" s="8" t="s">
        <v>26</v>
      </c>
      <c r="E2" s="8" t="s">
        <v>27</v>
      </c>
      <c r="F2" s="8" t="s">
        <v>36</v>
      </c>
      <c r="G2" s="80" t="s">
        <v>90</v>
      </c>
      <c r="H2" s="80" t="s">
        <v>91</v>
      </c>
      <c r="J2" s="8" t="s">
        <v>25</v>
      </c>
      <c r="K2" s="8" t="s">
        <v>26</v>
      </c>
      <c r="L2" s="8" t="s">
        <v>27</v>
      </c>
      <c r="M2" s="8" t="s">
        <v>25</v>
      </c>
      <c r="N2" s="8" t="s">
        <v>26</v>
      </c>
      <c r="O2" s="8" t="s">
        <v>27</v>
      </c>
    </row>
    <row r="3" spans="1:15" ht="14.45" customHeight="1" x14ac:dyDescent="0.25">
      <c r="A3" s="97" t="s">
        <v>16</v>
      </c>
      <c r="B3" s="50" t="s">
        <v>7</v>
      </c>
      <c r="C3" s="51">
        <f>$D$19+$C$19*F3+$B$19*F3*F3</f>
        <v>636.29999999999995</v>
      </c>
      <c r="D3" s="51">
        <f>$D$23+$C$23*F3+$B$23*F3*F3</f>
        <v>161.60369230769231</v>
      </c>
      <c r="E3" s="51">
        <f>$B$27*F3*F3+$C$27*F3+$D$27</f>
        <v>295.53284615384609</v>
      </c>
      <c r="F3" s="8">
        <v>1</v>
      </c>
      <c r="G3" s="65">
        <f>C3+D3</f>
        <v>797.90369230769227</v>
      </c>
      <c r="H3" s="65">
        <f>C3+E3</f>
        <v>931.83284615384605</v>
      </c>
      <c r="I3" s="19"/>
      <c r="J3" s="32">
        <v>0</v>
      </c>
      <c r="K3" s="32">
        <v>0</v>
      </c>
      <c r="L3" s="32">
        <v>0</v>
      </c>
      <c r="M3" s="32">
        <v>0</v>
      </c>
      <c r="N3" s="32">
        <v>0</v>
      </c>
      <c r="O3" s="32">
        <v>0</v>
      </c>
    </row>
    <row r="4" spans="1:15" x14ac:dyDescent="0.25">
      <c r="A4" s="98"/>
      <c r="B4" s="50" t="s">
        <v>12</v>
      </c>
      <c r="C4" s="51">
        <f>$D$19+$C$19*F4+$B$19*F4*F4</f>
        <v>448.31599999999997</v>
      </c>
      <c r="D4" s="51">
        <f>$D$23+$C$23*F4+$B$23*F4*F4</f>
        <v>143.54369230769231</v>
      </c>
      <c r="E4" s="51">
        <f>$B$27*F4*F4+$C$27*F4+$D$27</f>
        <v>244.79264615384611</v>
      </c>
      <c r="F4" s="8">
        <v>2</v>
      </c>
      <c r="G4" s="65">
        <f t="shared" ref="G4:G12" si="0">C4+D4</f>
        <v>591.85969230769228</v>
      </c>
      <c r="H4" s="65">
        <f t="shared" ref="H4:H12" si="1">C4+E4</f>
        <v>693.10864615384605</v>
      </c>
      <c r="I4" s="19"/>
      <c r="J4" s="32">
        <v>0</v>
      </c>
      <c r="K4" s="32">
        <v>0</v>
      </c>
      <c r="L4" s="32">
        <v>0</v>
      </c>
      <c r="M4" s="32">
        <v>0</v>
      </c>
      <c r="N4" s="32">
        <v>0</v>
      </c>
      <c r="O4" s="32">
        <v>0</v>
      </c>
    </row>
    <row r="5" spans="1:15" x14ac:dyDescent="0.25">
      <c r="A5" s="98"/>
      <c r="B5" s="50" t="s">
        <v>13</v>
      </c>
      <c r="C5" s="51">
        <f>$D$19+$C$19*F5+$B$19*F5*F5</f>
        <v>320.63600000000002</v>
      </c>
      <c r="D5" s="51">
        <f>$D$23+$C$23*F5+$B$23*F5*F5</f>
        <v>123.43169230769232</v>
      </c>
      <c r="E5" s="51">
        <f>$B$27*F5*F5+$C$27*F5+$D$27</f>
        <v>206.75964615384609</v>
      </c>
      <c r="F5" s="8">
        <v>3</v>
      </c>
      <c r="G5" s="65">
        <f t="shared" si="0"/>
        <v>444.06769230769237</v>
      </c>
      <c r="H5" s="65">
        <f t="shared" si="1"/>
        <v>527.39564615384609</v>
      </c>
      <c r="I5" s="19"/>
      <c r="J5" s="32">
        <v>0</v>
      </c>
      <c r="K5" s="32">
        <v>0</v>
      </c>
      <c r="L5" s="32">
        <v>0</v>
      </c>
      <c r="M5" s="32">
        <v>0</v>
      </c>
      <c r="N5" s="32">
        <v>0</v>
      </c>
      <c r="O5" s="32">
        <v>0</v>
      </c>
    </row>
    <row r="6" spans="1:15" x14ac:dyDescent="0.25">
      <c r="A6" s="98"/>
      <c r="B6" s="50" t="s">
        <v>14</v>
      </c>
      <c r="C6" s="17">
        <v>253.26</v>
      </c>
      <c r="D6" s="17">
        <v>101.26769230769233</v>
      </c>
      <c r="E6" s="17">
        <v>181.43384615384613</v>
      </c>
      <c r="F6" s="8">
        <v>4</v>
      </c>
      <c r="G6" s="65">
        <f t="shared" si="0"/>
        <v>354.52769230769229</v>
      </c>
      <c r="H6" s="65">
        <f t="shared" si="1"/>
        <v>434.69384615384615</v>
      </c>
      <c r="I6" s="20"/>
      <c r="J6" s="52">
        <v>278</v>
      </c>
      <c r="K6" s="52">
        <v>59.68</v>
      </c>
      <c r="L6" s="32">
        <v>0</v>
      </c>
      <c r="M6" s="38">
        <f>C6-J6</f>
        <v>-24.740000000000009</v>
      </c>
      <c r="N6" s="38">
        <f t="shared" ref="N6:N12" si="2">D6-K6</f>
        <v>41.587692307692329</v>
      </c>
      <c r="O6" s="32">
        <v>0</v>
      </c>
    </row>
    <row r="7" spans="1:15" x14ac:dyDescent="0.25">
      <c r="A7" s="99"/>
      <c r="B7" s="50" t="s">
        <v>15</v>
      </c>
      <c r="C7" s="51">
        <f>$D$19+$C$19*F7+$B$19*F7*F7</f>
        <v>246.18799999999987</v>
      </c>
      <c r="D7" s="51">
        <f>$D$23+$C$23*F7+$B$23*F7*F7</f>
        <v>77.051692307692321</v>
      </c>
      <c r="E7" s="51">
        <f>$B$27*F7*F7+$C$27*F7+$D$27</f>
        <v>168.81524615384612</v>
      </c>
      <c r="F7" s="8">
        <v>5</v>
      </c>
      <c r="G7" s="65">
        <f t="shared" si="0"/>
        <v>323.23969230769217</v>
      </c>
      <c r="H7" s="65">
        <f t="shared" si="1"/>
        <v>415.00324615384602</v>
      </c>
      <c r="I7" s="19"/>
      <c r="J7" s="32">
        <v>0</v>
      </c>
      <c r="K7" s="32">
        <v>0</v>
      </c>
      <c r="L7" s="32">
        <v>0</v>
      </c>
      <c r="M7" s="38"/>
      <c r="N7" s="38"/>
      <c r="O7" s="32">
        <v>0</v>
      </c>
    </row>
    <row r="8" spans="1:15" ht="14.45" customHeight="1" x14ac:dyDescent="0.25">
      <c r="A8" s="97" t="s">
        <v>18</v>
      </c>
      <c r="B8" s="50" t="s">
        <v>19</v>
      </c>
      <c r="C8" s="17">
        <v>642.21</v>
      </c>
      <c r="D8" s="17">
        <v>132.42758620689654</v>
      </c>
      <c r="E8" s="17">
        <v>248.60689655172405</v>
      </c>
      <c r="F8" s="8">
        <v>1</v>
      </c>
      <c r="G8" s="65">
        <f t="shared" si="0"/>
        <v>774.63758620689657</v>
      </c>
      <c r="H8" s="65">
        <f t="shared" si="1"/>
        <v>890.81689655172408</v>
      </c>
      <c r="I8" s="20"/>
      <c r="J8" s="32">
        <v>0</v>
      </c>
      <c r="K8" s="32">
        <v>0</v>
      </c>
      <c r="L8" s="32">
        <v>0</v>
      </c>
      <c r="M8" s="38"/>
      <c r="N8" s="38"/>
      <c r="O8" s="32">
        <v>0</v>
      </c>
    </row>
    <row r="9" spans="1:15" x14ac:dyDescent="0.25">
      <c r="A9" s="98"/>
      <c r="B9" s="50" t="s">
        <v>13</v>
      </c>
      <c r="C9" s="17">
        <v>399.23599999999999</v>
      </c>
      <c r="D9" s="17">
        <v>98.127999999999986</v>
      </c>
      <c r="E9" s="17">
        <v>168.5</v>
      </c>
      <c r="F9" s="8">
        <v>2</v>
      </c>
      <c r="G9" s="65">
        <f t="shared" si="0"/>
        <v>497.36399999999998</v>
      </c>
      <c r="H9" s="65">
        <f t="shared" si="1"/>
        <v>567.73599999999999</v>
      </c>
      <c r="I9" s="20"/>
      <c r="J9" s="32">
        <v>0</v>
      </c>
      <c r="K9" s="32">
        <v>0</v>
      </c>
      <c r="L9" s="32">
        <v>0</v>
      </c>
      <c r="M9" s="38"/>
      <c r="N9" s="38"/>
      <c r="O9" s="32">
        <v>0</v>
      </c>
    </row>
    <row r="10" spans="1:15" x14ac:dyDescent="0.25">
      <c r="A10" s="98"/>
      <c r="B10" s="50" t="s">
        <v>20</v>
      </c>
      <c r="C10" s="17">
        <v>301.577</v>
      </c>
      <c r="D10" s="17">
        <v>97.888571428571424</v>
      </c>
      <c r="E10" s="17">
        <v>144.12857142857143</v>
      </c>
      <c r="F10" s="8">
        <v>3</v>
      </c>
      <c r="G10" s="65">
        <f t="shared" si="0"/>
        <v>399.46557142857142</v>
      </c>
      <c r="H10" s="65">
        <f t="shared" si="1"/>
        <v>445.70557142857143</v>
      </c>
      <c r="I10" s="20"/>
      <c r="J10" s="52">
        <v>482.28</v>
      </c>
      <c r="K10" s="17">
        <v>93.666666666666629</v>
      </c>
      <c r="L10" s="32">
        <v>0</v>
      </c>
      <c r="M10" s="38">
        <f t="shared" ref="M10:M12" si="3">C10-J10</f>
        <v>-180.70299999999997</v>
      </c>
      <c r="N10" s="38">
        <f t="shared" si="2"/>
        <v>4.2219047619047956</v>
      </c>
      <c r="O10" s="32">
        <v>0</v>
      </c>
    </row>
    <row r="11" spans="1:15" x14ac:dyDescent="0.25">
      <c r="A11" s="98"/>
      <c r="B11" s="50" t="s">
        <v>21</v>
      </c>
      <c r="C11" s="17">
        <v>284.13</v>
      </c>
      <c r="D11" s="17">
        <v>68.456470588235277</v>
      </c>
      <c r="E11" s="17">
        <v>150.21411764705886</v>
      </c>
      <c r="F11" s="8">
        <v>4</v>
      </c>
      <c r="G11" s="65">
        <f t="shared" si="0"/>
        <v>352.58647058823527</v>
      </c>
      <c r="H11" s="65">
        <f t="shared" si="1"/>
        <v>434.34411764705885</v>
      </c>
      <c r="I11" s="20"/>
      <c r="J11" s="52">
        <v>330.5</v>
      </c>
      <c r="K11" s="52">
        <v>77.5</v>
      </c>
      <c r="L11" s="32">
        <v>0</v>
      </c>
      <c r="M11" s="38">
        <f t="shared" si="3"/>
        <v>-46.370000000000005</v>
      </c>
      <c r="N11" s="38">
        <f t="shared" si="2"/>
        <v>-9.0435294117647231</v>
      </c>
      <c r="O11" s="32">
        <v>0</v>
      </c>
    </row>
    <row r="12" spans="1:15" x14ac:dyDescent="0.25">
      <c r="A12" s="99"/>
      <c r="B12" s="50" t="s">
        <v>15</v>
      </c>
      <c r="C12" s="17">
        <v>212.11199999999999</v>
      </c>
      <c r="D12" s="17">
        <v>41.57116666666667</v>
      </c>
      <c r="E12" s="17">
        <v>99.354166666666686</v>
      </c>
      <c r="F12" s="8">
        <v>5</v>
      </c>
      <c r="G12" s="65">
        <f t="shared" si="0"/>
        <v>253.68316666666666</v>
      </c>
      <c r="H12" s="65">
        <f t="shared" si="1"/>
        <v>311.46616666666671</v>
      </c>
      <c r="I12" s="20"/>
      <c r="J12" s="52">
        <v>317.63</v>
      </c>
      <c r="K12" s="52">
        <v>64.67</v>
      </c>
      <c r="L12" s="32">
        <v>0</v>
      </c>
      <c r="M12" s="38">
        <f t="shared" si="3"/>
        <v>-105.518</v>
      </c>
      <c r="N12" s="38">
        <f t="shared" si="2"/>
        <v>-23.098833333333332</v>
      </c>
      <c r="O12" s="32">
        <v>0</v>
      </c>
    </row>
    <row r="13" spans="1:15" ht="14.45" customHeight="1" x14ac:dyDescent="0.25">
      <c r="A13" s="71"/>
      <c r="B13" s="101" t="s">
        <v>76</v>
      </c>
      <c r="C13" s="101"/>
      <c r="D13" s="101"/>
      <c r="E13" s="101"/>
      <c r="F13" s="101"/>
      <c r="G13" s="79"/>
      <c r="H13" s="79"/>
      <c r="J13" s="103" t="s">
        <v>77</v>
      </c>
      <c r="K13" s="103"/>
      <c r="L13" s="103"/>
      <c r="M13" s="103"/>
      <c r="N13" s="103"/>
      <c r="O13" s="103"/>
    </row>
    <row r="14" spans="1:15" x14ac:dyDescent="0.25">
      <c r="A14" s="71"/>
      <c r="B14" s="102"/>
      <c r="C14" s="102"/>
      <c r="D14" s="102"/>
      <c r="E14" s="102"/>
      <c r="F14" s="102"/>
      <c r="G14" s="73"/>
      <c r="H14" s="82"/>
      <c r="J14" s="90"/>
      <c r="K14" s="90"/>
      <c r="L14" s="90"/>
      <c r="M14" s="90"/>
      <c r="N14" s="90"/>
      <c r="O14" s="90"/>
    </row>
    <row r="15" spans="1:15" x14ac:dyDescent="0.25">
      <c r="A15" s="71"/>
    </row>
    <row r="16" spans="1:15" ht="57" customHeight="1" x14ac:dyDescent="0.25">
      <c r="A16" s="90" t="s">
        <v>78</v>
      </c>
      <c r="B16" s="90"/>
      <c r="C16" s="90"/>
      <c r="D16" s="90"/>
      <c r="E16" s="90"/>
      <c r="F16" s="90"/>
      <c r="G16" s="72"/>
      <c r="H16" s="81"/>
    </row>
    <row r="17" spans="1:4" x14ac:dyDescent="0.25">
      <c r="A17" t="s">
        <v>34</v>
      </c>
      <c r="B17">
        <v>30.152000000000001</v>
      </c>
      <c r="C17">
        <v>-278.44</v>
      </c>
      <c r="D17">
        <v>301.67</v>
      </c>
    </row>
    <row r="18" spans="1:4" x14ac:dyDescent="0.25">
      <c r="A18" t="s">
        <v>30</v>
      </c>
      <c r="B18">
        <f>B19*4*4+C19*4</f>
        <v>-631.32799999999997</v>
      </c>
      <c r="C18" s="18">
        <f>-B18+C6</f>
        <v>884.58799999999997</v>
      </c>
    </row>
    <row r="19" spans="1:4" x14ac:dyDescent="0.25">
      <c r="A19" t="s">
        <v>35</v>
      </c>
      <c r="B19">
        <v>30.152000000000001</v>
      </c>
      <c r="C19">
        <v>-278.44</v>
      </c>
      <c r="D19">
        <f>C18</f>
        <v>884.58799999999997</v>
      </c>
    </row>
    <row r="21" spans="1:4" x14ac:dyDescent="0.25">
      <c r="A21" t="s">
        <v>29</v>
      </c>
      <c r="B21">
        <v>-1.026</v>
      </c>
      <c r="C21">
        <v>-14.981999999999999</v>
      </c>
      <c r="D21">
        <v>301.67</v>
      </c>
    </row>
    <row r="22" spans="1:4" x14ac:dyDescent="0.25">
      <c r="A22" t="s">
        <v>30</v>
      </c>
      <c r="B22">
        <f>B23*4*4+C23*4</f>
        <v>-76.343999999999994</v>
      </c>
      <c r="C22" s="18">
        <f>-B22+D6</f>
        <v>177.61169230769232</v>
      </c>
    </row>
    <row r="23" spans="1:4" x14ac:dyDescent="0.25">
      <c r="A23" t="s">
        <v>31</v>
      </c>
      <c r="B23">
        <v>-1.026</v>
      </c>
      <c r="C23">
        <v>-14.981999999999999</v>
      </c>
      <c r="D23">
        <f>C22</f>
        <v>177.61169230769232</v>
      </c>
    </row>
    <row r="25" spans="1:4" x14ac:dyDescent="0.25">
      <c r="A25" t="s">
        <v>32</v>
      </c>
      <c r="B25">
        <v>6.3536000000000001</v>
      </c>
      <c r="C25">
        <v>-69.801000000000002</v>
      </c>
      <c r="D25">
        <v>143.93</v>
      </c>
    </row>
    <row r="26" spans="1:4" x14ac:dyDescent="0.25">
      <c r="A26" t="s">
        <v>30</v>
      </c>
      <c r="B26">
        <f>B27*4*4+C27*4</f>
        <v>-177.54640000000001</v>
      </c>
      <c r="C26" s="18">
        <f>E6-B26</f>
        <v>358.98024615384611</v>
      </c>
    </row>
    <row r="27" spans="1:4" x14ac:dyDescent="0.25">
      <c r="A27" t="s">
        <v>33</v>
      </c>
      <c r="B27">
        <v>6.3536000000000001</v>
      </c>
      <c r="C27">
        <v>-69.801000000000002</v>
      </c>
      <c r="D27">
        <f>C26</f>
        <v>358.98024615384611</v>
      </c>
    </row>
  </sheetData>
  <mergeCells count="8">
    <mergeCell ref="A3:A7"/>
    <mergeCell ref="A8:A12"/>
    <mergeCell ref="A16:F16"/>
    <mergeCell ref="J1:L1"/>
    <mergeCell ref="M1:O1"/>
    <mergeCell ref="C1:F1"/>
    <mergeCell ref="B13:F14"/>
    <mergeCell ref="J13:O14"/>
  </mergeCells>
  <pageMargins left="0.7" right="0.7" top="0.75" bottom="0.75" header="0.3" footer="0.3"/>
  <pageSetup scale="73"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7"/>
  <sheetViews>
    <sheetView view="pageBreakPreview" zoomScaleNormal="100" zoomScaleSheetLayoutView="100" workbookViewId="0">
      <pane xSplit="8" ySplit="2" topLeftCell="I3" activePane="bottomRight" state="frozen"/>
      <selection pane="topRight" activeCell="I1" sqref="I1"/>
      <selection pane="bottomLeft" activeCell="A2" sqref="A2"/>
      <selection pane="bottomRight" activeCell="L12" sqref="L12"/>
    </sheetView>
  </sheetViews>
  <sheetFormatPr defaultColWidth="3.7109375" defaultRowHeight="15" zeroHeight="1" x14ac:dyDescent="0.25"/>
  <cols>
    <col min="1" max="1" width="17.7109375" customWidth="1"/>
    <col min="2" max="2" width="13.28515625" customWidth="1"/>
    <col min="3" max="3" width="15" customWidth="1"/>
    <col min="4" max="4" width="7.42578125" customWidth="1"/>
    <col min="5" max="5" width="10.28515625" customWidth="1"/>
    <col min="6" max="8" width="8.5703125" customWidth="1"/>
    <col min="9" max="9" width="17.42578125" customWidth="1"/>
    <col min="10" max="12" width="14.85546875" customWidth="1"/>
    <col min="13" max="13" width="17.42578125" customWidth="1"/>
    <col min="14" max="15" width="14.85546875" customWidth="1"/>
    <col min="16" max="16" width="14.85546875" style="13" customWidth="1"/>
  </cols>
  <sheetData>
    <row r="1" spans="1:16" x14ac:dyDescent="0.25">
      <c r="I1" s="104" t="s">
        <v>40</v>
      </c>
      <c r="J1" s="104"/>
      <c r="K1" s="104"/>
      <c r="L1" s="104"/>
      <c r="M1" s="104" t="s">
        <v>41</v>
      </c>
      <c r="N1" s="104"/>
      <c r="O1" s="104"/>
      <c r="P1" s="104"/>
    </row>
    <row r="2" spans="1:16" ht="30" x14ac:dyDescent="0.25">
      <c r="A2" s="1" t="s">
        <v>0</v>
      </c>
      <c r="B2" s="1" t="s">
        <v>1</v>
      </c>
      <c r="C2" s="1" t="s">
        <v>2</v>
      </c>
      <c r="D2" s="1" t="s">
        <v>3</v>
      </c>
      <c r="E2" s="1" t="s">
        <v>4</v>
      </c>
      <c r="F2" s="1" t="s">
        <v>5</v>
      </c>
      <c r="G2" s="1" t="s">
        <v>6</v>
      </c>
      <c r="H2" s="1" t="s">
        <v>24</v>
      </c>
      <c r="I2" s="1" t="s">
        <v>22</v>
      </c>
      <c r="J2" s="1" t="s">
        <v>23</v>
      </c>
      <c r="K2" s="1" t="s">
        <v>6</v>
      </c>
      <c r="L2" s="5" t="s">
        <v>28</v>
      </c>
      <c r="M2" s="1" t="s">
        <v>22</v>
      </c>
      <c r="N2" s="1" t="s">
        <v>23</v>
      </c>
      <c r="O2" s="1" t="s">
        <v>6</v>
      </c>
      <c r="P2" s="11" t="s">
        <v>28</v>
      </c>
    </row>
    <row r="3" spans="1:16" x14ac:dyDescent="0.25">
      <c r="A3" s="92" t="s">
        <v>16</v>
      </c>
      <c r="B3" s="91" t="s">
        <v>7</v>
      </c>
      <c r="C3" s="2" t="s">
        <v>8</v>
      </c>
      <c r="D3" s="2" t="s">
        <v>17</v>
      </c>
      <c r="E3" s="2" t="s">
        <v>9</v>
      </c>
      <c r="F3" s="3">
        <v>0.78</v>
      </c>
      <c r="G3" s="3">
        <v>0.5</v>
      </c>
      <c r="H3" s="6">
        <v>0</v>
      </c>
      <c r="I3" s="4"/>
      <c r="J3" s="4"/>
      <c r="K3" s="4"/>
      <c r="L3" s="7"/>
      <c r="M3" s="8"/>
      <c r="N3" s="8"/>
      <c r="O3" s="8"/>
      <c r="P3" s="12"/>
    </row>
    <row r="4" spans="1:16" x14ac:dyDescent="0.25">
      <c r="A4" s="92"/>
      <c r="B4" s="91"/>
      <c r="C4" s="2" t="s">
        <v>10</v>
      </c>
      <c r="D4" s="2" t="s">
        <v>17</v>
      </c>
      <c r="E4" s="2" t="s">
        <v>9</v>
      </c>
      <c r="F4" s="3">
        <v>0.70199999999999996</v>
      </c>
      <c r="G4" s="3">
        <v>0.45</v>
      </c>
      <c r="H4" s="6">
        <v>1</v>
      </c>
      <c r="I4" s="4"/>
      <c r="J4" s="4"/>
      <c r="K4" s="4"/>
      <c r="L4" s="7"/>
      <c r="M4" s="8"/>
      <c r="N4" s="8"/>
      <c r="O4" s="8"/>
      <c r="P4" s="12"/>
    </row>
    <row r="5" spans="1:16" x14ac:dyDescent="0.25">
      <c r="A5" s="92"/>
      <c r="B5" s="91"/>
      <c r="C5" s="2" t="s">
        <v>11</v>
      </c>
      <c r="D5" s="2" t="s">
        <v>17</v>
      </c>
      <c r="E5" s="2" t="s">
        <v>9</v>
      </c>
      <c r="F5" s="3">
        <v>0.66300000000000003</v>
      </c>
      <c r="G5" s="3">
        <v>0.42499999999999999</v>
      </c>
      <c r="H5" s="6">
        <v>2</v>
      </c>
      <c r="I5" s="4"/>
      <c r="J5" s="4"/>
      <c r="K5" s="4"/>
      <c r="L5" s="7"/>
      <c r="M5" s="8"/>
      <c r="N5" s="8"/>
      <c r="O5" s="8"/>
      <c r="P5" s="12"/>
    </row>
    <row r="6" spans="1:16" x14ac:dyDescent="0.25">
      <c r="A6" s="92"/>
      <c r="B6" s="91" t="s">
        <v>12</v>
      </c>
      <c r="C6" s="2" t="s">
        <v>8</v>
      </c>
      <c r="D6" s="2" t="s">
        <v>17</v>
      </c>
      <c r="E6" s="2" t="s">
        <v>9</v>
      </c>
      <c r="F6" s="3">
        <v>0.75</v>
      </c>
      <c r="G6" s="3">
        <v>0.49</v>
      </c>
      <c r="H6" s="6">
        <v>0</v>
      </c>
      <c r="I6" s="4"/>
      <c r="J6" s="4"/>
      <c r="K6" s="4"/>
      <c r="L6" s="7"/>
      <c r="M6" s="8"/>
      <c r="N6" s="8"/>
      <c r="O6" s="8"/>
      <c r="P6" s="12"/>
    </row>
    <row r="7" spans="1:16" x14ac:dyDescent="0.25">
      <c r="A7" s="92"/>
      <c r="B7" s="91"/>
      <c r="C7" s="2" t="s">
        <v>10</v>
      </c>
      <c r="D7" s="2" t="s">
        <v>17</v>
      </c>
      <c r="E7" s="2" t="s">
        <v>9</v>
      </c>
      <c r="F7" s="3">
        <v>0.67500000000000004</v>
      </c>
      <c r="G7" s="3">
        <v>0.441</v>
      </c>
      <c r="H7" s="6">
        <v>1</v>
      </c>
      <c r="I7" s="4"/>
      <c r="J7" s="4"/>
      <c r="K7" s="4"/>
      <c r="L7" s="7"/>
      <c r="M7" s="8"/>
      <c r="N7" s="8"/>
      <c r="O7" s="8"/>
      <c r="P7" s="12"/>
    </row>
    <row r="8" spans="1:16" x14ac:dyDescent="0.25">
      <c r="A8" s="92"/>
      <c r="B8" s="91"/>
      <c r="C8" s="2" t="s">
        <v>11</v>
      </c>
      <c r="D8" s="2" t="s">
        <v>17</v>
      </c>
      <c r="E8" s="2" t="s">
        <v>9</v>
      </c>
      <c r="F8" s="3">
        <v>0.63800000000000001</v>
      </c>
      <c r="G8" s="3">
        <v>0.41699999999999998</v>
      </c>
      <c r="H8" s="6">
        <v>2</v>
      </c>
      <c r="I8" s="4"/>
      <c r="J8" s="4"/>
      <c r="K8" s="4"/>
      <c r="L8" s="7"/>
      <c r="M8" s="8"/>
      <c r="N8" s="8"/>
      <c r="O8" s="8"/>
      <c r="P8" s="12"/>
    </row>
    <row r="9" spans="1:16" x14ac:dyDescent="0.25">
      <c r="A9" s="92"/>
      <c r="B9" s="91" t="s">
        <v>13</v>
      </c>
      <c r="C9" s="2" t="s">
        <v>8</v>
      </c>
      <c r="D9" s="2" t="s">
        <v>17</v>
      </c>
      <c r="E9" s="2" t="s">
        <v>9</v>
      </c>
      <c r="F9" s="3">
        <v>0.68</v>
      </c>
      <c r="G9" s="3">
        <v>0.44</v>
      </c>
      <c r="H9" s="6">
        <v>0</v>
      </c>
      <c r="I9" s="4"/>
      <c r="J9" s="4"/>
      <c r="K9" s="4"/>
      <c r="L9" s="7"/>
      <c r="M9" s="8"/>
      <c r="N9" s="8"/>
      <c r="O9" s="8"/>
      <c r="P9" s="12"/>
    </row>
    <row r="10" spans="1:16" x14ac:dyDescent="0.25">
      <c r="A10" s="92"/>
      <c r="B10" s="91"/>
      <c r="C10" s="2" t="s">
        <v>10</v>
      </c>
      <c r="D10" s="2" t="s">
        <v>17</v>
      </c>
      <c r="E10" s="2" t="s">
        <v>9</v>
      </c>
      <c r="F10" s="3">
        <v>0.61199999999999999</v>
      </c>
      <c r="G10" s="3">
        <v>0.39600000000000002</v>
      </c>
      <c r="H10" s="6">
        <v>1</v>
      </c>
      <c r="I10" s="4"/>
      <c r="J10" s="4"/>
      <c r="K10" s="4"/>
      <c r="L10" s="7"/>
      <c r="M10" s="8"/>
      <c r="N10" s="8"/>
      <c r="O10" s="8"/>
      <c r="P10" s="12"/>
    </row>
    <row r="11" spans="1:16" x14ac:dyDescent="0.25">
      <c r="A11" s="92"/>
      <c r="B11" s="91"/>
      <c r="C11" s="2" t="s">
        <v>11</v>
      </c>
      <c r="D11" s="2" t="s">
        <v>17</v>
      </c>
      <c r="E11" s="2" t="s">
        <v>9</v>
      </c>
      <c r="F11" s="3">
        <v>0.57799999999999996</v>
      </c>
      <c r="G11" s="3">
        <v>0.374</v>
      </c>
      <c r="H11" s="6">
        <v>2</v>
      </c>
      <c r="I11" s="4"/>
      <c r="J11" s="4"/>
      <c r="K11" s="4"/>
      <c r="L11" s="7"/>
      <c r="M11" s="8"/>
      <c r="N11" s="8"/>
      <c r="O11" s="8"/>
      <c r="P11" s="12"/>
    </row>
    <row r="12" spans="1:16" x14ac:dyDescent="0.25">
      <c r="A12" s="92"/>
      <c r="B12" s="91" t="s">
        <v>14</v>
      </c>
      <c r="C12" s="2" t="s">
        <v>8</v>
      </c>
      <c r="D12" s="2" t="s">
        <v>17</v>
      </c>
      <c r="E12" s="2" t="s">
        <v>9</v>
      </c>
      <c r="F12" s="3">
        <v>0.625</v>
      </c>
      <c r="G12" s="3">
        <v>0.41</v>
      </c>
      <c r="H12" s="6">
        <v>0</v>
      </c>
      <c r="I12" s="4">
        <v>325</v>
      </c>
      <c r="J12" s="4">
        <v>0.61099999999999999</v>
      </c>
      <c r="K12" s="4">
        <v>0.41</v>
      </c>
      <c r="L12" s="7">
        <v>253.26461538461538</v>
      </c>
      <c r="M12" s="8"/>
      <c r="N12" s="8"/>
      <c r="O12" s="8"/>
      <c r="P12" s="12"/>
    </row>
    <row r="13" spans="1:16" x14ac:dyDescent="0.25">
      <c r="A13" s="92"/>
      <c r="B13" s="91"/>
      <c r="C13" s="2" t="s">
        <v>10</v>
      </c>
      <c r="D13" s="2" t="s">
        <v>17</v>
      </c>
      <c r="E13" s="2" t="s">
        <v>9</v>
      </c>
      <c r="F13" s="3">
        <v>0.56299999999999994</v>
      </c>
      <c r="G13" s="3">
        <v>0.36899999999999999</v>
      </c>
      <c r="H13" s="6">
        <v>1</v>
      </c>
      <c r="I13" s="4">
        <v>325</v>
      </c>
      <c r="J13" s="4">
        <v>0.56100000000000005</v>
      </c>
      <c r="K13" s="4">
        <v>0.36299999999999999</v>
      </c>
      <c r="L13" s="7">
        <v>354.53230769230771</v>
      </c>
      <c r="M13" s="8"/>
      <c r="N13" s="8"/>
      <c r="O13" s="8"/>
      <c r="P13" s="12"/>
    </row>
    <row r="14" spans="1:16" x14ac:dyDescent="0.25">
      <c r="A14" s="92"/>
      <c r="B14" s="91"/>
      <c r="C14" s="2" t="s">
        <v>11</v>
      </c>
      <c r="D14" s="2" t="s">
        <v>17</v>
      </c>
      <c r="E14" s="2" t="s">
        <v>9</v>
      </c>
      <c r="F14" s="3">
        <v>0.53100000000000003</v>
      </c>
      <c r="G14" s="3">
        <v>0.34899999999999998</v>
      </c>
      <c r="H14" s="6">
        <v>2</v>
      </c>
      <c r="I14" s="4">
        <v>325</v>
      </c>
      <c r="J14" s="4">
        <v>0.53</v>
      </c>
      <c r="K14" s="4">
        <v>0.34699999999999998</v>
      </c>
      <c r="L14" s="7">
        <v>434.69846153846152</v>
      </c>
      <c r="M14" s="8"/>
      <c r="N14" s="8"/>
      <c r="O14" s="8"/>
      <c r="P14" s="12"/>
    </row>
    <row r="15" spans="1:16" x14ac:dyDescent="0.25">
      <c r="A15" s="92"/>
      <c r="B15" s="91" t="s">
        <v>15</v>
      </c>
      <c r="C15" s="2" t="s">
        <v>8</v>
      </c>
      <c r="D15" s="2" t="s">
        <v>17</v>
      </c>
      <c r="E15" s="2" t="s">
        <v>9</v>
      </c>
      <c r="F15" s="3">
        <v>0.58499999999999996</v>
      </c>
      <c r="G15" s="3">
        <v>0.38</v>
      </c>
      <c r="H15" s="6">
        <v>0</v>
      </c>
      <c r="I15" s="4"/>
      <c r="J15" s="4"/>
      <c r="K15" s="4"/>
      <c r="L15" s="7"/>
      <c r="M15" s="8"/>
      <c r="N15" s="8"/>
      <c r="O15" s="8"/>
      <c r="P15" s="12"/>
    </row>
    <row r="16" spans="1:16" x14ac:dyDescent="0.25">
      <c r="A16" s="92"/>
      <c r="B16" s="91"/>
      <c r="C16" s="2" t="s">
        <v>10</v>
      </c>
      <c r="D16" s="2" t="s">
        <v>17</v>
      </c>
      <c r="E16" s="2" t="s">
        <v>9</v>
      </c>
      <c r="F16" s="3">
        <v>0.52700000000000002</v>
      </c>
      <c r="G16" s="3">
        <v>0.34200000000000003</v>
      </c>
      <c r="H16" s="6">
        <v>1</v>
      </c>
      <c r="I16" s="4"/>
      <c r="J16" s="4"/>
      <c r="K16" s="4"/>
      <c r="L16" s="7"/>
      <c r="M16" s="8"/>
      <c r="N16" s="8"/>
      <c r="O16" s="8"/>
      <c r="P16" s="12"/>
    </row>
    <row r="17" spans="1:16" x14ac:dyDescent="0.25">
      <c r="A17" s="92"/>
      <c r="B17" s="91"/>
      <c r="C17" s="2" t="s">
        <v>11</v>
      </c>
      <c r="D17" s="2" t="s">
        <v>17</v>
      </c>
      <c r="E17" s="2" t="s">
        <v>9</v>
      </c>
      <c r="F17" s="3">
        <v>0.497</v>
      </c>
      <c r="G17" s="3">
        <v>0.32300000000000001</v>
      </c>
      <c r="H17" s="6">
        <v>2</v>
      </c>
      <c r="I17" s="4"/>
      <c r="J17" s="4"/>
      <c r="K17" s="4"/>
      <c r="L17" s="7"/>
      <c r="M17" s="8"/>
      <c r="N17" s="8"/>
      <c r="O17" s="8"/>
      <c r="P17" s="12"/>
    </row>
    <row r="18" spans="1:16" x14ac:dyDescent="0.25">
      <c r="A18" s="92" t="s">
        <v>18</v>
      </c>
      <c r="B18" s="91" t="s">
        <v>19</v>
      </c>
      <c r="C18" s="2" t="s">
        <v>8</v>
      </c>
      <c r="D18" s="2" t="s">
        <v>17</v>
      </c>
      <c r="E18" s="2" t="s">
        <v>9</v>
      </c>
      <c r="F18" s="3">
        <v>0.69499999999999995</v>
      </c>
      <c r="G18" s="3">
        <v>0.44</v>
      </c>
      <c r="H18" s="6">
        <v>0</v>
      </c>
      <c r="I18" s="4">
        <v>145</v>
      </c>
      <c r="J18" s="4">
        <v>0.61199999999999999</v>
      </c>
      <c r="K18" s="4">
        <v>0.41799999999999998</v>
      </c>
      <c r="L18" s="7">
        <v>642.20689655172418</v>
      </c>
      <c r="M18" s="8"/>
      <c r="N18" s="8"/>
      <c r="O18" s="8"/>
      <c r="P18" s="12"/>
    </row>
    <row r="19" spans="1:16" x14ac:dyDescent="0.25">
      <c r="A19" s="92"/>
      <c r="B19" s="91"/>
      <c r="C19" s="2" t="s">
        <v>10</v>
      </c>
      <c r="D19" s="2" t="s">
        <v>17</v>
      </c>
      <c r="E19" s="2" t="s">
        <v>9</v>
      </c>
      <c r="F19" s="3">
        <v>0.626</v>
      </c>
      <c r="G19" s="3">
        <v>0.39600000000000002</v>
      </c>
      <c r="H19" s="6">
        <v>1</v>
      </c>
      <c r="I19" s="4">
        <v>145</v>
      </c>
      <c r="J19" s="4">
        <v>0.58699999999999997</v>
      </c>
      <c r="K19" s="4">
        <v>0.39300000000000002</v>
      </c>
      <c r="L19" s="7">
        <v>774.63448275862072</v>
      </c>
      <c r="M19" s="8"/>
      <c r="N19" s="8"/>
      <c r="O19" s="8"/>
      <c r="P19" s="12"/>
    </row>
    <row r="20" spans="1:16" x14ac:dyDescent="0.25">
      <c r="A20" s="92"/>
      <c r="B20" s="91"/>
      <c r="C20" s="2" t="s">
        <v>11</v>
      </c>
      <c r="D20" s="2" t="s">
        <v>17</v>
      </c>
      <c r="E20" s="2" t="s">
        <v>9</v>
      </c>
      <c r="F20" s="3">
        <v>0.59099999999999997</v>
      </c>
      <c r="G20" s="3">
        <v>0.374</v>
      </c>
      <c r="H20" s="6">
        <v>2</v>
      </c>
      <c r="I20" s="4">
        <v>145</v>
      </c>
      <c r="J20" s="4">
        <v>0.55300000000000005</v>
      </c>
      <c r="K20" s="4">
        <v>0.371</v>
      </c>
      <c r="L20" s="7">
        <v>890.81379310344823</v>
      </c>
      <c r="M20" s="8"/>
      <c r="N20" s="8"/>
      <c r="O20" s="8"/>
      <c r="P20" s="12"/>
    </row>
    <row r="21" spans="1:16" x14ac:dyDescent="0.25">
      <c r="A21" s="92"/>
      <c r="B21" s="91" t="s">
        <v>13</v>
      </c>
      <c r="C21" s="2" t="s">
        <v>8</v>
      </c>
      <c r="D21" s="2" t="s">
        <v>17</v>
      </c>
      <c r="E21" s="2" t="s">
        <v>9</v>
      </c>
      <c r="F21" s="3">
        <v>0.63500000000000001</v>
      </c>
      <c r="G21" s="3">
        <v>0.4</v>
      </c>
      <c r="H21" s="6">
        <v>0</v>
      </c>
      <c r="I21" s="4">
        <v>250</v>
      </c>
      <c r="J21" s="4">
        <v>0.626</v>
      </c>
      <c r="K21" s="4">
        <v>0.38600000000000001</v>
      </c>
      <c r="L21" s="7">
        <v>399.23599999999999</v>
      </c>
      <c r="M21" s="8"/>
      <c r="N21" s="8"/>
      <c r="O21" s="8"/>
      <c r="P21" s="12"/>
    </row>
    <row r="22" spans="1:16" x14ac:dyDescent="0.25">
      <c r="A22" s="92"/>
      <c r="B22" s="91"/>
      <c r="C22" s="2" t="s">
        <v>10</v>
      </c>
      <c r="D22" s="2" t="s">
        <v>17</v>
      </c>
      <c r="E22" s="2" t="s">
        <v>9</v>
      </c>
      <c r="F22" s="3">
        <v>0.57199999999999995</v>
      </c>
      <c r="G22" s="3">
        <v>0.36</v>
      </c>
      <c r="H22" s="6">
        <v>1</v>
      </c>
      <c r="I22" s="4">
        <v>250</v>
      </c>
      <c r="J22" s="4">
        <v>0.56100000000000005</v>
      </c>
      <c r="K22" s="4">
        <v>0.35099999999999998</v>
      </c>
      <c r="L22" s="7">
        <v>497.36399999999998</v>
      </c>
      <c r="M22" s="8"/>
      <c r="N22" s="8"/>
      <c r="O22" s="8"/>
      <c r="P22" s="12"/>
    </row>
    <row r="23" spans="1:16" x14ac:dyDescent="0.25">
      <c r="A23" s="92"/>
      <c r="B23" s="91"/>
      <c r="C23" s="2" t="s">
        <v>11</v>
      </c>
      <c r="D23" s="2" t="s">
        <v>17</v>
      </c>
      <c r="E23" s="2" t="s">
        <v>9</v>
      </c>
      <c r="F23" s="3">
        <v>0.54</v>
      </c>
      <c r="G23" s="3">
        <v>0.34</v>
      </c>
      <c r="H23" s="6">
        <v>2</v>
      </c>
      <c r="I23" s="4">
        <v>250</v>
      </c>
      <c r="J23" s="4">
        <v>0.53100000000000003</v>
      </c>
      <c r="K23" s="4">
        <v>0.33900000000000002</v>
      </c>
      <c r="L23" s="7">
        <v>567.73599999999999</v>
      </c>
      <c r="M23" s="8"/>
      <c r="N23" s="8"/>
      <c r="O23" s="8"/>
      <c r="P23" s="12"/>
    </row>
    <row r="24" spans="1:16" x14ac:dyDescent="0.25">
      <c r="A24" s="92"/>
      <c r="B24" s="91" t="s">
        <v>20</v>
      </c>
      <c r="C24" s="2" t="s">
        <v>8</v>
      </c>
      <c r="D24" s="2" t="s">
        <v>17</v>
      </c>
      <c r="E24" s="2" t="s">
        <v>9</v>
      </c>
      <c r="F24" s="3">
        <v>0.59499999999999997</v>
      </c>
      <c r="G24" s="3">
        <v>0.39</v>
      </c>
      <c r="H24" s="6">
        <v>0</v>
      </c>
      <c r="I24" s="4">
        <v>350</v>
      </c>
      <c r="J24" s="4">
        <v>0.59399999999999997</v>
      </c>
      <c r="K24" s="4">
        <v>0.38600000000000001</v>
      </c>
      <c r="L24" s="7">
        <v>301.57714285714286</v>
      </c>
      <c r="M24" s="8"/>
      <c r="N24" s="8"/>
      <c r="O24" s="8"/>
      <c r="P24" s="12"/>
    </row>
    <row r="25" spans="1:16" x14ac:dyDescent="0.25">
      <c r="A25" s="92"/>
      <c r="B25" s="91"/>
      <c r="C25" s="2" t="s">
        <v>10</v>
      </c>
      <c r="D25" s="2" t="s">
        <v>17</v>
      </c>
      <c r="E25" s="2" t="s">
        <v>9</v>
      </c>
      <c r="F25" s="3">
        <v>0.53600000000000003</v>
      </c>
      <c r="G25" s="3">
        <v>0.35099999999999998</v>
      </c>
      <c r="H25" s="6">
        <v>1</v>
      </c>
      <c r="I25" s="4">
        <v>350</v>
      </c>
      <c r="J25" s="4">
        <v>0.53500000000000003</v>
      </c>
      <c r="K25" s="4">
        <v>0.34599999999999997</v>
      </c>
      <c r="L25" s="7">
        <v>399.46571428571428</v>
      </c>
      <c r="M25" s="8"/>
      <c r="N25" s="8"/>
      <c r="O25" s="8"/>
      <c r="P25" s="12"/>
    </row>
    <row r="26" spans="1:16" x14ac:dyDescent="0.25">
      <c r="A26" s="92"/>
      <c r="B26" s="91"/>
      <c r="C26" s="2" t="s">
        <v>11</v>
      </c>
      <c r="D26" s="2" t="s">
        <v>17</v>
      </c>
      <c r="E26" s="2" t="s">
        <v>9</v>
      </c>
      <c r="F26" s="3">
        <v>0.50600000000000001</v>
      </c>
      <c r="G26" s="3">
        <v>0.33200000000000002</v>
      </c>
      <c r="H26" s="6">
        <v>2</v>
      </c>
      <c r="I26" s="4">
        <v>350</v>
      </c>
      <c r="J26" s="4">
        <v>0.50600000000000001</v>
      </c>
      <c r="K26" s="4">
        <v>0.32800000000000001</v>
      </c>
      <c r="L26" s="7">
        <v>445.70571428571429</v>
      </c>
      <c r="M26" s="8"/>
      <c r="N26" s="8"/>
      <c r="O26" s="8"/>
      <c r="P26" s="12"/>
    </row>
    <row r="27" spans="1:16" x14ac:dyDescent="0.25">
      <c r="A27" s="92"/>
      <c r="B27" s="91" t="s">
        <v>21</v>
      </c>
      <c r="C27" s="2" t="s">
        <v>8</v>
      </c>
      <c r="D27" s="2" t="s">
        <v>17</v>
      </c>
      <c r="E27" s="2" t="s">
        <v>9</v>
      </c>
      <c r="F27" s="3">
        <v>0.58499999999999996</v>
      </c>
      <c r="G27" s="3">
        <v>0.38</v>
      </c>
      <c r="H27" s="6">
        <v>0</v>
      </c>
      <c r="I27" s="4">
        <v>425</v>
      </c>
      <c r="J27" s="4">
        <v>0.58099999999999996</v>
      </c>
      <c r="K27" s="4">
        <v>0.35899999999999999</v>
      </c>
      <c r="L27" s="7">
        <v>284.13411764705882</v>
      </c>
      <c r="M27" s="8"/>
      <c r="N27" s="8"/>
      <c r="O27" s="8"/>
      <c r="P27" s="12"/>
    </row>
    <row r="28" spans="1:16" x14ac:dyDescent="0.25">
      <c r="A28" s="92"/>
      <c r="B28" s="91"/>
      <c r="C28" s="2" t="s">
        <v>10</v>
      </c>
      <c r="D28" s="2" t="s">
        <v>17</v>
      </c>
      <c r="E28" s="2" t="s">
        <v>9</v>
      </c>
      <c r="F28" s="3">
        <v>0.52700000000000002</v>
      </c>
      <c r="G28" s="3">
        <v>0.34200000000000003</v>
      </c>
      <c r="H28" s="6">
        <v>1</v>
      </c>
      <c r="I28" s="4">
        <v>425</v>
      </c>
      <c r="J28" s="4">
        <v>0.52700000000000002</v>
      </c>
      <c r="K28" s="4">
        <v>0.34100000000000003</v>
      </c>
      <c r="L28" s="7">
        <v>352.59058823529409</v>
      </c>
      <c r="M28" s="8"/>
      <c r="N28" s="8"/>
      <c r="O28" s="8"/>
      <c r="P28" s="12"/>
    </row>
    <row r="29" spans="1:16" x14ac:dyDescent="0.25">
      <c r="A29" s="92"/>
      <c r="B29" s="91"/>
      <c r="C29" s="2" t="s">
        <v>11</v>
      </c>
      <c r="D29" s="2" t="s">
        <v>17</v>
      </c>
      <c r="E29" s="2" t="s">
        <v>9</v>
      </c>
      <c r="F29" s="3">
        <v>0.497</v>
      </c>
      <c r="G29" s="3">
        <v>0.32300000000000001</v>
      </c>
      <c r="H29" s="6">
        <v>2</v>
      </c>
      <c r="I29" s="4">
        <v>425</v>
      </c>
      <c r="J29" s="4">
        <v>0.496</v>
      </c>
      <c r="K29" s="4">
        <v>0.32100000000000001</v>
      </c>
      <c r="L29" s="7">
        <v>434.34823529411767</v>
      </c>
      <c r="M29" s="8"/>
      <c r="N29" s="8"/>
      <c r="O29" s="8"/>
      <c r="P29" s="12"/>
    </row>
    <row r="30" spans="1:16" x14ac:dyDescent="0.25">
      <c r="A30" s="92"/>
      <c r="B30" s="91" t="s">
        <v>15</v>
      </c>
      <c r="C30" s="2" t="s">
        <v>8</v>
      </c>
      <c r="D30" s="2" t="s">
        <v>17</v>
      </c>
      <c r="E30" s="2" t="s">
        <v>9</v>
      </c>
      <c r="F30" s="3">
        <v>0.58499999999999996</v>
      </c>
      <c r="G30" s="3">
        <v>0.38</v>
      </c>
      <c r="H30" s="6">
        <v>0</v>
      </c>
      <c r="I30" s="4">
        <v>750</v>
      </c>
      <c r="J30" s="4">
        <v>0.57799999999999996</v>
      </c>
      <c r="K30" s="4">
        <v>0.36599999999999999</v>
      </c>
      <c r="L30" s="7">
        <v>212.11199999999999</v>
      </c>
      <c r="M30" s="9">
        <v>1000</v>
      </c>
      <c r="N30" s="9">
        <v>0.57499999999999996</v>
      </c>
      <c r="O30" s="9">
        <v>0.35799999999999998</v>
      </c>
      <c r="P30" s="10">
        <v>183.81899999999999</v>
      </c>
    </row>
    <row r="31" spans="1:16" x14ac:dyDescent="0.25">
      <c r="A31" s="92"/>
      <c r="B31" s="91"/>
      <c r="C31" s="2" t="s">
        <v>10</v>
      </c>
      <c r="D31" s="2" t="s">
        <v>17</v>
      </c>
      <c r="E31" s="2" t="s">
        <v>9</v>
      </c>
      <c r="F31" s="3">
        <v>0.52700000000000002</v>
      </c>
      <c r="G31" s="3">
        <v>0.34200000000000003</v>
      </c>
      <c r="H31" s="6">
        <v>1</v>
      </c>
      <c r="I31" s="4">
        <v>750</v>
      </c>
      <c r="J31" s="4">
        <v>0.52600000000000002</v>
      </c>
      <c r="K31" s="4">
        <v>0.32800000000000001</v>
      </c>
      <c r="L31" s="7">
        <v>254.06933333333333</v>
      </c>
      <c r="M31" s="9">
        <v>1000</v>
      </c>
      <c r="N31" s="9">
        <v>0.52600000000000002</v>
      </c>
      <c r="O31" s="9">
        <v>0.34100000000000003</v>
      </c>
      <c r="P31" s="10">
        <v>225.00399999999999</v>
      </c>
    </row>
    <row r="32" spans="1:16" x14ac:dyDescent="0.25">
      <c r="A32" s="92"/>
      <c r="B32" s="91"/>
      <c r="C32" s="2" t="s">
        <v>11</v>
      </c>
      <c r="D32" s="2" t="s">
        <v>17</v>
      </c>
      <c r="E32" s="2" t="s">
        <v>9</v>
      </c>
      <c r="F32" s="3">
        <v>0.497</v>
      </c>
      <c r="G32" s="3">
        <v>0.32300000000000001</v>
      </c>
      <c r="H32" s="6">
        <v>2</v>
      </c>
      <c r="I32" s="4">
        <v>750</v>
      </c>
      <c r="J32" s="4">
        <v>0.495</v>
      </c>
      <c r="K32" s="4">
        <v>0.315</v>
      </c>
      <c r="L32" s="7">
        <v>331.40933333333334</v>
      </c>
      <c r="M32" s="9">
        <v>1000</v>
      </c>
      <c r="N32" s="9">
        <v>0.495</v>
      </c>
      <c r="O32" s="9">
        <v>0.318</v>
      </c>
      <c r="P32" s="10">
        <v>263.23</v>
      </c>
    </row>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sheetData>
  <mergeCells count="14">
    <mergeCell ref="A3:A17"/>
    <mergeCell ref="A18:A32"/>
    <mergeCell ref="B30:B32"/>
    <mergeCell ref="B12:B14"/>
    <mergeCell ref="B9:B11"/>
    <mergeCell ref="B6:B8"/>
    <mergeCell ref="B3:B5"/>
    <mergeCell ref="B27:B29"/>
    <mergeCell ref="I1:L1"/>
    <mergeCell ref="M1:P1"/>
    <mergeCell ref="B24:B26"/>
    <mergeCell ref="B21:B23"/>
    <mergeCell ref="B18:B20"/>
    <mergeCell ref="B15:B17"/>
  </mergeCells>
  <pageMargins left="0.7" right="0.7" top="0.75" bottom="0.75" header="0.3" footer="0.3"/>
  <pageSetup scale="57" fitToHeight="0" orientation="landscape" r:id="rId1"/>
  <headerFooter>
    <oddHeader>&amp;L&amp;"-,Bold"
Table 1. Draft minimum efficiency requirements for screw/scroll and centrifugal chillers - SCE</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W o r k b o o k S t a t e   x m l n s : i = " h t t p : / / w w w . w 3 . o r g / 2 0 0 1 / X M L S c h e m a - i n s t a n c e "   x m l n s = " h t t p : / / s c h e m a s . m i c r o s o f t . c o m / P o w e r B I A d d I n " > < L a s t P r o v i d e d R a n g e N a m e I d > 0 < / L a s t P r o v i d e d R a n g e N a m e I d > < L a s t U s e d G r o u p O b j e c t I d > < / L a s t U s e d G r o u p O b j e c t I d > < T i l e s L i s t > < T i l e s / > < / T i l e s L i s t > < / W o r k b o o k S t a t e > 
</file>

<file path=customXml/itemProps1.xml><?xml version="1.0" encoding="utf-8"?>
<ds:datastoreItem xmlns:ds="http://schemas.openxmlformats.org/officeDocument/2006/customXml" ds:itemID="{B388FA24-1EAB-4B43-B5E7-FF3168E7D812}">
  <ds:schemaRefs>
    <ds:schemaRef ds:uri="http://schemas.microsoft.com/PowerBIAdd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Background</vt:lpstr>
      <vt:lpstr>SCE Measure Summary</vt:lpstr>
      <vt:lpstr>PG&amp;E Measure Summary</vt:lpstr>
      <vt:lpstr>Cost per Solution Code</vt:lpstr>
      <vt:lpstr>IMC Summary</vt:lpstr>
      <vt:lpstr>Raw Data</vt:lpstr>
      <vt:lpstr>'Raw Data'!Print_Area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Joseph Tanzer</dc:creator>
  <cp:lastModifiedBy>Subramanya, Arvind</cp:lastModifiedBy>
  <cp:lastPrinted>2017-10-10T22:44:45Z</cp:lastPrinted>
  <dcterms:created xsi:type="dcterms:W3CDTF">2017-09-11T18:08:05Z</dcterms:created>
  <dcterms:modified xsi:type="dcterms:W3CDTF">2017-11-14T19:36:51Z</dcterms:modified>
</cp:coreProperties>
</file>