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45" windowWidth="11985" windowHeight="12465" tabRatio="745" activeTab="1"/>
  </bookViews>
  <sheets>
    <sheet name="Summary COP" sheetId="14" r:id="rId1"/>
    <sheet name="Summary EER" sheetId="17" r:id="rId2"/>
    <sheet name="DEER DX SEER to EER" sheetId="22" r:id="rId3"/>
    <sheet name="DEER HP COP to HIR" sheetId="2" r:id="rId4"/>
  </sheets>
  <calcPr calcId="145621"/>
</workbook>
</file>

<file path=xl/calcChain.xml><?xml version="1.0" encoding="utf-8"?>
<calcChain xmlns="http://schemas.openxmlformats.org/spreadsheetml/2006/main">
  <c r="D59" i="17" l="1"/>
  <c r="D32" i="17"/>
  <c r="D5" i="17"/>
  <c r="F4" i="22" l="1"/>
  <c r="F6" i="22"/>
  <c r="F7" i="22"/>
  <c r="F8" i="22"/>
  <c r="B5" i="17"/>
  <c r="O5" i="17"/>
  <c r="Q5" i="17"/>
  <c r="R5" i="17" s="1"/>
  <c r="O6" i="17"/>
  <c r="Q6" i="17"/>
  <c r="O7" i="17"/>
  <c r="Q7" i="17"/>
  <c r="O8" i="17"/>
  <c r="Q8" i="17"/>
  <c r="O9" i="17"/>
  <c r="Q9" i="17"/>
  <c r="O10" i="17"/>
  <c r="Q10" i="17"/>
  <c r="O11" i="17"/>
  <c r="Q11" i="17"/>
  <c r="O12" i="17"/>
  <c r="Q12" i="17"/>
  <c r="O13" i="17"/>
  <c r="Q13" i="17"/>
  <c r="O14" i="17"/>
  <c r="Q14" i="17"/>
  <c r="O15" i="17"/>
  <c r="Q15" i="17"/>
  <c r="O16" i="17"/>
  <c r="Q16" i="17"/>
  <c r="O17" i="17"/>
  <c r="Q17" i="17"/>
  <c r="O18" i="17"/>
  <c r="Q18" i="17"/>
  <c r="O19" i="17"/>
  <c r="Q19" i="17"/>
  <c r="O20" i="17"/>
  <c r="Q20" i="17"/>
  <c r="O21" i="17"/>
  <c r="Q21" i="17"/>
  <c r="O22" i="17"/>
  <c r="Q22" i="17"/>
  <c r="O23" i="17"/>
  <c r="Q23" i="17"/>
  <c r="O24" i="17"/>
  <c r="Q24" i="17"/>
  <c r="O25" i="17"/>
  <c r="Q25" i="17"/>
  <c r="O26" i="17"/>
  <c r="Q26" i="17"/>
  <c r="O27" i="17"/>
  <c r="Q27" i="17"/>
  <c r="R27" i="17" s="1"/>
  <c r="O28" i="17"/>
  <c r="Q28" i="17"/>
  <c r="O29" i="17"/>
  <c r="Q29" i="17"/>
  <c r="O30" i="17"/>
  <c r="Q30" i="17"/>
  <c r="O31" i="17"/>
  <c r="Q31" i="17"/>
  <c r="B32" i="17"/>
  <c r="O32" i="17"/>
  <c r="Q32" i="17"/>
  <c r="R32" i="17" s="1"/>
  <c r="O33" i="17"/>
  <c r="Q33" i="17"/>
  <c r="O34" i="17"/>
  <c r="Q34" i="17"/>
  <c r="O35" i="17"/>
  <c r="Q35" i="17"/>
  <c r="O36" i="17"/>
  <c r="Q36" i="17"/>
  <c r="R36" i="17" s="1"/>
  <c r="O37" i="17"/>
  <c r="Q37" i="17"/>
  <c r="O38" i="17"/>
  <c r="Q38" i="17"/>
  <c r="R38" i="17" s="1"/>
  <c r="O39" i="17"/>
  <c r="Q39" i="17"/>
  <c r="O40" i="17"/>
  <c r="Q40" i="17"/>
  <c r="O41" i="17"/>
  <c r="Q41" i="17"/>
  <c r="O42" i="17"/>
  <c r="P42" i="17" s="1"/>
  <c r="Q42" i="17"/>
  <c r="O43" i="17"/>
  <c r="Q43" i="17"/>
  <c r="R43" i="17" s="1"/>
  <c r="O44" i="17"/>
  <c r="Q44" i="17"/>
  <c r="O45" i="17"/>
  <c r="Q45" i="17"/>
  <c r="O46" i="17"/>
  <c r="Q46" i="17"/>
  <c r="O47" i="17"/>
  <c r="Q47" i="17"/>
  <c r="O48" i="17"/>
  <c r="Q48" i="17"/>
  <c r="O49" i="17"/>
  <c r="Q49" i="17"/>
  <c r="O50" i="17"/>
  <c r="Q50" i="17"/>
  <c r="O51" i="17"/>
  <c r="Q51" i="17"/>
  <c r="O52" i="17"/>
  <c r="Q52" i="17"/>
  <c r="O53" i="17"/>
  <c r="Q53" i="17"/>
  <c r="O54" i="17"/>
  <c r="Q54" i="17"/>
  <c r="O55" i="17"/>
  <c r="Q55" i="17"/>
  <c r="O56" i="17"/>
  <c r="Q56" i="17"/>
  <c r="O57" i="17"/>
  <c r="Q57" i="17"/>
  <c r="O58" i="17"/>
  <c r="Q58" i="17"/>
  <c r="B59" i="17"/>
  <c r="O59" i="17"/>
  <c r="Q59" i="17"/>
  <c r="O60" i="17"/>
  <c r="Q60" i="17"/>
  <c r="O61" i="17"/>
  <c r="Q61" i="17"/>
  <c r="O62" i="17"/>
  <c r="Q62" i="17"/>
  <c r="O63" i="17"/>
  <c r="Q63" i="17"/>
  <c r="O64" i="17"/>
  <c r="Q64" i="17"/>
  <c r="R65" i="17"/>
  <c r="O65" i="17"/>
  <c r="Q65" i="17"/>
  <c r="O66" i="17"/>
  <c r="Q66" i="17"/>
  <c r="R67" i="17"/>
  <c r="O67" i="17"/>
  <c r="Q67" i="17"/>
  <c r="R68" i="17"/>
  <c r="O68" i="17"/>
  <c r="Q68" i="17"/>
  <c r="O69" i="17"/>
  <c r="Q69" i="17"/>
  <c r="O70" i="17"/>
  <c r="Q70" i="17"/>
  <c r="O71" i="17"/>
  <c r="Q71" i="17"/>
  <c r="H42" i="17" l="1"/>
  <c r="R39" i="17"/>
  <c r="R49" i="17"/>
  <c r="P38" i="17"/>
  <c r="H38" i="17" s="1"/>
  <c r="J25" i="17"/>
  <c r="P70" i="17"/>
  <c r="P62" i="17"/>
  <c r="H62" i="17" s="1"/>
  <c r="J62" i="17" s="1"/>
  <c r="P53" i="17"/>
  <c r="J52" i="17"/>
  <c r="P51" i="17"/>
  <c r="S25" i="17"/>
  <c r="P24" i="17"/>
  <c r="R22" i="17"/>
  <c r="P11" i="17"/>
  <c r="H11" i="17" s="1"/>
  <c r="J11" i="17" s="1"/>
  <c r="S70" i="17"/>
  <c r="P58" i="17"/>
  <c r="P52" i="17"/>
  <c r="P37" i="17"/>
  <c r="H37" i="17" s="1"/>
  <c r="J37" i="17" s="1"/>
  <c r="R16" i="17"/>
  <c r="P59" i="17"/>
  <c r="H59" i="17" s="1"/>
  <c r="S58" i="17"/>
  <c r="P28" i="17"/>
  <c r="P45" i="17"/>
  <c r="H45" i="17" s="1"/>
  <c r="J45" i="17" s="1"/>
  <c r="R44" i="17"/>
  <c r="R40" i="17"/>
  <c r="R31" i="17"/>
  <c r="P18" i="17"/>
  <c r="H18" i="17" s="1"/>
  <c r="S18" i="17" s="1"/>
  <c r="P15" i="17"/>
  <c r="H15" i="17" s="1"/>
  <c r="S15" i="17" s="1"/>
  <c r="R52" i="17"/>
  <c r="N52" i="17" s="1"/>
  <c r="P64" i="17"/>
  <c r="H64" i="17" s="1"/>
  <c r="R63" i="17"/>
  <c r="J55" i="17"/>
  <c r="R47" i="17"/>
  <c r="P43" i="17"/>
  <c r="H43" i="17" s="1"/>
  <c r="J43" i="17" s="1"/>
  <c r="P36" i="17"/>
  <c r="H36" i="17" s="1"/>
  <c r="J36" i="17" s="1"/>
  <c r="P25" i="17"/>
  <c r="P23" i="17"/>
  <c r="R13" i="17"/>
  <c r="P10" i="17"/>
  <c r="H10" i="17" s="1"/>
  <c r="J10" i="17" s="1"/>
  <c r="R60" i="17"/>
  <c r="R35" i="17"/>
  <c r="R33" i="17"/>
  <c r="R8" i="17"/>
  <c r="J70" i="17"/>
  <c r="P68" i="17"/>
  <c r="H68" i="17" s="1"/>
  <c r="S68" i="17" s="1"/>
  <c r="R64" i="17"/>
  <c r="N64" i="17" s="1"/>
  <c r="J58" i="17"/>
  <c r="S55" i="17"/>
  <c r="S52" i="17"/>
  <c r="R41" i="17"/>
  <c r="M36" i="17"/>
  <c r="N36" i="17" s="1"/>
  <c r="P32" i="17"/>
  <c r="H32" i="17" s="1"/>
  <c r="I32" i="17" s="1"/>
  <c r="K32" i="17" s="1"/>
  <c r="S29" i="17"/>
  <c r="R25" i="17"/>
  <c r="S23" i="17"/>
  <c r="P21" i="17"/>
  <c r="H21" i="17" s="1"/>
  <c r="R20" i="17"/>
  <c r="P14" i="17"/>
  <c r="H14" i="17" s="1"/>
  <c r="S14" i="17" s="1"/>
  <c r="R11" i="17"/>
  <c r="P5" i="17"/>
  <c r="H5" i="17" s="1"/>
  <c r="I5" i="17" s="1"/>
  <c r="K5" i="17" s="1"/>
  <c r="R71" i="17"/>
  <c r="R62" i="17"/>
  <c r="R46" i="17"/>
  <c r="P66" i="17"/>
  <c r="H66" i="17" s="1"/>
  <c r="J66" i="17" s="1"/>
  <c r="P55" i="17"/>
  <c r="P50" i="17"/>
  <c r="R48" i="17"/>
  <c r="P30" i="17"/>
  <c r="P26" i="17"/>
  <c r="R21" i="17"/>
  <c r="R17" i="17"/>
  <c r="R15" i="17"/>
  <c r="P9" i="17"/>
  <c r="M9" i="17" s="1"/>
  <c r="J69" i="17"/>
  <c r="P34" i="17"/>
  <c r="M34" i="17" s="1"/>
  <c r="R70" i="17"/>
  <c r="R45" i="17"/>
  <c r="M42" i="17"/>
  <c r="R29" i="17"/>
  <c r="P27" i="17"/>
  <c r="I27" i="17" s="1"/>
  <c r="R14" i="17"/>
  <c r="R9" i="17"/>
  <c r="R61" i="17"/>
  <c r="R69" i="17"/>
  <c r="P67" i="17"/>
  <c r="H67" i="17" s="1"/>
  <c r="S67" i="17" s="1"/>
  <c r="R59" i="17"/>
  <c r="R58" i="17"/>
  <c r="P57" i="17"/>
  <c r="R55" i="17"/>
  <c r="N55" i="17" s="1"/>
  <c r="T55" i="17" s="1"/>
  <c r="R42" i="17"/>
  <c r="P39" i="17"/>
  <c r="H39" i="17" s="1"/>
  <c r="R37" i="17"/>
  <c r="R34" i="17"/>
  <c r="P16" i="17"/>
  <c r="H16" i="17" s="1"/>
  <c r="J16" i="17" s="1"/>
  <c r="R10" i="17"/>
  <c r="S71" i="17"/>
  <c r="R66" i="17"/>
  <c r="P60" i="17"/>
  <c r="R54" i="17"/>
  <c r="J54" i="17"/>
  <c r="P54" i="17"/>
  <c r="R56" i="17"/>
  <c r="J56" i="17"/>
  <c r="P56" i="17"/>
  <c r="S53" i="17"/>
  <c r="S51" i="17"/>
  <c r="J42" i="17"/>
  <c r="P33" i="17"/>
  <c r="M33" i="17" s="1"/>
  <c r="S28" i="17"/>
  <c r="S26" i="17"/>
  <c r="R19" i="17"/>
  <c r="P12" i="17"/>
  <c r="M12" i="17" s="1"/>
  <c r="R51" i="17"/>
  <c r="J51" i="17"/>
  <c r="R28" i="17"/>
  <c r="J28" i="17"/>
  <c r="R26" i="17"/>
  <c r="J26" i="17"/>
  <c r="R24" i="17"/>
  <c r="J24" i="17"/>
  <c r="P7" i="17"/>
  <c r="H7" i="17" s="1"/>
  <c r="J7" i="17" s="1"/>
  <c r="P6" i="17"/>
  <c r="H6" i="17" s="1"/>
  <c r="J31" i="17"/>
  <c r="P71" i="17"/>
  <c r="P69" i="17"/>
  <c r="P65" i="17"/>
  <c r="N65" i="17" s="1"/>
  <c r="S57" i="17"/>
  <c r="R50" i="17"/>
  <c r="J50" i="17"/>
  <c r="P47" i="17"/>
  <c r="N47" i="17" s="1"/>
  <c r="P40" i="17"/>
  <c r="M40" i="17" s="1"/>
  <c r="N40" i="17" s="1"/>
  <c r="P35" i="17"/>
  <c r="H35" i="17" s="1"/>
  <c r="P31" i="17"/>
  <c r="S30" i="17"/>
  <c r="R23" i="17"/>
  <c r="J23" i="17"/>
  <c r="R12" i="17"/>
  <c r="J27" i="17"/>
  <c r="S27" i="17"/>
  <c r="S24" i="17"/>
  <c r="P19" i="17"/>
  <c r="J71" i="17"/>
  <c r="R53" i="17"/>
  <c r="J53" i="17"/>
  <c r="S50" i="17"/>
  <c r="P49" i="17"/>
  <c r="P61" i="17"/>
  <c r="H61" i="17" s="1"/>
  <c r="R57" i="17"/>
  <c r="J57" i="17"/>
  <c r="S56" i="17"/>
  <c r="S54" i="17"/>
  <c r="P41" i="17"/>
  <c r="H41" i="17" s="1"/>
  <c r="R30" i="17"/>
  <c r="J30" i="17"/>
  <c r="P29" i="17"/>
  <c r="J29" i="17"/>
  <c r="R18" i="17"/>
  <c r="P17" i="17"/>
  <c r="R7" i="17"/>
  <c r="R6" i="17"/>
  <c r="P63" i="17"/>
  <c r="H63" i="17" s="1"/>
  <c r="P48" i="17"/>
  <c r="P46" i="17"/>
  <c r="H46" i="17" s="1"/>
  <c r="P44" i="17"/>
  <c r="P22" i="17"/>
  <c r="H22" i="17" s="1"/>
  <c r="J22" i="17" s="1"/>
  <c r="P13" i="17"/>
  <c r="H13" i="17" s="1"/>
  <c r="P8" i="17"/>
  <c r="M8" i="17" s="1"/>
  <c r="P20" i="17"/>
  <c r="J21" i="17" l="1"/>
  <c r="S21" i="17"/>
  <c r="H20" i="17"/>
  <c r="S22" i="17"/>
  <c r="I26" i="17"/>
  <c r="I51" i="17"/>
  <c r="K51" i="17" s="1"/>
  <c r="M11" i="17"/>
  <c r="S11" i="17" s="1"/>
  <c r="N24" i="17"/>
  <c r="I24" i="17"/>
  <c r="N71" i="17"/>
  <c r="I42" i="17"/>
  <c r="N70" i="17"/>
  <c r="I62" i="17"/>
  <c r="K62" i="17" s="1"/>
  <c r="M38" i="17"/>
  <c r="N38" i="17" s="1"/>
  <c r="N28" i="17"/>
  <c r="N30" i="17"/>
  <c r="M32" i="17"/>
  <c r="N32" i="17" s="1"/>
  <c r="T32" i="17" s="1"/>
  <c r="N53" i="17"/>
  <c r="T53" i="17" s="1"/>
  <c r="N23" i="17"/>
  <c r="N49" i="17"/>
  <c r="I70" i="17"/>
  <c r="K70" i="17" s="1"/>
  <c r="S62" i="17"/>
  <c r="I52" i="17"/>
  <c r="T52" i="17" s="1"/>
  <c r="I22" i="17"/>
  <c r="K22" i="17" s="1"/>
  <c r="I10" i="17"/>
  <c r="K10" i="17" s="1"/>
  <c r="I37" i="17"/>
  <c r="K37" i="17" s="1"/>
  <c r="M43" i="17"/>
  <c r="N43" i="17" s="1"/>
  <c r="N9" i="17"/>
  <c r="N8" i="17"/>
  <c r="N62" i="17"/>
  <c r="N48" i="17"/>
  <c r="I55" i="17"/>
  <c r="K55" i="17" s="1"/>
  <c r="N33" i="17"/>
  <c r="H33" i="17"/>
  <c r="J33" i="17" s="1"/>
  <c r="I23" i="17"/>
  <c r="T23" i="17" s="1"/>
  <c r="I50" i="17"/>
  <c r="K50" i="17" s="1"/>
  <c r="I28" i="17"/>
  <c r="K28" i="17" s="1"/>
  <c r="M37" i="17"/>
  <c r="S37" i="17" s="1"/>
  <c r="I68" i="17"/>
  <c r="S36" i="17"/>
  <c r="H34" i="17"/>
  <c r="J34" i="17" s="1"/>
  <c r="N21" i="17"/>
  <c r="I25" i="17"/>
  <c r="K25" i="17" s="1"/>
  <c r="I58" i="17"/>
  <c r="K58" i="17" s="1"/>
  <c r="N29" i="17"/>
  <c r="N54" i="17"/>
  <c r="T54" i="17" s="1"/>
  <c r="N50" i="17"/>
  <c r="N18" i="17"/>
  <c r="N14" i="17"/>
  <c r="N45" i="17"/>
  <c r="J5" i="17"/>
  <c r="U5" i="17" s="1"/>
  <c r="N25" i="17"/>
  <c r="J14" i="17"/>
  <c r="M7" i="17"/>
  <c r="N7" i="17" s="1"/>
  <c r="J18" i="17"/>
  <c r="N31" i="17"/>
  <c r="I36" i="17"/>
  <c r="N59" i="17"/>
  <c r="U69" i="17"/>
  <c r="J67" i="17"/>
  <c r="N58" i="17"/>
  <c r="N34" i="17"/>
  <c r="I15" i="17"/>
  <c r="N51" i="17"/>
  <c r="I21" i="17"/>
  <c r="K21" i="17" s="1"/>
  <c r="J32" i="17"/>
  <c r="U32" i="17" s="1"/>
  <c r="S43" i="17"/>
  <c r="J15" i="17"/>
  <c r="H12" i="17"/>
  <c r="S12" i="17" s="1"/>
  <c r="H40" i="17"/>
  <c r="I40" i="17" s="1"/>
  <c r="I14" i="17"/>
  <c r="K14" i="17" s="1"/>
  <c r="M5" i="17"/>
  <c r="N5" i="17" s="1"/>
  <c r="T5" i="17" s="1"/>
  <c r="N67" i="17"/>
  <c r="I43" i="17"/>
  <c r="K43" i="17" s="1"/>
  <c r="N27" i="17"/>
  <c r="T27" i="17" s="1"/>
  <c r="M10" i="17"/>
  <c r="S10" i="17" s="1"/>
  <c r="I11" i="17"/>
  <c r="K11" i="17" s="1"/>
  <c r="N15" i="17"/>
  <c r="S45" i="17"/>
  <c r="N60" i="17"/>
  <c r="N66" i="17"/>
  <c r="K42" i="17"/>
  <c r="N57" i="17"/>
  <c r="I29" i="17"/>
  <c r="J38" i="17"/>
  <c r="I45" i="17"/>
  <c r="K45" i="17" s="1"/>
  <c r="J68" i="17"/>
  <c r="N63" i="17"/>
  <c r="N68" i="17"/>
  <c r="N42" i="17"/>
  <c r="T42" i="17" s="1"/>
  <c r="H8" i="17"/>
  <c r="S8" i="17" s="1"/>
  <c r="M41" i="17"/>
  <c r="N41" i="17" s="1"/>
  <c r="I54" i="17"/>
  <c r="K54" i="17" s="1"/>
  <c r="M6" i="17"/>
  <c r="N6" i="17" s="1"/>
  <c r="I69" i="17"/>
  <c r="K69" i="17" s="1"/>
  <c r="I67" i="17"/>
  <c r="K67" i="17" s="1"/>
  <c r="I38" i="17"/>
  <c r="I71" i="17"/>
  <c r="H9" i="17"/>
  <c r="I39" i="17"/>
  <c r="J39" i="17"/>
  <c r="N16" i="17"/>
  <c r="N46" i="17"/>
  <c r="N56" i="17"/>
  <c r="M39" i="17"/>
  <c r="N39" i="17" s="1"/>
  <c r="H48" i="17"/>
  <c r="I48" i="17" s="1"/>
  <c r="I56" i="17"/>
  <c r="K56" i="17" s="1"/>
  <c r="H60" i="17"/>
  <c r="J60" i="17" s="1"/>
  <c r="H47" i="17"/>
  <c r="S47" i="17" s="1"/>
  <c r="M35" i="17"/>
  <c r="N35" i="17" s="1"/>
  <c r="S16" i="17"/>
  <c r="N61" i="17"/>
  <c r="N12" i="17"/>
  <c r="I16" i="17"/>
  <c r="K16" i="17" s="1"/>
  <c r="S42" i="17"/>
  <c r="I53" i="17"/>
  <c r="K53" i="17" s="1"/>
  <c r="H65" i="17"/>
  <c r="J65" i="17" s="1"/>
  <c r="I13" i="17"/>
  <c r="J13" i="17"/>
  <c r="I41" i="17"/>
  <c r="J41" i="17"/>
  <c r="I6" i="17"/>
  <c r="J6" i="17"/>
  <c r="K26" i="17"/>
  <c r="I61" i="17"/>
  <c r="S61" i="17"/>
  <c r="J61" i="17"/>
  <c r="K23" i="17"/>
  <c r="H44" i="17"/>
  <c r="N44" i="17"/>
  <c r="I18" i="17"/>
  <c r="U29" i="17"/>
  <c r="H19" i="17"/>
  <c r="N19" i="17"/>
  <c r="U11" i="17"/>
  <c r="U50" i="17"/>
  <c r="M13" i="17"/>
  <c r="N13" i="17" s="1"/>
  <c r="J63" i="17"/>
  <c r="S63" i="17"/>
  <c r="I63" i="17"/>
  <c r="N22" i="17"/>
  <c r="N26" i="17"/>
  <c r="I30" i="17"/>
  <c r="I57" i="17"/>
  <c r="S69" i="17"/>
  <c r="N69" i="17"/>
  <c r="K27" i="17"/>
  <c r="S66" i="17"/>
  <c r="I66" i="17"/>
  <c r="U53" i="17"/>
  <c r="J64" i="17"/>
  <c r="I64" i="17"/>
  <c r="S64" i="17"/>
  <c r="U23" i="17"/>
  <c r="I59" i="17"/>
  <c r="S59" i="17"/>
  <c r="J59" i="17"/>
  <c r="I31" i="17"/>
  <c r="S31" i="17"/>
  <c r="U26" i="17"/>
  <c r="I7" i="17"/>
  <c r="J46" i="17"/>
  <c r="S46" i="17"/>
  <c r="I46" i="17"/>
  <c r="N17" i="17"/>
  <c r="H17" i="17"/>
  <c r="N20" i="17"/>
  <c r="I35" i="17"/>
  <c r="J35" i="17"/>
  <c r="H49" i="17"/>
  <c r="U56" i="17"/>
  <c r="K68" i="17"/>
  <c r="J20" i="17" l="1"/>
  <c r="U20" i="17" s="1"/>
  <c r="S20" i="17"/>
  <c r="I20" i="17"/>
  <c r="K20" i="17" s="1"/>
  <c r="N11" i="17"/>
  <c r="S32" i="17"/>
  <c r="T26" i="17"/>
  <c r="T68" i="17"/>
  <c r="T51" i="17"/>
  <c r="T38" i="17"/>
  <c r="S38" i="17"/>
  <c r="T43" i="17"/>
  <c r="J40" i="17"/>
  <c r="T62" i="17"/>
  <c r="T24" i="17"/>
  <c r="T25" i="17"/>
  <c r="K52" i="17"/>
  <c r="K24" i="17"/>
  <c r="I34" i="17"/>
  <c r="K34" i="17" s="1"/>
  <c r="T71" i="17"/>
  <c r="U65" i="17"/>
  <c r="U38" i="17"/>
  <c r="T22" i="17"/>
  <c r="J8" i="17"/>
  <c r="T70" i="17"/>
  <c r="T58" i="17"/>
  <c r="T50" i="17"/>
  <c r="S40" i="17"/>
  <c r="S33" i="17"/>
  <c r="N37" i="17"/>
  <c r="T37" i="17" s="1"/>
  <c r="T21" i="17"/>
  <c r="U14" i="17"/>
  <c r="I12" i="17"/>
  <c r="T12" i="17" s="1"/>
  <c r="I33" i="17"/>
  <c r="T33" i="17" s="1"/>
  <c r="T28" i="17"/>
  <c r="V26" i="17" s="1"/>
  <c r="N10" i="17"/>
  <c r="T10" i="17" s="1"/>
  <c r="S34" i="17"/>
  <c r="S5" i="17"/>
  <c r="J12" i="17"/>
  <c r="S7" i="17"/>
  <c r="T14" i="17"/>
  <c r="K71" i="17"/>
  <c r="I8" i="17"/>
  <c r="T8" i="17" s="1"/>
  <c r="T29" i="17"/>
  <c r="T11" i="17"/>
  <c r="T16" i="17"/>
  <c r="T15" i="17"/>
  <c r="V53" i="17"/>
  <c r="K15" i="17"/>
  <c r="T36" i="17"/>
  <c r="K36" i="17"/>
  <c r="S60" i="17"/>
  <c r="S41" i="17"/>
  <c r="S35" i="17"/>
  <c r="K38" i="17"/>
  <c r="T67" i="17"/>
  <c r="T69" i="17"/>
  <c r="I65" i="17"/>
  <c r="T65" i="17" s="1"/>
  <c r="S48" i="17"/>
  <c r="T45" i="17"/>
  <c r="J9" i="17"/>
  <c r="I9" i="17"/>
  <c r="S9" i="17"/>
  <c r="K29" i="17"/>
  <c r="J48" i="17"/>
  <c r="I47" i="17"/>
  <c r="T47" i="17" s="1"/>
  <c r="S65" i="17"/>
  <c r="S6" i="17"/>
  <c r="S39" i="17"/>
  <c r="J47" i="17"/>
  <c r="I60" i="17"/>
  <c r="T60" i="17" s="1"/>
  <c r="T56" i="17"/>
  <c r="K39" i="17"/>
  <c r="T39" i="17"/>
  <c r="S17" i="17"/>
  <c r="I17" i="17"/>
  <c r="J17" i="17"/>
  <c r="T63" i="17"/>
  <c r="K63" i="17"/>
  <c r="T35" i="17"/>
  <c r="K35" i="17"/>
  <c r="T46" i="17"/>
  <c r="K46" i="17"/>
  <c r="I19" i="17"/>
  <c r="S19" i="17"/>
  <c r="J19" i="17"/>
  <c r="J44" i="17"/>
  <c r="S44" i="17"/>
  <c r="I44" i="17"/>
  <c r="T6" i="17"/>
  <c r="K6" i="17"/>
  <c r="I49" i="17"/>
  <c r="S49" i="17"/>
  <c r="J49" i="17"/>
  <c r="T7" i="17"/>
  <c r="K7" i="17"/>
  <c r="T31" i="17"/>
  <c r="K31" i="17"/>
  <c r="T64" i="17"/>
  <c r="K64" i="17"/>
  <c r="T66" i="17"/>
  <c r="K66" i="17"/>
  <c r="K57" i="17"/>
  <c r="T57" i="17"/>
  <c r="T18" i="17"/>
  <c r="K18" i="17"/>
  <c r="U41" i="17"/>
  <c r="S13" i="17"/>
  <c r="T41" i="17"/>
  <c r="K41" i="17"/>
  <c r="T40" i="17"/>
  <c r="K40" i="17"/>
  <c r="U59" i="17"/>
  <c r="U35" i="17"/>
  <c r="T59" i="17"/>
  <c r="K59" i="17"/>
  <c r="T48" i="17"/>
  <c r="K48" i="17"/>
  <c r="T30" i="17"/>
  <c r="K30" i="17"/>
  <c r="T61" i="17"/>
  <c r="K61" i="17"/>
  <c r="T13" i="17"/>
  <c r="K13" i="17"/>
  <c r="T20" i="17" l="1"/>
  <c r="V20" i="17" s="1"/>
  <c r="K12" i="17"/>
  <c r="V11" i="17" s="1"/>
  <c r="V23" i="17"/>
  <c r="T34" i="17"/>
  <c r="V69" i="17"/>
  <c r="V50" i="17"/>
  <c r="U47" i="17"/>
  <c r="U8" i="17"/>
  <c r="K8" i="17"/>
  <c r="K33" i="17"/>
  <c r="V14" i="17"/>
  <c r="K47" i="17"/>
  <c r="K60" i="17"/>
  <c r="V59" i="17" s="1"/>
  <c r="K65" i="17"/>
  <c r="V65" i="17" s="1"/>
  <c r="V29" i="17"/>
  <c r="K9" i="17"/>
  <c r="T9" i="17"/>
  <c r="V5" i="17"/>
  <c r="V35" i="17"/>
  <c r="V41" i="17"/>
  <c r="T44" i="17"/>
  <c r="K44" i="17"/>
  <c r="U17" i="17"/>
  <c r="V38" i="17"/>
  <c r="V56" i="17"/>
  <c r="T49" i="17"/>
  <c r="K49" i="17"/>
  <c r="T17" i="17"/>
  <c r="K17" i="17"/>
  <c r="U44" i="17"/>
  <c r="T19" i="17"/>
  <c r="K19" i="17"/>
  <c r="V32" i="17" l="1"/>
  <c r="V47" i="17"/>
  <c r="V8" i="17"/>
  <c r="V17" i="17"/>
  <c r="C59" i="17"/>
  <c r="V44" i="17"/>
  <c r="C32" i="17" l="1"/>
  <c r="C5" i="17"/>
  <c r="R34" i="14" l="1"/>
  <c r="R33" i="14"/>
  <c r="R32" i="14"/>
  <c r="R31" i="14"/>
  <c r="R27" i="14"/>
  <c r="R26" i="14"/>
  <c r="R25" i="14"/>
  <c r="R24" i="14"/>
  <c r="R23" i="14"/>
  <c r="R22" i="14"/>
  <c r="R21" i="14"/>
  <c r="R17" i="14"/>
  <c r="R16" i="14"/>
  <c r="R15" i="14"/>
  <c r="R14" i="14"/>
  <c r="R13" i="14"/>
  <c r="R12" i="14"/>
  <c r="B6" i="14"/>
  <c r="B28" i="14"/>
  <c r="B18" i="14"/>
  <c r="C18" i="14" l="1"/>
  <c r="C28" i="14"/>
  <c r="C6" i="14"/>
  <c r="P9" i="14"/>
  <c r="N9" i="14" s="1"/>
  <c r="P21" i="14"/>
  <c r="Q26" i="14"/>
  <c r="P29" i="14"/>
  <c r="N29" i="14" s="1"/>
  <c r="P33" i="14"/>
  <c r="P13" i="14"/>
  <c r="P15" i="14"/>
  <c r="Q18" i="14"/>
  <c r="P19" i="14"/>
  <c r="N19" i="14" s="1"/>
  <c r="P27" i="14"/>
  <c r="Q30" i="14"/>
  <c r="Q32" i="14"/>
  <c r="K34" i="14"/>
  <c r="K14" i="14"/>
  <c r="P31" i="14"/>
  <c r="Q10" i="14"/>
  <c r="K12" i="14"/>
  <c r="T12" i="14" s="1"/>
  <c r="P17" i="14"/>
  <c r="Q22" i="14"/>
  <c r="K24" i="14"/>
  <c r="Q24" i="14"/>
  <c r="P12" i="14"/>
  <c r="P26" i="14"/>
  <c r="J26" i="14" s="1"/>
  <c r="Q6" i="14"/>
  <c r="K15" i="14"/>
  <c r="P6" i="14"/>
  <c r="N6" i="14" s="1"/>
  <c r="P18" i="14"/>
  <c r="N18" i="14" s="1"/>
  <c r="P32" i="14"/>
  <c r="K22" i="14"/>
  <c r="P8" i="14"/>
  <c r="N8" i="14" s="1"/>
  <c r="Q12" i="14"/>
  <c r="P22" i="14"/>
  <c r="P34" i="14"/>
  <c r="K26" i="14"/>
  <c r="P10" i="14"/>
  <c r="N10" i="14" s="1"/>
  <c r="P14" i="14"/>
  <c r="I9" i="14"/>
  <c r="K33" i="14"/>
  <c r="Q14" i="14"/>
  <c r="P24" i="14"/>
  <c r="P30" i="14"/>
  <c r="N30" i="14" s="1"/>
  <c r="Q16" i="14"/>
  <c r="K16" i="14"/>
  <c r="Q20" i="14"/>
  <c r="P20" i="14"/>
  <c r="N20" i="14" s="1"/>
  <c r="P23" i="14"/>
  <c r="K23" i="14"/>
  <c r="Q23" i="14"/>
  <c r="Q28" i="14"/>
  <c r="P28" i="14"/>
  <c r="N28" i="14" s="1"/>
  <c r="P11" i="14"/>
  <c r="N11" i="14" s="1"/>
  <c r="Q11" i="14"/>
  <c r="P25" i="14"/>
  <c r="Q25" i="14"/>
  <c r="K25" i="14"/>
  <c r="P16" i="14"/>
  <c r="K27" i="14"/>
  <c r="Q34" i="14"/>
  <c r="K21" i="14"/>
  <c r="K32" i="14"/>
  <c r="Q7" i="14"/>
  <c r="Q9" i="14"/>
  <c r="Q13" i="14"/>
  <c r="Q15" i="14"/>
  <c r="Q17" i="14"/>
  <c r="Q19" i="14"/>
  <c r="Q21" i="14"/>
  <c r="Q27" i="14"/>
  <c r="Q29" i="14"/>
  <c r="Q31" i="14"/>
  <c r="Q33" i="14"/>
  <c r="Q8" i="14"/>
  <c r="K13" i="14"/>
  <c r="K17" i="14"/>
  <c r="K31" i="14"/>
  <c r="P7" i="14"/>
  <c r="N7" i="14" s="1"/>
  <c r="O21" i="14" l="1"/>
  <c r="S21" i="14" s="1"/>
  <c r="O13" i="14"/>
  <c r="S13" i="14" s="1"/>
  <c r="O33" i="14"/>
  <c r="S33" i="14" s="1"/>
  <c r="O9" i="14"/>
  <c r="S9" i="14" s="1"/>
  <c r="O31" i="14"/>
  <c r="S31" i="14" s="1"/>
  <c r="O10" i="14"/>
  <c r="O18" i="14"/>
  <c r="J27" i="14"/>
  <c r="L27" i="14" s="1"/>
  <c r="J25" i="14"/>
  <c r="L25" i="14" s="1"/>
  <c r="J9" i="14"/>
  <c r="L9" i="14" s="1"/>
  <c r="J16" i="14"/>
  <c r="L16" i="14" s="1"/>
  <c r="J13" i="14"/>
  <c r="L13" i="14" s="1"/>
  <c r="J21" i="14"/>
  <c r="L21" i="14" s="1"/>
  <c r="J23" i="14"/>
  <c r="L23" i="14" s="1"/>
  <c r="J33" i="14"/>
  <c r="L33" i="14" s="1"/>
  <c r="J34" i="14"/>
  <c r="L34" i="14" s="1"/>
  <c r="O27" i="14"/>
  <c r="S27" i="14" s="1"/>
  <c r="J24" i="14"/>
  <c r="L24" i="14" s="1"/>
  <c r="J14" i="14"/>
  <c r="L14" i="14" s="1"/>
  <c r="J22" i="14"/>
  <c r="L22" i="14" s="1"/>
  <c r="J32" i="14"/>
  <c r="L32" i="14" s="1"/>
  <c r="J12" i="14"/>
  <c r="L12" i="14" s="1"/>
  <c r="J17" i="14"/>
  <c r="L17" i="14" s="1"/>
  <c r="J31" i="14"/>
  <c r="L31" i="14" s="1"/>
  <c r="J15" i="14"/>
  <c r="L15" i="14" s="1"/>
  <c r="O26" i="14"/>
  <c r="S26" i="14" s="1"/>
  <c r="R9" i="14"/>
  <c r="I29" i="14"/>
  <c r="K29" i="14" s="1"/>
  <c r="O29" i="14"/>
  <c r="O17" i="14"/>
  <c r="S17" i="14" s="1"/>
  <c r="I19" i="14"/>
  <c r="K19" i="14" s="1"/>
  <c r="L26" i="14"/>
  <c r="O16" i="14"/>
  <c r="S16" i="14" s="1"/>
  <c r="O19" i="14"/>
  <c r="O30" i="14"/>
  <c r="O15" i="14"/>
  <c r="S15" i="14" s="1"/>
  <c r="I28" i="14"/>
  <c r="K28" i="14" s="1"/>
  <c r="O22" i="14"/>
  <c r="S22" i="14" s="1"/>
  <c r="O32" i="14"/>
  <c r="S32" i="14" s="1"/>
  <c r="I18" i="14"/>
  <c r="K18" i="14" s="1"/>
  <c r="I20" i="14"/>
  <c r="J20" i="14" s="1"/>
  <c r="O24" i="14"/>
  <c r="S24" i="14" s="1"/>
  <c r="O14" i="14"/>
  <c r="S14" i="14" s="1"/>
  <c r="I10" i="14"/>
  <c r="J10" i="14" s="1"/>
  <c r="T15" i="14"/>
  <c r="O12" i="14"/>
  <c r="S12" i="14" s="1"/>
  <c r="O6" i="14"/>
  <c r="O8" i="14"/>
  <c r="O34" i="14"/>
  <c r="S34" i="14" s="1"/>
  <c r="I30" i="14"/>
  <c r="K9" i="14"/>
  <c r="O11" i="14"/>
  <c r="I6" i="14"/>
  <c r="I8" i="14"/>
  <c r="J8" i="14" s="1"/>
  <c r="O28" i="14"/>
  <c r="T25" i="14"/>
  <c r="O7" i="14"/>
  <c r="O25" i="14"/>
  <c r="S25" i="14" s="1"/>
  <c r="O23" i="14"/>
  <c r="S23" i="14" s="1"/>
  <c r="T31" i="14"/>
  <c r="T21" i="14"/>
  <c r="I11" i="14"/>
  <c r="O20" i="14"/>
  <c r="I7" i="14"/>
  <c r="J7" i="14" s="1"/>
  <c r="R19" i="14" l="1"/>
  <c r="R29" i="14"/>
  <c r="S29" i="14"/>
  <c r="J30" i="14"/>
  <c r="L30" i="14" s="1"/>
  <c r="J29" i="14"/>
  <c r="L29" i="14" s="1"/>
  <c r="J11" i="14"/>
  <c r="L11" i="14" s="1"/>
  <c r="K6" i="14"/>
  <c r="T6" i="14" s="1"/>
  <c r="R6" i="14"/>
  <c r="J6" i="14"/>
  <c r="L6" i="14" s="1"/>
  <c r="J19" i="14"/>
  <c r="L19" i="14" s="1"/>
  <c r="S19" i="14"/>
  <c r="R20" i="14"/>
  <c r="J18" i="14"/>
  <c r="L18" i="14" s="1"/>
  <c r="J28" i="14"/>
  <c r="L28" i="14" s="1"/>
  <c r="U12" i="14"/>
  <c r="U21" i="14"/>
  <c r="U31" i="14"/>
  <c r="R10" i="14"/>
  <c r="L10" i="14"/>
  <c r="S7" i="14"/>
  <c r="L7" i="14"/>
  <c r="R18" i="14"/>
  <c r="S28" i="14"/>
  <c r="S18" i="14"/>
  <c r="U25" i="14"/>
  <c r="K20" i="14"/>
  <c r="L20" i="14"/>
  <c r="K10" i="14"/>
  <c r="R28" i="14"/>
  <c r="S8" i="14"/>
  <c r="L8" i="14"/>
  <c r="U15" i="14"/>
  <c r="T9" i="14"/>
  <c r="S20" i="14"/>
  <c r="S10" i="14"/>
  <c r="R8" i="14"/>
  <c r="K30" i="14"/>
  <c r="R30" i="14"/>
  <c r="K8" i="14"/>
  <c r="S30" i="14"/>
  <c r="T28" i="14"/>
  <c r="T18" i="14"/>
  <c r="K7" i="14"/>
  <c r="R7" i="14"/>
  <c r="K11" i="14"/>
  <c r="S11" i="14"/>
  <c r="R11" i="14"/>
  <c r="U18" i="14" l="1"/>
  <c r="D18" i="14" s="1"/>
  <c r="U9" i="14"/>
  <c r="U28" i="14"/>
  <c r="D28" i="14" s="1"/>
  <c r="S6" i="14"/>
  <c r="U6" i="14" l="1"/>
  <c r="D6" i="14" s="1"/>
  <c r="E18" i="14"/>
  <c r="E28" i="14"/>
  <c r="E6" i="14" l="1"/>
</calcChain>
</file>

<file path=xl/sharedStrings.xml><?xml version="1.0" encoding="utf-8"?>
<sst xmlns="http://schemas.openxmlformats.org/spreadsheetml/2006/main" count="249" uniqueCount="183">
  <si>
    <t>CFM</t>
  </si>
  <si>
    <t>48 kbtuh models (4 tons)</t>
  </si>
  <si>
    <t>Base Fan Power (kW)</t>
  </si>
  <si>
    <t>Measure Fan Power (kW)</t>
  </si>
  <si>
    <t>Total Power Measure (kW)</t>
  </si>
  <si>
    <t>Total Power Base (kW)</t>
  </si>
  <si>
    <t>Measure Flow</t>
  </si>
  <si>
    <t>SEER</t>
  </si>
  <si>
    <t xml:space="preserve"> Dependents</t>
  </si>
  <si>
    <t>EER</t>
  </si>
  <si>
    <t>COP</t>
  </si>
  <si>
    <t>HSPF</t>
  </si>
  <si>
    <t>H-EIR</t>
  </si>
  <si>
    <t>Power Base Outdoor Unit Only (kW)</t>
  </si>
  <si>
    <t>Flow Number</t>
  </si>
  <si>
    <t xml:space="preserve">Base </t>
  </si>
  <si>
    <t>Measure</t>
  </si>
  <si>
    <t>EIR</t>
  </si>
  <si>
    <t>HP one-speed, SEER 10 - 15</t>
  </si>
  <si>
    <t>Split DX Selected Performance Maps</t>
  </si>
  <si>
    <t>HP two-speed, SEER 16 - 18</t>
  </si>
  <si>
    <t>This table lists the complete performance data sets used for the split DX measures for the DEER2015 update.</t>
  </si>
  <si>
    <t>Indep.</t>
  </si>
  <si>
    <t>Equip ID</t>
  </si>
  <si>
    <t>Tot Cap</t>
  </si>
  <si>
    <t>Sen/Total</t>
  </si>
  <si>
    <t>cfm/Btuh</t>
  </si>
  <si>
    <t>Fan W/cfm</t>
  </si>
  <si>
    <t>Coil-BF</t>
  </si>
  <si>
    <t>Crnk/Tot kW</t>
  </si>
  <si>
    <t>Crnk Off</t>
  </si>
  <si>
    <t>Total Capacity Curve Fit Coefficients</t>
  </si>
  <si>
    <t>Sensible Capacity Curve Fit Coefficients</t>
  </si>
  <si>
    <t>EIR Curve Fit Coefficients</t>
  </si>
  <si>
    <t>Coil-BF Curve Fit Coefficients</t>
  </si>
  <si>
    <t>Temperate EIR_PLR Curve Fit Coefficients</t>
  </si>
  <si>
    <t>Moderate EIR_PLR Curve Fit Coefficients</t>
  </si>
  <si>
    <t>Hot EIR_PLR Curve Fit Coefficients</t>
  </si>
  <si>
    <t>Temp C-Loss Curve Fit Coefficients</t>
  </si>
  <si>
    <t>Mod C-Loss Curve Fit Coefficients</t>
  </si>
  <si>
    <t>Hot C-Loss Curve Fit Coefficients</t>
  </si>
  <si>
    <t>Cmp Spd</t>
  </si>
  <si>
    <t>Low Speed Ratios</t>
  </si>
  <si>
    <t>COP47</t>
  </si>
  <si>
    <t>Heat Cap</t>
  </si>
  <si>
    <t>HIR Curve Fit Coefficients</t>
  </si>
  <si>
    <t>BF-FFLOW Curve Coeffients</t>
  </si>
  <si>
    <t>Data Key:</t>
  </si>
  <si>
    <t>Dep Col(s)</t>
  </si>
  <si>
    <t>Usage</t>
  </si>
  <si>
    <t>Unit's rated EER.</t>
  </si>
  <si>
    <t>Actual unit total capacity.  Value is for reference only and not used in simulations.</t>
  </si>
  <si>
    <t>Data used as DOE-2 simulation inputs.  Fields are used as follows:</t>
  </si>
  <si>
    <t>Ratio of sensible to total capacity (sensible heat ratio) is used to establish COOL-SH-CAP from design cooling load.</t>
  </si>
  <si>
    <t>COOL-SH-CAP = COOLING-CAPACITY * Sen/Total</t>
  </si>
  <si>
    <t>Value is DOE-2 keyword COOLING-EIR</t>
  </si>
  <si>
    <t>cfm/Btuh is used to calculate design air flow as SUPPLY-CFM = cfm/Btuh * unit design capacity.</t>
  </si>
  <si>
    <t>Fan W/cfm is used to set the fan power input and fan Delta T via the following keywords:</t>
  </si>
  <si>
    <t>SUPPLY-KW = (Fan W/cfm)/1,000</t>
  </si>
  <si>
    <t>SUPPLY-DELTA-T   = (Fan W/cfm)* 3.160</t>
  </si>
  <si>
    <t>Coil-BF is the design coil by-pass factor.  The DOE-2 keyword COIL-BF = Coil-BF</t>
  </si>
  <si>
    <t>Crkn/Tot kW is used to set the keyword CRANKCASE-HEAT, and is the ratio of crankcase load heat to the design compressor load.</t>
  </si>
  <si>
    <t>Crnk Off is the temperature above which crankcase heat is deactivated and is the value used for the keyword CRANKCASE-MAX-T.</t>
  </si>
  <si>
    <t>11 - 16</t>
  </si>
  <si>
    <t>The coefficients for the bi-quadratic total capacity off-design curve set by the keyword COOL-CAP-FT</t>
  </si>
  <si>
    <t>17 - 22</t>
  </si>
  <si>
    <t>The coefficients for the bi-quadratic sensible capacity off-design curve set by the keyword COOL-SH-FT</t>
  </si>
  <si>
    <t>23 - 28</t>
  </si>
  <si>
    <t>The coefficients for the bi-quadratic EIR off-design curve set by the keyword COOL-EIR-FT</t>
  </si>
  <si>
    <t>29 - 34</t>
  </si>
  <si>
    <t>The coefficients for the bi-quadratic coil by-pass factor off-design curve set by the keyword COIL-BF-FT</t>
  </si>
  <si>
    <t>For this curve set, the following should be set: OUTPUT-MAX = 0.4/CoilBF, where the Coil-BF is specified in column 8.</t>
  </si>
  <si>
    <t>35 - 38</t>
  </si>
  <si>
    <t>The coefficients for the qubic equation that determines the EIR as a function of the part-load ratio for houses in temperate climate zones</t>
  </si>
  <si>
    <t>39 - 42</t>
  </si>
  <si>
    <t>The coefficients for the qubic equation that determines the EIR as a function of the part-load ratio for houses in moderate climate zones</t>
  </si>
  <si>
    <t>43 - 46</t>
  </si>
  <si>
    <t>The coefficients for the qubic equation that determines the EIR as a function of the part-load ratio for houses in hot climate zones</t>
  </si>
  <si>
    <t>47 - 49</t>
  </si>
  <si>
    <t>The coefficients for the quadratic equation of the C-LOSS curve for houses in temperate climate zones</t>
  </si>
  <si>
    <t>50 - 52</t>
  </si>
  <si>
    <t>The coefficients for the quadratic equation of the C-LOSS curve for houses in moderate climate zones</t>
  </si>
  <si>
    <t>53 - 55</t>
  </si>
  <si>
    <t>The coefficients for the quadratic equation of the C-LOSS curve for houses in hot climate zones</t>
  </si>
  <si>
    <t>Number of compressor speeds (1 or 2).  This is used as a flag to notify simulation when 2-speed equipment is to be simulated</t>
  </si>
  <si>
    <t>Low speed cfm ratio for 2-speed units (ratio of low speed to high speed cfm) used by keyword MIN-FLOW-RATIO</t>
  </si>
  <si>
    <t>Low speed capacity ratio for 2-speed units (ratio of lowspeed to high speed cooling capacity) used by keyword COOL-STAGES</t>
  </si>
  <si>
    <t>Columns for heat pumps only.  Colums BL and BN are descriptive only and not used in simulations</t>
  </si>
  <si>
    <t>For heat pumps only - rated HSPF</t>
  </si>
  <si>
    <t>For heat pumps only - rated COP at 47 outdoor temperature.  Keyword HEATING-EIR = 1/(COP at 47 ODB)</t>
  </si>
  <si>
    <t>For heat pumps only - Actual unit rated heating capacity.  Value is for reference only and not used in simulations.</t>
  </si>
  <si>
    <t>Heating EIR from manufacturers expanded ratings chart.  Used only as a check with the rated COP at 47 ODB.</t>
  </si>
  <si>
    <t>63 - 68</t>
  </si>
  <si>
    <t>For heat pumps only - the coefficients of the bi-quadratic heating capacity off-design curve set by keyword HEAT-CAP-FT</t>
  </si>
  <si>
    <t>69 - 74</t>
  </si>
  <si>
    <t>For heat pumps only - the coefficients of the bi-quadratic heating EIR off-design curve set by keyword HEAT-EIR-FT</t>
  </si>
  <si>
    <t>75 - 78</t>
  </si>
  <si>
    <t>The coefficients C0 &amp; C1  and the Min and Max values of the linear curve-fit command assigned to keyword COIL-BF-FFLOW</t>
  </si>
  <si>
    <t>Measure COP kBtuh/kW % Increase</t>
  </si>
  <si>
    <t>Base COP (kBtuh/kW)</t>
  </si>
  <si>
    <t>Measure COP (kBtuh/kW)</t>
  </si>
  <si>
    <t>HIR</t>
  </si>
  <si>
    <t>HVAC ID</t>
  </si>
  <si>
    <t>W/CFM</t>
  </si>
  <si>
    <t>Spd</t>
  </si>
  <si>
    <t>HVAC Performance Curve Class</t>
  </si>
  <si>
    <t>COOLING-EIR</t>
  </si>
  <si>
    <t>Residential SEER-rated split Air Conditioners</t>
  </si>
  <si>
    <t>DEER2015</t>
  </si>
  <si>
    <t>8.7 HSPF/15 SEER</t>
  </si>
  <si>
    <t>9.0 HSPF/16 SEER</t>
  </si>
  <si>
    <t>9.4 HSPF/17 SEER</t>
  </si>
  <si>
    <t>Measure CFM/Ton</t>
  </si>
  <si>
    <t>CFM/Ton Measure</t>
  </si>
  <si>
    <t>Net Capacity Base Including Indoor Fan Heat (kBtuh)</t>
  </si>
  <si>
    <t>Net Capacity Measure Including Indoor Fan Heat (kBtuh)</t>
  </si>
  <si>
    <t>CFM/Ton Base</t>
  </si>
  <si>
    <t>Gross Capacity Indoor Fan Heat Not Included (kBtuh)</t>
  </si>
  <si>
    <t>17 SEER Unit</t>
  </si>
  <si>
    <t>AHRI Reference</t>
  </si>
  <si>
    <t>Measure EER kBtuh/kW % Increase</t>
  </si>
  <si>
    <t>Measure EER (kBtuh/kW)</t>
  </si>
  <si>
    <t>Base EER (kBtuh/kW)</t>
  </si>
  <si>
    <t>Measure kW/CFM</t>
  </si>
  <si>
    <t>Base kW/CFM</t>
  </si>
  <si>
    <t>EER (kBtuh/kW)</t>
  </si>
  <si>
    <t>16 SEER Unit</t>
  </si>
  <si>
    <t>15 SEER Unit</t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</si>
  <si>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F</t>
    </r>
  </si>
  <si>
    <t>Wet Bulb</t>
  </si>
  <si>
    <t>Air Entering Outdoor Unit</t>
  </si>
  <si>
    <t>Dry Bulb</t>
  </si>
  <si>
    <t>Air Entering Indoor Unit</t>
  </si>
  <si>
    <t>Standard Conditions from ANSI/AHRI Standard 210/240</t>
  </si>
  <si>
    <t>Evap</t>
  </si>
  <si>
    <t>dxAC-Res-EvapAC-SEER-17.4</t>
  </si>
  <si>
    <t>Air</t>
  </si>
  <si>
    <t>post-2001</t>
  </si>
  <si>
    <t>dxAC-Res-Split-SEER-13.0</t>
  </si>
  <si>
    <t>pre-2001</t>
  </si>
  <si>
    <t>dxAC-Res-Split-SEER-10.0</t>
  </si>
  <si>
    <t>Code/Standard</t>
  </si>
  <si>
    <t>dxAC-Res-Split-45to65kBTUh-SEER-14.0</t>
  </si>
  <si>
    <t>dxAC-Res-Split-SEER-21.0</t>
  </si>
  <si>
    <t>dxAC-Res-Split-SEER-20.0</t>
  </si>
  <si>
    <t>dxAC-Res-Split-SEER-19.0</t>
  </si>
  <si>
    <t>Not Part of Workpaper</t>
  </si>
  <si>
    <t>dxAC-Res-Split-SEER-18.0</t>
  </si>
  <si>
    <t>SFM-w01-v14-hAC-t1-cMsr-mRE-HV-ResAC-lt45kBtuh-17S.inp</t>
  </si>
  <si>
    <t>cMsr-mRE-HV-ResAC-lt45kBtuh-17S.inp</t>
  </si>
  <si>
    <t>dxAC-Res-Split-SEER-17.0</t>
  </si>
  <si>
    <t>SFM-w01-v14-hAC-t1-cMsr-mRE-HV-ResAC-lt45kBtuh-16S.inp</t>
  </si>
  <si>
    <t>cMsr-mRE-HV-ResAC-lt45kBtuh-16S.inp</t>
  </si>
  <si>
    <t>dxAC-Res-Split-SEER-16.0</t>
  </si>
  <si>
    <t>SFM-w01-v14-hAC-t1-cMsr-mRE-HV-ResAC-lt45kBtuh-15S.inp</t>
  </si>
  <si>
    <t>cMsr-mRE-HV-ResAC-lt45kBtuh-15S.inp</t>
  </si>
  <si>
    <t>dxAC-Res-Split-SEER-15.0</t>
  </si>
  <si>
    <t>SFM-w01-v14-hAC-t1-cCAv-mRE-HV-ResAC-lt45kBtuh.inp</t>
  </si>
  <si>
    <t>cCAv-mRE-HV-ResAC-lt45kBtuh.inp</t>
  </si>
  <si>
    <t>Customer Average</t>
  </si>
  <si>
    <t>SFM-w01-v14-hAC-t1-cC13-mRE-HV-ResAC-lt45kBtuh.inp</t>
  </si>
  <si>
    <t>cC13-mRE-HV-ResAC-lt45kBtuh.inp</t>
  </si>
  <si>
    <t>dxAC-Res-Split-lt45kBTUh-SEER-14.0</t>
  </si>
  <si>
    <t>Model File Extracted</t>
  </si>
  <si>
    <t>.inp</t>
  </si>
  <si>
    <t>T5</t>
  </si>
  <si>
    <t>T4</t>
  </si>
  <si>
    <t>T3</t>
  </si>
  <si>
    <t>T2</t>
  </si>
  <si>
    <t>T1</t>
  </si>
  <si>
    <t>SensCapRatio</t>
  </si>
  <si>
    <t>CondType</t>
  </si>
  <si>
    <t>Max_CoolCap</t>
  </si>
  <si>
    <t>Min_CoolCap</t>
  </si>
  <si>
    <t>EIR w/ fan Power</t>
  </si>
  <si>
    <t>Version</t>
  </si>
  <si>
    <t xml:space="preserve">Prototype EIR </t>
  </si>
  <si>
    <t>Prototype</t>
  </si>
  <si>
    <t>1/eer</t>
  </si>
  <si>
    <t>vs.</t>
  </si>
  <si>
    <t>delete data and adjust EER</t>
  </si>
  <si>
    <t>DEER 2015 Values - per 2015 DEER-PackagedAndSplitDXUpdate-24Nov2014)</t>
  </si>
  <si>
    <t>EIR
(kW/kW)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</si>
</sst>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00"/>
    <numFmt numFmtId="166" formatCode="0.0000E+00"/>
    <numFmt numFmtId="167" formatCode="0.0"/>
    <numFmt numFmtId="168" formatCode="0.000"/>
    <numFmt numFmtId="169" formatCode="0.0%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sz val="10"/>
      <color rgb="FF222222"/>
      <name val="Titillium"/>
    </font>
    <font>
      <b/>
      <sz val="15"/>
      <color theme="3"/>
      <name val="Calibri"/>
      <family val="2"/>
      <scheme val="minor"/>
    </font>
    <font>
      <sz val="8"/>
      <color rgb="FFFF0000"/>
      <name val="Verdana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6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FFFFFF"/>
      </bottom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14" applyNumberFormat="0" applyFill="0" applyAlignment="0" applyProtection="0"/>
    <xf numFmtId="0" fontId="2" fillId="0" borderId="0"/>
    <xf numFmtId="9" fontId="7" fillId="0" borderId="0" applyFont="0" applyFill="0" applyBorder="0" applyAlignment="0" applyProtection="0"/>
  </cellStyleXfs>
  <cellXfs count="216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4" fillId="3" borderId="13" xfId="0" applyFont="1" applyFill="1" applyBorder="1" applyAlignment="1">
      <alignment vertical="top" wrapText="1"/>
    </xf>
    <xf numFmtId="0" fontId="0" fillId="0" borderId="0" xfId="0" applyFill="1" applyBorder="1" applyAlignment="1">
      <alignment horizontal="left" wrapText="1"/>
    </xf>
    <xf numFmtId="0" fontId="5" fillId="0" borderId="14" xfId="2"/>
    <xf numFmtId="0" fontId="3" fillId="0" borderId="0" xfId="3" applyFont="1"/>
    <xf numFmtId="0" fontId="3" fillId="0" borderId="7" xfId="3" applyFont="1" applyBorder="1"/>
    <xf numFmtId="0" fontId="2" fillId="0" borderId="0" xfId="3"/>
    <xf numFmtId="0" fontId="2" fillId="0" borderId="0" xfId="3" applyAlignment="1">
      <alignment horizontal="center"/>
    </xf>
    <xf numFmtId="0" fontId="2" fillId="0" borderId="7" xfId="3" applyFont="1" applyBorder="1" applyAlignment="1">
      <alignment horizontal="center"/>
    </xf>
    <xf numFmtId="0" fontId="2" fillId="0" borderId="15" xfId="3" applyBorder="1" applyAlignment="1">
      <alignment horizontal="center"/>
    </xf>
    <xf numFmtId="0" fontId="2" fillId="0" borderId="15" xfId="3" applyFill="1" applyBorder="1" applyAlignment="1">
      <alignment horizontal="center"/>
    </xf>
    <xf numFmtId="0" fontId="2" fillId="0" borderId="16" xfId="3" applyFill="1" applyBorder="1" applyAlignment="1">
      <alignment horizontal="center"/>
    </xf>
    <xf numFmtId="0" fontId="6" fillId="0" borderId="16" xfId="3" applyFont="1" applyFill="1" applyBorder="1" applyAlignment="1">
      <alignment horizontal="center"/>
    </xf>
    <xf numFmtId="0" fontId="2" fillId="0" borderId="5" xfId="3" applyFont="1" applyBorder="1" applyAlignment="1">
      <alignment horizontal="center" wrapText="1"/>
    </xf>
    <xf numFmtId="2" fontId="2" fillId="0" borderId="5" xfId="3" applyNumberFormat="1" applyFont="1" applyBorder="1" applyAlignment="1">
      <alignment horizontal="center"/>
    </xf>
    <xf numFmtId="0" fontId="2" fillId="0" borderId="5" xfId="3" applyFont="1" applyBorder="1" applyAlignment="1">
      <alignment horizontal="center"/>
    </xf>
    <xf numFmtId="164" fontId="2" fillId="0" borderId="5" xfId="3" applyNumberFormat="1" applyFont="1" applyFill="1" applyBorder="1" applyAlignment="1">
      <alignment horizontal="center"/>
    </xf>
    <xf numFmtId="0" fontId="2" fillId="0" borderId="5" xfId="3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0" fontId="2" fillId="0" borderId="17" xfId="3" applyFont="1" applyFill="1" applyBorder="1" applyAlignment="1">
      <alignment horizontal="center"/>
    </xf>
    <xf numFmtId="0" fontId="2" fillId="0" borderId="18" xfId="3" applyFont="1" applyFill="1" applyBorder="1" applyAlignment="1">
      <alignment horizontal="centerContinuous"/>
    </xf>
    <xf numFmtId="0" fontId="2" fillId="0" borderId="19" xfId="3" applyFont="1" applyFill="1" applyBorder="1" applyAlignment="1">
      <alignment horizontal="centerContinuous"/>
    </xf>
    <xf numFmtId="0" fontId="2" fillId="0" borderId="5" xfId="3" applyFont="1" applyFill="1" applyBorder="1" applyAlignment="1">
      <alignment horizontal="centerContinuous"/>
    </xf>
    <xf numFmtId="0" fontId="2" fillId="0" borderId="6" xfId="3" applyFont="1" applyFill="1" applyBorder="1" applyAlignment="1">
      <alignment horizontal="centerContinuous"/>
    </xf>
    <xf numFmtId="0" fontId="2" fillId="0" borderId="20" xfId="3" applyFont="1" applyFill="1" applyBorder="1" applyAlignment="1">
      <alignment horizontal="centerContinuous"/>
    </xf>
    <xf numFmtId="166" fontId="2" fillId="0" borderId="5" xfId="3" applyNumberFormat="1" applyFont="1" applyFill="1" applyBorder="1" applyAlignment="1">
      <alignment horizontal="centerContinuous"/>
    </xf>
    <xf numFmtId="166" fontId="2" fillId="0" borderId="19" xfId="3" applyNumberFormat="1" applyFont="1" applyFill="1" applyBorder="1" applyAlignment="1">
      <alignment horizontal="centerContinuous"/>
    </xf>
    <xf numFmtId="0" fontId="2" fillId="0" borderId="21" xfId="3" applyFont="1" applyFill="1" applyBorder="1" applyAlignment="1">
      <alignment horizontal="center"/>
    </xf>
    <xf numFmtId="166" fontId="2" fillId="0" borderId="17" xfId="3" applyNumberFormat="1" applyFont="1" applyFill="1" applyBorder="1" applyAlignment="1">
      <alignment horizontal="centerContinuous"/>
    </xf>
    <xf numFmtId="0" fontId="6" fillId="0" borderId="22" xfId="3" applyFont="1" applyFill="1" applyBorder="1" applyAlignment="1">
      <alignment horizontal="center"/>
    </xf>
    <xf numFmtId="166" fontId="6" fillId="0" borderId="22" xfId="3" applyNumberFormat="1" applyFont="1" applyFill="1" applyBorder="1" applyAlignment="1">
      <alignment horizontal="centerContinuous"/>
    </xf>
    <xf numFmtId="0" fontId="6" fillId="0" borderId="23" xfId="3" applyFont="1" applyFill="1" applyBorder="1" applyAlignment="1">
      <alignment horizontal="center"/>
    </xf>
    <xf numFmtId="0" fontId="2" fillId="0" borderId="17" xfId="3" applyFont="1" applyFill="1" applyBorder="1" applyAlignment="1">
      <alignment horizontal="centerContinuous"/>
    </xf>
    <xf numFmtId="0" fontId="2" fillId="0" borderId="0" xfId="3" applyFont="1" applyFill="1" applyBorder="1" applyAlignment="1">
      <alignment horizontal="center"/>
    </xf>
    <xf numFmtId="167" fontId="2" fillId="0" borderId="0" xfId="3" applyNumberFormat="1" applyFont="1" applyFill="1" applyBorder="1" applyAlignment="1">
      <alignment horizontal="center"/>
    </xf>
    <xf numFmtId="1" fontId="2" fillId="0" borderId="0" xfId="3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168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5" xfId="0" applyBorder="1"/>
    <xf numFmtId="164" fontId="6" fillId="0" borderId="21" xfId="3" applyNumberFormat="1" applyFont="1" applyFill="1" applyBorder="1" applyAlignment="1">
      <alignment horizontal="center"/>
    </xf>
    <xf numFmtId="0" fontId="0" fillId="4" borderId="28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167" fontId="0" fillId="0" borderId="8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167" fontId="0" fillId="0" borderId="11" xfId="0" applyNumberFormat="1" applyFill="1" applyBorder="1" applyAlignment="1">
      <alignment horizontal="center"/>
    </xf>
    <xf numFmtId="10" fontId="0" fillId="0" borderId="0" xfId="0" applyNumberFormat="1"/>
    <xf numFmtId="0" fontId="0" fillId="4" borderId="24" xfId="0" applyFill="1" applyBorder="1" applyAlignment="1">
      <alignment horizontal="center" wrapText="1"/>
    </xf>
    <xf numFmtId="169" fontId="0" fillId="0" borderId="8" xfId="4" applyNumberFormat="1" applyFont="1" applyBorder="1" applyAlignment="1">
      <alignment horizontal="center"/>
    </xf>
    <xf numFmtId="169" fontId="0" fillId="0" borderId="0" xfId="4" applyNumberFormat="1" applyFont="1" applyBorder="1" applyAlignment="1">
      <alignment horizontal="center"/>
    </xf>
    <xf numFmtId="169" fontId="0" fillId="0" borderId="11" xfId="4" applyNumberFormat="1" applyFont="1" applyBorder="1" applyAlignment="1">
      <alignment horizontal="center"/>
    </xf>
    <xf numFmtId="169" fontId="0" fillId="0" borderId="8" xfId="4" applyNumberFormat="1" applyFont="1" applyFill="1" applyBorder="1" applyAlignment="1">
      <alignment horizontal="center"/>
    </xf>
    <xf numFmtId="169" fontId="0" fillId="0" borderId="0" xfId="4" applyNumberFormat="1" applyFont="1" applyFill="1" applyBorder="1" applyAlignment="1">
      <alignment horizontal="center"/>
    </xf>
    <xf numFmtId="169" fontId="0" fillId="0" borderId="11" xfId="4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Fill="1" applyBorder="1"/>
    <xf numFmtId="0" fontId="9" fillId="0" borderId="0" xfId="0" applyFont="1" applyBorder="1" applyAlignment="1">
      <alignment horizontal="center" wrapText="1"/>
    </xf>
    <xf numFmtId="0" fontId="0" fillId="0" borderId="0" xfId="0" applyFill="1"/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5" borderId="0" xfId="0" applyFill="1"/>
    <xf numFmtId="0" fontId="12" fillId="6" borderId="31" xfId="0" applyFont="1" applyFill="1" applyBorder="1"/>
    <xf numFmtId="0" fontId="12" fillId="6" borderId="28" xfId="0" applyFont="1" applyFill="1" applyBorder="1"/>
    <xf numFmtId="0" fontId="11" fillId="6" borderId="28" xfId="0" applyFont="1" applyFill="1" applyBorder="1" applyAlignment="1">
      <alignment horizontal="right" vertical="center"/>
    </xf>
    <xf numFmtId="0" fontId="11" fillId="6" borderId="28" xfId="0" applyFont="1" applyFill="1" applyBorder="1" applyAlignment="1">
      <alignment horizontal="center" vertical="center"/>
    </xf>
    <xf numFmtId="0" fontId="11" fillId="6" borderId="32" xfId="0" applyFont="1" applyFill="1" applyBorder="1" applyAlignment="1">
      <alignment vertical="center"/>
    </xf>
    <xf numFmtId="0" fontId="11" fillId="6" borderId="33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right" vertical="center"/>
    </xf>
    <xf numFmtId="0" fontId="11" fillId="6" borderId="24" xfId="0" applyFont="1" applyFill="1" applyBorder="1" applyAlignment="1">
      <alignment horizontal="center" vertical="center"/>
    </xf>
    <xf numFmtId="0" fontId="11" fillId="6" borderId="34" xfId="0" applyFont="1" applyFill="1" applyBorder="1" applyAlignment="1">
      <alignment vertical="center"/>
    </xf>
    <xf numFmtId="168" fontId="0" fillId="0" borderId="4" xfId="0" applyNumberFormat="1" applyBorder="1" applyAlignment="1">
      <alignment horizontal="center" vertical="center"/>
    </xf>
    <xf numFmtId="0" fontId="0" fillId="0" borderId="31" xfId="0" applyBorder="1"/>
    <xf numFmtId="0" fontId="0" fillId="0" borderId="28" xfId="0" applyBorder="1"/>
    <xf numFmtId="168" fontId="0" fillId="0" borderId="28" xfId="0" applyNumberFormat="1" applyBorder="1"/>
    <xf numFmtId="168" fontId="0" fillId="0" borderId="32" xfId="0" applyNumberFormat="1" applyBorder="1"/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right" vertical="center"/>
    </xf>
    <xf numFmtId="168" fontId="11" fillId="5" borderId="24" xfId="0" applyNumberFormat="1" applyFont="1" applyFill="1" applyBorder="1" applyAlignment="1">
      <alignment horizontal="right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vertical="center"/>
    </xf>
    <xf numFmtId="168" fontId="0" fillId="0" borderId="3" xfId="0" applyNumberFormat="1" applyBorder="1" applyAlignment="1">
      <alignment horizontal="center" vertical="center"/>
    </xf>
    <xf numFmtId="0" fontId="0" fillId="0" borderId="33" xfId="0" applyBorder="1"/>
    <xf numFmtId="0" fontId="0" fillId="0" borderId="24" xfId="0" applyBorder="1"/>
    <xf numFmtId="168" fontId="0" fillId="0" borderId="24" xfId="0" applyNumberFormat="1" applyBorder="1"/>
    <xf numFmtId="168" fontId="0" fillId="0" borderId="34" xfId="0" applyNumberFormat="1" applyBorder="1"/>
    <xf numFmtId="0" fontId="11" fillId="0" borderId="33" xfId="0" applyFont="1" applyBorder="1" applyAlignment="1">
      <alignment horizontal="center" vertical="center"/>
    </xf>
    <xf numFmtId="0" fontId="11" fillId="0" borderId="24" xfId="0" applyFont="1" applyBorder="1" applyAlignment="1">
      <alignment horizontal="right" vertical="center"/>
    </xf>
    <xf numFmtId="0" fontId="11" fillId="0" borderId="24" xfId="0" applyFont="1" applyBorder="1" applyAlignment="1">
      <alignment horizontal="center" vertical="center"/>
    </xf>
    <xf numFmtId="0" fontId="11" fillId="0" borderId="34" xfId="0" applyFont="1" applyBorder="1" applyAlignment="1">
      <alignment vertical="center"/>
    </xf>
    <xf numFmtId="0" fontId="11" fillId="0" borderId="34" xfId="0" applyFont="1" applyFill="1" applyBorder="1" applyAlignment="1">
      <alignment vertical="center"/>
    </xf>
    <xf numFmtId="0" fontId="0" fillId="7" borderId="24" xfId="0" applyFill="1" applyBorder="1"/>
    <xf numFmtId="168" fontId="0" fillId="7" borderId="24" xfId="0" applyNumberFormat="1" applyFill="1" applyBorder="1"/>
    <xf numFmtId="168" fontId="0" fillId="7" borderId="34" xfId="0" applyNumberFormat="1" applyFill="1" applyBorder="1"/>
    <xf numFmtId="0" fontId="11" fillId="7" borderId="38" xfId="0" applyFont="1" applyFill="1" applyBorder="1" applyAlignment="1">
      <alignment horizontal="center" vertical="center"/>
    </xf>
    <xf numFmtId="0" fontId="11" fillId="7" borderId="22" xfId="0" applyFont="1" applyFill="1" applyBorder="1" applyAlignment="1">
      <alignment horizontal="right" vertical="center"/>
    </xf>
    <xf numFmtId="0" fontId="11" fillId="7" borderId="22" xfId="0" applyFont="1" applyFill="1" applyBorder="1" applyAlignment="1">
      <alignment horizontal="center" vertical="center"/>
    </xf>
    <xf numFmtId="0" fontId="11" fillId="7" borderId="39" xfId="0" applyFont="1" applyFill="1" applyBorder="1" applyAlignment="1">
      <alignment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right" vertical="center"/>
    </xf>
    <xf numFmtId="168" fontId="11" fillId="5" borderId="41" xfId="0" applyNumberFormat="1" applyFont="1" applyFill="1" applyBorder="1" applyAlignment="1">
      <alignment horizontal="right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vertical="center"/>
    </xf>
    <xf numFmtId="0" fontId="11" fillId="5" borderId="2" xfId="0" applyFont="1" applyFill="1" applyBorder="1" applyAlignment="1">
      <alignment horizontal="left" vertical="center"/>
    </xf>
    <xf numFmtId="0" fontId="11" fillId="5" borderId="9" xfId="0" applyFont="1" applyFill="1" applyBorder="1" applyAlignment="1">
      <alignment vertical="center"/>
    </xf>
    <xf numFmtId="0" fontId="11" fillId="5" borderId="8" xfId="0" applyFont="1" applyFill="1" applyBorder="1" applyAlignment="1">
      <alignment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30" xfId="0" applyFont="1" applyFill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right" vertical="center"/>
    </xf>
    <xf numFmtId="0" fontId="11" fillId="0" borderId="8" xfId="0" applyFont="1" applyBorder="1" applyAlignment="1">
      <alignment horizontal="center" vertical="center"/>
    </xf>
    <xf numFmtId="0" fontId="13" fillId="0" borderId="30" xfId="0" applyFont="1" applyBorder="1" applyAlignment="1">
      <alignment vertical="center"/>
    </xf>
    <xf numFmtId="0" fontId="14" fillId="0" borderId="0" xfId="0" applyFont="1"/>
    <xf numFmtId="164" fontId="0" fillId="0" borderId="8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0" fillId="4" borderId="28" xfId="0" applyFill="1" applyBorder="1" applyAlignment="1">
      <alignment horizontal="center" wrapText="1"/>
    </xf>
    <xf numFmtId="0" fontId="0" fillId="4" borderId="28" xfId="0" applyFill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10" fontId="0" fillId="0" borderId="10" xfId="0" applyNumberFormat="1" applyBorder="1" applyAlignment="1">
      <alignment horizontal="center"/>
    </xf>
    <xf numFmtId="10" fontId="0" fillId="0" borderId="12" xfId="0" applyNumberFormat="1" applyBorder="1" applyAlignment="1">
      <alignment horizontal="center"/>
    </xf>
    <xf numFmtId="10" fontId="0" fillId="0" borderId="10" xfId="0" applyNumberFormat="1" applyFill="1" applyBorder="1" applyAlignment="1">
      <alignment horizontal="center"/>
    </xf>
    <xf numFmtId="1" fontId="0" fillId="0" borderId="0" xfId="0" applyNumberFormat="1"/>
    <xf numFmtId="0" fontId="0" fillId="4" borderId="24" xfId="0" applyFill="1" applyBorder="1" applyAlignment="1">
      <alignment horizontal="center" wrapText="1"/>
    </xf>
    <xf numFmtId="0" fontId="0" fillId="4" borderId="26" xfId="0" applyFill="1" applyBorder="1" applyAlignment="1">
      <alignment horizontal="left" vertical="center"/>
    </xf>
    <xf numFmtId="0" fontId="0" fillId="4" borderId="25" xfId="0" applyFill="1" applyBorder="1" applyAlignment="1">
      <alignment horizontal="left" vertical="center"/>
    </xf>
    <xf numFmtId="0" fontId="0" fillId="4" borderId="27" xfId="0" applyFill="1" applyBorder="1" applyAlignment="1">
      <alignment horizontal="left" vertical="center"/>
    </xf>
    <xf numFmtId="0" fontId="0" fillId="4" borderId="26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2" fontId="0" fillId="4" borderId="25" xfId="0" applyNumberFormat="1" applyFill="1" applyBorder="1" applyAlignment="1">
      <alignment horizontal="center" vertical="center"/>
    </xf>
    <xf numFmtId="2" fontId="0" fillId="4" borderId="27" xfId="0" applyNumberFormat="1" applyFill="1" applyBorder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/>
    </xf>
    <xf numFmtId="164" fontId="0" fillId="4" borderId="25" xfId="0" applyNumberFormat="1" applyFill="1" applyBorder="1" applyAlignment="1">
      <alignment horizontal="center" vertical="center"/>
    </xf>
    <xf numFmtId="164" fontId="0" fillId="4" borderId="27" xfId="0" applyNumberFormat="1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 wrapText="1"/>
    </xf>
    <xf numFmtId="1" fontId="0" fillId="2" borderId="3" xfId="0" applyNumberFormat="1" applyFill="1" applyBorder="1" applyAlignment="1">
      <alignment horizontal="center" vertical="center" wrapText="1"/>
    </xf>
    <xf numFmtId="1" fontId="0" fillId="2" borderId="4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24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2" fontId="0" fillId="4" borderId="36" xfId="0" applyNumberFormat="1" applyFill="1" applyBorder="1" applyAlignment="1">
      <alignment horizontal="center" vertical="center"/>
    </xf>
    <xf numFmtId="2" fontId="0" fillId="4" borderId="22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2" fontId="0" fillId="4" borderId="24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30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164" fontId="0" fillId="4" borderId="24" xfId="0" applyNumberFormat="1" applyFill="1" applyBorder="1" applyAlignment="1">
      <alignment horizontal="center" vertical="center"/>
    </xf>
    <xf numFmtId="164" fontId="0" fillId="4" borderId="36" xfId="0" applyNumberFormat="1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</cellXfs>
  <cellStyles count="5">
    <cellStyle name="Heading 1" xfId="2" builtinId="16"/>
    <cellStyle name="Normal" xfId="0" builtinId="0"/>
    <cellStyle name="Normal 2" xfId="1"/>
    <cellStyle name="Normal_DEER-eQ Wizard Tables 06-08-15" xfId="3"/>
    <cellStyle name="Percent" xfId="4" builtinId="5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70" zoomScaleNormal="70" workbookViewId="0">
      <pane xSplit="5" ySplit="5" topLeftCell="F6" activePane="bottomRight" state="frozenSplit"/>
      <selection pane="topRight" activeCell="G1" sqref="G1"/>
      <selection pane="bottomLeft" activeCell="A6" sqref="A6"/>
      <selection pane="bottomRight" activeCell="K19" sqref="K19"/>
    </sheetView>
  </sheetViews>
  <sheetFormatPr defaultRowHeight="15"/>
  <cols>
    <col min="1" max="1" width="21.85546875" bestFit="1" customWidth="1"/>
    <col min="2" max="2" width="8.28515625" customWidth="1"/>
    <col min="3" max="3" width="8.85546875" customWidth="1"/>
    <col min="4" max="4" width="8.42578125" bestFit="1" customWidth="1"/>
    <col min="5" max="5" width="9.42578125" customWidth="1"/>
    <col min="6" max="6" width="11" customWidth="1"/>
    <col min="7" max="7" width="12.140625" customWidth="1"/>
    <col min="8" max="8" width="12.5703125" customWidth="1"/>
    <col min="9" max="9" width="13.42578125" customWidth="1"/>
    <col min="10" max="10" width="13.5703125" customWidth="1"/>
    <col min="13" max="13" width="11.140625" customWidth="1"/>
    <col min="20" max="20" width="9.7109375" customWidth="1"/>
    <col min="21" max="21" width="12.85546875" customWidth="1"/>
    <col min="22" max="22" width="27.5703125" customWidth="1"/>
    <col min="24" max="24" width="13" bestFit="1" customWidth="1"/>
  </cols>
  <sheetData>
    <row r="1" spans="1:24">
      <c r="G1" s="73"/>
      <c r="K1" s="73"/>
      <c r="L1" s="73"/>
    </row>
    <row r="2" spans="1:24">
      <c r="G2" s="73"/>
      <c r="K2" s="73"/>
      <c r="L2" s="73"/>
    </row>
    <row r="3" spans="1:24">
      <c r="M3" s="1"/>
      <c r="N3" s="1"/>
      <c r="O3" s="1"/>
      <c r="P3" s="1"/>
      <c r="Q3" s="1"/>
      <c r="R3" s="1"/>
      <c r="S3" s="1"/>
      <c r="T3" s="1"/>
      <c r="U3" s="1"/>
    </row>
    <row r="4" spans="1:24">
      <c r="B4" s="181" t="s">
        <v>15</v>
      </c>
      <c r="C4" s="181"/>
      <c r="D4" s="181" t="s">
        <v>16</v>
      </c>
      <c r="E4" s="181"/>
      <c r="F4" s="2"/>
      <c r="G4" s="2"/>
      <c r="H4" s="2"/>
      <c r="I4" s="2"/>
      <c r="J4" s="8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4" ht="90.75" thickBot="1">
      <c r="A5" s="52" t="s">
        <v>1</v>
      </c>
      <c r="B5" s="155" t="s">
        <v>10</v>
      </c>
      <c r="C5" s="156" t="s">
        <v>101</v>
      </c>
      <c r="D5" s="155" t="s">
        <v>10</v>
      </c>
      <c r="E5" s="156" t="s">
        <v>101</v>
      </c>
      <c r="F5" s="53" t="s">
        <v>14</v>
      </c>
      <c r="G5" s="54" t="s">
        <v>0</v>
      </c>
      <c r="H5" s="55" t="s">
        <v>117</v>
      </c>
      <c r="I5" s="55" t="s">
        <v>114</v>
      </c>
      <c r="J5" s="83" t="s">
        <v>115</v>
      </c>
      <c r="K5" s="53" t="s">
        <v>116</v>
      </c>
      <c r="L5" s="53" t="s">
        <v>113</v>
      </c>
      <c r="M5" s="53" t="s">
        <v>13</v>
      </c>
      <c r="N5" s="53" t="s">
        <v>5</v>
      </c>
      <c r="O5" s="53" t="s">
        <v>4</v>
      </c>
      <c r="P5" s="53" t="s">
        <v>2</v>
      </c>
      <c r="Q5" s="53" t="s">
        <v>3</v>
      </c>
      <c r="R5" s="55" t="s">
        <v>99</v>
      </c>
      <c r="S5" s="55" t="s">
        <v>100</v>
      </c>
      <c r="T5" s="55" t="s">
        <v>112</v>
      </c>
      <c r="U5" s="53" t="s">
        <v>98</v>
      </c>
      <c r="V5" s="6" t="s">
        <v>119</v>
      </c>
      <c r="W5" s="6"/>
      <c r="X5" s="8"/>
    </row>
    <row r="6" spans="1:24" ht="15" customHeight="1">
      <c r="A6" s="163" t="s">
        <v>109</v>
      </c>
      <c r="B6" s="166">
        <f>'DEER HP COP to HIR'!BI12</f>
        <v>3.68</v>
      </c>
      <c r="C6" s="172">
        <f>1/B6</f>
        <v>0.27173913043478259</v>
      </c>
      <c r="D6" s="169">
        <f>B6*(1+AVERAGE(U6:U17))</f>
        <v>3.8908846355845665</v>
      </c>
      <c r="E6" s="172">
        <f>1/D6</f>
        <v>0.2570109611717542</v>
      </c>
      <c r="F6" s="56">
        <v>1</v>
      </c>
      <c r="G6" s="56">
        <v>1440</v>
      </c>
      <c r="H6" s="56">
        <v>42.9</v>
      </c>
      <c r="I6" s="57">
        <f t="shared" ref="I6:I11" si="0">H6+P6*3.412</f>
        <v>45.700569600000001</v>
      </c>
      <c r="J6" s="58">
        <f>I6-(P6-Q6)*3.41</f>
        <v>45.307737600000003</v>
      </c>
      <c r="K6" s="149">
        <f>G6/I6*12</f>
        <v>378.11344915928572</v>
      </c>
      <c r="L6" s="149">
        <f>G6/J6*12</f>
        <v>381.39180889049732</v>
      </c>
      <c r="M6" s="56">
        <v>3.32</v>
      </c>
      <c r="N6" s="57">
        <f>M6+P6</f>
        <v>4.1407999999999996</v>
      </c>
      <c r="O6" s="57">
        <f t="shared" ref="O6:O18" si="1">N6-P6+Q6</f>
        <v>4.025599999999999</v>
      </c>
      <c r="P6" s="56">
        <f t="shared" ref="P6:P34" si="2">G6*0.57/1000</f>
        <v>0.82079999999999997</v>
      </c>
      <c r="Q6" s="56">
        <f t="shared" ref="Q6:Q34" si="3">G6*0.49/1000</f>
        <v>0.7056</v>
      </c>
      <c r="R6" s="57">
        <f>I6/N6/3.412</f>
        <v>3.2346577494469022</v>
      </c>
      <c r="S6" s="57">
        <f t="shared" ref="R6:S8" si="4">J6/O6/3.412</f>
        <v>3.2986233940995691</v>
      </c>
      <c r="T6" s="58">
        <f>338/300*K6</f>
        <v>426.00781938612857</v>
      </c>
      <c r="U6" s="75">
        <f>TREND(S6:S8,L6:L8,T6)/R6-1</f>
        <v>2.6001891662652543E-2</v>
      </c>
      <c r="V6" s="175">
        <v>3894845</v>
      </c>
      <c r="X6" s="161"/>
    </row>
    <row r="7" spans="1:24">
      <c r="A7" s="164"/>
      <c r="B7" s="167"/>
      <c r="C7" s="173"/>
      <c r="D7" s="170"/>
      <c r="E7" s="173"/>
      <c r="F7" s="54">
        <v>2</v>
      </c>
      <c r="G7" s="54">
        <v>1575</v>
      </c>
      <c r="H7" s="54">
        <v>43.4</v>
      </c>
      <c r="I7" s="59">
        <f t="shared" si="0"/>
        <v>46.463122999999996</v>
      </c>
      <c r="J7" s="60">
        <f t="shared" ref="J7:J34" si="5">I7-(P7-Q7)*3.41</f>
        <v>46.033462999999998</v>
      </c>
      <c r="K7" s="150">
        <f t="shared" ref="K7:K8" si="6">G7/I7*12</f>
        <v>406.77420671873477</v>
      </c>
      <c r="L7" s="150">
        <f t="shared" ref="L7:L34" si="7">G7/J7*12</f>
        <v>410.57089274382861</v>
      </c>
      <c r="M7" s="54">
        <v>3.22</v>
      </c>
      <c r="N7" s="59">
        <f t="shared" ref="N7:N11" si="8">M7+P7</f>
        <v>4.11775</v>
      </c>
      <c r="O7" s="59">
        <f t="shared" si="1"/>
        <v>3.9917500000000001</v>
      </c>
      <c r="P7" s="54">
        <f t="shared" si="2"/>
        <v>0.89774999999999994</v>
      </c>
      <c r="Q7" s="54">
        <f t="shared" si="3"/>
        <v>0.77175000000000005</v>
      </c>
      <c r="R7" s="59">
        <f t="shared" si="4"/>
        <v>3.3070396276435408</v>
      </c>
      <c r="S7" s="59">
        <f t="shared" si="4"/>
        <v>3.3798800735778971</v>
      </c>
      <c r="T7" s="60"/>
      <c r="U7" s="76"/>
      <c r="V7" s="182"/>
      <c r="X7" s="161"/>
    </row>
    <row r="8" spans="1:24" ht="15.75" thickBot="1">
      <c r="A8" s="164"/>
      <c r="B8" s="167"/>
      <c r="C8" s="173"/>
      <c r="D8" s="170"/>
      <c r="E8" s="173"/>
      <c r="F8" s="61">
        <v>3</v>
      </c>
      <c r="G8" s="61">
        <v>1740</v>
      </c>
      <c r="H8" s="61">
        <v>43.9</v>
      </c>
      <c r="I8" s="62">
        <f t="shared" si="0"/>
        <v>47.284021599999996</v>
      </c>
      <c r="J8" s="63">
        <f t="shared" si="5"/>
        <v>46.809349599999997</v>
      </c>
      <c r="K8" s="151">
        <f t="shared" si="6"/>
        <v>441.58680445235223</v>
      </c>
      <c r="L8" s="151">
        <f t="shared" si="7"/>
        <v>446.06473233287568</v>
      </c>
      <c r="M8" s="61">
        <v>3.32</v>
      </c>
      <c r="N8" s="62">
        <f t="shared" si="8"/>
        <v>4.3117999999999999</v>
      </c>
      <c r="O8" s="62">
        <f t="shared" si="1"/>
        <v>4.1726000000000001</v>
      </c>
      <c r="P8" s="61">
        <f t="shared" si="2"/>
        <v>0.9917999999999999</v>
      </c>
      <c r="Q8" s="61">
        <f t="shared" si="3"/>
        <v>0.85260000000000002</v>
      </c>
      <c r="R8" s="62">
        <f t="shared" si="4"/>
        <v>3.214006689676852</v>
      </c>
      <c r="S8" s="62">
        <f t="shared" si="4"/>
        <v>3.2878866028187348</v>
      </c>
      <c r="T8" s="63"/>
      <c r="U8" s="77"/>
      <c r="V8" s="183"/>
      <c r="X8" s="161"/>
    </row>
    <row r="9" spans="1:24" ht="15" customHeight="1">
      <c r="A9" s="164"/>
      <c r="B9" s="167"/>
      <c r="C9" s="173"/>
      <c r="D9" s="170"/>
      <c r="E9" s="173"/>
      <c r="F9" s="56">
        <v>1</v>
      </c>
      <c r="G9" s="56">
        <v>1415</v>
      </c>
      <c r="H9" s="56">
        <v>43.4</v>
      </c>
      <c r="I9" s="57">
        <f t="shared" si="0"/>
        <v>46.151948599999997</v>
      </c>
      <c r="J9" s="58">
        <f t="shared" si="5"/>
        <v>45.765936599999996</v>
      </c>
      <c r="K9" s="149">
        <f t="shared" ref="K9:K17" si="9">G9/I9*12</f>
        <v>367.91512633986599</v>
      </c>
      <c r="L9" s="149">
        <f t="shared" si="7"/>
        <v>371.01830010401233</v>
      </c>
      <c r="M9" s="56">
        <v>3.21</v>
      </c>
      <c r="N9" s="57">
        <f t="shared" si="8"/>
        <v>4.0165499999999996</v>
      </c>
      <c r="O9" s="57">
        <f t="shared" si="1"/>
        <v>3.9033499999999997</v>
      </c>
      <c r="P9" s="56">
        <f t="shared" si="2"/>
        <v>0.80654999999999999</v>
      </c>
      <c r="Q9" s="56">
        <f t="shared" si="3"/>
        <v>0.69335000000000002</v>
      </c>
      <c r="R9" s="57">
        <f t="shared" ref="R9:R34" si="10">I9/N9/3.412</f>
        <v>3.3676569261503508</v>
      </c>
      <c r="S9" s="57">
        <f t="shared" ref="S9:S34" si="11">I9/O9/3.412</f>
        <v>3.465321435876668</v>
      </c>
      <c r="T9" s="58">
        <f>338/300*K9</f>
        <v>414.51770900958235</v>
      </c>
      <c r="U9" s="75">
        <f>TREND(S9:S11,L9:L11,T9)/R9-1</f>
        <v>4.0323839005349527E-2</v>
      </c>
      <c r="V9" s="175">
        <v>7045132</v>
      </c>
      <c r="X9" s="161"/>
    </row>
    <row r="10" spans="1:24">
      <c r="A10" s="164"/>
      <c r="B10" s="167"/>
      <c r="C10" s="173"/>
      <c r="D10" s="170"/>
      <c r="E10" s="173"/>
      <c r="F10" s="54">
        <v>2</v>
      </c>
      <c r="G10" s="54">
        <v>1610</v>
      </c>
      <c r="H10" s="54">
        <v>44.2</v>
      </c>
      <c r="I10" s="59">
        <f t="shared" si="0"/>
        <v>47.331192400000006</v>
      </c>
      <c r="J10" s="60">
        <f t="shared" si="5"/>
        <v>46.891984400000005</v>
      </c>
      <c r="K10" s="150">
        <f t="shared" si="9"/>
        <v>408.18747680652132</v>
      </c>
      <c r="L10" s="150">
        <f t="shared" si="7"/>
        <v>412.01071456468367</v>
      </c>
      <c r="M10" s="54">
        <v>3.1</v>
      </c>
      <c r="N10" s="59">
        <f t="shared" si="8"/>
        <v>4.0176999999999996</v>
      </c>
      <c r="O10" s="59">
        <f t="shared" si="1"/>
        <v>3.8888999999999996</v>
      </c>
      <c r="P10" s="54">
        <f t="shared" si="2"/>
        <v>0.91769999999999996</v>
      </c>
      <c r="Q10" s="54">
        <f t="shared" si="3"/>
        <v>0.78889999999999993</v>
      </c>
      <c r="R10" s="59">
        <f t="shared" si="10"/>
        <v>3.4527164833711654</v>
      </c>
      <c r="S10" s="59">
        <f t="shared" si="11"/>
        <v>3.5670701265757234</v>
      </c>
      <c r="T10" s="60"/>
      <c r="U10" s="76"/>
      <c r="V10" s="176"/>
      <c r="X10" s="161"/>
    </row>
    <row r="11" spans="1:24" ht="15.75" thickBot="1">
      <c r="A11" s="164"/>
      <c r="B11" s="167"/>
      <c r="C11" s="173"/>
      <c r="D11" s="170"/>
      <c r="E11" s="173"/>
      <c r="F11" s="61">
        <v>3</v>
      </c>
      <c r="G11" s="61">
        <v>1815</v>
      </c>
      <c r="H11" s="61">
        <v>45.1</v>
      </c>
      <c r="I11" s="62">
        <f t="shared" si="0"/>
        <v>48.629884600000004</v>
      </c>
      <c r="J11" s="63">
        <f t="shared" si="5"/>
        <v>48.134752600000006</v>
      </c>
      <c r="K11" s="151">
        <f t="shared" si="9"/>
        <v>447.87274695691957</v>
      </c>
      <c r="L11" s="151">
        <f t="shared" si="7"/>
        <v>452.47973290715527</v>
      </c>
      <c r="M11" s="61">
        <v>3.21</v>
      </c>
      <c r="N11" s="62">
        <f t="shared" si="8"/>
        <v>4.2445500000000003</v>
      </c>
      <c r="O11" s="62">
        <f t="shared" si="1"/>
        <v>4.0993500000000003</v>
      </c>
      <c r="P11" s="61">
        <f t="shared" si="2"/>
        <v>1.0345499999999999</v>
      </c>
      <c r="Q11" s="61">
        <f t="shared" si="3"/>
        <v>0.88934999999999997</v>
      </c>
      <c r="R11" s="62">
        <f t="shared" si="10"/>
        <v>3.357859826675468</v>
      </c>
      <c r="S11" s="62">
        <f t="shared" si="11"/>
        <v>3.4767960596961367</v>
      </c>
      <c r="T11" s="63"/>
      <c r="U11" s="77"/>
      <c r="V11" s="177"/>
      <c r="X11" s="161"/>
    </row>
    <row r="12" spans="1:24">
      <c r="A12" s="164"/>
      <c r="B12" s="167"/>
      <c r="C12" s="173"/>
      <c r="D12" s="170"/>
      <c r="E12" s="173"/>
      <c r="F12" s="56">
        <v>1</v>
      </c>
      <c r="G12" s="56">
        <v>1400</v>
      </c>
      <c r="H12" s="56"/>
      <c r="I12" s="57">
        <v>45.926099999999998</v>
      </c>
      <c r="J12" s="58">
        <f t="shared" si="5"/>
        <v>45.544179999999997</v>
      </c>
      <c r="K12" s="149">
        <f t="shared" si="9"/>
        <v>365.80506509370491</v>
      </c>
      <c r="L12" s="149">
        <f t="shared" si="7"/>
        <v>368.87259799166441</v>
      </c>
      <c r="M12" s="56"/>
      <c r="N12" s="57">
        <v>3.5738999999999996</v>
      </c>
      <c r="O12" s="57">
        <f t="shared" si="1"/>
        <v>3.4618999999999995</v>
      </c>
      <c r="P12" s="56">
        <f t="shared" si="2"/>
        <v>0.79799999999999993</v>
      </c>
      <c r="Q12" s="56">
        <f t="shared" si="3"/>
        <v>0.68600000000000005</v>
      </c>
      <c r="R12" s="57">
        <f t="shared" si="10"/>
        <v>3.766241357697941</v>
      </c>
      <c r="S12" s="57">
        <f t="shared" si="11"/>
        <v>3.8880874630337883</v>
      </c>
      <c r="T12" s="58">
        <f>338/300*K12</f>
        <v>412.14037333890752</v>
      </c>
      <c r="U12" s="75">
        <f>TREND(S12:S14,L12:L14,T12)/R12-1</f>
        <v>6.29100688201083E-2</v>
      </c>
      <c r="V12" s="184">
        <v>4616532</v>
      </c>
    </row>
    <row r="13" spans="1:24">
      <c r="A13" s="164"/>
      <c r="B13" s="167"/>
      <c r="C13" s="173"/>
      <c r="D13" s="170"/>
      <c r="E13" s="173"/>
      <c r="F13" s="54">
        <v>2</v>
      </c>
      <c r="G13" s="54">
        <v>1600</v>
      </c>
      <c r="H13" s="54"/>
      <c r="I13" s="59">
        <v>46.53</v>
      </c>
      <c r="J13" s="60">
        <f t="shared" si="5"/>
        <v>46.093519999999998</v>
      </c>
      <c r="K13" s="150">
        <f t="shared" si="9"/>
        <v>412.63700838168916</v>
      </c>
      <c r="L13" s="150">
        <f t="shared" si="7"/>
        <v>416.54445136756749</v>
      </c>
      <c r="M13" s="54"/>
      <c r="N13" s="59">
        <v>3.5244</v>
      </c>
      <c r="O13" s="59">
        <f t="shared" si="1"/>
        <v>3.3963999999999999</v>
      </c>
      <c r="P13" s="54">
        <f t="shared" si="2"/>
        <v>0.91199999999999992</v>
      </c>
      <c r="Q13" s="54">
        <f t="shared" si="3"/>
        <v>0.78400000000000003</v>
      </c>
      <c r="R13" s="59">
        <f t="shared" si="10"/>
        <v>3.8693573244464354</v>
      </c>
      <c r="S13" s="59">
        <f t="shared" si="11"/>
        <v>4.0151816494756263</v>
      </c>
      <c r="T13" s="60"/>
      <c r="U13" s="76"/>
      <c r="V13" s="182"/>
      <c r="X13" s="161"/>
    </row>
    <row r="14" spans="1:24" ht="15.75" thickBot="1">
      <c r="A14" s="164"/>
      <c r="B14" s="167"/>
      <c r="C14" s="173"/>
      <c r="D14" s="170"/>
      <c r="E14" s="173"/>
      <c r="F14" s="61">
        <v>3</v>
      </c>
      <c r="G14" s="61">
        <v>1800</v>
      </c>
      <c r="H14" s="61"/>
      <c r="I14" s="62">
        <v>47.163600000000002</v>
      </c>
      <c r="J14" s="63">
        <f t="shared" si="5"/>
        <v>46.672560000000004</v>
      </c>
      <c r="K14" s="151">
        <f t="shared" si="9"/>
        <v>457.98030684680555</v>
      </c>
      <c r="L14" s="151">
        <f t="shared" si="7"/>
        <v>462.79869799299627</v>
      </c>
      <c r="M14" s="61"/>
      <c r="N14" s="62">
        <v>3.4847999999999999</v>
      </c>
      <c r="O14" s="62">
        <f t="shared" si="1"/>
        <v>3.3408000000000002</v>
      </c>
      <c r="P14" s="61">
        <f t="shared" si="2"/>
        <v>1.026</v>
      </c>
      <c r="Q14" s="61">
        <f t="shared" si="3"/>
        <v>0.88200000000000001</v>
      </c>
      <c r="R14" s="62">
        <f t="shared" si="10"/>
        <v>3.966615155067676</v>
      </c>
      <c r="S14" s="62">
        <f t="shared" si="11"/>
        <v>4.1375899462343861</v>
      </c>
      <c r="T14" s="63"/>
      <c r="U14" s="77"/>
      <c r="V14" s="183"/>
      <c r="X14" s="161"/>
    </row>
    <row r="15" spans="1:24" ht="15" customHeight="1">
      <c r="A15" s="164"/>
      <c r="B15" s="167"/>
      <c r="C15" s="173"/>
      <c r="D15" s="170"/>
      <c r="E15" s="173"/>
      <c r="F15" s="54">
        <v>1</v>
      </c>
      <c r="G15" s="54">
        <v>1400</v>
      </c>
      <c r="H15" s="54"/>
      <c r="I15" s="59">
        <v>48.411999999999999</v>
      </c>
      <c r="J15" s="60">
        <f t="shared" si="5"/>
        <v>48.030079999999998</v>
      </c>
      <c r="K15" s="150">
        <f t="shared" si="9"/>
        <v>347.02139965297863</v>
      </c>
      <c r="L15" s="150">
        <f t="shared" si="7"/>
        <v>349.78080402947489</v>
      </c>
      <c r="M15" s="54"/>
      <c r="N15" s="59">
        <v>3.9456000000000002</v>
      </c>
      <c r="O15" s="59">
        <f t="shared" si="1"/>
        <v>3.8336000000000001</v>
      </c>
      <c r="P15" s="54">
        <f t="shared" si="2"/>
        <v>0.79799999999999993</v>
      </c>
      <c r="Q15" s="54">
        <f t="shared" si="3"/>
        <v>0.68600000000000005</v>
      </c>
      <c r="R15" s="59">
        <f t="shared" si="10"/>
        <v>3.5960932694017296</v>
      </c>
      <c r="S15" s="59">
        <f t="shared" si="11"/>
        <v>3.7011544250186419</v>
      </c>
      <c r="T15" s="60">
        <f>338/300*K15</f>
        <v>390.9774436090226</v>
      </c>
      <c r="U15" s="75">
        <f>TREND(S15:S17,L15:L17,T15)/R15-1</f>
        <v>9.998663049511336E-2</v>
      </c>
      <c r="V15" s="175">
        <v>5934001</v>
      </c>
      <c r="X15" s="161"/>
    </row>
    <row r="16" spans="1:24">
      <c r="A16" s="164"/>
      <c r="B16" s="167"/>
      <c r="C16" s="173"/>
      <c r="D16" s="170"/>
      <c r="E16" s="173"/>
      <c r="F16" s="54">
        <v>2</v>
      </c>
      <c r="G16" s="54">
        <v>1600</v>
      </c>
      <c r="H16" s="54"/>
      <c r="I16" s="59">
        <v>49.097999999999999</v>
      </c>
      <c r="J16" s="60">
        <f t="shared" si="5"/>
        <v>48.661519999999996</v>
      </c>
      <c r="K16" s="150">
        <f t="shared" si="9"/>
        <v>391.05462544299155</v>
      </c>
      <c r="L16" s="150">
        <f t="shared" si="7"/>
        <v>394.56227425694885</v>
      </c>
      <c r="M16" s="54"/>
      <c r="N16" s="59">
        <v>3.7439999999999998</v>
      </c>
      <c r="O16" s="59">
        <f t="shared" si="1"/>
        <v>3.6159999999999997</v>
      </c>
      <c r="P16" s="54">
        <f t="shared" si="2"/>
        <v>0.91199999999999992</v>
      </c>
      <c r="Q16" s="54">
        <f t="shared" si="3"/>
        <v>0.78400000000000003</v>
      </c>
      <c r="R16" s="59">
        <f t="shared" si="10"/>
        <v>3.8434296750533563</v>
      </c>
      <c r="S16" s="59">
        <f t="shared" si="11"/>
        <v>3.9794802830198472</v>
      </c>
      <c r="T16" s="60"/>
      <c r="U16" s="76"/>
      <c r="V16" s="176"/>
      <c r="X16" s="161"/>
    </row>
    <row r="17" spans="1:24" ht="15.75" thickBot="1">
      <c r="A17" s="165"/>
      <c r="B17" s="168"/>
      <c r="C17" s="174"/>
      <c r="D17" s="171"/>
      <c r="E17" s="174"/>
      <c r="F17" s="61">
        <v>3</v>
      </c>
      <c r="G17" s="61">
        <v>1800</v>
      </c>
      <c r="H17" s="61"/>
      <c r="I17" s="62">
        <v>49.783999999999999</v>
      </c>
      <c r="J17" s="63">
        <f t="shared" si="5"/>
        <v>49.292960000000001</v>
      </c>
      <c r="K17" s="151">
        <f t="shared" si="9"/>
        <v>433.8743371364294</v>
      </c>
      <c r="L17" s="151">
        <f t="shared" si="7"/>
        <v>438.19644833663875</v>
      </c>
      <c r="M17" s="61"/>
      <c r="N17" s="62">
        <v>3.5808</v>
      </c>
      <c r="O17" s="62">
        <f t="shared" si="1"/>
        <v>3.4368000000000003</v>
      </c>
      <c r="P17" s="61">
        <f t="shared" si="2"/>
        <v>1.026</v>
      </c>
      <c r="Q17" s="61">
        <f t="shared" si="3"/>
        <v>0.88200000000000001</v>
      </c>
      <c r="R17" s="62">
        <f t="shared" si="10"/>
        <v>4.0747474874463991</v>
      </c>
      <c r="S17" s="62">
        <f t="shared" si="11"/>
        <v>4.2454771307751589</v>
      </c>
      <c r="T17" s="63"/>
      <c r="U17" s="77"/>
      <c r="V17" s="177"/>
      <c r="X17" s="161"/>
    </row>
    <row r="18" spans="1:24">
      <c r="A18" s="163" t="s">
        <v>110</v>
      </c>
      <c r="B18" s="166">
        <f>'DEER HP COP to HIR'!BI13</f>
        <v>3.57</v>
      </c>
      <c r="C18" s="166">
        <f>1/B18</f>
        <v>0.28011204481792717</v>
      </c>
      <c r="D18" s="169">
        <f>B18*(1+AVERAGE(U18:U27))</f>
        <v>3.7939858108802333</v>
      </c>
      <c r="E18" s="172">
        <f>1/D18</f>
        <v>0.26357505005217519</v>
      </c>
      <c r="F18" s="56">
        <v>1</v>
      </c>
      <c r="G18" s="56">
        <v>1005</v>
      </c>
      <c r="H18" s="56">
        <v>39.200000000000003</v>
      </c>
      <c r="I18" s="57">
        <f>H18+P18*3.412</f>
        <v>41.154564200000003</v>
      </c>
      <c r="J18" s="58">
        <f t="shared" si="5"/>
        <v>40.880400200000004</v>
      </c>
      <c r="K18" s="149">
        <f t="shared" ref="K18:K27" si="12">G18/I18*12</f>
        <v>293.04161602566546</v>
      </c>
      <c r="L18" s="149">
        <f t="shared" si="7"/>
        <v>295.00689672798262</v>
      </c>
      <c r="M18" s="56">
        <v>2.89</v>
      </c>
      <c r="N18" s="57">
        <f t="shared" ref="N18:N20" si="13">M18+P18</f>
        <v>3.46285</v>
      </c>
      <c r="O18" s="57">
        <f t="shared" si="1"/>
        <v>3.38245</v>
      </c>
      <c r="P18" s="56">
        <f t="shared" si="2"/>
        <v>0.57284999999999986</v>
      </c>
      <c r="Q18" s="56">
        <f t="shared" si="3"/>
        <v>0.49245</v>
      </c>
      <c r="R18" s="57">
        <f t="shared" si="10"/>
        <v>3.483175083253887</v>
      </c>
      <c r="S18" s="57">
        <f t="shared" si="11"/>
        <v>3.5659692935729197</v>
      </c>
      <c r="T18" s="58">
        <f>338/300*K18</f>
        <v>330.16022072224979</v>
      </c>
      <c r="U18" s="75">
        <f>TREND(S18:S20,L18:L20,T18)/R18-1</f>
        <v>3.3619281147883928E-2</v>
      </c>
      <c r="V18" s="175">
        <v>7785946</v>
      </c>
      <c r="X18" s="161"/>
    </row>
    <row r="19" spans="1:24">
      <c r="A19" s="164"/>
      <c r="B19" s="167"/>
      <c r="C19" s="167"/>
      <c r="D19" s="170"/>
      <c r="E19" s="173"/>
      <c r="F19" s="54">
        <v>2</v>
      </c>
      <c r="G19" s="54">
        <v>1100</v>
      </c>
      <c r="H19" s="54">
        <v>39.700000000000003</v>
      </c>
      <c r="I19" s="59">
        <f>H19+P19*3.412</f>
        <v>41.839324000000005</v>
      </c>
      <c r="J19" s="60">
        <f t="shared" si="5"/>
        <v>41.539244000000004</v>
      </c>
      <c r="K19" s="150">
        <f t="shared" si="12"/>
        <v>315.49266904981539</v>
      </c>
      <c r="L19" s="150">
        <f t="shared" si="7"/>
        <v>317.77179189876443</v>
      </c>
      <c r="M19" s="54">
        <v>2.81</v>
      </c>
      <c r="N19" s="59">
        <f t="shared" si="13"/>
        <v>3.4370000000000003</v>
      </c>
      <c r="O19" s="59">
        <f>N19-P19+Q19</f>
        <v>3.3490000000000006</v>
      </c>
      <c r="P19" s="54">
        <f t="shared" si="2"/>
        <v>0.627</v>
      </c>
      <c r="Q19" s="54">
        <f t="shared" si="3"/>
        <v>0.53900000000000003</v>
      </c>
      <c r="R19" s="59">
        <f t="shared" si="10"/>
        <v>3.5677638797978419</v>
      </c>
      <c r="S19" s="59">
        <f t="shared" si="11"/>
        <v>3.6615122289833324</v>
      </c>
      <c r="T19" s="60"/>
      <c r="U19" s="76"/>
      <c r="V19" s="176"/>
      <c r="X19" s="161"/>
    </row>
    <row r="20" spans="1:24" ht="15.75" thickBot="1">
      <c r="A20" s="164"/>
      <c r="B20" s="167"/>
      <c r="C20" s="167"/>
      <c r="D20" s="170"/>
      <c r="E20" s="173"/>
      <c r="F20" s="54">
        <v>3</v>
      </c>
      <c r="G20" s="54">
        <v>1275</v>
      </c>
      <c r="H20" s="54">
        <v>40.4</v>
      </c>
      <c r="I20" s="59">
        <f>H20+P20*3.412</f>
        <v>42.879671000000002</v>
      </c>
      <c r="J20" s="60">
        <f t="shared" si="5"/>
        <v>42.531851000000003</v>
      </c>
      <c r="K20" s="150">
        <f t="shared" si="12"/>
        <v>356.81243916260456</v>
      </c>
      <c r="L20" s="150">
        <f t="shared" si="7"/>
        <v>359.73040533787253</v>
      </c>
      <c r="M20" s="54">
        <v>2.89</v>
      </c>
      <c r="N20" s="59">
        <f t="shared" si="13"/>
        <v>3.6167500000000001</v>
      </c>
      <c r="O20" s="59">
        <f t="shared" ref="O20:O34" si="14">N20-P20+Q20</f>
        <v>3.5147500000000003</v>
      </c>
      <c r="P20" s="54">
        <f t="shared" si="2"/>
        <v>0.7267499999999999</v>
      </c>
      <c r="Q20" s="54">
        <f t="shared" si="3"/>
        <v>0.62475000000000003</v>
      </c>
      <c r="R20" s="59">
        <f t="shared" si="10"/>
        <v>3.4747529466544345</v>
      </c>
      <c r="S20" s="59">
        <f t="shared" si="11"/>
        <v>3.5755922099188924</v>
      </c>
      <c r="T20" s="60"/>
      <c r="U20" s="76"/>
      <c r="V20" s="177"/>
    </row>
    <row r="21" spans="1:24">
      <c r="A21" s="164"/>
      <c r="B21" s="167"/>
      <c r="C21" s="167"/>
      <c r="D21" s="170"/>
      <c r="E21" s="173"/>
      <c r="F21" s="56">
        <v>1</v>
      </c>
      <c r="G21" s="56">
        <v>1200</v>
      </c>
      <c r="H21" s="56"/>
      <c r="I21" s="57">
        <v>47</v>
      </c>
      <c r="J21" s="58">
        <f t="shared" si="5"/>
        <v>46.672640000000001</v>
      </c>
      <c r="K21" s="149">
        <f t="shared" si="12"/>
        <v>306.38297872340422</v>
      </c>
      <c r="L21" s="149">
        <f t="shared" si="7"/>
        <v>308.5319364835587</v>
      </c>
      <c r="M21" s="56"/>
      <c r="N21" s="57">
        <v>4.0392000000000001</v>
      </c>
      <c r="O21" s="57">
        <f t="shared" si="14"/>
        <v>3.9432</v>
      </c>
      <c r="P21" s="56">
        <f t="shared" si="2"/>
        <v>0.68399999999999994</v>
      </c>
      <c r="Q21" s="56">
        <f t="shared" si="3"/>
        <v>0.58799999999999997</v>
      </c>
      <c r="R21" s="57">
        <f t="shared" si="10"/>
        <v>3.4103070100587516</v>
      </c>
      <c r="S21" s="57">
        <f t="shared" si="11"/>
        <v>3.493333352360851</v>
      </c>
      <c r="T21" s="58">
        <f>338/300*K21</f>
        <v>345.19148936170211</v>
      </c>
      <c r="U21" s="75">
        <f>TREND(S21:S24,L21:L24,T21)/R21-1</f>
        <v>5.2924952317092488E-2</v>
      </c>
      <c r="V21" s="184">
        <v>4640349</v>
      </c>
    </row>
    <row r="22" spans="1:24">
      <c r="A22" s="164"/>
      <c r="B22" s="167"/>
      <c r="C22" s="167"/>
      <c r="D22" s="170"/>
      <c r="E22" s="173"/>
      <c r="F22" s="54">
        <v>2</v>
      </c>
      <c r="G22" s="54">
        <v>1300</v>
      </c>
      <c r="H22" s="54"/>
      <c r="I22" s="59">
        <v>47.42</v>
      </c>
      <c r="J22" s="60">
        <f t="shared" si="5"/>
        <v>47.065360000000005</v>
      </c>
      <c r="K22" s="150">
        <f t="shared" si="12"/>
        <v>328.97511598481651</v>
      </c>
      <c r="L22" s="150">
        <f t="shared" si="7"/>
        <v>331.45396104481085</v>
      </c>
      <c r="M22" s="54"/>
      <c r="N22" s="59">
        <v>3.9984000000000002</v>
      </c>
      <c r="O22" s="59">
        <f t="shared" si="14"/>
        <v>3.8944000000000005</v>
      </c>
      <c r="P22" s="54">
        <f t="shared" si="2"/>
        <v>0.74099999999999988</v>
      </c>
      <c r="Q22" s="54">
        <f t="shared" si="3"/>
        <v>0.63700000000000001</v>
      </c>
      <c r="R22" s="59">
        <f t="shared" si="10"/>
        <v>3.4758921153455522</v>
      </c>
      <c r="S22" s="59">
        <f t="shared" si="11"/>
        <v>3.5687158571275814</v>
      </c>
      <c r="T22" s="60"/>
      <c r="U22" s="76"/>
      <c r="V22" s="182"/>
      <c r="X22" s="161"/>
    </row>
    <row r="23" spans="1:24">
      <c r="A23" s="164"/>
      <c r="B23" s="167"/>
      <c r="C23" s="167"/>
      <c r="D23" s="170"/>
      <c r="E23" s="173"/>
      <c r="F23" s="54">
        <v>3</v>
      </c>
      <c r="G23" s="54">
        <v>1400</v>
      </c>
      <c r="H23" s="54"/>
      <c r="I23" s="59">
        <v>47.8</v>
      </c>
      <c r="J23" s="60">
        <f t="shared" si="5"/>
        <v>47.418079999999996</v>
      </c>
      <c r="K23" s="150">
        <f t="shared" si="12"/>
        <v>351.46443514644352</v>
      </c>
      <c r="L23" s="150">
        <f t="shared" si="7"/>
        <v>354.29523928425613</v>
      </c>
      <c r="M23" s="54"/>
      <c r="N23" s="59">
        <v>3.9678</v>
      </c>
      <c r="O23" s="59">
        <f t="shared" si="14"/>
        <v>3.8557999999999999</v>
      </c>
      <c r="P23" s="54">
        <f t="shared" si="2"/>
        <v>0.79799999999999993</v>
      </c>
      <c r="Q23" s="54">
        <f t="shared" si="3"/>
        <v>0.68600000000000005</v>
      </c>
      <c r="R23" s="59">
        <f t="shared" si="10"/>
        <v>3.530767342996231</v>
      </c>
      <c r="S23" s="59">
        <f t="shared" si="11"/>
        <v>3.6333260707351123</v>
      </c>
      <c r="T23" s="60"/>
      <c r="U23" s="76"/>
      <c r="V23" s="182"/>
      <c r="X23" s="161"/>
    </row>
    <row r="24" spans="1:24" ht="15.75" thickBot="1">
      <c r="A24" s="164"/>
      <c r="B24" s="167"/>
      <c r="C24" s="167"/>
      <c r="D24" s="170"/>
      <c r="E24" s="173"/>
      <c r="F24" s="61">
        <v>4</v>
      </c>
      <c r="G24" s="61">
        <v>1600</v>
      </c>
      <c r="H24" s="61"/>
      <c r="I24" s="62">
        <v>48.44</v>
      </c>
      <c r="J24" s="63">
        <f t="shared" si="5"/>
        <v>48.003519999999995</v>
      </c>
      <c r="K24" s="151">
        <f t="shared" si="12"/>
        <v>396.36663914120567</v>
      </c>
      <c r="L24" s="151">
        <f t="shared" si="7"/>
        <v>399.97066881762009</v>
      </c>
      <c r="M24" s="61"/>
      <c r="N24" s="62">
        <v>3.9678</v>
      </c>
      <c r="O24" s="62">
        <f t="shared" si="14"/>
        <v>3.8398000000000003</v>
      </c>
      <c r="P24" s="61">
        <f t="shared" si="2"/>
        <v>0.91199999999999992</v>
      </c>
      <c r="Q24" s="61">
        <f t="shared" si="3"/>
        <v>0.78400000000000003</v>
      </c>
      <c r="R24" s="62">
        <f t="shared" si="10"/>
        <v>3.5780412153710759</v>
      </c>
      <c r="S24" s="62">
        <f t="shared" si="11"/>
        <v>3.6973154680841072</v>
      </c>
      <c r="T24" s="63"/>
      <c r="U24" s="77"/>
      <c r="V24" s="183"/>
      <c r="X24" s="161"/>
    </row>
    <row r="25" spans="1:24">
      <c r="A25" s="164"/>
      <c r="B25" s="167"/>
      <c r="C25" s="167"/>
      <c r="D25" s="170"/>
      <c r="E25" s="173"/>
      <c r="F25" s="54">
        <v>1</v>
      </c>
      <c r="G25" s="54">
        <v>1400</v>
      </c>
      <c r="H25" s="54"/>
      <c r="I25" s="59">
        <v>48.411999999999999</v>
      </c>
      <c r="J25" s="60">
        <f t="shared" si="5"/>
        <v>48.030079999999998</v>
      </c>
      <c r="K25" s="150">
        <f t="shared" si="12"/>
        <v>347.02139965297863</v>
      </c>
      <c r="L25" s="150">
        <f t="shared" si="7"/>
        <v>349.78080402947489</v>
      </c>
      <c r="M25" s="54"/>
      <c r="N25" s="59">
        <v>3.7812000000000006</v>
      </c>
      <c r="O25" s="59">
        <f t="shared" si="14"/>
        <v>3.6692000000000005</v>
      </c>
      <c r="P25" s="54">
        <f t="shared" si="2"/>
        <v>0.79799999999999993</v>
      </c>
      <c r="Q25" s="54">
        <f t="shared" si="3"/>
        <v>0.68600000000000005</v>
      </c>
      <c r="R25" s="59">
        <f t="shared" si="10"/>
        <v>3.7524451506800651</v>
      </c>
      <c r="S25" s="59">
        <f t="shared" si="11"/>
        <v>3.866986156042588</v>
      </c>
      <c r="T25" s="60">
        <f>338/300*K25</f>
        <v>390.9774436090226</v>
      </c>
      <c r="U25" s="75">
        <f>TREND(S25:S27,L25:L27,T25)/R25-1</f>
        <v>0.10167913702261444</v>
      </c>
      <c r="V25" s="175">
        <v>5934017</v>
      </c>
      <c r="X25" s="161"/>
    </row>
    <row r="26" spans="1:24">
      <c r="A26" s="164"/>
      <c r="B26" s="167"/>
      <c r="C26" s="167"/>
      <c r="D26" s="170"/>
      <c r="E26" s="173"/>
      <c r="F26" s="54">
        <v>2</v>
      </c>
      <c r="G26" s="54">
        <v>1600</v>
      </c>
      <c r="H26" s="54"/>
      <c r="I26" s="59">
        <v>49.097999999999999</v>
      </c>
      <c r="J26" s="60">
        <f t="shared" si="5"/>
        <v>48.661519999999996</v>
      </c>
      <c r="K26" s="150">
        <f t="shared" si="12"/>
        <v>391.05462544299155</v>
      </c>
      <c r="L26" s="150">
        <f t="shared" si="7"/>
        <v>394.56227425694885</v>
      </c>
      <c r="M26" s="54"/>
      <c r="N26" s="59">
        <v>3.5880000000000001</v>
      </c>
      <c r="O26" s="59">
        <f t="shared" si="14"/>
        <v>3.46</v>
      </c>
      <c r="P26" s="54">
        <f t="shared" si="2"/>
        <v>0.91199999999999992</v>
      </c>
      <c r="Q26" s="54">
        <f t="shared" si="3"/>
        <v>0.78400000000000003</v>
      </c>
      <c r="R26" s="59">
        <f t="shared" si="10"/>
        <v>4.0105353130991546</v>
      </c>
      <c r="S26" s="59">
        <f t="shared" si="11"/>
        <v>4.1589019373987757</v>
      </c>
      <c r="T26" s="60"/>
      <c r="U26" s="76"/>
      <c r="V26" s="176"/>
      <c r="X26" s="161"/>
    </row>
    <row r="27" spans="1:24" ht="15.75" thickBot="1">
      <c r="A27" s="165"/>
      <c r="B27" s="168"/>
      <c r="C27" s="168"/>
      <c r="D27" s="171"/>
      <c r="E27" s="174"/>
      <c r="F27" s="61">
        <v>3</v>
      </c>
      <c r="G27" s="61">
        <v>1800</v>
      </c>
      <c r="H27" s="61"/>
      <c r="I27" s="62">
        <v>49.783999999999999</v>
      </c>
      <c r="J27" s="63">
        <f t="shared" si="5"/>
        <v>49.292960000000001</v>
      </c>
      <c r="K27" s="151">
        <f t="shared" si="12"/>
        <v>433.8743371364294</v>
      </c>
      <c r="L27" s="151">
        <f t="shared" si="7"/>
        <v>438.19644833663875</v>
      </c>
      <c r="M27" s="61"/>
      <c r="N27" s="62">
        <v>3.4316</v>
      </c>
      <c r="O27" s="62">
        <f t="shared" si="14"/>
        <v>3.2875999999999999</v>
      </c>
      <c r="P27" s="61">
        <f t="shared" si="2"/>
        <v>1.026</v>
      </c>
      <c r="Q27" s="61">
        <f t="shared" si="3"/>
        <v>0.88200000000000001</v>
      </c>
      <c r="R27" s="62">
        <f t="shared" si="10"/>
        <v>4.2519104216831991</v>
      </c>
      <c r="S27" s="62">
        <f t="shared" si="11"/>
        <v>4.4381481333033417</v>
      </c>
      <c r="T27" s="63"/>
      <c r="U27" s="77"/>
      <c r="V27" s="177"/>
      <c r="X27" s="161"/>
    </row>
    <row r="28" spans="1:24" ht="15.75" customHeight="1">
      <c r="A28" s="163" t="s">
        <v>111</v>
      </c>
      <c r="B28" s="166">
        <f>'DEER HP COP to HIR'!BI14</f>
        <v>3.74</v>
      </c>
      <c r="C28" s="166">
        <f>1/B28</f>
        <v>0.26737967914438499</v>
      </c>
      <c r="D28" s="169">
        <f>B28*(1+AVERAGE(U28:U34))</f>
        <v>3.9308314190743965</v>
      </c>
      <c r="E28" s="166">
        <f>1/D28</f>
        <v>0.25439910629275286</v>
      </c>
      <c r="F28" s="56">
        <v>1</v>
      </c>
      <c r="G28" s="64">
        <v>1440</v>
      </c>
      <c r="H28" s="64">
        <v>42.3</v>
      </c>
      <c r="I28" s="65">
        <f>H28+P28*3.412</f>
        <v>45.1005696</v>
      </c>
      <c r="J28" s="66">
        <f t="shared" si="5"/>
        <v>44.707737600000002</v>
      </c>
      <c r="K28" s="152">
        <f t="shared" ref="K28:K34" si="15">G28/I28*12</f>
        <v>383.14371976357478</v>
      </c>
      <c r="L28" s="152">
        <f t="shared" si="7"/>
        <v>386.51027601987181</v>
      </c>
      <c r="M28" s="64">
        <v>3.14</v>
      </c>
      <c r="N28" s="65">
        <f t="shared" ref="N28:N30" si="16">M28+P28</f>
        <v>3.9607999999999999</v>
      </c>
      <c r="O28" s="65">
        <f t="shared" si="14"/>
        <v>3.8455999999999997</v>
      </c>
      <c r="P28" s="64">
        <f t="shared" si="2"/>
        <v>0.82079999999999997</v>
      </c>
      <c r="Q28" s="64">
        <f t="shared" si="3"/>
        <v>0.7056</v>
      </c>
      <c r="R28" s="65">
        <f t="shared" si="10"/>
        <v>3.3372603684928244</v>
      </c>
      <c r="S28" s="65">
        <f t="shared" si="11"/>
        <v>3.4372323870205896</v>
      </c>
      <c r="T28" s="66">
        <f>338/300*K28</f>
        <v>431.67525760029429</v>
      </c>
      <c r="U28" s="78">
        <f>TREND(S28:S30,L28:L30,T28)/R28-1</f>
        <v>4.1261823651603802E-2</v>
      </c>
      <c r="V28" s="175">
        <v>8329185</v>
      </c>
      <c r="X28" s="161"/>
    </row>
    <row r="29" spans="1:24">
      <c r="A29" s="164"/>
      <c r="B29" s="167"/>
      <c r="C29" s="167"/>
      <c r="D29" s="170"/>
      <c r="E29" s="167"/>
      <c r="F29" s="54">
        <v>2</v>
      </c>
      <c r="G29" s="67">
        <v>1575</v>
      </c>
      <c r="H29" s="67">
        <v>42.9</v>
      </c>
      <c r="I29" s="68">
        <f>H29+P29*3.412</f>
        <v>45.963122999999996</v>
      </c>
      <c r="J29" s="69">
        <f t="shared" si="5"/>
        <v>45.533462999999998</v>
      </c>
      <c r="K29" s="153">
        <f t="shared" si="15"/>
        <v>411.19921289943687</v>
      </c>
      <c r="L29" s="153">
        <f t="shared" si="7"/>
        <v>415.07934505223119</v>
      </c>
      <c r="M29" s="67">
        <v>3.02</v>
      </c>
      <c r="N29" s="68">
        <f t="shared" si="16"/>
        <v>3.9177499999999998</v>
      </c>
      <c r="O29" s="68">
        <f t="shared" si="14"/>
        <v>3.79175</v>
      </c>
      <c r="P29" s="67">
        <f t="shared" si="2"/>
        <v>0.89774999999999994</v>
      </c>
      <c r="Q29" s="67">
        <f t="shared" si="3"/>
        <v>0.77175000000000005</v>
      </c>
      <c r="R29" s="68">
        <f t="shared" si="10"/>
        <v>3.43845850524146</v>
      </c>
      <c r="S29" s="68">
        <f t="shared" si="11"/>
        <v>3.5527186151275085</v>
      </c>
      <c r="T29" s="69"/>
      <c r="U29" s="79"/>
      <c r="V29" s="176"/>
      <c r="X29" s="161"/>
    </row>
    <row r="30" spans="1:24" ht="15.75" thickBot="1">
      <c r="A30" s="164"/>
      <c r="B30" s="167"/>
      <c r="C30" s="167"/>
      <c r="D30" s="170"/>
      <c r="E30" s="167"/>
      <c r="F30" s="61">
        <v>3</v>
      </c>
      <c r="G30" s="70">
        <v>1740</v>
      </c>
      <c r="H30" s="70">
        <v>43.8</v>
      </c>
      <c r="I30" s="71">
        <f>H30+P30*3.412</f>
        <v>47.184021599999994</v>
      </c>
      <c r="J30" s="72">
        <f t="shared" si="5"/>
        <v>46.709349599999996</v>
      </c>
      <c r="K30" s="154">
        <f t="shared" si="15"/>
        <v>442.52268653590141</v>
      </c>
      <c r="L30" s="154">
        <f t="shared" si="7"/>
        <v>447.01971187370168</v>
      </c>
      <c r="M30" s="70">
        <v>3.17</v>
      </c>
      <c r="N30" s="71">
        <f t="shared" si="16"/>
        <v>4.1617999999999995</v>
      </c>
      <c r="O30" s="71">
        <f t="shared" si="14"/>
        <v>4.0225999999999997</v>
      </c>
      <c r="P30" s="70">
        <f t="shared" si="2"/>
        <v>0.9917999999999999</v>
      </c>
      <c r="Q30" s="70">
        <f t="shared" si="3"/>
        <v>0.85260000000000002</v>
      </c>
      <c r="R30" s="71">
        <f t="shared" si="10"/>
        <v>3.3228040081178238</v>
      </c>
      <c r="S30" s="71">
        <f t="shared" si="11"/>
        <v>3.4377879284504447</v>
      </c>
      <c r="T30" s="72"/>
      <c r="U30" s="80"/>
      <c r="V30" s="177"/>
    </row>
    <row r="31" spans="1:24">
      <c r="A31" s="164"/>
      <c r="B31" s="167"/>
      <c r="C31" s="167"/>
      <c r="D31" s="170"/>
      <c r="E31" s="167"/>
      <c r="F31" s="54">
        <v>1</v>
      </c>
      <c r="G31" s="67">
        <v>1200</v>
      </c>
      <c r="H31" s="67"/>
      <c r="I31" s="68">
        <v>47.51</v>
      </c>
      <c r="J31" s="69">
        <f t="shared" si="5"/>
        <v>47.182639999999999</v>
      </c>
      <c r="K31" s="153">
        <f t="shared" si="15"/>
        <v>303.09408545569357</v>
      </c>
      <c r="L31" s="153">
        <f t="shared" si="7"/>
        <v>305.19699618334204</v>
      </c>
      <c r="M31" s="67"/>
      <c r="N31" s="68">
        <v>3.65</v>
      </c>
      <c r="O31" s="68">
        <f t="shared" si="14"/>
        <v>3.5540000000000003</v>
      </c>
      <c r="P31" s="67">
        <f t="shared" si="2"/>
        <v>0.68399999999999994</v>
      </c>
      <c r="Q31" s="67">
        <f t="shared" si="3"/>
        <v>0.58799999999999997</v>
      </c>
      <c r="R31" s="68">
        <f t="shared" si="10"/>
        <v>3.8148998699192216</v>
      </c>
      <c r="S31" s="68">
        <f t="shared" si="11"/>
        <v>3.9179472496356662</v>
      </c>
      <c r="T31" s="69">
        <f>338/300*K31</f>
        <v>341.4860029467481</v>
      </c>
      <c r="U31" s="79">
        <f>TREND(S31:S34,L31:L34,T31)/R31-1</f>
        <v>6.07870635539558E-2</v>
      </c>
      <c r="V31" s="178">
        <v>4643185</v>
      </c>
    </row>
    <row r="32" spans="1:24">
      <c r="A32" s="164"/>
      <c r="B32" s="167"/>
      <c r="C32" s="167"/>
      <c r="D32" s="170"/>
      <c r="E32" s="167"/>
      <c r="F32" s="54">
        <v>2</v>
      </c>
      <c r="G32" s="67">
        <v>1300</v>
      </c>
      <c r="H32" s="67"/>
      <c r="I32" s="68">
        <v>47.93</v>
      </c>
      <c r="J32" s="69">
        <f t="shared" si="5"/>
        <v>47.575360000000003</v>
      </c>
      <c r="K32" s="153">
        <f t="shared" si="15"/>
        <v>325.47465053202586</v>
      </c>
      <c r="L32" s="153">
        <f t="shared" si="7"/>
        <v>327.90082933686676</v>
      </c>
      <c r="M32" s="67"/>
      <c r="N32" s="68">
        <v>3.61</v>
      </c>
      <c r="O32" s="68">
        <f t="shared" si="14"/>
        <v>3.5059999999999998</v>
      </c>
      <c r="P32" s="67">
        <f t="shared" si="2"/>
        <v>0.74099999999999988</v>
      </c>
      <c r="Q32" s="67">
        <f t="shared" si="3"/>
        <v>0.63700000000000001</v>
      </c>
      <c r="R32" s="68">
        <f t="shared" si="10"/>
        <v>3.8912685551727164</v>
      </c>
      <c r="S32" s="68">
        <f t="shared" si="11"/>
        <v>4.0066969435748732</v>
      </c>
      <c r="T32" s="69"/>
      <c r="U32" s="67"/>
      <c r="V32" s="179"/>
      <c r="X32" s="161"/>
    </row>
    <row r="33" spans="1:24" ht="15" customHeight="1">
      <c r="A33" s="164"/>
      <c r="B33" s="167"/>
      <c r="C33" s="167"/>
      <c r="D33" s="170"/>
      <c r="E33" s="167"/>
      <c r="F33" s="54">
        <v>3</v>
      </c>
      <c r="G33" s="67">
        <v>1400</v>
      </c>
      <c r="H33" s="67"/>
      <c r="I33" s="68">
        <v>48.3</v>
      </c>
      <c r="J33" s="69">
        <f t="shared" si="5"/>
        <v>47.918079999999996</v>
      </c>
      <c r="K33" s="153">
        <f t="shared" si="15"/>
        <v>347.82608695652175</v>
      </c>
      <c r="L33" s="153">
        <f t="shared" si="7"/>
        <v>350.59835452505615</v>
      </c>
      <c r="M33" s="67"/>
      <c r="N33" s="68">
        <v>3.57</v>
      </c>
      <c r="O33" s="68">
        <f t="shared" si="14"/>
        <v>3.4579999999999997</v>
      </c>
      <c r="P33" s="67">
        <f t="shared" si="2"/>
        <v>0.79799999999999993</v>
      </c>
      <c r="Q33" s="67">
        <f t="shared" si="3"/>
        <v>0.68600000000000005</v>
      </c>
      <c r="R33" s="68">
        <f t="shared" si="10"/>
        <v>3.9652437762912904</v>
      </c>
      <c r="S33" s="68">
        <f t="shared" si="11"/>
        <v>4.0936727245112516</v>
      </c>
      <c r="T33" s="69"/>
      <c r="U33" s="67"/>
      <c r="V33" s="179"/>
      <c r="X33" s="161"/>
    </row>
    <row r="34" spans="1:24" ht="15.75" thickBot="1">
      <c r="A34" s="165"/>
      <c r="B34" s="168"/>
      <c r="C34" s="168"/>
      <c r="D34" s="171"/>
      <c r="E34" s="168"/>
      <c r="F34" s="61">
        <v>4</v>
      </c>
      <c r="G34" s="70">
        <v>1600</v>
      </c>
      <c r="H34" s="70"/>
      <c r="I34" s="71">
        <v>48.91</v>
      </c>
      <c r="J34" s="72">
        <f t="shared" si="5"/>
        <v>48.473519999999994</v>
      </c>
      <c r="K34" s="154">
        <f t="shared" si="15"/>
        <v>392.55775914945821</v>
      </c>
      <c r="L34" s="154">
        <f t="shared" si="7"/>
        <v>396.0925470236121</v>
      </c>
      <c r="M34" s="70"/>
      <c r="N34" s="71">
        <v>3.53</v>
      </c>
      <c r="O34" s="71">
        <f t="shared" si="14"/>
        <v>3.4020000000000001</v>
      </c>
      <c r="P34" s="70">
        <f t="shared" si="2"/>
        <v>0.91199999999999992</v>
      </c>
      <c r="Q34" s="70">
        <f t="shared" si="3"/>
        <v>0.78400000000000003</v>
      </c>
      <c r="R34" s="71">
        <f t="shared" si="10"/>
        <v>4.060821828640127</v>
      </c>
      <c r="S34" s="71">
        <f t="shared" si="11"/>
        <v>4.2136099515284089</v>
      </c>
      <c r="T34" s="72"/>
      <c r="U34" s="70"/>
      <c r="V34" s="180"/>
    </row>
    <row r="39" spans="1:24" ht="21">
      <c r="M39" s="81"/>
    </row>
  </sheetData>
  <mergeCells count="26">
    <mergeCell ref="V25:V27"/>
    <mergeCell ref="V28:V30"/>
    <mergeCell ref="V31:V34"/>
    <mergeCell ref="B4:C4"/>
    <mergeCell ref="D4:E4"/>
    <mergeCell ref="V6:V8"/>
    <mergeCell ref="V9:V11"/>
    <mergeCell ref="V12:V14"/>
    <mergeCell ref="V15:V17"/>
    <mergeCell ref="V18:V20"/>
    <mergeCell ref="V21:V24"/>
    <mergeCell ref="B28:B34"/>
    <mergeCell ref="C28:C34"/>
    <mergeCell ref="D28:D34"/>
    <mergeCell ref="E28:E34"/>
    <mergeCell ref="E18:E27"/>
    <mergeCell ref="A6:A17"/>
    <mergeCell ref="B6:B17"/>
    <mergeCell ref="C6:C17"/>
    <mergeCell ref="D6:D17"/>
    <mergeCell ref="E6:E17"/>
    <mergeCell ref="A28:A34"/>
    <mergeCell ref="A18:A27"/>
    <mergeCell ref="B18:B27"/>
    <mergeCell ref="C18:C27"/>
    <mergeCell ref="D18:D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7"/>
  <sheetViews>
    <sheetView tabSelected="1" zoomScale="70" zoomScaleNormal="70" workbookViewId="0">
      <pane xSplit="4" ySplit="4" topLeftCell="E5" activePane="bottomRight" state="frozenSplit"/>
      <selection pane="topRight" activeCell="G1" sqref="G1"/>
      <selection pane="bottomLeft" activeCell="A5" sqref="A5"/>
      <selection pane="bottomRight" activeCell="I63" sqref="I63"/>
    </sheetView>
  </sheetViews>
  <sheetFormatPr defaultRowHeight="15"/>
  <cols>
    <col min="1" max="1" width="14.28515625" customWidth="1"/>
    <col min="2" max="3" width="12.140625" customWidth="1"/>
    <col min="4" max="4" width="12" customWidth="1"/>
    <col min="7" max="7" width="10.5703125" customWidth="1"/>
    <col min="8" max="8" width="10.7109375" customWidth="1"/>
    <col min="9" max="9" width="11" customWidth="1"/>
    <col min="10" max="10" width="10.140625" customWidth="1"/>
    <col min="11" max="11" width="10" customWidth="1"/>
    <col min="16" max="16" width="7.85546875" customWidth="1"/>
    <col min="17" max="17" width="9.42578125" customWidth="1"/>
    <col min="18" max="18" width="10" customWidth="1"/>
    <col min="20" max="20" width="9.140625" style="45"/>
    <col min="21" max="21" width="10.28515625" customWidth="1"/>
    <col min="22" max="22" width="10.85546875" customWidth="1"/>
    <col min="23" max="23" width="25.140625" customWidth="1"/>
    <col min="25" max="25" width="11.85546875" customWidth="1"/>
    <col min="26" max="26" width="11.42578125" customWidth="1"/>
  </cols>
  <sheetData>
    <row r="1" spans="1:26">
      <c r="D1" s="8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6">
      <c r="D2" s="8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26" ht="21">
      <c r="A3" s="2"/>
      <c r="B3" s="210" t="s">
        <v>15</v>
      </c>
      <c r="C3" s="211" t="s">
        <v>16</v>
      </c>
      <c r="D3" s="21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Y3" s="142"/>
    </row>
    <row r="4" spans="1:26" ht="105.75" thickBot="1">
      <c r="A4" s="74" t="s">
        <v>1</v>
      </c>
      <c r="B4" s="74" t="s">
        <v>125</v>
      </c>
      <c r="C4" s="74" t="s">
        <v>125</v>
      </c>
      <c r="D4" s="162" t="s">
        <v>182</v>
      </c>
      <c r="E4" s="53" t="s">
        <v>14</v>
      </c>
      <c r="F4" s="54" t="s">
        <v>0</v>
      </c>
      <c r="G4" s="5" t="s">
        <v>117</v>
      </c>
      <c r="H4" s="5" t="s">
        <v>114</v>
      </c>
      <c r="I4" s="5" t="s">
        <v>115</v>
      </c>
      <c r="J4" s="6" t="s">
        <v>116</v>
      </c>
      <c r="K4" s="6" t="s">
        <v>113</v>
      </c>
      <c r="L4" s="6" t="s">
        <v>13</v>
      </c>
      <c r="M4" s="6" t="s">
        <v>5</v>
      </c>
      <c r="N4" s="6" t="s">
        <v>4</v>
      </c>
      <c r="O4" s="6" t="s">
        <v>124</v>
      </c>
      <c r="P4" s="6" t="s">
        <v>2</v>
      </c>
      <c r="Q4" s="6" t="s">
        <v>123</v>
      </c>
      <c r="R4" s="6" t="s">
        <v>3</v>
      </c>
      <c r="S4" s="5" t="s">
        <v>122</v>
      </c>
      <c r="T4" s="5" t="s">
        <v>121</v>
      </c>
      <c r="U4" s="5" t="s">
        <v>6</v>
      </c>
      <c r="V4" s="6" t="s">
        <v>120</v>
      </c>
      <c r="W4" s="6" t="s">
        <v>119</v>
      </c>
      <c r="X4" s="1"/>
      <c r="Y4" s="8"/>
      <c r="Z4" s="8"/>
    </row>
    <row r="5" spans="1:26" ht="15" customHeight="1">
      <c r="A5" s="198" t="s">
        <v>127</v>
      </c>
      <c r="B5" s="198">
        <f>'DEER DX SEER to EER'!E6</f>
        <v>12.78</v>
      </c>
      <c r="C5" s="199">
        <f>B5*(1+AVERAGE(V5:V31))</f>
        <v>13.318478735469506</v>
      </c>
      <c r="D5" s="213">
        <f>3.412/C5</f>
        <v>0.25618541484871166</v>
      </c>
      <c r="E5" s="56">
        <v>1</v>
      </c>
      <c r="F5" s="56">
        <v>1395</v>
      </c>
      <c r="G5" s="58">
        <v>46.5</v>
      </c>
      <c r="H5" s="58">
        <f t="shared" ref="H5:H22" si="0">G5-P5*3.412</f>
        <v>43.786948199999998</v>
      </c>
      <c r="I5" s="58">
        <f t="shared" ref="I5:I36" si="1">H5+(P5-R5)*3.412</f>
        <v>44.167727399999997</v>
      </c>
      <c r="J5" s="149">
        <f t="shared" ref="J5:J36" si="2">F5/H5*12</f>
        <v>382.30570268425333</v>
      </c>
      <c r="K5" s="149">
        <f t="shared" ref="K5:K36" si="3">F5/I5*12</f>
        <v>379.00976539716646</v>
      </c>
      <c r="L5" s="56">
        <v>3.11</v>
      </c>
      <c r="M5" s="57">
        <f t="shared" ref="M5:M13" si="4">L5+P5</f>
        <v>3.9051499999999999</v>
      </c>
      <c r="N5" s="57">
        <f t="shared" ref="N5:N36" si="5">M5-P5+R5</f>
        <v>3.7935499999999998</v>
      </c>
      <c r="O5" s="56">
        <f t="shared" ref="O5:O36" si="6">0.57/1000</f>
        <v>5.6999999999999998E-4</v>
      </c>
      <c r="P5" s="56">
        <f t="shared" ref="P5:P36" si="7">F5*O5</f>
        <v>0.79515000000000002</v>
      </c>
      <c r="Q5" s="56">
        <f t="shared" ref="Q5:Q36" si="8">0.49/1000</f>
        <v>4.8999999999999998E-4</v>
      </c>
      <c r="R5" s="143">
        <f t="shared" ref="R5:R36" si="9">F5*Q5</f>
        <v>0.68354999999999999</v>
      </c>
      <c r="S5" s="57">
        <f t="shared" ref="S5:S52" si="10">H5/M5</f>
        <v>11.212616211925278</v>
      </c>
      <c r="T5" s="57">
        <f t="shared" ref="T5:T52" si="11">I5/N5</f>
        <v>11.64284836103386</v>
      </c>
      <c r="U5" s="149">
        <f>338/300*J5</f>
        <v>430.73109169092544</v>
      </c>
      <c r="V5" s="157">
        <f>TREND(T5:T7,K5:K7,U5)/S5-1</f>
        <v>2.2422236172916943E-2</v>
      </c>
      <c r="W5" s="185">
        <v>6685265</v>
      </c>
      <c r="X5" s="4"/>
      <c r="Y5" s="3"/>
      <c r="Z5" s="3"/>
    </row>
    <row r="6" spans="1:26">
      <c r="A6" s="198"/>
      <c r="B6" s="198"/>
      <c r="C6" s="199"/>
      <c r="D6" s="213"/>
      <c r="E6" s="54">
        <v>2</v>
      </c>
      <c r="F6" s="54">
        <v>1565</v>
      </c>
      <c r="G6" s="60">
        <v>47.5</v>
      </c>
      <c r="H6" s="60">
        <f t="shared" si="0"/>
        <v>44.456325399999997</v>
      </c>
      <c r="I6" s="60">
        <f t="shared" si="1"/>
        <v>44.883507799999997</v>
      </c>
      <c r="J6" s="150">
        <f t="shared" si="2"/>
        <v>422.43707348785966</v>
      </c>
      <c r="K6" s="150">
        <f t="shared" si="3"/>
        <v>418.41649462166146</v>
      </c>
      <c r="L6" s="54">
        <v>3.13</v>
      </c>
      <c r="M6" s="59">
        <f t="shared" si="4"/>
        <v>4.0220500000000001</v>
      </c>
      <c r="N6" s="59">
        <f t="shared" si="5"/>
        <v>3.8968499999999997</v>
      </c>
      <c r="O6" s="54">
        <f t="shared" si="6"/>
        <v>5.6999999999999998E-4</v>
      </c>
      <c r="P6" s="54">
        <f t="shared" si="7"/>
        <v>0.89205000000000001</v>
      </c>
      <c r="Q6" s="54">
        <f t="shared" si="8"/>
        <v>4.8999999999999998E-4</v>
      </c>
      <c r="R6" s="144">
        <f t="shared" si="9"/>
        <v>0.76684999999999992</v>
      </c>
      <c r="S6" s="59">
        <f t="shared" si="10"/>
        <v>11.053150855906813</v>
      </c>
      <c r="T6" s="59">
        <f t="shared" si="11"/>
        <v>11.517894658506229</v>
      </c>
      <c r="U6" s="150"/>
      <c r="V6" s="158"/>
      <c r="W6" s="186"/>
      <c r="X6" s="4"/>
      <c r="Y6" s="3"/>
      <c r="Z6" s="3"/>
    </row>
    <row r="7" spans="1:26" ht="15.75" thickBot="1">
      <c r="A7" s="198"/>
      <c r="B7" s="198"/>
      <c r="C7" s="199"/>
      <c r="D7" s="213"/>
      <c r="E7" s="54">
        <v>3</v>
      </c>
      <c r="F7" s="54">
        <v>1810</v>
      </c>
      <c r="G7" s="60">
        <v>48.5</v>
      </c>
      <c r="H7" s="60">
        <f t="shared" si="0"/>
        <v>44.979839599999998</v>
      </c>
      <c r="I7" s="60">
        <f t="shared" si="1"/>
        <v>45.473897199999996</v>
      </c>
      <c r="J7" s="150">
        <f t="shared" si="2"/>
        <v>482.88300254409984</v>
      </c>
      <c r="K7" s="150">
        <f t="shared" si="3"/>
        <v>477.63665173610855</v>
      </c>
      <c r="L7" s="54">
        <v>3.14</v>
      </c>
      <c r="M7" s="59">
        <f t="shared" si="4"/>
        <v>4.1717000000000004</v>
      </c>
      <c r="N7" s="59">
        <f t="shared" si="5"/>
        <v>4.0269000000000004</v>
      </c>
      <c r="O7" s="54">
        <f t="shared" si="6"/>
        <v>5.6999999999999998E-4</v>
      </c>
      <c r="P7" s="54">
        <f t="shared" si="7"/>
        <v>1.0317000000000001</v>
      </c>
      <c r="Q7" s="54">
        <f t="shared" si="8"/>
        <v>4.8999999999999998E-4</v>
      </c>
      <c r="R7" s="144">
        <f t="shared" si="9"/>
        <v>0.88690000000000002</v>
      </c>
      <c r="S7" s="59">
        <f t="shared" si="10"/>
        <v>10.782136682887071</v>
      </c>
      <c r="T7" s="59">
        <f t="shared" si="11"/>
        <v>11.292532022151033</v>
      </c>
      <c r="U7" s="150"/>
      <c r="V7" s="158"/>
      <c r="W7" s="187"/>
      <c r="X7" s="4"/>
      <c r="Y7" s="3"/>
      <c r="Z7" s="3"/>
    </row>
    <row r="8" spans="1:26" ht="15" customHeight="1">
      <c r="A8" s="198"/>
      <c r="B8" s="198"/>
      <c r="C8" s="199"/>
      <c r="D8" s="213"/>
      <c r="E8" s="56">
        <v>1</v>
      </c>
      <c r="F8" s="56">
        <v>1400</v>
      </c>
      <c r="G8" s="58">
        <v>48</v>
      </c>
      <c r="H8" s="58">
        <f t="shared" si="0"/>
        <v>45.277224000000004</v>
      </c>
      <c r="I8" s="58">
        <f t="shared" si="1"/>
        <v>45.659368000000001</v>
      </c>
      <c r="J8" s="149">
        <f t="shared" si="2"/>
        <v>371.04748294639262</v>
      </c>
      <c r="K8" s="149">
        <f t="shared" si="3"/>
        <v>367.9420179447074</v>
      </c>
      <c r="L8" s="56">
        <v>3.14</v>
      </c>
      <c r="M8" s="57">
        <f t="shared" si="4"/>
        <v>3.9380000000000002</v>
      </c>
      <c r="N8" s="57">
        <f t="shared" si="5"/>
        <v>3.8260000000000001</v>
      </c>
      <c r="O8" s="56">
        <f t="shared" si="6"/>
        <v>5.6999999999999998E-4</v>
      </c>
      <c r="P8" s="56">
        <f t="shared" si="7"/>
        <v>0.79799999999999993</v>
      </c>
      <c r="Q8" s="56">
        <f t="shared" si="8"/>
        <v>4.8999999999999998E-4</v>
      </c>
      <c r="R8" s="143">
        <f t="shared" si="9"/>
        <v>0.68599999999999994</v>
      </c>
      <c r="S8" s="57">
        <f t="shared" si="10"/>
        <v>11.497517521584561</v>
      </c>
      <c r="T8" s="57">
        <f t="shared" si="11"/>
        <v>11.933969681129117</v>
      </c>
      <c r="U8" s="149">
        <f>338/300*J8</f>
        <v>418.04683078626903</v>
      </c>
      <c r="V8" s="157">
        <f>TREND(T8:T10,K8:K10,U8)/S8-1</f>
        <v>2.6402449627388469E-2</v>
      </c>
      <c r="W8" s="185">
        <v>5290616</v>
      </c>
      <c r="X8" s="3"/>
      <c r="Y8" s="3"/>
      <c r="Z8" s="3"/>
    </row>
    <row r="9" spans="1:26">
      <c r="A9" s="198"/>
      <c r="B9" s="198"/>
      <c r="C9" s="199"/>
      <c r="D9" s="213"/>
      <c r="E9" s="54">
        <v>2</v>
      </c>
      <c r="F9" s="54">
        <v>1565</v>
      </c>
      <c r="G9" s="60">
        <v>49</v>
      </c>
      <c r="H9" s="60">
        <f t="shared" si="0"/>
        <v>45.956325399999997</v>
      </c>
      <c r="I9" s="60">
        <f t="shared" si="1"/>
        <v>46.383507799999997</v>
      </c>
      <c r="J9" s="150">
        <f t="shared" si="2"/>
        <v>408.64886033729761</v>
      </c>
      <c r="K9" s="150">
        <f t="shared" si="3"/>
        <v>404.88528985295932</v>
      </c>
      <c r="L9" s="54">
        <v>3.14</v>
      </c>
      <c r="M9" s="59">
        <f t="shared" si="4"/>
        <v>4.0320499999999999</v>
      </c>
      <c r="N9" s="59">
        <f t="shared" si="5"/>
        <v>3.9068499999999995</v>
      </c>
      <c r="O9" s="54">
        <f t="shared" si="6"/>
        <v>5.6999999999999998E-4</v>
      </c>
      <c r="P9" s="54">
        <f t="shared" si="7"/>
        <v>0.89205000000000001</v>
      </c>
      <c r="Q9" s="54">
        <f t="shared" si="8"/>
        <v>4.8999999999999998E-4</v>
      </c>
      <c r="R9" s="144">
        <f t="shared" si="9"/>
        <v>0.76684999999999992</v>
      </c>
      <c r="S9" s="59">
        <f t="shared" si="10"/>
        <v>11.39775682345209</v>
      </c>
      <c r="T9" s="59">
        <f t="shared" si="11"/>
        <v>11.872354403163675</v>
      </c>
      <c r="U9" s="150"/>
      <c r="V9" s="158"/>
      <c r="W9" s="186"/>
      <c r="X9" s="3"/>
      <c r="Y9" s="3"/>
      <c r="Z9" s="3"/>
    </row>
    <row r="10" spans="1:26" ht="15.75" thickBot="1">
      <c r="A10" s="198"/>
      <c r="B10" s="198"/>
      <c r="C10" s="199"/>
      <c r="D10" s="213"/>
      <c r="E10" s="61">
        <v>3</v>
      </c>
      <c r="F10" s="61">
        <v>1715</v>
      </c>
      <c r="G10" s="63">
        <v>49.5</v>
      </c>
      <c r="H10" s="63">
        <f t="shared" si="0"/>
        <v>46.1645994</v>
      </c>
      <c r="I10" s="63">
        <f t="shared" si="1"/>
        <v>46.632725800000003</v>
      </c>
      <c r="J10" s="151">
        <f t="shared" si="2"/>
        <v>445.79613529582582</v>
      </c>
      <c r="K10" s="151">
        <f t="shared" si="3"/>
        <v>441.32097463622847</v>
      </c>
      <c r="L10" s="61">
        <v>3.14</v>
      </c>
      <c r="M10" s="62">
        <f t="shared" si="4"/>
        <v>4.1175499999999996</v>
      </c>
      <c r="N10" s="62">
        <f t="shared" si="5"/>
        <v>3.9803499999999996</v>
      </c>
      <c r="O10" s="54">
        <f t="shared" si="6"/>
        <v>5.6999999999999998E-4</v>
      </c>
      <c r="P10" s="54">
        <f t="shared" si="7"/>
        <v>0.97754999999999992</v>
      </c>
      <c r="Q10" s="61">
        <f t="shared" si="8"/>
        <v>4.8999999999999998E-4</v>
      </c>
      <c r="R10" s="144">
        <f t="shared" si="9"/>
        <v>0.84034999999999993</v>
      </c>
      <c r="S10" s="62">
        <f t="shared" si="10"/>
        <v>11.211666986436111</v>
      </c>
      <c r="T10" s="62">
        <f t="shared" si="11"/>
        <v>11.715734998178554</v>
      </c>
      <c r="U10" s="151"/>
      <c r="V10" s="159"/>
      <c r="W10" s="187"/>
      <c r="Y10" s="45"/>
      <c r="Z10" s="45"/>
    </row>
    <row r="11" spans="1:26">
      <c r="A11" s="198"/>
      <c r="B11" s="198"/>
      <c r="C11" s="199"/>
      <c r="D11" s="213"/>
      <c r="E11" s="54">
        <v>1</v>
      </c>
      <c r="F11" s="54">
        <v>1410</v>
      </c>
      <c r="G11" s="60">
        <v>48</v>
      </c>
      <c r="H11" s="60">
        <f t="shared" si="0"/>
        <v>45.257775600000002</v>
      </c>
      <c r="I11" s="60">
        <f t="shared" si="1"/>
        <v>45.642649200000001</v>
      </c>
      <c r="J11" s="150">
        <f t="shared" si="2"/>
        <v>373.85840942655602</v>
      </c>
      <c r="K11" s="150">
        <f t="shared" si="3"/>
        <v>370.70591423952663</v>
      </c>
      <c r="L11" s="54">
        <v>3.07</v>
      </c>
      <c r="M11" s="59">
        <f t="shared" si="4"/>
        <v>3.8736999999999999</v>
      </c>
      <c r="N11" s="59">
        <f t="shared" si="5"/>
        <v>3.7608999999999999</v>
      </c>
      <c r="O11" s="56">
        <f t="shared" si="6"/>
        <v>5.6999999999999998E-4</v>
      </c>
      <c r="P11" s="56">
        <f t="shared" si="7"/>
        <v>0.80369999999999997</v>
      </c>
      <c r="Q11" s="54">
        <f t="shared" si="8"/>
        <v>4.8999999999999998E-4</v>
      </c>
      <c r="R11" s="143">
        <f t="shared" si="9"/>
        <v>0.69089999999999996</v>
      </c>
      <c r="S11" s="59">
        <f t="shared" si="10"/>
        <v>11.683345535276352</v>
      </c>
      <c r="T11" s="59">
        <f t="shared" si="11"/>
        <v>12.13609752984658</v>
      </c>
      <c r="U11" s="150">
        <f>338/300*J11</f>
        <v>421.2138079539198</v>
      </c>
      <c r="V11" s="157">
        <f>TREND(T11:T13,K11:K13,U11)/S11-1</f>
        <v>2.8694703371471064E-2</v>
      </c>
      <c r="W11" s="185">
        <v>8110211</v>
      </c>
      <c r="Y11" s="45"/>
      <c r="Z11" s="45"/>
    </row>
    <row r="12" spans="1:26">
      <c r="A12" s="198"/>
      <c r="B12" s="198"/>
      <c r="C12" s="199"/>
      <c r="D12" s="213"/>
      <c r="E12" s="54">
        <v>2</v>
      </c>
      <c r="F12" s="54">
        <v>1565</v>
      </c>
      <c r="G12" s="60">
        <v>49</v>
      </c>
      <c r="H12" s="60">
        <f t="shared" si="0"/>
        <v>45.956325399999997</v>
      </c>
      <c r="I12" s="60">
        <f t="shared" si="1"/>
        <v>46.383507799999997</v>
      </c>
      <c r="J12" s="150">
        <f t="shared" si="2"/>
        <v>408.64886033729761</v>
      </c>
      <c r="K12" s="150">
        <f t="shared" si="3"/>
        <v>404.88528985295932</v>
      </c>
      <c r="L12" s="54">
        <v>3.08</v>
      </c>
      <c r="M12" s="59">
        <f t="shared" si="4"/>
        <v>3.9720500000000003</v>
      </c>
      <c r="N12" s="59">
        <f t="shared" si="5"/>
        <v>3.8468499999999999</v>
      </c>
      <c r="O12" s="54">
        <f t="shared" si="6"/>
        <v>5.6999999999999998E-4</v>
      </c>
      <c r="P12" s="54">
        <f t="shared" si="7"/>
        <v>0.89205000000000001</v>
      </c>
      <c r="Q12" s="54">
        <f t="shared" si="8"/>
        <v>4.8999999999999998E-4</v>
      </c>
      <c r="R12" s="144">
        <f t="shared" si="9"/>
        <v>0.76684999999999992</v>
      </c>
      <c r="S12" s="59">
        <f t="shared" si="10"/>
        <v>11.569926209388099</v>
      </c>
      <c r="T12" s="59">
        <f t="shared" si="11"/>
        <v>12.057529615139659</v>
      </c>
      <c r="U12" s="150"/>
      <c r="V12" s="158"/>
      <c r="W12" s="186"/>
      <c r="Y12" s="45"/>
      <c r="Z12" s="45"/>
    </row>
    <row r="13" spans="1:26" ht="15.75" thickBot="1">
      <c r="A13" s="198"/>
      <c r="B13" s="198"/>
      <c r="C13" s="199"/>
      <c r="D13" s="213"/>
      <c r="E13" s="54">
        <v>3</v>
      </c>
      <c r="F13" s="54">
        <v>1770</v>
      </c>
      <c r="G13" s="60">
        <v>50</v>
      </c>
      <c r="H13" s="60">
        <f t="shared" si="0"/>
        <v>46.557633199999998</v>
      </c>
      <c r="I13" s="60">
        <f t="shared" si="1"/>
        <v>47.040772399999994</v>
      </c>
      <c r="J13" s="150">
        <f t="shared" si="2"/>
        <v>456.20875762215513</v>
      </c>
      <c r="K13" s="150">
        <f t="shared" si="3"/>
        <v>451.52319820326761</v>
      </c>
      <c r="L13" s="54">
        <v>3.07</v>
      </c>
      <c r="M13" s="59">
        <f t="shared" si="4"/>
        <v>4.0789</v>
      </c>
      <c r="N13" s="59">
        <f t="shared" si="5"/>
        <v>3.9373000000000005</v>
      </c>
      <c r="O13" s="54">
        <f t="shared" si="6"/>
        <v>5.6999999999999998E-4</v>
      </c>
      <c r="P13" s="54">
        <f t="shared" si="7"/>
        <v>1.0088999999999999</v>
      </c>
      <c r="Q13" s="61">
        <f t="shared" si="8"/>
        <v>4.8999999999999998E-4</v>
      </c>
      <c r="R13" s="144">
        <f t="shared" si="9"/>
        <v>0.86729999999999996</v>
      </c>
      <c r="S13" s="59">
        <f t="shared" si="10"/>
        <v>11.414261982397214</v>
      </c>
      <c r="T13" s="59">
        <f t="shared" si="11"/>
        <v>11.947469687349196</v>
      </c>
      <c r="U13" s="150"/>
      <c r="V13" s="158"/>
      <c r="W13" s="187"/>
      <c r="Y13" s="45"/>
      <c r="Z13" s="45"/>
    </row>
    <row r="14" spans="1:26" ht="15" customHeight="1">
      <c r="A14" s="198"/>
      <c r="B14" s="198"/>
      <c r="C14" s="199"/>
      <c r="D14" s="213"/>
      <c r="E14" s="56">
        <v>1</v>
      </c>
      <c r="F14" s="56">
        <v>1400</v>
      </c>
      <c r="G14" s="58">
        <v>44.008899999999997</v>
      </c>
      <c r="H14" s="66">
        <f t="shared" si="0"/>
        <v>41.286124000000001</v>
      </c>
      <c r="I14" s="58">
        <f t="shared" si="1"/>
        <v>41.668267999999998</v>
      </c>
      <c r="J14" s="149">
        <f t="shared" si="2"/>
        <v>406.91637703747631</v>
      </c>
      <c r="K14" s="149">
        <f t="shared" si="3"/>
        <v>403.18450481311106</v>
      </c>
      <c r="L14" s="56"/>
      <c r="M14" s="57">
        <v>3.5016999999999996</v>
      </c>
      <c r="N14" s="57">
        <f t="shared" si="5"/>
        <v>3.3896999999999995</v>
      </c>
      <c r="O14" s="56">
        <f t="shared" si="6"/>
        <v>5.6999999999999998E-4</v>
      </c>
      <c r="P14" s="56">
        <f t="shared" si="7"/>
        <v>0.79799999999999993</v>
      </c>
      <c r="Q14" s="54">
        <f t="shared" si="8"/>
        <v>4.8999999999999998E-4</v>
      </c>
      <c r="R14" s="143">
        <f t="shared" si="9"/>
        <v>0.68599999999999994</v>
      </c>
      <c r="S14" s="57">
        <f t="shared" si="10"/>
        <v>11.790308707199362</v>
      </c>
      <c r="T14" s="57">
        <f t="shared" si="11"/>
        <v>12.292612325574536</v>
      </c>
      <c r="U14" s="149">
        <f>338/300*J14</f>
        <v>458.45911812889</v>
      </c>
      <c r="V14" s="157">
        <f>TREND(T14:T16,K14:K16,U14)/S14-1</f>
        <v>3.1448051659570542E-2</v>
      </c>
      <c r="W14" s="185">
        <v>3916504</v>
      </c>
      <c r="X14" s="4"/>
      <c r="Y14" s="3"/>
      <c r="Z14" s="3"/>
    </row>
    <row r="15" spans="1:26">
      <c r="A15" s="198"/>
      <c r="B15" s="198"/>
      <c r="C15" s="199"/>
      <c r="D15" s="213"/>
      <c r="E15" s="54">
        <v>2</v>
      </c>
      <c r="F15" s="54">
        <v>1600</v>
      </c>
      <c r="G15" s="60">
        <v>44.62</v>
      </c>
      <c r="H15" s="69">
        <f t="shared" si="0"/>
        <v>41.508255999999996</v>
      </c>
      <c r="I15" s="60">
        <f t="shared" si="1"/>
        <v>41.944991999999992</v>
      </c>
      <c r="J15" s="150">
        <f t="shared" si="2"/>
        <v>462.55858111697103</v>
      </c>
      <c r="K15" s="150">
        <f t="shared" si="3"/>
        <v>457.74236886253323</v>
      </c>
      <c r="L15" s="54"/>
      <c r="M15" s="59">
        <v>3.5695999999999999</v>
      </c>
      <c r="N15" s="59">
        <f t="shared" si="5"/>
        <v>3.4416000000000002</v>
      </c>
      <c r="O15" s="54">
        <f t="shared" si="6"/>
        <v>5.6999999999999998E-4</v>
      </c>
      <c r="P15" s="54">
        <f t="shared" si="7"/>
        <v>0.91199999999999992</v>
      </c>
      <c r="Q15" s="54">
        <f t="shared" si="8"/>
        <v>4.8999999999999998E-4</v>
      </c>
      <c r="R15" s="144">
        <f t="shared" si="9"/>
        <v>0.78400000000000003</v>
      </c>
      <c r="S15" s="59">
        <f t="shared" si="10"/>
        <v>11.628265351860152</v>
      </c>
      <c r="T15" s="59">
        <f t="shared" si="11"/>
        <v>12.187642956764293</v>
      </c>
      <c r="U15" s="150"/>
      <c r="V15" s="158"/>
      <c r="W15" s="186"/>
      <c r="X15" s="4"/>
      <c r="Y15" s="3"/>
      <c r="Z15" s="3"/>
    </row>
    <row r="16" spans="1:26" ht="15.75" thickBot="1">
      <c r="A16" s="198"/>
      <c r="B16" s="198"/>
      <c r="C16" s="199"/>
      <c r="D16" s="213"/>
      <c r="E16" s="61">
        <v>3</v>
      </c>
      <c r="F16" s="61">
        <v>1800</v>
      </c>
      <c r="G16" s="63">
        <v>45.066200000000002</v>
      </c>
      <c r="H16" s="72">
        <f t="shared" si="0"/>
        <v>41.565488000000002</v>
      </c>
      <c r="I16" s="63">
        <f t="shared" si="1"/>
        <v>42.056816000000005</v>
      </c>
      <c r="J16" s="151">
        <f t="shared" si="2"/>
        <v>519.66188872845669</v>
      </c>
      <c r="K16" s="151">
        <f t="shared" si="3"/>
        <v>513.59094801660683</v>
      </c>
      <c r="L16" s="61"/>
      <c r="M16" s="62">
        <v>3.6471999999999998</v>
      </c>
      <c r="N16" s="62">
        <f t="shared" si="5"/>
        <v>3.5032000000000001</v>
      </c>
      <c r="O16" s="54">
        <f t="shared" si="6"/>
        <v>5.6999999999999998E-4</v>
      </c>
      <c r="P16" s="54">
        <f t="shared" si="7"/>
        <v>1.026</v>
      </c>
      <c r="Q16" s="61">
        <f t="shared" si="8"/>
        <v>4.8999999999999998E-4</v>
      </c>
      <c r="R16" s="144">
        <f t="shared" si="9"/>
        <v>0.88200000000000001</v>
      </c>
      <c r="S16" s="62">
        <f t="shared" si="10"/>
        <v>11.396547488484318</v>
      </c>
      <c r="T16" s="62">
        <f t="shared" si="11"/>
        <v>12.005256907969857</v>
      </c>
      <c r="U16" s="151"/>
      <c r="V16" s="159"/>
      <c r="W16" s="187"/>
      <c r="X16" s="4"/>
      <c r="Y16" s="3"/>
      <c r="Z16" s="3"/>
    </row>
    <row r="17" spans="1:26">
      <c r="A17" s="198"/>
      <c r="B17" s="198"/>
      <c r="C17" s="199"/>
      <c r="D17" s="213"/>
      <c r="E17" s="54">
        <v>1</v>
      </c>
      <c r="F17" s="54">
        <v>1400</v>
      </c>
      <c r="G17" s="69">
        <v>41.210999999999999</v>
      </c>
      <c r="H17" s="66">
        <f t="shared" si="0"/>
        <v>38.488224000000002</v>
      </c>
      <c r="I17" s="60">
        <f t="shared" si="1"/>
        <v>38.870367999999999</v>
      </c>
      <c r="J17" s="150">
        <f t="shared" si="2"/>
        <v>436.49714780292277</v>
      </c>
      <c r="K17" s="150">
        <f t="shared" si="3"/>
        <v>432.20583864809305</v>
      </c>
      <c r="L17" s="67"/>
      <c r="M17" s="59">
        <v>3.294</v>
      </c>
      <c r="N17" s="59">
        <f t="shared" si="5"/>
        <v>3.1819999999999999</v>
      </c>
      <c r="O17" s="56">
        <f t="shared" si="6"/>
        <v>5.6999999999999998E-4</v>
      </c>
      <c r="P17" s="56">
        <f t="shared" si="7"/>
        <v>0.79799999999999993</v>
      </c>
      <c r="Q17" s="54">
        <f t="shared" si="8"/>
        <v>4.8999999999999998E-4</v>
      </c>
      <c r="R17" s="143">
        <f t="shared" si="9"/>
        <v>0.68599999999999994</v>
      </c>
      <c r="S17" s="59">
        <f t="shared" si="10"/>
        <v>11.684342440801458</v>
      </c>
      <c r="T17" s="59">
        <f t="shared" si="11"/>
        <v>12.215703331238215</v>
      </c>
      <c r="U17" s="150">
        <f>338/300*J17</f>
        <v>491.78678652462634</v>
      </c>
      <c r="V17" s="157">
        <f>TREND(T17:T19,K17:K19,U17)/S17-1</f>
        <v>3.9717206106211211E-2</v>
      </c>
      <c r="W17" s="188">
        <v>4765138</v>
      </c>
      <c r="Y17" s="45"/>
      <c r="Z17" s="45"/>
    </row>
    <row r="18" spans="1:26">
      <c r="A18" s="198"/>
      <c r="B18" s="198"/>
      <c r="C18" s="199"/>
      <c r="D18" s="213"/>
      <c r="E18" s="54">
        <v>2</v>
      </c>
      <c r="F18" s="54">
        <v>1600</v>
      </c>
      <c r="G18" s="69">
        <v>41.85</v>
      </c>
      <c r="H18" s="69">
        <f t="shared" si="0"/>
        <v>38.738256</v>
      </c>
      <c r="I18" s="60">
        <f t="shared" si="1"/>
        <v>39.174991999999996</v>
      </c>
      <c r="J18" s="150">
        <f t="shared" si="2"/>
        <v>495.63408326900418</v>
      </c>
      <c r="K18" s="150">
        <f t="shared" si="3"/>
        <v>490.10858764183035</v>
      </c>
      <c r="L18" s="67"/>
      <c r="M18" s="59">
        <v>3.3480000000000003</v>
      </c>
      <c r="N18" s="59">
        <f t="shared" si="5"/>
        <v>3.2200000000000006</v>
      </c>
      <c r="O18" s="54">
        <f t="shared" si="6"/>
        <v>5.6999999999999998E-4</v>
      </c>
      <c r="P18" s="54">
        <f t="shared" si="7"/>
        <v>0.91199999999999992</v>
      </c>
      <c r="Q18" s="54">
        <f t="shared" si="8"/>
        <v>4.8999999999999998E-4</v>
      </c>
      <c r="R18" s="144">
        <f t="shared" si="9"/>
        <v>0.78400000000000003</v>
      </c>
      <c r="S18" s="59">
        <f t="shared" si="10"/>
        <v>11.570566308243727</v>
      </c>
      <c r="T18" s="59">
        <f t="shared" si="11"/>
        <v>12.166146583850928</v>
      </c>
      <c r="U18" s="150"/>
      <c r="V18" s="158"/>
      <c r="W18" s="189"/>
      <c r="Y18" s="45"/>
      <c r="Z18" s="45"/>
    </row>
    <row r="19" spans="1:26" ht="15.75" thickBot="1">
      <c r="A19" s="198"/>
      <c r="B19" s="198"/>
      <c r="C19" s="199"/>
      <c r="D19" s="213"/>
      <c r="E19" s="54">
        <v>3</v>
      </c>
      <c r="F19" s="54">
        <v>1800</v>
      </c>
      <c r="G19" s="69">
        <v>42.327000000000005</v>
      </c>
      <c r="H19" s="72">
        <f t="shared" si="0"/>
        <v>38.826288000000005</v>
      </c>
      <c r="I19" s="60">
        <f t="shared" si="1"/>
        <v>39.317616000000008</v>
      </c>
      <c r="J19" s="150">
        <f t="shared" si="2"/>
        <v>556.32410700708749</v>
      </c>
      <c r="K19" s="150">
        <f t="shared" si="3"/>
        <v>549.3720677265884</v>
      </c>
      <c r="L19" s="67"/>
      <c r="M19" s="59">
        <v>3.4019999999999997</v>
      </c>
      <c r="N19" s="59">
        <f t="shared" si="5"/>
        <v>3.2579999999999996</v>
      </c>
      <c r="O19" s="54">
        <f t="shared" si="6"/>
        <v>5.6999999999999998E-4</v>
      </c>
      <c r="P19" s="54">
        <f t="shared" si="7"/>
        <v>1.026</v>
      </c>
      <c r="Q19" s="61">
        <f t="shared" si="8"/>
        <v>4.8999999999999998E-4</v>
      </c>
      <c r="R19" s="144">
        <f t="shared" si="9"/>
        <v>0.88200000000000001</v>
      </c>
      <c r="S19" s="59">
        <f t="shared" si="10"/>
        <v>11.412783068783071</v>
      </c>
      <c r="T19" s="59">
        <f t="shared" si="11"/>
        <v>12.068022099447518</v>
      </c>
      <c r="U19" s="150"/>
      <c r="V19" s="158"/>
      <c r="W19" s="190"/>
      <c r="Y19" s="45"/>
      <c r="Z19" s="45"/>
    </row>
    <row r="20" spans="1:26" ht="15" customHeight="1">
      <c r="A20" s="198"/>
      <c r="B20" s="198"/>
      <c r="C20" s="199"/>
      <c r="D20" s="213"/>
      <c r="E20" s="56">
        <v>1</v>
      </c>
      <c r="F20" s="56">
        <v>1400</v>
      </c>
      <c r="G20" s="58">
        <v>40.300799999999995</v>
      </c>
      <c r="H20" s="58">
        <f t="shared" si="0"/>
        <v>37.578023999999999</v>
      </c>
      <c r="I20" s="58">
        <f t="shared" si="1"/>
        <v>37.960167999999996</v>
      </c>
      <c r="J20" s="149">
        <f t="shared" si="2"/>
        <v>447.06980867328201</v>
      </c>
      <c r="K20" s="149">
        <f t="shared" si="3"/>
        <v>442.56916881927395</v>
      </c>
      <c r="L20" s="56"/>
      <c r="M20" s="57">
        <v>3.4944000000000002</v>
      </c>
      <c r="N20" s="57">
        <f t="shared" si="5"/>
        <v>3.3824000000000001</v>
      </c>
      <c r="O20" s="56">
        <f t="shared" si="6"/>
        <v>5.6999999999999998E-4</v>
      </c>
      <c r="P20" s="56">
        <f t="shared" si="7"/>
        <v>0.79799999999999993</v>
      </c>
      <c r="Q20" s="54">
        <f t="shared" si="8"/>
        <v>4.8999999999999998E-4</v>
      </c>
      <c r="R20" s="143">
        <f t="shared" si="9"/>
        <v>0.68599999999999994</v>
      </c>
      <c r="S20" s="57">
        <f t="shared" si="10"/>
        <v>10.75378434065934</v>
      </c>
      <c r="T20" s="57">
        <f t="shared" si="11"/>
        <v>11.222850047303687</v>
      </c>
      <c r="U20" s="149">
        <f>338/300*J20</f>
        <v>503.69865110523108</v>
      </c>
      <c r="V20" s="157">
        <f>TREND(T20:T22,K20:K22,U20)/S20-1</f>
        <v>7.0431389482684459E-2</v>
      </c>
      <c r="W20" s="185">
        <v>4611463</v>
      </c>
      <c r="X20" s="4"/>
      <c r="Y20" s="3"/>
      <c r="Z20" s="3"/>
    </row>
    <row r="21" spans="1:26">
      <c r="A21" s="198"/>
      <c r="B21" s="198"/>
      <c r="C21" s="199"/>
      <c r="D21" s="213"/>
      <c r="E21" s="54">
        <v>2</v>
      </c>
      <c r="F21" s="54">
        <v>1600</v>
      </c>
      <c r="G21" s="60">
        <v>41.865600000000001</v>
      </c>
      <c r="H21" s="60">
        <f t="shared" si="0"/>
        <v>38.753855999999999</v>
      </c>
      <c r="I21" s="60">
        <f t="shared" si="1"/>
        <v>39.190591999999995</v>
      </c>
      <c r="J21" s="150">
        <f t="shared" si="2"/>
        <v>495.43457043345569</v>
      </c>
      <c r="K21" s="150">
        <f t="shared" si="3"/>
        <v>489.91349760677264</v>
      </c>
      <c r="L21" s="54"/>
      <c r="M21" s="59">
        <v>3.5423999999999998</v>
      </c>
      <c r="N21" s="59">
        <f t="shared" si="5"/>
        <v>3.4143999999999997</v>
      </c>
      <c r="O21" s="54">
        <f t="shared" si="6"/>
        <v>5.6999999999999998E-4</v>
      </c>
      <c r="P21" s="54">
        <f t="shared" si="7"/>
        <v>0.91199999999999992</v>
      </c>
      <c r="Q21" s="54">
        <f t="shared" si="8"/>
        <v>4.8999999999999998E-4</v>
      </c>
      <c r="R21" s="144">
        <f t="shared" si="9"/>
        <v>0.78400000000000003</v>
      </c>
      <c r="S21" s="59">
        <f t="shared" si="10"/>
        <v>10.940000000000001</v>
      </c>
      <c r="T21" s="59">
        <f t="shared" si="11"/>
        <v>11.478031865042174</v>
      </c>
      <c r="U21" s="150"/>
      <c r="V21" s="158"/>
      <c r="W21" s="186"/>
      <c r="X21" s="4"/>
      <c r="Y21" s="3"/>
      <c r="Z21" s="3"/>
    </row>
    <row r="22" spans="1:26" ht="15.75" thickBot="1">
      <c r="A22" s="198"/>
      <c r="B22" s="198"/>
      <c r="C22" s="199"/>
      <c r="D22" s="213"/>
      <c r="E22" s="61">
        <v>3</v>
      </c>
      <c r="F22" s="61">
        <v>1800</v>
      </c>
      <c r="G22" s="63">
        <v>43.1616</v>
      </c>
      <c r="H22" s="63">
        <f t="shared" si="0"/>
        <v>39.660888</v>
      </c>
      <c r="I22" s="63">
        <f t="shared" si="1"/>
        <v>40.152216000000003</v>
      </c>
      <c r="J22" s="151">
        <f t="shared" si="2"/>
        <v>544.61715531936647</v>
      </c>
      <c r="K22" s="151">
        <f t="shared" si="3"/>
        <v>537.95287413277515</v>
      </c>
      <c r="L22" s="61"/>
      <c r="M22" s="62">
        <v>3.5904000000000003</v>
      </c>
      <c r="N22" s="62">
        <f t="shared" si="5"/>
        <v>3.4464000000000001</v>
      </c>
      <c r="O22" s="54">
        <f t="shared" si="6"/>
        <v>5.6999999999999998E-4</v>
      </c>
      <c r="P22" s="54">
        <f t="shared" si="7"/>
        <v>1.026</v>
      </c>
      <c r="Q22" s="61">
        <f t="shared" si="8"/>
        <v>4.8999999999999998E-4</v>
      </c>
      <c r="R22" s="144">
        <f t="shared" si="9"/>
        <v>0.88200000000000001</v>
      </c>
      <c r="S22" s="62">
        <f t="shared" si="10"/>
        <v>11.046370320855614</v>
      </c>
      <c r="T22" s="62">
        <f t="shared" si="11"/>
        <v>11.650480501392758</v>
      </c>
      <c r="U22" s="151"/>
      <c r="V22" s="159"/>
      <c r="W22" s="187"/>
      <c r="X22" s="4"/>
      <c r="Y22" s="3"/>
      <c r="Z22" s="3"/>
    </row>
    <row r="23" spans="1:26" ht="15" customHeight="1">
      <c r="A23" s="198"/>
      <c r="B23" s="198"/>
      <c r="C23" s="199"/>
      <c r="D23" s="213"/>
      <c r="E23" s="54">
        <v>1</v>
      </c>
      <c r="F23" s="54">
        <v>1400</v>
      </c>
      <c r="G23" s="60"/>
      <c r="H23" s="60">
        <v>45</v>
      </c>
      <c r="I23" s="60">
        <f t="shared" si="1"/>
        <v>45.382143999999997</v>
      </c>
      <c r="J23" s="150">
        <f t="shared" si="2"/>
        <v>373.33333333333331</v>
      </c>
      <c r="K23" s="150">
        <f t="shared" si="3"/>
        <v>370.18964992046216</v>
      </c>
      <c r="L23" s="54"/>
      <c r="M23" s="59">
        <v>3.82</v>
      </c>
      <c r="N23" s="59">
        <f t="shared" si="5"/>
        <v>3.7079999999999997</v>
      </c>
      <c r="O23" s="56">
        <f t="shared" si="6"/>
        <v>5.6999999999999998E-4</v>
      </c>
      <c r="P23" s="56">
        <f t="shared" si="7"/>
        <v>0.79799999999999993</v>
      </c>
      <c r="Q23" s="54">
        <f t="shared" si="8"/>
        <v>4.8999999999999998E-4</v>
      </c>
      <c r="R23" s="143">
        <f t="shared" si="9"/>
        <v>0.68599999999999994</v>
      </c>
      <c r="S23" s="59">
        <f t="shared" si="10"/>
        <v>11.780104712041885</v>
      </c>
      <c r="T23" s="59">
        <f t="shared" si="11"/>
        <v>12.238981661272923</v>
      </c>
      <c r="U23" s="150">
        <f>338/300*J23</f>
        <v>420.62222222222221</v>
      </c>
      <c r="V23" s="157">
        <f>TREND(T23:T25,K23:K25,U23)/S23-1</f>
        <v>5.953096870325103E-2</v>
      </c>
      <c r="W23" s="185">
        <v>7541180</v>
      </c>
      <c r="X23" s="4"/>
      <c r="Y23" s="3"/>
      <c r="Z23" s="3"/>
    </row>
    <row r="24" spans="1:26">
      <c r="A24" s="198"/>
      <c r="B24" s="198"/>
      <c r="C24" s="199"/>
      <c r="D24" s="213"/>
      <c r="E24" s="54">
        <v>2</v>
      </c>
      <c r="F24" s="54">
        <v>1550</v>
      </c>
      <c r="G24" s="60"/>
      <c r="H24" s="60">
        <v>45.5</v>
      </c>
      <c r="I24" s="60">
        <f t="shared" si="1"/>
        <v>45.923088</v>
      </c>
      <c r="J24" s="150">
        <f t="shared" si="2"/>
        <v>408.79120879120876</v>
      </c>
      <c r="K24" s="150">
        <f t="shared" si="3"/>
        <v>405.02502793366159</v>
      </c>
      <c r="L24" s="54"/>
      <c r="M24" s="59">
        <v>3.83</v>
      </c>
      <c r="N24" s="59">
        <f t="shared" si="5"/>
        <v>3.7060000000000004</v>
      </c>
      <c r="O24" s="54">
        <f t="shared" si="6"/>
        <v>5.6999999999999998E-4</v>
      </c>
      <c r="P24" s="54">
        <f t="shared" si="7"/>
        <v>0.88349999999999995</v>
      </c>
      <c r="Q24" s="54">
        <f t="shared" si="8"/>
        <v>4.8999999999999998E-4</v>
      </c>
      <c r="R24" s="144">
        <f t="shared" si="9"/>
        <v>0.75949999999999995</v>
      </c>
      <c r="S24" s="59">
        <f t="shared" si="10"/>
        <v>11.879895561357703</v>
      </c>
      <c r="T24" s="59">
        <f t="shared" si="11"/>
        <v>12.391550998381003</v>
      </c>
      <c r="U24" s="150"/>
      <c r="V24" s="158"/>
      <c r="W24" s="186"/>
      <c r="X24" s="4"/>
      <c r="Y24" s="3"/>
      <c r="Z24" s="3"/>
    </row>
    <row r="25" spans="1:26" ht="15.75" thickBot="1">
      <c r="A25" s="198"/>
      <c r="B25" s="198"/>
      <c r="C25" s="199"/>
      <c r="D25" s="213"/>
      <c r="E25" s="54">
        <v>3</v>
      </c>
      <c r="F25" s="54">
        <v>1800</v>
      </c>
      <c r="G25" s="60"/>
      <c r="H25" s="60">
        <v>46.5</v>
      </c>
      <c r="I25" s="60">
        <f t="shared" si="1"/>
        <v>46.991328000000003</v>
      </c>
      <c r="J25" s="150">
        <f t="shared" si="2"/>
        <v>464.51612903225805</v>
      </c>
      <c r="K25" s="150">
        <f t="shared" si="3"/>
        <v>459.65928011227948</v>
      </c>
      <c r="L25" s="54"/>
      <c r="M25" s="59">
        <v>3.85</v>
      </c>
      <c r="N25" s="59">
        <f t="shared" si="5"/>
        <v>3.706</v>
      </c>
      <c r="O25" s="54">
        <f t="shared" si="6"/>
        <v>5.6999999999999998E-4</v>
      </c>
      <c r="P25" s="54">
        <f t="shared" si="7"/>
        <v>1.026</v>
      </c>
      <c r="Q25" s="61">
        <f t="shared" si="8"/>
        <v>4.8999999999999998E-4</v>
      </c>
      <c r="R25" s="144">
        <f t="shared" si="9"/>
        <v>0.88200000000000001</v>
      </c>
      <c r="S25" s="59">
        <f t="shared" si="10"/>
        <v>12.077922077922077</v>
      </c>
      <c r="T25" s="59">
        <f t="shared" si="11"/>
        <v>12.679797085806801</v>
      </c>
      <c r="U25" s="150"/>
      <c r="V25" s="158"/>
      <c r="W25" s="187"/>
      <c r="X25" s="4"/>
      <c r="Y25" s="3"/>
      <c r="Z25" s="3"/>
    </row>
    <row r="26" spans="1:26" ht="15" customHeight="1">
      <c r="A26" s="198"/>
      <c r="B26" s="198"/>
      <c r="C26" s="199"/>
      <c r="D26" s="213"/>
      <c r="E26" s="56">
        <v>1</v>
      </c>
      <c r="F26" s="64">
        <v>1400</v>
      </c>
      <c r="G26" s="66"/>
      <c r="H26" s="66">
        <v>47.874000000000002</v>
      </c>
      <c r="I26" s="58">
        <f t="shared" si="1"/>
        <v>48.256143999999999</v>
      </c>
      <c r="J26" s="149">
        <f t="shared" si="2"/>
        <v>350.92116806617366</v>
      </c>
      <c r="K26" s="149">
        <f t="shared" si="3"/>
        <v>348.1421971884036</v>
      </c>
      <c r="L26" s="56"/>
      <c r="M26" s="65">
        <v>3.7323</v>
      </c>
      <c r="N26" s="57">
        <f t="shared" si="5"/>
        <v>3.6202999999999999</v>
      </c>
      <c r="O26" s="56">
        <f t="shared" si="6"/>
        <v>5.6999999999999998E-4</v>
      </c>
      <c r="P26" s="56">
        <f t="shared" si="7"/>
        <v>0.79799999999999993</v>
      </c>
      <c r="Q26" s="54">
        <f t="shared" si="8"/>
        <v>4.8999999999999998E-4</v>
      </c>
      <c r="R26" s="143">
        <f t="shared" si="9"/>
        <v>0.68599999999999994</v>
      </c>
      <c r="S26" s="57">
        <f t="shared" si="10"/>
        <v>12.826943171770759</v>
      </c>
      <c r="T26" s="57">
        <f t="shared" si="11"/>
        <v>13.32932187940226</v>
      </c>
      <c r="U26" s="149">
        <f>338/300*J26</f>
        <v>395.37118268788902</v>
      </c>
      <c r="V26" s="157">
        <f>TREND(T26:T28,K26:K28,U26)/S26-1</f>
        <v>6.1614526262662617E-2</v>
      </c>
      <c r="W26" s="185">
        <v>5561827</v>
      </c>
      <c r="X26" s="3"/>
      <c r="Y26" s="3"/>
      <c r="Z26" s="3"/>
    </row>
    <row r="27" spans="1:26">
      <c r="A27" s="198"/>
      <c r="B27" s="198"/>
      <c r="C27" s="199"/>
      <c r="D27" s="213"/>
      <c r="E27" s="54">
        <v>2</v>
      </c>
      <c r="F27" s="67">
        <v>1600</v>
      </c>
      <c r="G27" s="69"/>
      <c r="H27" s="69">
        <v>48.480000000000004</v>
      </c>
      <c r="I27" s="60">
        <f t="shared" si="1"/>
        <v>48.916736</v>
      </c>
      <c r="J27" s="150">
        <f t="shared" si="2"/>
        <v>396.03960396039599</v>
      </c>
      <c r="K27" s="150">
        <f t="shared" si="3"/>
        <v>392.50370261826134</v>
      </c>
      <c r="L27" s="54"/>
      <c r="M27" s="68">
        <v>3.7223999999999999</v>
      </c>
      <c r="N27" s="59">
        <f t="shared" si="5"/>
        <v>3.5944000000000003</v>
      </c>
      <c r="O27" s="54">
        <f t="shared" si="6"/>
        <v>5.6999999999999998E-4</v>
      </c>
      <c r="P27" s="54">
        <f t="shared" si="7"/>
        <v>0.91199999999999992</v>
      </c>
      <c r="Q27" s="54">
        <f t="shared" si="8"/>
        <v>4.8999999999999998E-4</v>
      </c>
      <c r="R27" s="144">
        <f t="shared" si="9"/>
        <v>0.78400000000000003</v>
      </c>
      <c r="S27" s="59">
        <f t="shared" si="10"/>
        <v>13.023855577047067</v>
      </c>
      <c r="T27" s="59">
        <f t="shared" si="11"/>
        <v>13.60915201424438</v>
      </c>
      <c r="U27" s="150"/>
      <c r="V27" s="158"/>
      <c r="W27" s="186"/>
      <c r="X27" s="3"/>
      <c r="Y27" s="3"/>
      <c r="Z27" s="3"/>
    </row>
    <row r="28" spans="1:26" ht="15.75" thickBot="1">
      <c r="A28" s="198"/>
      <c r="B28" s="198"/>
      <c r="C28" s="199"/>
      <c r="D28" s="213"/>
      <c r="E28" s="61">
        <v>3</v>
      </c>
      <c r="F28" s="70">
        <v>1800</v>
      </c>
      <c r="G28" s="72"/>
      <c r="H28" s="72">
        <v>49.085999999999999</v>
      </c>
      <c r="I28" s="63">
        <f t="shared" si="1"/>
        <v>49.577328000000001</v>
      </c>
      <c r="J28" s="151">
        <f t="shared" si="2"/>
        <v>440.04400440044003</v>
      </c>
      <c r="K28" s="151">
        <f t="shared" si="3"/>
        <v>435.68302027087861</v>
      </c>
      <c r="L28" s="61"/>
      <c r="M28" s="71">
        <v>3.7223999999999999</v>
      </c>
      <c r="N28" s="62">
        <f t="shared" si="5"/>
        <v>3.5783999999999998</v>
      </c>
      <c r="O28" s="54">
        <f t="shared" si="6"/>
        <v>5.6999999999999998E-4</v>
      </c>
      <c r="P28" s="54">
        <f t="shared" si="7"/>
        <v>1.026</v>
      </c>
      <c r="Q28" s="61">
        <f t="shared" si="8"/>
        <v>4.8999999999999998E-4</v>
      </c>
      <c r="R28" s="144">
        <f t="shared" si="9"/>
        <v>0.88200000000000001</v>
      </c>
      <c r="S28" s="62">
        <f t="shared" si="10"/>
        <v>13.186653771760154</v>
      </c>
      <c r="T28" s="62">
        <f t="shared" si="11"/>
        <v>13.854607645875253</v>
      </c>
      <c r="U28" s="151"/>
      <c r="V28" s="159"/>
      <c r="W28" s="187"/>
      <c r="X28" s="3"/>
      <c r="Y28" s="3"/>
      <c r="Z28" s="3"/>
    </row>
    <row r="29" spans="1:26" ht="15" customHeight="1">
      <c r="A29" s="198"/>
      <c r="B29" s="198"/>
      <c r="C29" s="199"/>
      <c r="D29" s="213"/>
      <c r="E29" s="56">
        <v>1</v>
      </c>
      <c r="F29" s="64">
        <v>1400</v>
      </c>
      <c r="G29" s="66"/>
      <c r="H29" s="66">
        <v>46.430999999999997</v>
      </c>
      <c r="I29" s="58">
        <f t="shared" si="1"/>
        <v>46.813143999999994</v>
      </c>
      <c r="J29" s="149">
        <f t="shared" si="2"/>
        <v>361.82722749886932</v>
      </c>
      <c r="K29" s="149">
        <f t="shared" si="3"/>
        <v>358.87356764587321</v>
      </c>
      <c r="L29" s="56"/>
      <c r="M29" s="65">
        <v>3.6921000000000004</v>
      </c>
      <c r="N29" s="57">
        <f t="shared" si="5"/>
        <v>3.5801000000000003</v>
      </c>
      <c r="O29" s="56">
        <f t="shared" si="6"/>
        <v>5.6999999999999998E-4</v>
      </c>
      <c r="P29" s="56">
        <f t="shared" si="7"/>
        <v>0.79799999999999993</v>
      </c>
      <c r="Q29" s="56">
        <f t="shared" si="8"/>
        <v>4.8999999999999998E-4</v>
      </c>
      <c r="R29" s="143">
        <f t="shared" si="9"/>
        <v>0.68599999999999994</v>
      </c>
      <c r="S29" s="57">
        <f t="shared" si="10"/>
        <v>12.575769887056145</v>
      </c>
      <c r="T29" s="57">
        <f t="shared" si="11"/>
        <v>13.075931957207896</v>
      </c>
      <c r="U29" s="149">
        <f>338/300*J29</f>
        <v>407.65867631539277</v>
      </c>
      <c r="V29" s="157">
        <f>TREND(T29:T31,K29:K31,U29)/S29-1</f>
        <v>3.8948845705047086E-2</v>
      </c>
      <c r="W29" s="185">
        <v>8439429</v>
      </c>
      <c r="X29" s="3"/>
      <c r="Y29" s="3"/>
      <c r="Z29" s="3"/>
    </row>
    <row r="30" spans="1:26">
      <c r="A30" s="198"/>
      <c r="B30" s="198"/>
      <c r="C30" s="199"/>
      <c r="D30" s="213"/>
      <c r="E30" s="54">
        <v>2</v>
      </c>
      <c r="F30" s="67">
        <v>1600</v>
      </c>
      <c r="G30" s="69"/>
      <c r="H30" s="69">
        <v>47.024999999999999</v>
      </c>
      <c r="I30" s="60">
        <f t="shared" si="1"/>
        <v>47.461735999999995</v>
      </c>
      <c r="J30" s="150">
        <f t="shared" si="2"/>
        <v>408.29346092503988</v>
      </c>
      <c r="K30" s="150">
        <f t="shared" si="3"/>
        <v>404.53640380958677</v>
      </c>
      <c r="L30" s="54"/>
      <c r="M30" s="68">
        <v>3.7572000000000001</v>
      </c>
      <c r="N30" s="59">
        <f t="shared" si="5"/>
        <v>3.6292</v>
      </c>
      <c r="O30" s="54">
        <f t="shared" si="6"/>
        <v>5.6999999999999998E-4</v>
      </c>
      <c r="P30" s="54">
        <f t="shared" si="7"/>
        <v>0.91199999999999992</v>
      </c>
      <c r="Q30" s="54">
        <f t="shared" si="8"/>
        <v>4.8999999999999998E-4</v>
      </c>
      <c r="R30" s="144">
        <f t="shared" si="9"/>
        <v>0.78400000000000003</v>
      </c>
      <c r="S30" s="59">
        <f t="shared" si="10"/>
        <v>12.51596933886937</v>
      </c>
      <c r="T30" s="59">
        <f t="shared" si="11"/>
        <v>13.077740548881295</v>
      </c>
      <c r="U30" s="150"/>
      <c r="V30" s="158"/>
      <c r="W30" s="186"/>
      <c r="X30" s="3"/>
      <c r="Y30" s="3"/>
      <c r="Z30" s="3"/>
    </row>
    <row r="31" spans="1:26" ht="15.75" thickBot="1">
      <c r="A31" s="198"/>
      <c r="B31" s="198"/>
      <c r="C31" s="199"/>
      <c r="D31" s="213"/>
      <c r="E31" s="61">
        <v>3</v>
      </c>
      <c r="F31" s="70">
        <v>1800</v>
      </c>
      <c r="G31" s="72"/>
      <c r="H31" s="72">
        <v>47.619</v>
      </c>
      <c r="I31" s="63">
        <f t="shared" si="1"/>
        <v>48.110328000000003</v>
      </c>
      <c r="J31" s="151">
        <f t="shared" si="2"/>
        <v>453.60045360045359</v>
      </c>
      <c r="K31" s="151">
        <f t="shared" si="3"/>
        <v>448.968046944099</v>
      </c>
      <c r="L31" s="61"/>
      <c r="M31" s="71">
        <v>3.8316000000000003</v>
      </c>
      <c r="N31" s="62">
        <f t="shared" si="5"/>
        <v>3.6876000000000002</v>
      </c>
      <c r="O31" s="61">
        <f t="shared" si="6"/>
        <v>5.6999999999999998E-4</v>
      </c>
      <c r="P31" s="61">
        <f t="shared" si="7"/>
        <v>1.026</v>
      </c>
      <c r="Q31" s="61">
        <f t="shared" si="8"/>
        <v>4.8999999999999998E-4</v>
      </c>
      <c r="R31" s="145">
        <f t="shared" si="9"/>
        <v>0.88200000000000001</v>
      </c>
      <c r="S31" s="62">
        <f t="shared" si="10"/>
        <v>12.427967428750391</v>
      </c>
      <c r="T31" s="62">
        <f t="shared" si="11"/>
        <v>13.046514806378132</v>
      </c>
      <c r="U31" s="151"/>
      <c r="V31" s="159"/>
      <c r="W31" s="187"/>
      <c r="X31" s="3"/>
      <c r="Y31" s="3"/>
      <c r="Z31" s="3"/>
    </row>
    <row r="32" spans="1:26">
      <c r="A32" s="198" t="s">
        <v>126</v>
      </c>
      <c r="B32" s="198">
        <f>'DEER DX SEER to EER'!E7</f>
        <v>12.48</v>
      </c>
      <c r="C32" s="199">
        <f>B32*(1+AVERAGE(V32:V58))</f>
        <v>12.966012771243214</v>
      </c>
      <c r="D32" s="213">
        <f>3.412/C32</f>
        <v>0.26314951714125517</v>
      </c>
      <c r="E32" s="56">
        <v>1</v>
      </c>
      <c r="F32" s="56">
        <v>1440</v>
      </c>
      <c r="G32" s="58">
        <v>48</v>
      </c>
      <c r="H32" s="58">
        <f t="shared" ref="H32:H49" si="12">G32-P32*3.412</f>
        <v>45.199430399999997</v>
      </c>
      <c r="I32" s="58">
        <f t="shared" si="1"/>
        <v>45.592492799999995</v>
      </c>
      <c r="J32" s="149">
        <f t="shared" si="2"/>
        <v>382.30570268425333</v>
      </c>
      <c r="K32" s="149">
        <f t="shared" si="3"/>
        <v>379.00976539716646</v>
      </c>
      <c r="L32" s="56">
        <v>3.13</v>
      </c>
      <c r="M32" s="57">
        <f t="shared" ref="M32:M43" si="13">L32+P32</f>
        <v>3.9508000000000001</v>
      </c>
      <c r="N32" s="57">
        <f t="shared" si="5"/>
        <v>3.8355999999999999</v>
      </c>
      <c r="O32" s="56">
        <f t="shared" si="6"/>
        <v>5.6999999999999998E-4</v>
      </c>
      <c r="P32" s="56">
        <f t="shared" si="7"/>
        <v>0.82079999999999997</v>
      </c>
      <c r="Q32" s="54">
        <f t="shared" si="8"/>
        <v>4.8999999999999998E-4</v>
      </c>
      <c r="R32" s="143">
        <f t="shared" si="9"/>
        <v>0.7056</v>
      </c>
      <c r="S32" s="57">
        <f t="shared" si="10"/>
        <v>11.440576693327932</v>
      </c>
      <c r="T32" s="57">
        <f t="shared" si="11"/>
        <v>11.886665137136301</v>
      </c>
      <c r="U32" s="149">
        <f>338/300*J32</f>
        <v>430.73109169092544</v>
      </c>
      <c r="V32" s="157">
        <f>TREND(T32:T34,K32:K34,U32)/S32-1</f>
        <v>3.1492520747581132E-2</v>
      </c>
      <c r="W32" s="185">
        <v>6685288</v>
      </c>
      <c r="X32" s="4"/>
      <c r="Y32" s="3"/>
      <c r="Z32" s="3"/>
    </row>
    <row r="33" spans="1:26">
      <c r="A33" s="198"/>
      <c r="B33" s="198"/>
      <c r="C33" s="199"/>
      <c r="D33" s="213"/>
      <c r="E33" s="54">
        <v>2</v>
      </c>
      <c r="F33" s="54">
        <v>1610</v>
      </c>
      <c r="G33" s="60">
        <v>49.5</v>
      </c>
      <c r="H33" s="60">
        <f t="shared" si="12"/>
        <v>46.368807599999997</v>
      </c>
      <c r="I33" s="60">
        <f t="shared" si="1"/>
        <v>46.808273199999995</v>
      </c>
      <c r="J33" s="150">
        <f t="shared" si="2"/>
        <v>416.65940963295333</v>
      </c>
      <c r="K33" s="150">
        <f t="shared" si="3"/>
        <v>412.74754822615421</v>
      </c>
      <c r="L33" s="54">
        <v>3.15</v>
      </c>
      <c r="M33" s="59">
        <f t="shared" si="13"/>
        <v>4.0677000000000003</v>
      </c>
      <c r="N33" s="59">
        <f t="shared" si="5"/>
        <v>3.9389000000000003</v>
      </c>
      <c r="O33" s="54">
        <f t="shared" si="6"/>
        <v>5.6999999999999998E-4</v>
      </c>
      <c r="P33" s="54">
        <f t="shared" si="7"/>
        <v>0.91769999999999996</v>
      </c>
      <c r="Q33" s="54">
        <f t="shared" si="8"/>
        <v>4.8999999999999998E-4</v>
      </c>
      <c r="R33" s="144">
        <f t="shared" si="9"/>
        <v>0.78889999999999993</v>
      </c>
      <c r="S33" s="59">
        <f t="shared" si="10"/>
        <v>11.399269267645105</v>
      </c>
      <c r="T33" s="59">
        <f t="shared" si="11"/>
        <v>11.883590139379013</v>
      </c>
      <c r="U33" s="150"/>
      <c r="V33" s="158"/>
      <c r="W33" s="186"/>
      <c r="X33" s="4"/>
      <c r="Y33" s="3"/>
      <c r="Z33" s="3"/>
    </row>
    <row r="34" spans="1:26" ht="15.75" thickBot="1">
      <c r="A34" s="198"/>
      <c r="B34" s="198"/>
      <c r="C34" s="199"/>
      <c r="D34" s="213"/>
      <c r="E34" s="54">
        <v>3</v>
      </c>
      <c r="F34" s="54">
        <v>1815</v>
      </c>
      <c r="G34" s="60">
        <v>50.5</v>
      </c>
      <c r="H34" s="60">
        <f t="shared" si="12"/>
        <v>46.970115399999997</v>
      </c>
      <c r="I34" s="60">
        <f t="shared" si="1"/>
        <v>47.4655378</v>
      </c>
      <c r="J34" s="150">
        <f t="shared" si="2"/>
        <v>463.69909493558544</v>
      </c>
      <c r="K34" s="150">
        <f t="shared" si="3"/>
        <v>458.8592273360905</v>
      </c>
      <c r="L34" s="54">
        <v>3.16</v>
      </c>
      <c r="M34" s="59">
        <f t="shared" si="13"/>
        <v>4.1945499999999996</v>
      </c>
      <c r="N34" s="59">
        <f t="shared" si="5"/>
        <v>4.0493499999999996</v>
      </c>
      <c r="O34" s="54">
        <f t="shared" si="6"/>
        <v>5.6999999999999998E-4</v>
      </c>
      <c r="P34" s="54">
        <f t="shared" si="7"/>
        <v>1.0345499999999999</v>
      </c>
      <c r="Q34" s="61">
        <f t="shared" si="8"/>
        <v>4.8999999999999998E-4</v>
      </c>
      <c r="R34" s="144">
        <f t="shared" si="9"/>
        <v>0.88934999999999997</v>
      </c>
      <c r="S34" s="59">
        <f t="shared" si="10"/>
        <v>11.197891406706322</v>
      </c>
      <c r="T34" s="59">
        <f t="shared" si="11"/>
        <v>11.721767147813848</v>
      </c>
      <c r="U34" s="150"/>
      <c r="V34" s="158"/>
      <c r="W34" s="187"/>
      <c r="X34" s="4"/>
      <c r="Y34" s="3"/>
      <c r="Z34" s="3"/>
    </row>
    <row r="35" spans="1:26">
      <c r="A35" s="198"/>
      <c r="B35" s="198"/>
      <c r="C35" s="199"/>
      <c r="D35" s="213"/>
      <c r="E35" s="56">
        <v>1</v>
      </c>
      <c r="F35" s="56">
        <v>1395</v>
      </c>
      <c r="G35" s="58">
        <v>48</v>
      </c>
      <c r="H35" s="58">
        <f t="shared" si="12"/>
        <v>45.286948199999998</v>
      </c>
      <c r="I35" s="58">
        <f t="shared" si="1"/>
        <v>45.667727399999997</v>
      </c>
      <c r="J35" s="149">
        <f t="shared" si="2"/>
        <v>369.64292506687389</v>
      </c>
      <c r="K35" s="149">
        <f t="shared" si="3"/>
        <v>366.56082868708722</v>
      </c>
      <c r="L35" s="56">
        <v>3.13</v>
      </c>
      <c r="M35" s="57">
        <f t="shared" si="13"/>
        <v>3.9251499999999999</v>
      </c>
      <c r="N35" s="57">
        <f t="shared" si="5"/>
        <v>3.8135499999999998</v>
      </c>
      <c r="O35" s="56">
        <f t="shared" si="6"/>
        <v>5.6999999999999998E-4</v>
      </c>
      <c r="P35" s="56">
        <f t="shared" si="7"/>
        <v>0.79515000000000002</v>
      </c>
      <c r="Q35" s="54">
        <f t="shared" si="8"/>
        <v>4.8999999999999998E-4</v>
      </c>
      <c r="R35" s="143">
        <f t="shared" si="9"/>
        <v>0.68354999999999999</v>
      </c>
      <c r="S35" s="57">
        <f t="shared" si="10"/>
        <v>11.537635045794428</v>
      </c>
      <c r="T35" s="57">
        <f t="shared" si="11"/>
        <v>11.975122235187685</v>
      </c>
      <c r="U35" s="149">
        <f>338/300*J35</f>
        <v>416.46436224201125</v>
      </c>
      <c r="V35" s="157">
        <f>TREND(T35:T37,K35:K37,U35)/S35-1</f>
        <v>2.6309283383276316E-2</v>
      </c>
      <c r="W35" s="185">
        <v>6685290</v>
      </c>
      <c r="X35" s="3"/>
      <c r="Y35" s="3"/>
      <c r="Z35" s="3"/>
    </row>
    <row r="36" spans="1:26">
      <c r="A36" s="198"/>
      <c r="B36" s="198"/>
      <c r="C36" s="199"/>
      <c r="D36" s="213"/>
      <c r="E36" s="54">
        <v>2</v>
      </c>
      <c r="F36" s="54">
        <v>1565</v>
      </c>
      <c r="G36" s="60">
        <v>49</v>
      </c>
      <c r="H36" s="60">
        <f t="shared" si="12"/>
        <v>45.956325399999997</v>
      </c>
      <c r="I36" s="60">
        <f t="shared" si="1"/>
        <v>46.383507799999997</v>
      </c>
      <c r="J36" s="150">
        <f t="shared" si="2"/>
        <v>408.64886033729761</v>
      </c>
      <c r="K36" s="150">
        <f t="shared" si="3"/>
        <v>404.88528985295932</v>
      </c>
      <c r="L36" s="54">
        <v>3.14</v>
      </c>
      <c r="M36" s="59">
        <f t="shared" si="13"/>
        <v>4.0320499999999999</v>
      </c>
      <c r="N36" s="59">
        <f t="shared" si="5"/>
        <v>3.9068499999999995</v>
      </c>
      <c r="O36" s="54">
        <f t="shared" si="6"/>
        <v>5.6999999999999998E-4</v>
      </c>
      <c r="P36" s="54">
        <f t="shared" si="7"/>
        <v>0.89205000000000001</v>
      </c>
      <c r="Q36" s="54">
        <f t="shared" si="8"/>
        <v>4.8999999999999998E-4</v>
      </c>
      <c r="R36" s="144">
        <f t="shared" si="9"/>
        <v>0.76684999999999992</v>
      </c>
      <c r="S36" s="59">
        <f t="shared" si="10"/>
        <v>11.39775682345209</v>
      </c>
      <c r="T36" s="59">
        <f t="shared" si="11"/>
        <v>11.872354403163675</v>
      </c>
      <c r="U36" s="150"/>
      <c r="V36" s="158"/>
      <c r="W36" s="186"/>
      <c r="X36" s="3"/>
      <c r="Y36" s="3"/>
      <c r="Z36" s="3"/>
    </row>
    <row r="37" spans="1:26" ht="15.75" thickBot="1">
      <c r="A37" s="198"/>
      <c r="B37" s="198"/>
      <c r="C37" s="199"/>
      <c r="D37" s="213"/>
      <c r="E37" s="61">
        <v>3</v>
      </c>
      <c r="F37" s="61">
        <v>1810</v>
      </c>
      <c r="G37" s="63">
        <v>50.5</v>
      </c>
      <c r="H37" s="63">
        <f t="shared" si="12"/>
        <v>46.979839599999998</v>
      </c>
      <c r="I37" s="63">
        <f t="shared" ref="I37:I68" si="14">H37+(P37-R37)*3.412</f>
        <v>47.473897199999996</v>
      </c>
      <c r="J37" s="151">
        <f t="shared" ref="J37:J71" si="15">F37/H37*12</f>
        <v>462.32597184090855</v>
      </c>
      <c r="K37" s="151">
        <f t="shared" ref="K37:K71" si="16">F37/I37*12</f>
        <v>457.51457708426773</v>
      </c>
      <c r="L37" s="61">
        <v>3.16</v>
      </c>
      <c r="M37" s="62">
        <f t="shared" si="13"/>
        <v>4.1917</v>
      </c>
      <c r="N37" s="62">
        <f t="shared" ref="N37:N68" si="17">M37-P37+R37</f>
        <v>4.0468999999999999</v>
      </c>
      <c r="O37" s="54">
        <f t="shared" ref="O37:O71" si="18">0.57/1000</f>
        <v>5.6999999999999998E-4</v>
      </c>
      <c r="P37" s="54">
        <f t="shared" ref="P37:P68" si="19">F37*O37</f>
        <v>1.0317000000000001</v>
      </c>
      <c r="Q37" s="61">
        <f t="shared" ref="Q37:Q71" si="20">0.49/1000</f>
        <v>4.8999999999999998E-4</v>
      </c>
      <c r="R37" s="144">
        <f t="shared" ref="R37:R64" si="21">F37*Q37</f>
        <v>0.88690000000000002</v>
      </c>
      <c r="S37" s="62">
        <f t="shared" si="10"/>
        <v>11.207824892048572</v>
      </c>
      <c r="T37" s="62">
        <f t="shared" si="11"/>
        <v>11.730929155650003</v>
      </c>
      <c r="U37" s="151"/>
      <c r="V37" s="159"/>
      <c r="W37" s="187"/>
      <c r="X37" s="3"/>
      <c r="Y37" s="3"/>
      <c r="Z37" s="3"/>
    </row>
    <row r="38" spans="1:26">
      <c r="A38" s="198"/>
      <c r="B38" s="198"/>
      <c r="C38" s="199"/>
      <c r="D38" s="213"/>
      <c r="E38" s="54">
        <v>1</v>
      </c>
      <c r="F38" s="54">
        <v>1440</v>
      </c>
      <c r="G38" s="60">
        <v>50</v>
      </c>
      <c r="H38" s="60">
        <f t="shared" si="12"/>
        <v>47.199430399999997</v>
      </c>
      <c r="I38" s="60">
        <f t="shared" si="14"/>
        <v>47.592492799999995</v>
      </c>
      <c r="J38" s="150">
        <f t="shared" si="15"/>
        <v>366.10611300936381</v>
      </c>
      <c r="K38" s="150">
        <f t="shared" si="16"/>
        <v>363.08247337697765</v>
      </c>
      <c r="L38" s="54">
        <v>3.15</v>
      </c>
      <c r="M38" s="59">
        <f t="shared" si="13"/>
        <v>3.9707999999999997</v>
      </c>
      <c r="N38" s="59">
        <f t="shared" si="17"/>
        <v>3.8555999999999995</v>
      </c>
      <c r="O38" s="56">
        <f t="shared" si="18"/>
        <v>5.6999999999999998E-4</v>
      </c>
      <c r="P38" s="56">
        <f t="shared" si="19"/>
        <v>0.82079999999999997</v>
      </c>
      <c r="Q38" s="54">
        <f t="shared" si="20"/>
        <v>4.8999999999999998E-4</v>
      </c>
      <c r="R38" s="143">
        <f t="shared" si="21"/>
        <v>0.7056</v>
      </c>
      <c r="S38" s="59">
        <f t="shared" si="10"/>
        <v>11.886629998992646</v>
      </c>
      <c r="T38" s="59">
        <f t="shared" si="11"/>
        <v>12.34373192239859</v>
      </c>
      <c r="U38" s="150">
        <f>338/300*J38</f>
        <v>412.4795539905499</v>
      </c>
      <c r="V38" s="157">
        <f>TREND(T38:T40,K38:K40,U38)/S38-1</f>
        <v>2.4613189903809785E-2</v>
      </c>
      <c r="W38" s="185">
        <v>5290603</v>
      </c>
      <c r="Y38" s="45"/>
      <c r="Z38" s="45"/>
    </row>
    <row r="39" spans="1:26">
      <c r="A39" s="198"/>
      <c r="B39" s="198"/>
      <c r="C39" s="199"/>
      <c r="D39" s="213"/>
      <c r="E39" s="54">
        <v>2</v>
      </c>
      <c r="F39" s="54">
        <v>1575</v>
      </c>
      <c r="G39" s="60">
        <v>50.5</v>
      </c>
      <c r="H39" s="60">
        <f t="shared" si="12"/>
        <v>47.436877000000003</v>
      </c>
      <c r="I39" s="60">
        <f t="shared" si="14"/>
        <v>47.866789000000004</v>
      </c>
      <c r="J39" s="150">
        <f t="shared" si="15"/>
        <v>398.42420486491972</v>
      </c>
      <c r="K39" s="150">
        <f t="shared" si="16"/>
        <v>394.84578754593292</v>
      </c>
      <c r="L39" s="54">
        <v>3.15</v>
      </c>
      <c r="M39" s="59">
        <f t="shared" si="13"/>
        <v>4.0477499999999997</v>
      </c>
      <c r="N39" s="59">
        <f t="shared" si="17"/>
        <v>3.9217499999999998</v>
      </c>
      <c r="O39" s="54">
        <f t="shared" si="18"/>
        <v>5.6999999999999998E-4</v>
      </c>
      <c r="P39" s="54">
        <f t="shared" si="19"/>
        <v>0.89774999999999994</v>
      </c>
      <c r="Q39" s="54">
        <f t="shared" si="20"/>
        <v>4.8999999999999998E-4</v>
      </c>
      <c r="R39" s="144">
        <f t="shared" si="21"/>
        <v>0.77174999999999994</v>
      </c>
      <c r="S39" s="59">
        <f t="shared" si="10"/>
        <v>11.719319869063062</v>
      </c>
      <c r="T39" s="59">
        <f t="shared" si="11"/>
        <v>12.205466692165489</v>
      </c>
      <c r="U39" s="150"/>
      <c r="V39" s="158"/>
      <c r="W39" s="186"/>
      <c r="Y39" s="45"/>
      <c r="Z39" s="45"/>
    </row>
    <row r="40" spans="1:26" ht="15.75" thickBot="1">
      <c r="A40" s="198"/>
      <c r="B40" s="198"/>
      <c r="C40" s="199"/>
      <c r="D40" s="213"/>
      <c r="E40" s="54">
        <v>3</v>
      </c>
      <c r="F40" s="54">
        <v>1740</v>
      </c>
      <c r="G40" s="60">
        <v>51.5</v>
      </c>
      <c r="H40" s="60">
        <f t="shared" si="12"/>
        <v>48.115978400000003</v>
      </c>
      <c r="I40" s="60">
        <f t="shared" si="14"/>
        <v>48.5909288</v>
      </c>
      <c r="J40" s="150">
        <f t="shared" si="15"/>
        <v>433.95147920342401</v>
      </c>
      <c r="K40" s="150">
        <f t="shared" si="16"/>
        <v>429.70983505876097</v>
      </c>
      <c r="L40" s="54">
        <v>3.15</v>
      </c>
      <c r="M40" s="59">
        <f t="shared" si="13"/>
        <v>4.1417999999999999</v>
      </c>
      <c r="N40" s="59">
        <f t="shared" si="17"/>
        <v>4.0026000000000002</v>
      </c>
      <c r="O40" s="54">
        <f t="shared" si="18"/>
        <v>5.6999999999999998E-4</v>
      </c>
      <c r="P40" s="54">
        <f t="shared" si="19"/>
        <v>0.99180000000000001</v>
      </c>
      <c r="Q40" s="61">
        <f t="shared" si="20"/>
        <v>4.8999999999999998E-4</v>
      </c>
      <c r="R40" s="144">
        <f t="shared" si="21"/>
        <v>0.85260000000000002</v>
      </c>
      <c r="S40" s="59">
        <f t="shared" si="10"/>
        <v>11.617166063064369</v>
      </c>
      <c r="T40" s="59">
        <f t="shared" si="11"/>
        <v>12.13984130315295</v>
      </c>
      <c r="U40" s="150"/>
      <c r="V40" s="158"/>
      <c r="W40" s="187"/>
      <c r="Y40" s="45"/>
      <c r="Z40" s="45"/>
    </row>
    <row r="41" spans="1:26">
      <c r="A41" s="198"/>
      <c r="B41" s="198"/>
      <c r="C41" s="199"/>
      <c r="D41" s="213"/>
      <c r="E41" s="56">
        <v>1</v>
      </c>
      <c r="F41" s="56">
        <v>1440</v>
      </c>
      <c r="G41" s="58">
        <v>50.5</v>
      </c>
      <c r="H41" s="58">
        <f t="shared" si="12"/>
        <v>47.699430399999997</v>
      </c>
      <c r="I41" s="58">
        <f t="shared" si="14"/>
        <v>48.092492799999995</v>
      </c>
      <c r="J41" s="152">
        <f t="shared" si="15"/>
        <v>362.26847689988352</v>
      </c>
      <c r="K41" s="152">
        <f t="shared" si="16"/>
        <v>359.30763813515614</v>
      </c>
      <c r="L41" s="56">
        <v>3.07</v>
      </c>
      <c r="M41" s="65">
        <f t="shared" si="13"/>
        <v>3.8907999999999996</v>
      </c>
      <c r="N41" s="65">
        <f t="shared" si="17"/>
        <v>3.7755999999999994</v>
      </c>
      <c r="O41" s="56">
        <f t="shared" si="18"/>
        <v>5.6999999999999998E-4</v>
      </c>
      <c r="P41" s="56">
        <f t="shared" si="19"/>
        <v>0.82079999999999997</v>
      </c>
      <c r="Q41" s="54">
        <f t="shared" si="20"/>
        <v>4.8999999999999998E-4</v>
      </c>
      <c r="R41" s="143">
        <f t="shared" si="21"/>
        <v>0.7056</v>
      </c>
      <c r="S41" s="65">
        <f t="shared" si="10"/>
        <v>12.259543127377404</v>
      </c>
      <c r="T41" s="57">
        <f t="shared" si="11"/>
        <v>12.737708655577922</v>
      </c>
      <c r="U41" s="149">
        <f>338/300*J41</f>
        <v>408.15581730720214</v>
      </c>
      <c r="V41" s="157">
        <f>TREND(T41:T43,K41:K43,U41)/S41-1</f>
        <v>3.092459147369353E-2</v>
      </c>
      <c r="W41" s="188">
        <v>8110296</v>
      </c>
      <c r="Y41" s="45"/>
      <c r="Z41" s="45"/>
    </row>
    <row r="42" spans="1:26">
      <c r="A42" s="198"/>
      <c r="B42" s="198"/>
      <c r="C42" s="199"/>
      <c r="D42" s="213"/>
      <c r="E42" s="54">
        <v>2</v>
      </c>
      <c r="F42" s="54">
        <v>1575</v>
      </c>
      <c r="G42" s="60">
        <v>51.5</v>
      </c>
      <c r="H42" s="60">
        <f t="shared" si="12"/>
        <v>48.436877000000003</v>
      </c>
      <c r="I42" s="60">
        <f t="shared" si="14"/>
        <v>48.866789000000004</v>
      </c>
      <c r="J42" s="153">
        <f t="shared" si="15"/>
        <v>390.1985670958926</v>
      </c>
      <c r="K42" s="153">
        <f t="shared" si="16"/>
        <v>386.76574390840369</v>
      </c>
      <c r="L42" s="54">
        <v>3.08</v>
      </c>
      <c r="M42" s="68">
        <f t="shared" si="13"/>
        <v>3.9777499999999999</v>
      </c>
      <c r="N42" s="68">
        <f t="shared" si="17"/>
        <v>3.85175</v>
      </c>
      <c r="O42" s="54">
        <f t="shared" si="18"/>
        <v>5.6999999999999998E-4</v>
      </c>
      <c r="P42" s="54">
        <f t="shared" si="19"/>
        <v>0.89774999999999994</v>
      </c>
      <c r="Q42" s="54">
        <f t="shared" si="20"/>
        <v>4.8999999999999998E-4</v>
      </c>
      <c r="R42" s="144">
        <f t="shared" si="21"/>
        <v>0.77174999999999994</v>
      </c>
      <c r="S42" s="68">
        <f t="shared" si="10"/>
        <v>12.176953554144932</v>
      </c>
      <c r="T42" s="59">
        <f t="shared" si="11"/>
        <v>12.686905692217824</v>
      </c>
      <c r="U42" s="150"/>
      <c r="V42" s="158"/>
      <c r="W42" s="189"/>
      <c r="Y42" s="45"/>
      <c r="Z42" s="45"/>
    </row>
    <row r="43" spans="1:26" ht="15.75" thickBot="1">
      <c r="A43" s="198"/>
      <c r="B43" s="198"/>
      <c r="C43" s="199"/>
      <c r="D43" s="213"/>
      <c r="E43" s="61">
        <v>3</v>
      </c>
      <c r="F43" s="61">
        <v>1740</v>
      </c>
      <c r="G43" s="63">
        <v>52.5</v>
      </c>
      <c r="H43" s="63">
        <f t="shared" si="12"/>
        <v>49.115978400000003</v>
      </c>
      <c r="I43" s="63">
        <f t="shared" si="14"/>
        <v>49.5909288</v>
      </c>
      <c r="J43" s="154">
        <f t="shared" si="15"/>
        <v>425.11623875133881</v>
      </c>
      <c r="K43" s="154">
        <f t="shared" si="16"/>
        <v>421.04474558661627</v>
      </c>
      <c r="L43" s="61">
        <v>3.08</v>
      </c>
      <c r="M43" s="71">
        <f t="shared" si="13"/>
        <v>4.0717999999999996</v>
      </c>
      <c r="N43" s="71">
        <f t="shared" si="17"/>
        <v>3.9325999999999999</v>
      </c>
      <c r="O43" s="54">
        <f t="shared" si="18"/>
        <v>5.6999999999999998E-4</v>
      </c>
      <c r="P43" s="54">
        <f t="shared" si="19"/>
        <v>0.99180000000000001</v>
      </c>
      <c r="Q43" s="61">
        <f t="shared" si="20"/>
        <v>4.8999999999999998E-4</v>
      </c>
      <c r="R43" s="144">
        <f t="shared" si="21"/>
        <v>0.85260000000000002</v>
      </c>
      <c r="S43" s="71">
        <f t="shared" si="10"/>
        <v>12.062473205953143</v>
      </c>
      <c r="T43" s="62">
        <f t="shared" si="11"/>
        <v>12.610214311142755</v>
      </c>
      <c r="U43" s="151"/>
      <c r="V43" s="159"/>
      <c r="W43" s="190"/>
      <c r="Y43" s="45"/>
      <c r="Z43" s="45"/>
    </row>
    <row r="44" spans="1:26" ht="15" customHeight="1">
      <c r="A44" s="198"/>
      <c r="B44" s="198"/>
      <c r="C44" s="199"/>
      <c r="D44" s="213"/>
      <c r="E44" s="54">
        <v>1</v>
      </c>
      <c r="F44" s="67">
        <v>1400</v>
      </c>
      <c r="G44" s="60">
        <v>41.560199999999995</v>
      </c>
      <c r="H44" s="69">
        <f t="shared" si="12"/>
        <v>38.837423999999999</v>
      </c>
      <c r="I44" s="60">
        <f t="shared" si="14"/>
        <v>39.219567999999995</v>
      </c>
      <c r="J44" s="153">
        <f t="shared" si="15"/>
        <v>432.5724589766819</v>
      </c>
      <c r="K44" s="153">
        <f t="shared" si="16"/>
        <v>428.3575994513759</v>
      </c>
      <c r="L44" s="54"/>
      <c r="M44" s="59">
        <v>3.4579999999999997</v>
      </c>
      <c r="N44" s="68">
        <f t="shared" si="17"/>
        <v>3.3459999999999996</v>
      </c>
      <c r="O44" s="56">
        <f t="shared" si="18"/>
        <v>5.6999999999999998E-4</v>
      </c>
      <c r="P44" s="56">
        <f t="shared" si="19"/>
        <v>0.79799999999999993</v>
      </c>
      <c r="Q44" s="54">
        <f t="shared" si="20"/>
        <v>4.8999999999999998E-4</v>
      </c>
      <c r="R44" s="143">
        <f t="shared" si="21"/>
        <v>0.68599999999999994</v>
      </c>
      <c r="S44" s="68">
        <f t="shared" si="10"/>
        <v>11.231181029496819</v>
      </c>
      <c r="T44" s="59">
        <f t="shared" si="11"/>
        <v>11.721329348475791</v>
      </c>
      <c r="U44" s="150">
        <f>338/300*J44</f>
        <v>487.36497044706164</v>
      </c>
      <c r="V44" s="157">
        <f>TREND(T44:T46,K44:K46,U44)/S44-1</f>
        <v>7.0784295001150799E-2</v>
      </c>
      <c r="W44" s="185">
        <v>4611476</v>
      </c>
      <c r="X44" s="4"/>
      <c r="Y44" s="3"/>
      <c r="Z44" s="3"/>
    </row>
    <row r="45" spans="1:26">
      <c r="A45" s="198"/>
      <c r="B45" s="198"/>
      <c r="C45" s="199"/>
      <c r="D45" s="213"/>
      <c r="E45" s="54">
        <v>2</v>
      </c>
      <c r="F45" s="67">
        <v>1600</v>
      </c>
      <c r="G45" s="60">
        <v>43.173899999999996</v>
      </c>
      <c r="H45" s="69">
        <f t="shared" si="12"/>
        <v>40.062155999999995</v>
      </c>
      <c r="I45" s="60">
        <f t="shared" si="14"/>
        <v>40.498891999999991</v>
      </c>
      <c r="J45" s="153">
        <f t="shared" si="15"/>
        <v>479.25528521230865</v>
      </c>
      <c r="K45" s="153">
        <f t="shared" si="16"/>
        <v>474.08704415913411</v>
      </c>
      <c r="L45" s="54"/>
      <c r="M45" s="59">
        <v>3.5054999999999996</v>
      </c>
      <c r="N45" s="68">
        <f t="shared" si="17"/>
        <v>3.3774999999999995</v>
      </c>
      <c r="O45" s="54">
        <f t="shared" si="18"/>
        <v>5.6999999999999998E-4</v>
      </c>
      <c r="P45" s="54">
        <f t="shared" si="19"/>
        <v>0.91199999999999992</v>
      </c>
      <c r="Q45" s="54">
        <f t="shared" si="20"/>
        <v>4.8999999999999998E-4</v>
      </c>
      <c r="R45" s="144">
        <f t="shared" si="21"/>
        <v>0.78400000000000003</v>
      </c>
      <c r="S45" s="68">
        <f t="shared" si="10"/>
        <v>11.428371416345742</v>
      </c>
      <c r="T45" s="59">
        <f t="shared" si="11"/>
        <v>11.990789637305699</v>
      </c>
      <c r="U45" s="150"/>
      <c r="V45" s="158"/>
      <c r="W45" s="186"/>
      <c r="X45" s="4"/>
      <c r="Y45" s="3"/>
      <c r="Z45" s="3"/>
    </row>
    <row r="46" spans="1:26" ht="15.75" thickBot="1">
      <c r="A46" s="198"/>
      <c r="B46" s="198"/>
      <c r="C46" s="199"/>
      <c r="D46" s="213"/>
      <c r="E46" s="54">
        <v>3</v>
      </c>
      <c r="F46" s="67">
        <v>1800</v>
      </c>
      <c r="G46" s="60">
        <v>44.510399999999997</v>
      </c>
      <c r="H46" s="69">
        <f t="shared" si="12"/>
        <v>41.009687999999997</v>
      </c>
      <c r="I46" s="60">
        <f t="shared" si="14"/>
        <v>41.501016</v>
      </c>
      <c r="J46" s="153">
        <f t="shared" si="15"/>
        <v>526.70481179959233</v>
      </c>
      <c r="K46" s="153">
        <f t="shared" si="16"/>
        <v>520.46918562186522</v>
      </c>
      <c r="L46" s="54"/>
      <c r="M46" s="59">
        <v>3.5529999999999999</v>
      </c>
      <c r="N46" s="68">
        <f t="shared" si="17"/>
        <v>3.4090000000000003</v>
      </c>
      <c r="O46" s="54">
        <f t="shared" si="18"/>
        <v>5.6999999999999998E-4</v>
      </c>
      <c r="P46" s="54">
        <f t="shared" si="19"/>
        <v>1.026</v>
      </c>
      <c r="Q46" s="61">
        <f t="shared" si="20"/>
        <v>4.8999999999999998E-4</v>
      </c>
      <c r="R46" s="144">
        <f t="shared" si="21"/>
        <v>0.88200000000000001</v>
      </c>
      <c r="S46" s="68">
        <f t="shared" si="10"/>
        <v>11.542270757106669</v>
      </c>
      <c r="T46" s="59">
        <f t="shared" si="11"/>
        <v>12.173955998826635</v>
      </c>
      <c r="U46" s="150"/>
      <c r="V46" s="158"/>
      <c r="W46" s="187"/>
      <c r="X46" s="4"/>
      <c r="Y46" s="3"/>
      <c r="Z46" s="3"/>
    </row>
    <row r="47" spans="1:26">
      <c r="A47" s="198"/>
      <c r="B47" s="198"/>
      <c r="C47" s="199"/>
      <c r="D47" s="213"/>
      <c r="E47" s="56">
        <v>1</v>
      </c>
      <c r="F47" s="64">
        <v>1400</v>
      </c>
      <c r="G47" s="58">
        <v>44.874200000000002</v>
      </c>
      <c r="H47" s="66">
        <f t="shared" si="12"/>
        <v>42.151424000000006</v>
      </c>
      <c r="I47" s="58">
        <f t="shared" si="14"/>
        <v>42.533568000000002</v>
      </c>
      <c r="J47" s="149">
        <f t="shared" si="15"/>
        <v>398.5630473599183</v>
      </c>
      <c r="K47" s="149">
        <f t="shared" si="16"/>
        <v>394.98214680696429</v>
      </c>
      <c r="L47" s="64"/>
      <c r="M47" s="57">
        <v>3.4403999999999999</v>
      </c>
      <c r="N47" s="57">
        <f t="shared" si="17"/>
        <v>3.3283999999999998</v>
      </c>
      <c r="O47" s="56">
        <f t="shared" si="18"/>
        <v>5.6999999999999998E-4</v>
      </c>
      <c r="P47" s="56">
        <f t="shared" si="19"/>
        <v>0.79799999999999993</v>
      </c>
      <c r="Q47" s="54">
        <f t="shared" si="20"/>
        <v>4.8999999999999998E-4</v>
      </c>
      <c r="R47" s="143">
        <f t="shared" si="21"/>
        <v>0.68599999999999994</v>
      </c>
      <c r="S47" s="57">
        <f t="shared" si="10"/>
        <v>12.25189629112894</v>
      </c>
      <c r="T47" s="57">
        <f t="shared" si="11"/>
        <v>12.778983295277012</v>
      </c>
      <c r="U47" s="149">
        <f>338/300*J47</f>
        <v>449.04770002550799</v>
      </c>
      <c r="V47" s="157">
        <f>TREND(T47:T49,K47:K49,U47)/S47-1</f>
        <v>3.7775610374317647E-2</v>
      </c>
      <c r="W47" s="185">
        <v>3656148</v>
      </c>
      <c r="X47" s="3"/>
      <c r="Y47" s="3"/>
      <c r="Z47" s="3"/>
    </row>
    <row r="48" spans="1:26">
      <c r="A48" s="198"/>
      <c r="B48" s="198"/>
      <c r="C48" s="199"/>
      <c r="D48" s="213"/>
      <c r="E48" s="54">
        <v>2</v>
      </c>
      <c r="F48" s="67">
        <v>1600</v>
      </c>
      <c r="G48" s="60">
        <v>45.57</v>
      </c>
      <c r="H48" s="69">
        <f t="shared" si="12"/>
        <v>42.458255999999999</v>
      </c>
      <c r="I48" s="60">
        <f t="shared" si="14"/>
        <v>42.894991999999995</v>
      </c>
      <c r="J48" s="150">
        <f t="shared" si="15"/>
        <v>452.20887075531323</v>
      </c>
      <c r="K48" s="150">
        <f t="shared" si="16"/>
        <v>447.60469940173903</v>
      </c>
      <c r="L48" s="67"/>
      <c r="M48" s="59">
        <v>3.4967999999999999</v>
      </c>
      <c r="N48" s="59">
        <f t="shared" si="17"/>
        <v>3.3688000000000002</v>
      </c>
      <c r="O48" s="54">
        <f t="shared" si="18"/>
        <v>5.6999999999999998E-4</v>
      </c>
      <c r="P48" s="54">
        <f t="shared" si="19"/>
        <v>0.91199999999999992</v>
      </c>
      <c r="Q48" s="54">
        <f t="shared" si="20"/>
        <v>4.8999999999999998E-4</v>
      </c>
      <c r="R48" s="144">
        <f t="shared" si="21"/>
        <v>0.78400000000000003</v>
      </c>
      <c r="S48" s="59">
        <f t="shared" si="10"/>
        <v>12.142031571722718</v>
      </c>
      <c r="T48" s="59">
        <f t="shared" si="11"/>
        <v>12.733018285442885</v>
      </c>
      <c r="U48" s="150"/>
      <c r="V48" s="158"/>
      <c r="W48" s="186"/>
      <c r="X48" s="3"/>
      <c r="Y48" s="3"/>
      <c r="Z48" s="3"/>
    </row>
    <row r="49" spans="1:27" ht="15.75" thickBot="1">
      <c r="A49" s="198"/>
      <c r="B49" s="198"/>
      <c r="C49" s="199"/>
      <c r="D49" s="213"/>
      <c r="E49" s="61">
        <v>3</v>
      </c>
      <c r="F49" s="70">
        <v>1800</v>
      </c>
      <c r="G49" s="63">
        <v>46.089399999999998</v>
      </c>
      <c r="H49" s="72">
        <f t="shared" si="12"/>
        <v>42.588687999999998</v>
      </c>
      <c r="I49" s="63">
        <f t="shared" si="14"/>
        <v>43.080016000000001</v>
      </c>
      <c r="J49" s="151">
        <f t="shared" si="15"/>
        <v>507.17692923529364</v>
      </c>
      <c r="K49" s="151">
        <f t="shared" si="16"/>
        <v>501.39257144194193</v>
      </c>
      <c r="L49" s="70"/>
      <c r="M49" s="62">
        <v>3.5531999999999995</v>
      </c>
      <c r="N49" s="62">
        <f t="shared" si="17"/>
        <v>3.4091999999999998</v>
      </c>
      <c r="O49" s="54">
        <f t="shared" si="18"/>
        <v>5.6999999999999998E-4</v>
      </c>
      <c r="P49" s="54">
        <f t="shared" si="19"/>
        <v>1.026</v>
      </c>
      <c r="Q49" s="61">
        <f t="shared" si="20"/>
        <v>4.8999999999999998E-4</v>
      </c>
      <c r="R49" s="144">
        <f t="shared" si="21"/>
        <v>0.88200000000000001</v>
      </c>
      <c r="S49" s="62">
        <f t="shared" si="10"/>
        <v>11.986009231115615</v>
      </c>
      <c r="T49" s="62">
        <f t="shared" si="11"/>
        <v>12.636400328522821</v>
      </c>
      <c r="U49" s="151"/>
      <c r="V49" s="159"/>
      <c r="W49" s="187"/>
      <c r="Y49" s="45"/>
      <c r="Z49" s="45"/>
    </row>
    <row r="50" spans="1:27" ht="15.75" customHeight="1">
      <c r="A50" s="198"/>
      <c r="B50" s="198"/>
      <c r="C50" s="199"/>
      <c r="D50" s="213"/>
      <c r="E50" s="54">
        <v>1</v>
      </c>
      <c r="F50" s="54">
        <v>1400</v>
      </c>
      <c r="G50" s="60"/>
      <c r="H50" s="60">
        <v>44.8</v>
      </c>
      <c r="I50" s="60">
        <f t="shared" si="14"/>
        <v>45.182143999999994</v>
      </c>
      <c r="J50" s="150">
        <f t="shared" si="15"/>
        <v>375.00000000000006</v>
      </c>
      <c r="K50" s="150">
        <f t="shared" si="16"/>
        <v>371.82830456208546</v>
      </c>
      <c r="L50" s="54"/>
      <c r="M50" s="59">
        <v>3.74</v>
      </c>
      <c r="N50" s="59">
        <f t="shared" si="17"/>
        <v>3.6280000000000001</v>
      </c>
      <c r="O50" s="56">
        <f t="shared" si="18"/>
        <v>5.6999999999999998E-4</v>
      </c>
      <c r="P50" s="56">
        <f t="shared" si="19"/>
        <v>0.79799999999999993</v>
      </c>
      <c r="Q50" s="54">
        <f t="shared" si="20"/>
        <v>4.8999999999999998E-4</v>
      </c>
      <c r="R50" s="143">
        <f t="shared" si="21"/>
        <v>0.68599999999999994</v>
      </c>
      <c r="S50" s="59">
        <f t="shared" si="10"/>
        <v>11.978609625668447</v>
      </c>
      <c r="T50" s="59">
        <f t="shared" si="11"/>
        <v>12.453733186328554</v>
      </c>
      <c r="U50" s="150">
        <f>338/300*J50</f>
        <v>422.50000000000006</v>
      </c>
      <c r="V50" s="157">
        <f>TREND(T50:T52,K50:K52,U50)/S50-1</f>
        <v>5.876405425524811E-2</v>
      </c>
      <c r="W50" s="185">
        <v>5983782</v>
      </c>
      <c r="X50" s="4"/>
      <c r="Y50" s="3"/>
      <c r="Z50" s="3"/>
    </row>
    <row r="51" spans="1:27">
      <c r="A51" s="198"/>
      <c r="B51" s="198"/>
      <c r="C51" s="199"/>
      <c r="D51" s="213"/>
      <c r="E51" s="54">
        <v>2</v>
      </c>
      <c r="F51" s="54">
        <v>1500</v>
      </c>
      <c r="G51" s="60"/>
      <c r="H51" s="60">
        <v>45.5</v>
      </c>
      <c r="I51" s="60">
        <f t="shared" si="14"/>
        <v>45.909439999999996</v>
      </c>
      <c r="J51" s="150">
        <f t="shared" si="15"/>
        <v>395.60439560439556</v>
      </c>
      <c r="K51" s="150">
        <f t="shared" si="16"/>
        <v>392.07622658869292</v>
      </c>
      <c r="L51" s="54"/>
      <c r="M51" s="59">
        <v>3.79</v>
      </c>
      <c r="N51" s="59">
        <f t="shared" si="17"/>
        <v>3.67</v>
      </c>
      <c r="O51" s="54">
        <f t="shared" si="18"/>
        <v>5.6999999999999998E-4</v>
      </c>
      <c r="P51" s="54">
        <f t="shared" si="19"/>
        <v>0.85499999999999998</v>
      </c>
      <c r="Q51" s="54">
        <f t="shared" si="20"/>
        <v>4.8999999999999998E-4</v>
      </c>
      <c r="R51" s="144">
        <f t="shared" si="21"/>
        <v>0.73499999999999999</v>
      </c>
      <c r="S51" s="59">
        <f t="shared" si="10"/>
        <v>12.005277044854882</v>
      </c>
      <c r="T51" s="59">
        <f t="shared" si="11"/>
        <v>12.509384196185286</v>
      </c>
      <c r="U51" s="150"/>
      <c r="V51" s="158"/>
      <c r="W51" s="186"/>
      <c r="X51" s="4"/>
      <c r="Y51" s="3"/>
      <c r="Z51" s="3"/>
    </row>
    <row r="52" spans="1:27" ht="15.75" thickBot="1">
      <c r="A52" s="198"/>
      <c r="B52" s="198"/>
      <c r="C52" s="199"/>
      <c r="D52" s="213"/>
      <c r="E52" s="54">
        <v>3</v>
      </c>
      <c r="F52" s="54">
        <v>1800</v>
      </c>
      <c r="G52" s="60"/>
      <c r="H52" s="60">
        <v>47.1</v>
      </c>
      <c r="I52" s="60">
        <f t="shared" si="14"/>
        <v>47.591328000000004</v>
      </c>
      <c r="J52" s="150">
        <f t="shared" si="15"/>
        <v>458.59872611464971</v>
      </c>
      <c r="K52" s="150">
        <f t="shared" si="16"/>
        <v>453.86419979707227</v>
      </c>
      <c r="L52" s="54"/>
      <c r="M52" s="59">
        <v>3.85</v>
      </c>
      <c r="N52" s="59">
        <f t="shared" si="17"/>
        <v>3.706</v>
      </c>
      <c r="O52" s="54">
        <f t="shared" si="18"/>
        <v>5.6999999999999998E-4</v>
      </c>
      <c r="P52" s="54">
        <f t="shared" si="19"/>
        <v>1.026</v>
      </c>
      <c r="Q52" s="61">
        <f t="shared" si="20"/>
        <v>4.8999999999999998E-4</v>
      </c>
      <c r="R52" s="144">
        <f t="shared" si="21"/>
        <v>0.88200000000000001</v>
      </c>
      <c r="S52" s="59">
        <f t="shared" si="10"/>
        <v>12.233766233766234</v>
      </c>
      <c r="T52" s="59">
        <f t="shared" si="11"/>
        <v>12.841696708041017</v>
      </c>
      <c r="U52" s="150"/>
      <c r="V52" s="158"/>
      <c r="W52" s="187"/>
      <c r="X52" s="4"/>
      <c r="Y52" s="3"/>
      <c r="Z52" s="3"/>
    </row>
    <row r="53" spans="1:27" s="84" customFormat="1">
      <c r="A53" s="198"/>
      <c r="B53" s="198"/>
      <c r="C53" s="199"/>
      <c r="D53" s="213"/>
      <c r="E53" s="64">
        <v>1</v>
      </c>
      <c r="F53" s="64">
        <v>1600</v>
      </c>
      <c r="G53" s="66"/>
      <c r="H53" s="66">
        <v>44.735999999999997</v>
      </c>
      <c r="I53" s="66">
        <f t="shared" si="14"/>
        <v>45.172735999999993</v>
      </c>
      <c r="J53" s="152">
        <f t="shared" si="15"/>
        <v>429.18454935622321</v>
      </c>
      <c r="K53" s="152">
        <f t="shared" si="16"/>
        <v>425.03513623792901</v>
      </c>
      <c r="L53" s="64"/>
      <c r="M53" s="65">
        <v>3.8690000000000002</v>
      </c>
      <c r="N53" s="65">
        <f t="shared" si="17"/>
        <v>3.7410000000000005</v>
      </c>
      <c r="O53" s="56">
        <f t="shared" si="18"/>
        <v>5.6999999999999998E-4</v>
      </c>
      <c r="P53" s="56">
        <f t="shared" si="19"/>
        <v>0.91199999999999992</v>
      </c>
      <c r="Q53" s="54">
        <f t="shared" si="20"/>
        <v>4.8999999999999998E-4</v>
      </c>
      <c r="R53" s="143">
        <f t="shared" si="21"/>
        <v>0.78400000000000003</v>
      </c>
      <c r="S53" s="65">
        <f t="shared" ref="S53:S71" si="22">H53/M53</f>
        <v>11.562677694494701</v>
      </c>
      <c r="T53" s="65">
        <f>H53/N53</f>
        <v>11.958299919807535</v>
      </c>
      <c r="U53" s="152">
        <f>338/300*J53</f>
        <v>483.5479256080115</v>
      </c>
      <c r="V53" s="157">
        <f>TREND(T53:T55,K53:K55,U53)/S53-1</f>
        <v>3.2584613932095996E-2</v>
      </c>
      <c r="W53" s="195">
        <v>7021248</v>
      </c>
      <c r="X53" s="86"/>
      <c r="Y53" s="85"/>
      <c r="Z53" s="85"/>
    </row>
    <row r="54" spans="1:27" s="84" customFormat="1">
      <c r="A54" s="198"/>
      <c r="B54" s="198"/>
      <c r="C54" s="199"/>
      <c r="D54" s="213"/>
      <c r="E54" s="67">
        <v>2</v>
      </c>
      <c r="F54" s="67">
        <v>1700</v>
      </c>
      <c r="G54" s="69"/>
      <c r="H54" s="69">
        <v>45.12</v>
      </c>
      <c r="I54" s="69">
        <f t="shared" si="14"/>
        <v>45.584032000000001</v>
      </c>
      <c r="J54" s="153">
        <f t="shared" si="15"/>
        <v>452.12765957446811</v>
      </c>
      <c r="K54" s="153">
        <f t="shared" si="16"/>
        <v>447.52513336248973</v>
      </c>
      <c r="L54" s="67"/>
      <c r="M54" s="68">
        <v>3.9114</v>
      </c>
      <c r="N54" s="68">
        <f t="shared" si="17"/>
        <v>3.7754000000000003</v>
      </c>
      <c r="O54" s="54">
        <f t="shared" si="18"/>
        <v>5.6999999999999998E-4</v>
      </c>
      <c r="P54" s="54">
        <f t="shared" si="19"/>
        <v>0.96899999999999997</v>
      </c>
      <c r="Q54" s="54">
        <f t="shared" si="20"/>
        <v>4.8999999999999998E-4</v>
      </c>
      <c r="R54" s="144">
        <f t="shared" si="21"/>
        <v>0.83299999999999996</v>
      </c>
      <c r="S54" s="68">
        <f t="shared" si="22"/>
        <v>11.535511581530908</v>
      </c>
      <c r="T54" s="68">
        <f>H54/N54</f>
        <v>11.951051544207235</v>
      </c>
      <c r="U54" s="153"/>
      <c r="V54" s="160"/>
      <c r="W54" s="196"/>
      <c r="X54" s="86"/>
      <c r="Y54" s="85"/>
      <c r="Z54" s="85"/>
    </row>
    <row r="55" spans="1:27" s="84" customFormat="1" ht="15.75" thickBot="1">
      <c r="A55" s="198"/>
      <c r="B55" s="198"/>
      <c r="C55" s="199"/>
      <c r="D55" s="213"/>
      <c r="E55" s="67">
        <v>3</v>
      </c>
      <c r="F55" s="67">
        <v>1800</v>
      </c>
      <c r="G55" s="69"/>
      <c r="H55" s="69">
        <v>45.503999999999998</v>
      </c>
      <c r="I55" s="69">
        <f t="shared" si="14"/>
        <v>45.995328000000001</v>
      </c>
      <c r="J55" s="153">
        <f t="shared" si="15"/>
        <v>474.68354430379748</v>
      </c>
      <c r="K55" s="153">
        <f t="shared" si="16"/>
        <v>469.61291372897699</v>
      </c>
      <c r="L55" s="67"/>
      <c r="M55" s="68">
        <v>3.9538000000000002</v>
      </c>
      <c r="N55" s="68">
        <f t="shared" si="17"/>
        <v>3.8098000000000005</v>
      </c>
      <c r="O55" s="54">
        <f t="shared" si="18"/>
        <v>5.6999999999999998E-4</v>
      </c>
      <c r="P55" s="54">
        <f t="shared" si="19"/>
        <v>1.026</v>
      </c>
      <c r="Q55" s="54">
        <f t="shared" si="20"/>
        <v>4.8999999999999998E-4</v>
      </c>
      <c r="R55" s="144">
        <f t="shared" si="21"/>
        <v>0.88200000000000001</v>
      </c>
      <c r="S55" s="68">
        <f t="shared" si="22"/>
        <v>11.508928119783498</v>
      </c>
      <c r="T55" s="68">
        <f>H55/N55</f>
        <v>11.943934064780301</v>
      </c>
      <c r="U55" s="153"/>
      <c r="V55" s="160"/>
      <c r="W55" s="197"/>
      <c r="X55" s="86"/>
      <c r="Y55" s="85"/>
      <c r="Z55" s="85"/>
    </row>
    <row r="56" spans="1:27">
      <c r="A56" s="198"/>
      <c r="B56" s="198"/>
      <c r="C56" s="199"/>
      <c r="D56" s="213"/>
      <c r="E56" s="56">
        <v>1</v>
      </c>
      <c r="F56" s="56">
        <v>1400</v>
      </c>
      <c r="G56" s="66"/>
      <c r="H56" s="58">
        <v>47.369</v>
      </c>
      <c r="I56" s="58">
        <f t="shared" si="14"/>
        <v>47.751143999999996</v>
      </c>
      <c r="J56" s="149">
        <f t="shared" si="15"/>
        <v>354.66233190483229</v>
      </c>
      <c r="K56" s="149">
        <f t="shared" si="16"/>
        <v>351.82403169230878</v>
      </c>
      <c r="L56" s="56"/>
      <c r="M56" s="57">
        <v>3.8509000000000002</v>
      </c>
      <c r="N56" s="57">
        <f t="shared" si="17"/>
        <v>3.7389000000000001</v>
      </c>
      <c r="O56" s="56">
        <f t="shared" si="18"/>
        <v>5.6999999999999998E-4</v>
      </c>
      <c r="P56" s="56">
        <f t="shared" si="19"/>
        <v>0.79799999999999993</v>
      </c>
      <c r="Q56" s="56">
        <f t="shared" si="20"/>
        <v>4.8999999999999998E-4</v>
      </c>
      <c r="R56" s="143">
        <f t="shared" si="21"/>
        <v>0.68599999999999994</v>
      </c>
      <c r="S56" s="57">
        <f t="shared" si="22"/>
        <v>12.300760861097405</v>
      </c>
      <c r="T56" s="57">
        <f t="shared" ref="T56:T71" si="23">I56/N56</f>
        <v>12.771441867929068</v>
      </c>
      <c r="U56" s="149">
        <f>338/300*J56</f>
        <v>399.58622727944442</v>
      </c>
      <c r="V56" s="157">
        <f>TREND(T56:T58,K56:K58,U56)/S56-1</f>
        <v>3.7241820190759167E-2</v>
      </c>
      <c r="W56" s="185">
        <v>8439809</v>
      </c>
      <c r="X56" s="3"/>
      <c r="Y56" s="3"/>
      <c r="Z56" s="3"/>
    </row>
    <row r="57" spans="1:27">
      <c r="A57" s="198"/>
      <c r="B57" s="198"/>
      <c r="C57" s="199"/>
      <c r="D57" s="213"/>
      <c r="E57" s="54">
        <v>2</v>
      </c>
      <c r="F57" s="54">
        <v>1600</v>
      </c>
      <c r="G57" s="69"/>
      <c r="H57" s="60">
        <v>47.975000000000001</v>
      </c>
      <c r="I57" s="60">
        <f t="shared" si="14"/>
        <v>48.411735999999998</v>
      </c>
      <c r="J57" s="150">
        <f t="shared" si="15"/>
        <v>400.20844189682128</v>
      </c>
      <c r="K57" s="150">
        <f t="shared" si="16"/>
        <v>396.59804804355701</v>
      </c>
      <c r="L57" s="54"/>
      <c r="M57" s="59">
        <v>3.9188000000000001</v>
      </c>
      <c r="N57" s="59">
        <f t="shared" si="17"/>
        <v>3.7907999999999999</v>
      </c>
      <c r="O57" s="54">
        <f t="shared" si="18"/>
        <v>5.6999999999999998E-4</v>
      </c>
      <c r="P57" s="54">
        <f t="shared" si="19"/>
        <v>0.91199999999999992</v>
      </c>
      <c r="Q57" s="54">
        <f t="shared" si="20"/>
        <v>4.8999999999999998E-4</v>
      </c>
      <c r="R57" s="144">
        <f t="shared" si="21"/>
        <v>0.78400000000000003</v>
      </c>
      <c r="S57" s="59">
        <f t="shared" si="22"/>
        <v>12.242268041237114</v>
      </c>
      <c r="T57" s="59">
        <f t="shared" si="23"/>
        <v>12.770849424923499</v>
      </c>
      <c r="U57" s="150"/>
      <c r="V57" s="158"/>
      <c r="W57" s="186"/>
      <c r="X57" s="3"/>
      <c r="Y57" s="3"/>
      <c r="Z57" s="3"/>
    </row>
    <row r="58" spans="1:27" ht="15.75" thickBot="1">
      <c r="A58" s="198"/>
      <c r="B58" s="198"/>
      <c r="C58" s="199"/>
      <c r="D58" s="213"/>
      <c r="E58" s="61">
        <v>3</v>
      </c>
      <c r="F58" s="61">
        <v>1800</v>
      </c>
      <c r="G58" s="72"/>
      <c r="H58" s="63">
        <v>48.581000000000003</v>
      </c>
      <c r="I58" s="63">
        <f t="shared" si="14"/>
        <v>49.072328000000006</v>
      </c>
      <c r="J58" s="151">
        <f t="shared" si="15"/>
        <v>444.61826640044455</v>
      </c>
      <c r="K58" s="151">
        <f t="shared" si="16"/>
        <v>440.16660469012186</v>
      </c>
      <c r="L58" s="61"/>
      <c r="M58" s="62">
        <v>3.9964</v>
      </c>
      <c r="N58" s="62">
        <f t="shared" si="17"/>
        <v>3.8523999999999998</v>
      </c>
      <c r="O58" s="61">
        <f t="shared" si="18"/>
        <v>5.6999999999999998E-4</v>
      </c>
      <c r="P58" s="61">
        <f t="shared" si="19"/>
        <v>1.026</v>
      </c>
      <c r="Q58" s="61">
        <f t="shared" si="20"/>
        <v>4.8999999999999998E-4</v>
      </c>
      <c r="R58" s="145">
        <f t="shared" si="21"/>
        <v>0.88200000000000001</v>
      </c>
      <c r="S58" s="62">
        <f t="shared" si="22"/>
        <v>12.156190571514363</v>
      </c>
      <c r="T58" s="62">
        <f t="shared" si="23"/>
        <v>12.738118575433498</v>
      </c>
      <c r="U58" s="151"/>
      <c r="V58" s="159"/>
      <c r="W58" s="187"/>
      <c r="X58" s="3"/>
      <c r="Y58" s="3"/>
      <c r="Z58" s="3"/>
    </row>
    <row r="59" spans="1:27" ht="15.75" thickBot="1">
      <c r="A59" s="191" t="s">
        <v>118</v>
      </c>
      <c r="B59" s="191">
        <f>'DEER DX SEER to EER'!E8</f>
        <v>13.26</v>
      </c>
      <c r="C59" s="193">
        <f>B59*(1+AVERAGE(V59:V71))</f>
        <v>13.80620064447406</v>
      </c>
      <c r="D59" s="214">
        <f>3.412/C59</f>
        <v>0.24713533345364316</v>
      </c>
      <c r="E59" s="56">
        <v>1</v>
      </c>
      <c r="F59" s="64">
        <v>1200</v>
      </c>
      <c r="G59" s="66">
        <v>47.04</v>
      </c>
      <c r="H59" s="66">
        <f t="shared" ref="H59:H68" si="24">G59-P59*3.412</f>
        <v>44.706192000000001</v>
      </c>
      <c r="I59" s="58">
        <f t="shared" si="14"/>
        <v>45.033743999999999</v>
      </c>
      <c r="J59" s="149">
        <f t="shared" si="15"/>
        <v>322.10303217057714</v>
      </c>
      <c r="K59" s="149">
        <f t="shared" si="16"/>
        <v>319.76022246784544</v>
      </c>
      <c r="L59" s="56"/>
      <c r="M59" s="65">
        <v>3.65</v>
      </c>
      <c r="N59" s="57">
        <f t="shared" si="17"/>
        <v>3.5540000000000003</v>
      </c>
      <c r="O59" s="56">
        <f t="shared" si="18"/>
        <v>5.6999999999999998E-4</v>
      </c>
      <c r="P59" s="56">
        <f t="shared" si="19"/>
        <v>0.68399999999999994</v>
      </c>
      <c r="Q59" s="56">
        <f t="shared" si="20"/>
        <v>4.8999999999999998E-4</v>
      </c>
      <c r="R59" s="143">
        <f t="shared" si="21"/>
        <v>0.58799999999999997</v>
      </c>
      <c r="S59" s="57">
        <f t="shared" si="22"/>
        <v>12.248271780821918</v>
      </c>
      <c r="T59" s="57">
        <f t="shared" si="23"/>
        <v>12.671284186831738</v>
      </c>
      <c r="U59" s="149">
        <f>338/300*J59</f>
        <v>362.90274957885026</v>
      </c>
      <c r="V59" s="157">
        <f>TREND(T59:T64,K59:K64,U59)/S59-1</f>
        <v>4.0599576762887946E-2</v>
      </c>
      <c r="W59" s="185">
        <v>6406597</v>
      </c>
      <c r="X59" s="7"/>
      <c r="Y59" s="45"/>
      <c r="Z59" s="45"/>
      <c r="AA59" s="7"/>
    </row>
    <row r="60" spans="1:27">
      <c r="A60" s="167"/>
      <c r="B60" s="167"/>
      <c r="C60" s="170"/>
      <c r="D60" s="173"/>
      <c r="E60" s="54">
        <v>2</v>
      </c>
      <c r="F60" s="67">
        <v>1300</v>
      </c>
      <c r="G60" s="69">
        <v>47.69</v>
      </c>
      <c r="H60" s="69">
        <f t="shared" si="24"/>
        <v>45.161707999999997</v>
      </c>
      <c r="I60" s="60">
        <f t="shared" si="14"/>
        <v>45.516555999999994</v>
      </c>
      <c r="J60" s="150">
        <f t="shared" si="15"/>
        <v>345.42537673730146</v>
      </c>
      <c r="K60" s="150">
        <f t="shared" si="16"/>
        <v>342.73243344685397</v>
      </c>
      <c r="L60" s="54"/>
      <c r="M60" s="68">
        <v>3.68</v>
      </c>
      <c r="N60" s="59">
        <f t="shared" si="17"/>
        <v>3.5760000000000001</v>
      </c>
      <c r="O60" s="54">
        <f t="shared" si="18"/>
        <v>5.6999999999999998E-4</v>
      </c>
      <c r="P60" s="54">
        <f t="shared" si="19"/>
        <v>0.74099999999999999</v>
      </c>
      <c r="Q60" s="54">
        <f t="shared" si="20"/>
        <v>4.8999999999999998E-4</v>
      </c>
      <c r="R60" s="144">
        <f t="shared" si="21"/>
        <v>0.63700000000000001</v>
      </c>
      <c r="S60" s="59">
        <f t="shared" si="22"/>
        <v>12.272203260869563</v>
      </c>
      <c r="T60" s="59">
        <f t="shared" si="23"/>
        <v>12.728343400447425</v>
      </c>
      <c r="U60" s="150"/>
      <c r="V60" s="158"/>
      <c r="W60" s="186"/>
      <c r="Y60" s="45"/>
      <c r="Z60" s="45"/>
    </row>
    <row r="61" spans="1:27">
      <c r="A61" s="167"/>
      <c r="B61" s="167"/>
      <c r="C61" s="170"/>
      <c r="D61" s="173"/>
      <c r="E61" s="54">
        <v>3</v>
      </c>
      <c r="F61" s="67">
        <v>1355</v>
      </c>
      <c r="G61" s="69">
        <v>48</v>
      </c>
      <c r="H61" s="69">
        <f t="shared" si="24"/>
        <v>45.364741799999997</v>
      </c>
      <c r="I61" s="60">
        <f t="shared" si="14"/>
        <v>45.734602599999995</v>
      </c>
      <c r="J61" s="150">
        <f t="shared" si="15"/>
        <v>358.42813944991968</v>
      </c>
      <c r="K61" s="150">
        <f t="shared" si="16"/>
        <v>355.52949136153643</v>
      </c>
      <c r="L61" s="54"/>
      <c r="M61" s="68">
        <v>3.69</v>
      </c>
      <c r="N61" s="59">
        <f t="shared" si="17"/>
        <v>3.5815999999999999</v>
      </c>
      <c r="O61" s="54">
        <f t="shared" si="18"/>
        <v>5.6999999999999998E-4</v>
      </c>
      <c r="P61" s="54">
        <f t="shared" si="19"/>
        <v>0.77234999999999998</v>
      </c>
      <c r="Q61" s="54">
        <f t="shared" si="20"/>
        <v>4.8999999999999998E-4</v>
      </c>
      <c r="R61" s="144">
        <f t="shared" si="21"/>
        <v>0.66394999999999993</v>
      </c>
      <c r="S61" s="59">
        <f t="shared" si="22"/>
        <v>12.293967967479674</v>
      </c>
      <c r="T61" s="59">
        <f t="shared" si="23"/>
        <v>12.769321699798972</v>
      </c>
      <c r="U61" s="150"/>
      <c r="V61" s="158"/>
      <c r="W61" s="186"/>
      <c r="Y61" s="45"/>
      <c r="Z61" s="45"/>
    </row>
    <row r="62" spans="1:27">
      <c r="A62" s="167"/>
      <c r="B62" s="167"/>
      <c r="C62" s="170"/>
      <c r="D62" s="173"/>
      <c r="E62" s="54">
        <v>4</v>
      </c>
      <c r="F62" s="67">
        <v>1500</v>
      </c>
      <c r="G62" s="69">
        <v>48.71</v>
      </c>
      <c r="H62" s="69">
        <f t="shared" si="24"/>
        <v>45.792740000000002</v>
      </c>
      <c r="I62" s="60">
        <f t="shared" si="14"/>
        <v>46.202179999999998</v>
      </c>
      <c r="J62" s="153">
        <f t="shared" si="15"/>
        <v>393.07540889669406</v>
      </c>
      <c r="K62" s="153">
        <f t="shared" si="16"/>
        <v>389.59200626463951</v>
      </c>
      <c r="L62" s="54"/>
      <c r="M62" s="68">
        <v>3.73</v>
      </c>
      <c r="N62" s="68">
        <f t="shared" si="17"/>
        <v>3.61</v>
      </c>
      <c r="O62" s="67">
        <f t="shared" si="18"/>
        <v>5.6999999999999998E-4</v>
      </c>
      <c r="P62" s="54">
        <f t="shared" si="19"/>
        <v>0.85499999999999998</v>
      </c>
      <c r="Q62" s="67">
        <f t="shared" si="20"/>
        <v>4.8999999999999998E-4</v>
      </c>
      <c r="R62" s="144">
        <f t="shared" si="21"/>
        <v>0.73499999999999999</v>
      </c>
      <c r="S62" s="68">
        <f t="shared" si="22"/>
        <v>12.27687399463807</v>
      </c>
      <c r="T62" s="59">
        <f t="shared" si="23"/>
        <v>12.798387811634349</v>
      </c>
      <c r="U62" s="150"/>
      <c r="V62" s="158"/>
      <c r="W62" s="186"/>
      <c r="Y62" s="45"/>
      <c r="Z62" s="45"/>
    </row>
    <row r="63" spans="1:27">
      <c r="A63" s="167"/>
      <c r="B63" s="167"/>
      <c r="C63" s="170"/>
      <c r="D63" s="173"/>
      <c r="E63" s="54">
        <v>5</v>
      </c>
      <c r="F63" s="67">
        <v>1600</v>
      </c>
      <c r="G63" s="69">
        <v>49.12</v>
      </c>
      <c r="H63" s="69">
        <f t="shared" si="24"/>
        <v>46.008255999999996</v>
      </c>
      <c r="I63" s="60">
        <f t="shared" si="14"/>
        <v>46.444991999999992</v>
      </c>
      <c r="J63" s="153">
        <f t="shared" si="15"/>
        <v>417.31640512520198</v>
      </c>
      <c r="K63" s="153">
        <f t="shared" si="16"/>
        <v>413.39225550948538</v>
      </c>
      <c r="L63" s="54"/>
      <c r="M63" s="68">
        <v>3.76</v>
      </c>
      <c r="N63" s="68">
        <f t="shared" si="17"/>
        <v>3.6319999999999997</v>
      </c>
      <c r="O63" s="67">
        <f t="shared" si="18"/>
        <v>5.6999999999999998E-4</v>
      </c>
      <c r="P63" s="54">
        <f t="shared" si="19"/>
        <v>0.91199999999999992</v>
      </c>
      <c r="Q63" s="67">
        <f t="shared" si="20"/>
        <v>4.8999999999999998E-4</v>
      </c>
      <c r="R63" s="144">
        <f t="shared" si="21"/>
        <v>0.78400000000000003</v>
      </c>
      <c r="S63" s="68">
        <f t="shared" si="22"/>
        <v>12.23623829787234</v>
      </c>
      <c r="T63" s="59">
        <f t="shared" si="23"/>
        <v>12.787718061674008</v>
      </c>
      <c r="U63" s="150"/>
      <c r="V63" s="158"/>
      <c r="W63" s="186"/>
      <c r="Y63" s="45"/>
      <c r="Z63" s="45"/>
    </row>
    <row r="64" spans="1:27" ht="15.75" thickBot="1">
      <c r="A64" s="167"/>
      <c r="B64" s="167"/>
      <c r="C64" s="170"/>
      <c r="D64" s="173"/>
      <c r="E64" s="54">
        <v>6</v>
      </c>
      <c r="F64" s="67">
        <v>1700</v>
      </c>
      <c r="G64" s="69">
        <v>49.47</v>
      </c>
      <c r="H64" s="69">
        <f t="shared" si="24"/>
        <v>46.163772000000002</v>
      </c>
      <c r="I64" s="60">
        <f t="shared" si="14"/>
        <v>46.627804000000005</v>
      </c>
      <c r="J64" s="153">
        <f t="shared" si="15"/>
        <v>441.90496391845971</v>
      </c>
      <c r="K64" s="153">
        <f t="shared" si="16"/>
        <v>437.50720063934375</v>
      </c>
      <c r="L64" s="54"/>
      <c r="M64" s="68">
        <v>3.78</v>
      </c>
      <c r="N64" s="68">
        <f t="shared" si="17"/>
        <v>3.6440000000000001</v>
      </c>
      <c r="O64" s="67">
        <f t="shared" si="18"/>
        <v>5.6999999999999998E-4</v>
      </c>
      <c r="P64" s="54">
        <f t="shared" si="19"/>
        <v>0.96899999999999997</v>
      </c>
      <c r="Q64" s="67">
        <f t="shared" si="20"/>
        <v>4.8999999999999998E-4</v>
      </c>
      <c r="R64" s="144">
        <f t="shared" si="21"/>
        <v>0.83299999999999996</v>
      </c>
      <c r="S64" s="68">
        <f t="shared" si="22"/>
        <v>12.212638095238097</v>
      </c>
      <c r="T64" s="59">
        <f t="shared" si="23"/>
        <v>12.795774972557631</v>
      </c>
      <c r="U64" s="150"/>
      <c r="V64" s="158"/>
      <c r="W64" s="187"/>
      <c r="Y64" s="45"/>
      <c r="Z64" s="45"/>
    </row>
    <row r="65" spans="1:26">
      <c r="A65" s="167"/>
      <c r="B65" s="167"/>
      <c r="C65" s="170"/>
      <c r="D65" s="173"/>
      <c r="E65" s="56">
        <v>1</v>
      </c>
      <c r="F65" s="64">
        <v>1200</v>
      </c>
      <c r="G65" s="66">
        <v>45.376600000000003</v>
      </c>
      <c r="H65" s="66">
        <f t="shared" si="24"/>
        <v>43.042792000000006</v>
      </c>
      <c r="I65" s="58">
        <f t="shared" si="14"/>
        <v>43.370344000000003</v>
      </c>
      <c r="J65" s="152">
        <f t="shared" si="15"/>
        <v>334.55078843398439</v>
      </c>
      <c r="K65" s="152">
        <f t="shared" si="16"/>
        <v>332.02411306675361</v>
      </c>
      <c r="L65" s="56"/>
      <c r="M65" s="65">
        <v>3.605</v>
      </c>
      <c r="N65" s="65">
        <f t="shared" si="17"/>
        <v>3.5090000000000003</v>
      </c>
      <c r="O65" s="64">
        <f t="shared" si="18"/>
        <v>5.6999999999999998E-4</v>
      </c>
      <c r="P65" s="56">
        <f t="shared" si="19"/>
        <v>0.68399999999999994</v>
      </c>
      <c r="Q65" s="64">
        <f t="shared" si="20"/>
        <v>4.8999999999999998E-4</v>
      </c>
      <c r="R65" s="146">
        <f>F65*0.49/1000</f>
        <v>0.58799999999999997</v>
      </c>
      <c r="S65" s="65">
        <f t="shared" si="22"/>
        <v>11.939748127600556</v>
      </c>
      <c r="T65" s="57">
        <f t="shared" si="23"/>
        <v>12.359744656597321</v>
      </c>
      <c r="U65" s="149">
        <f>338/300*J65</f>
        <v>376.9272216356224</v>
      </c>
      <c r="V65" s="157">
        <f>TREND(T65:T68,K65:K68,U65)/S65-1</f>
        <v>4.1219841969077242E-2</v>
      </c>
      <c r="W65" s="189">
        <v>4647058</v>
      </c>
      <c r="Y65" s="45"/>
      <c r="Z65" s="45"/>
    </row>
    <row r="66" spans="1:26">
      <c r="A66" s="167"/>
      <c r="B66" s="167"/>
      <c r="C66" s="170"/>
      <c r="D66" s="173"/>
      <c r="E66" s="54">
        <v>2</v>
      </c>
      <c r="F66" s="67">
        <v>1300</v>
      </c>
      <c r="G66" s="69">
        <v>46.007100000000001</v>
      </c>
      <c r="H66" s="69">
        <f t="shared" si="24"/>
        <v>43.478808000000001</v>
      </c>
      <c r="I66" s="60">
        <f t="shared" si="14"/>
        <v>43.833655999999998</v>
      </c>
      <c r="J66" s="153">
        <f t="shared" si="15"/>
        <v>358.79548491761778</v>
      </c>
      <c r="K66" s="153">
        <f t="shared" si="16"/>
        <v>355.89091633150565</v>
      </c>
      <c r="L66" s="54"/>
      <c r="M66" s="68">
        <v>3.6358999999999999</v>
      </c>
      <c r="N66" s="68">
        <f t="shared" si="17"/>
        <v>3.5318999999999998</v>
      </c>
      <c r="O66" s="67">
        <f t="shared" si="18"/>
        <v>5.6999999999999998E-4</v>
      </c>
      <c r="P66" s="54">
        <f t="shared" si="19"/>
        <v>0.74099999999999999</v>
      </c>
      <c r="Q66" s="67">
        <f t="shared" si="20"/>
        <v>4.8999999999999998E-4</v>
      </c>
      <c r="R66" s="147">
        <f>F66*0.49/1000</f>
        <v>0.63700000000000001</v>
      </c>
      <c r="S66" s="68">
        <f t="shared" si="22"/>
        <v>11.958196870100938</v>
      </c>
      <c r="T66" s="59">
        <f t="shared" si="23"/>
        <v>12.410786262351708</v>
      </c>
      <c r="U66" s="150"/>
      <c r="V66" s="158"/>
      <c r="W66" s="189"/>
      <c r="Y66" s="45"/>
      <c r="Z66" s="45"/>
    </row>
    <row r="67" spans="1:26">
      <c r="A67" s="167"/>
      <c r="B67" s="167"/>
      <c r="C67" s="170"/>
      <c r="D67" s="173"/>
      <c r="E67" s="54">
        <v>3</v>
      </c>
      <c r="F67" s="67">
        <v>1400</v>
      </c>
      <c r="G67" s="69">
        <v>46.56</v>
      </c>
      <c r="H67" s="69">
        <f t="shared" si="24"/>
        <v>43.837224000000006</v>
      </c>
      <c r="I67" s="60">
        <f t="shared" si="14"/>
        <v>44.219368000000003</v>
      </c>
      <c r="J67" s="153">
        <f t="shared" si="15"/>
        <v>383.23594577977838</v>
      </c>
      <c r="K67" s="153">
        <f t="shared" si="16"/>
        <v>379.92401881456107</v>
      </c>
      <c r="L67" s="54"/>
      <c r="M67" s="68">
        <v>3.6668000000000003</v>
      </c>
      <c r="N67" s="68">
        <f t="shared" si="17"/>
        <v>3.5548000000000002</v>
      </c>
      <c r="O67" s="67">
        <f t="shared" si="18"/>
        <v>5.6999999999999998E-4</v>
      </c>
      <c r="P67" s="54">
        <f t="shared" si="19"/>
        <v>0.79799999999999993</v>
      </c>
      <c r="Q67" s="67">
        <f t="shared" si="20"/>
        <v>4.8999999999999998E-4</v>
      </c>
      <c r="R67" s="147">
        <f>F67*0.49/1000</f>
        <v>0.68600000000000005</v>
      </c>
      <c r="S67" s="68">
        <f t="shared" si="22"/>
        <v>11.955171811934113</v>
      </c>
      <c r="T67" s="59">
        <f t="shared" si="23"/>
        <v>12.439340609879599</v>
      </c>
      <c r="U67" s="150"/>
      <c r="V67" s="158"/>
      <c r="W67" s="189"/>
      <c r="Y67" s="45"/>
      <c r="Z67" s="45"/>
    </row>
    <row r="68" spans="1:26" ht="15.75" thickBot="1">
      <c r="A68" s="167"/>
      <c r="B68" s="167"/>
      <c r="C68" s="170"/>
      <c r="D68" s="173"/>
      <c r="E68" s="61">
        <v>4</v>
      </c>
      <c r="F68" s="70">
        <v>1600</v>
      </c>
      <c r="G68" s="72">
        <v>47.433</v>
      </c>
      <c r="H68" s="72">
        <f t="shared" si="24"/>
        <v>44.321255999999998</v>
      </c>
      <c r="I68" s="63">
        <f t="shared" si="14"/>
        <v>44.757991999999994</v>
      </c>
      <c r="J68" s="154">
        <f t="shared" si="15"/>
        <v>433.20071976299596</v>
      </c>
      <c r="K68" s="154">
        <f t="shared" si="16"/>
        <v>428.97366798760771</v>
      </c>
      <c r="L68" s="61"/>
      <c r="M68" s="71">
        <v>3.7080000000000002</v>
      </c>
      <c r="N68" s="71">
        <f t="shared" si="17"/>
        <v>3.58</v>
      </c>
      <c r="O68" s="70">
        <f t="shared" si="18"/>
        <v>5.6999999999999998E-4</v>
      </c>
      <c r="P68" s="54">
        <f t="shared" si="19"/>
        <v>0.91199999999999992</v>
      </c>
      <c r="Q68" s="70">
        <f t="shared" si="20"/>
        <v>4.8999999999999998E-4</v>
      </c>
      <c r="R68" s="148">
        <f>F68*0.49/1000</f>
        <v>0.78400000000000003</v>
      </c>
      <c r="S68" s="71">
        <f t="shared" si="22"/>
        <v>11.952873786407766</v>
      </c>
      <c r="T68" s="62">
        <f t="shared" si="23"/>
        <v>12.502232402234634</v>
      </c>
      <c r="U68" s="151"/>
      <c r="V68" s="159"/>
      <c r="W68" s="190"/>
      <c r="Y68" s="45"/>
      <c r="Z68" s="45"/>
    </row>
    <row r="69" spans="1:26">
      <c r="A69" s="167"/>
      <c r="B69" s="167"/>
      <c r="C69" s="170"/>
      <c r="D69" s="173"/>
      <c r="E69" s="56">
        <v>1</v>
      </c>
      <c r="F69" s="64">
        <v>1400</v>
      </c>
      <c r="G69" s="66"/>
      <c r="H69" s="66">
        <v>46.6</v>
      </c>
      <c r="I69" s="58">
        <f t="shared" ref="I69:I71" si="25">H69+(P69-R69)*3.412</f>
        <v>46.982143999999998</v>
      </c>
      <c r="J69" s="149">
        <f t="shared" si="15"/>
        <v>360.51502145922746</v>
      </c>
      <c r="K69" s="149">
        <f t="shared" si="16"/>
        <v>357.58265948867728</v>
      </c>
      <c r="L69" s="56"/>
      <c r="M69" s="65">
        <v>3.7959999999999998</v>
      </c>
      <c r="N69" s="57">
        <f t="shared" ref="N69:N71" si="26">M69-P69+R69</f>
        <v>3.6839999999999997</v>
      </c>
      <c r="O69" s="56">
        <f t="shared" si="18"/>
        <v>5.6999999999999998E-4</v>
      </c>
      <c r="P69" s="56">
        <f t="shared" ref="P69:P71" si="27">F69*O69</f>
        <v>0.79799999999999993</v>
      </c>
      <c r="Q69" s="56">
        <f t="shared" si="20"/>
        <v>4.8999999999999998E-4</v>
      </c>
      <c r="R69" s="143">
        <f>F69*Q69</f>
        <v>0.68599999999999994</v>
      </c>
      <c r="S69" s="57">
        <f t="shared" si="22"/>
        <v>12.276080084299263</v>
      </c>
      <c r="T69" s="57">
        <f t="shared" si="23"/>
        <v>12.753024972855592</v>
      </c>
      <c r="U69" s="149">
        <f>338/300*J69</f>
        <v>406.18025751072963</v>
      </c>
      <c r="V69" s="157">
        <f>TREND(T69:T71,K69:K71,U69)/S69-1</f>
        <v>4.175538771013021E-2</v>
      </c>
      <c r="W69" s="186">
        <v>8874198</v>
      </c>
      <c r="X69" s="3"/>
      <c r="Y69" s="3"/>
      <c r="Z69" s="3"/>
    </row>
    <row r="70" spans="1:26">
      <c r="A70" s="167"/>
      <c r="B70" s="167"/>
      <c r="C70" s="170"/>
      <c r="D70" s="173"/>
      <c r="E70" s="54">
        <v>2</v>
      </c>
      <c r="F70" s="67">
        <v>1600</v>
      </c>
      <c r="G70" s="69"/>
      <c r="H70" s="69">
        <v>47</v>
      </c>
      <c r="I70" s="60">
        <f t="shared" si="25"/>
        <v>47.436735999999996</v>
      </c>
      <c r="J70" s="150">
        <f t="shared" si="15"/>
        <v>408.51063829787233</v>
      </c>
      <c r="K70" s="150">
        <f t="shared" si="16"/>
        <v>404.74960165893373</v>
      </c>
      <c r="L70" s="54"/>
      <c r="M70" s="68">
        <v>3.8376000000000001</v>
      </c>
      <c r="N70" s="59">
        <f t="shared" si="26"/>
        <v>3.7096</v>
      </c>
      <c r="O70" s="54">
        <f t="shared" si="18"/>
        <v>5.6999999999999998E-4</v>
      </c>
      <c r="P70" s="54">
        <f t="shared" si="27"/>
        <v>0.91199999999999992</v>
      </c>
      <c r="Q70" s="54">
        <f t="shared" si="20"/>
        <v>4.8999999999999998E-4</v>
      </c>
      <c r="R70" s="144">
        <f>F70*Q70</f>
        <v>0.78400000000000003</v>
      </c>
      <c r="S70" s="59">
        <f t="shared" si="22"/>
        <v>12.247237856993953</v>
      </c>
      <c r="T70" s="59">
        <f t="shared" si="23"/>
        <v>12.787560923010567</v>
      </c>
      <c r="U70" s="54"/>
      <c r="V70" s="158"/>
      <c r="W70" s="186"/>
      <c r="X70" s="3"/>
      <c r="Y70" s="3"/>
      <c r="Z70" s="3"/>
    </row>
    <row r="71" spans="1:26" ht="15.75" thickBot="1">
      <c r="A71" s="192"/>
      <c r="B71" s="192"/>
      <c r="C71" s="194"/>
      <c r="D71" s="215"/>
      <c r="E71" s="61">
        <v>3</v>
      </c>
      <c r="F71" s="70">
        <v>1800</v>
      </c>
      <c r="G71" s="72"/>
      <c r="H71" s="72">
        <v>47.4</v>
      </c>
      <c r="I71" s="63">
        <f t="shared" si="25"/>
        <v>47.891328000000001</v>
      </c>
      <c r="J71" s="151">
        <f t="shared" si="15"/>
        <v>455.69620253164561</v>
      </c>
      <c r="K71" s="151">
        <f t="shared" si="16"/>
        <v>451.02111179710869</v>
      </c>
      <c r="L71" s="61"/>
      <c r="M71" s="71">
        <v>3.8792</v>
      </c>
      <c r="N71" s="62">
        <f t="shared" si="26"/>
        <v>3.7352000000000003</v>
      </c>
      <c r="O71" s="61">
        <f t="shared" si="18"/>
        <v>5.6999999999999998E-4</v>
      </c>
      <c r="P71" s="61">
        <f t="shared" si="27"/>
        <v>1.026</v>
      </c>
      <c r="Q71" s="61">
        <f t="shared" si="20"/>
        <v>4.8999999999999998E-4</v>
      </c>
      <c r="R71" s="145">
        <f>F71*Q71</f>
        <v>0.88200000000000001</v>
      </c>
      <c r="S71" s="62">
        <f t="shared" si="22"/>
        <v>12.219014229738089</v>
      </c>
      <c r="T71" s="62">
        <f t="shared" si="23"/>
        <v>12.821623473977297</v>
      </c>
      <c r="U71" s="61"/>
      <c r="V71" s="159"/>
      <c r="W71" s="187"/>
      <c r="X71" s="3"/>
      <c r="Y71" s="3"/>
      <c r="Z71" s="3"/>
    </row>
    <row r="72" spans="1:26">
      <c r="T72"/>
      <c r="Y72" s="45"/>
      <c r="Z72" s="45"/>
    </row>
    <row r="73" spans="1:26">
      <c r="T73"/>
      <c r="Y73" s="45"/>
      <c r="Z73" s="45"/>
    </row>
    <row r="74" spans="1:26">
      <c r="T74"/>
      <c r="Y74" s="45"/>
      <c r="Z74" s="45"/>
    </row>
    <row r="75" spans="1:26">
      <c r="T75"/>
      <c r="Y75" s="45"/>
      <c r="Z75" s="45"/>
    </row>
    <row r="76" spans="1:26">
      <c r="T76"/>
      <c r="Y76" s="45"/>
      <c r="Z76" s="45"/>
    </row>
    <row r="77" spans="1:26">
      <c r="T77"/>
      <c r="Y77" s="45"/>
      <c r="Z77" s="45"/>
    </row>
  </sheetData>
  <mergeCells count="34">
    <mergeCell ref="C3:D3"/>
    <mergeCell ref="D5:D31"/>
    <mergeCell ref="D32:D58"/>
    <mergeCell ref="D59:D71"/>
    <mergeCell ref="A59:A71"/>
    <mergeCell ref="B59:B71"/>
    <mergeCell ref="C59:C71"/>
    <mergeCell ref="W14:W16"/>
    <mergeCell ref="W17:W19"/>
    <mergeCell ref="W69:W71"/>
    <mergeCell ref="W53:W55"/>
    <mergeCell ref="W56:W58"/>
    <mergeCell ref="W59:W64"/>
    <mergeCell ref="W65:W68"/>
    <mergeCell ref="A32:A58"/>
    <mergeCell ref="B32:B58"/>
    <mergeCell ref="C32:C58"/>
    <mergeCell ref="A5:A31"/>
    <mergeCell ref="B5:B31"/>
    <mergeCell ref="C5:C31"/>
    <mergeCell ref="W5:W7"/>
    <mergeCell ref="W8:W10"/>
    <mergeCell ref="W11:W13"/>
    <mergeCell ref="W20:W22"/>
    <mergeCell ref="W50:W52"/>
    <mergeCell ref="W35:W37"/>
    <mergeCell ref="W38:W40"/>
    <mergeCell ref="W41:W43"/>
    <mergeCell ref="W32:W34"/>
    <mergeCell ref="W44:W46"/>
    <mergeCell ref="W29:W31"/>
    <mergeCell ref="W23:W25"/>
    <mergeCell ref="W26:W28"/>
    <mergeCell ref="W47:W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selection activeCell="E4" sqref="E4"/>
    </sheetView>
  </sheetViews>
  <sheetFormatPr defaultRowHeight="15"/>
  <cols>
    <col min="1" max="1" width="27.28515625" customWidth="1"/>
  </cols>
  <sheetData>
    <row r="1" spans="1:19">
      <c r="A1" t="s">
        <v>181</v>
      </c>
      <c r="F1" t="s">
        <v>180</v>
      </c>
      <c r="K1" t="s">
        <v>179</v>
      </c>
    </row>
    <row r="2" spans="1:19" ht="15.75" thickBot="1">
      <c r="F2" t="s">
        <v>178</v>
      </c>
      <c r="K2" t="s">
        <v>177</v>
      </c>
      <c r="L2" s="200" t="s">
        <v>176</v>
      </c>
      <c r="M2" s="200"/>
      <c r="N2" s="200"/>
      <c r="O2" s="200"/>
      <c r="P2" s="200"/>
    </row>
    <row r="3" spans="1:19" ht="15.75" thickBot="1">
      <c r="A3" s="141" t="s">
        <v>107</v>
      </c>
      <c r="B3" s="140" t="s">
        <v>175</v>
      </c>
      <c r="C3" s="139"/>
      <c r="D3" s="139" t="s">
        <v>7</v>
      </c>
      <c r="E3" s="139" t="s">
        <v>9</v>
      </c>
      <c r="F3" s="139" t="s">
        <v>174</v>
      </c>
      <c r="G3" s="138" t="s">
        <v>173</v>
      </c>
      <c r="H3" s="138" t="s">
        <v>172</v>
      </c>
      <c r="I3" s="138" t="s">
        <v>171</v>
      </c>
      <c r="J3" s="138" t="s">
        <v>170</v>
      </c>
      <c r="K3" s="137" t="s">
        <v>106</v>
      </c>
      <c r="L3" s="136" t="s">
        <v>169</v>
      </c>
      <c r="M3" s="135" t="s">
        <v>168</v>
      </c>
      <c r="N3" s="135" t="s">
        <v>167</v>
      </c>
      <c r="O3" s="135" t="s">
        <v>166</v>
      </c>
      <c r="P3" s="135" t="s">
        <v>165</v>
      </c>
      <c r="Q3" s="134" t="s">
        <v>164</v>
      </c>
      <c r="R3" s="133" t="s">
        <v>163</v>
      </c>
      <c r="S3" s="132"/>
    </row>
    <row r="4" spans="1:19">
      <c r="A4" s="131" t="s">
        <v>162</v>
      </c>
      <c r="B4" s="130" t="s">
        <v>108</v>
      </c>
      <c r="C4" s="128" t="s">
        <v>141</v>
      </c>
      <c r="D4" s="128">
        <v>14</v>
      </c>
      <c r="E4" s="128">
        <v>12.17</v>
      </c>
      <c r="F4" s="129">
        <f>1/E4*3.412</f>
        <v>0.28036154478225145</v>
      </c>
      <c r="G4" s="128">
        <v>18</v>
      </c>
      <c r="H4" s="128">
        <v>45</v>
      </c>
      <c r="I4" s="128" t="s">
        <v>136</v>
      </c>
      <c r="J4" s="128">
        <v>0.754</v>
      </c>
      <c r="K4" s="127">
        <v>0.23899999999999999</v>
      </c>
      <c r="L4" s="114">
        <v>0.23930000000000001</v>
      </c>
      <c r="M4" s="113">
        <v>0.23930000000000001</v>
      </c>
      <c r="N4" s="113">
        <v>0.23930000000000001</v>
      </c>
      <c r="O4" s="113">
        <v>0.23930000000000001</v>
      </c>
      <c r="P4" s="113">
        <v>0.23930000000000001</v>
      </c>
      <c r="Q4" s="112" t="s">
        <v>161</v>
      </c>
      <c r="R4" s="111" t="s">
        <v>160</v>
      </c>
      <c r="S4" s="110"/>
    </row>
    <row r="5" spans="1:19">
      <c r="A5" s="126"/>
      <c r="B5" s="125"/>
      <c r="C5" s="124" t="s">
        <v>159</v>
      </c>
      <c r="D5" s="124"/>
      <c r="E5" s="124"/>
      <c r="F5" s="107"/>
      <c r="G5" s="124"/>
      <c r="H5" s="124"/>
      <c r="I5" s="124"/>
      <c r="J5" s="124"/>
      <c r="K5" s="123"/>
      <c r="L5" s="122">
        <v>0.25823000000000002</v>
      </c>
      <c r="M5" s="121">
        <v>0.25823000000000002</v>
      </c>
      <c r="N5" s="121">
        <v>0.25823000000000002</v>
      </c>
      <c r="O5" s="121">
        <v>0.25823000000000002</v>
      </c>
      <c r="P5" s="121">
        <v>0.25823000000000002</v>
      </c>
      <c r="Q5" s="120" t="s">
        <v>158</v>
      </c>
      <c r="R5" s="111" t="s">
        <v>157</v>
      </c>
      <c r="S5" s="110"/>
    </row>
    <row r="6" spans="1:19">
      <c r="A6" s="119" t="s">
        <v>156</v>
      </c>
      <c r="B6" s="117" t="s">
        <v>108</v>
      </c>
      <c r="C6" s="116" t="s">
        <v>16</v>
      </c>
      <c r="D6" s="116">
        <v>15</v>
      </c>
      <c r="E6" s="116">
        <v>12.78</v>
      </c>
      <c r="F6" s="107">
        <f>1/E6*3.412</f>
        <v>0.26697965571205007</v>
      </c>
      <c r="G6" s="116">
        <v>18</v>
      </c>
      <c r="H6" s="116">
        <v>65</v>
      </c>
      <c r="I6" s="116" t="s">
        <v>136</v>
      </c>
      <c r="J6" s="116">
        <v>0.74399999999999999</v>
      </c>
      <c r="K6" s="115">
        <v>0.23200000000000001</v>
      </c>
      <c r="L6" s="114">
        <v>0.23218</v>
      </c>
      <c r="M6" s="113">
        <v>0.23218</v>
      </c>
      <c r="N6" s="113">
        <v>0.23218</v>
      </c>
      <c r="O6" s="113">
        <v>0.23218</v>
      </c>
      <c r="P6" s="113">
        <v>0.23218</v>
      </c>
      <c r="Q6" s="112" t="s">
        <v>155</v>
      </c>
      <c r="R6" s="111" t="s">
        <v>154</v>
      </c>
      <c r="S6" s="110"/>
    </row>
    <row r="7" spans="1:19">
      <c r="A7" s="118" t="s">
        <v>153</v>
      </c>
      <c r="B7" s="117" t="s">
        <v>108</v>
      </c>
      <c r="C7" s="116" t="s">
        <v>16</v>
      </c>
      <c r="D7" s="116">
        <v>16</v>
      </c>
      <c r="E7" s="116">
        <v>12.48</v>
      </c>
      <c r="F7" s="107">
        <f>1/E7*3.412</f>
        <v>0.27339743589743587</v>
      </c>
      <c r="G7" s="116">
        <v>18</v>
      </c>
      <c r="H7" s="116">
        <v>65</v>
      </c>
      <c r="I7" s="116" t="s">
        <v>136</v>
      </c>
      <c r="J7" s="116">
        <v>0.72399999999999998</v>
      </c>
      <c r="K7" s="115">
        <v>0.23799999999999999</v>
      </c>
      <c r="L7" s="114">
        <v>0.23813999999999999</v>
      </c>
      <c r="M7" s="113">
        <v>0.23813999999999999</v>
      </c>
      <c r="N7" s="113">
        <v>0.23813999999999999</v>
      </c>
      <c r="O7" s="113">
        <v>0.23813999999999999</v>
      </c>
      <c r="P7" s="113">
        <v>0.23813999999999999</v>
      </c>
      <c r="Q7" s="112" t="s">
        <v>152</v>
      </c>
      <c r="R7" s="111" t="s">
        <v>151</v>
      </c>
      <c r="S7" s="110"/>
    </row>
    <row r="8" spans="1:19" ht="15.75" thickBot="1">
      <c r="A8" s="109" t="s">
        <v>150</v>
      </c>
      <c r="B8" s="108" t="s">
        <v>108</v>
      </c>
      <c r="C8" s="106" t="s">
        <v>16</v>
      </c>
      <c r="D8" s="106">
        <v>17</v>
      </c>
      <c r="E8" s="106">
        <v>13.26</v>
      </c>
      <c r="F8" s="107">
        <f>1/E8*3.412</f>
        <v>0.257315233785822</v>
      </c>
      <c r="G8" s="106">
        <v>18</v>
      </c>
      <c r="H8" s="106">
        <v>65</v>
      </c>
      <c r="I8" s="106" t="s">
        <v>136</v>
      </c>
      <c r="J8" s="106">
        <v>0.72399999999999998</v>
      </c>
      <c r="K8" s="105">
        <v>0.223</v>
      </c>
      <c r="L8" s="104">
        <v>0.2225</v>
      </c>
      <c r="M8" s="103">
        <v>0.2225</v>
      </c>
      <c r="N8" s="103">
        <v>0.2225</v>
      </c>
      <c r="O8" s="103">
        <v>0.2225</v>
      </c>
      <c r="P8" s="103">
        <v>0.2225</v>
      </c>
      <c r="Q8" s="102" t="s">
        <v>149</v>
      </c>
      <c r="R8" s="101" t="s">
        <v>148</v>
      </c>
      <c r="S8" s="100"/>
    </row>
    <row r="9" spans="1:19">
      <c r="A9" s="99" t="s">
        <v>147</v>
      </c>
      <c r="B9" s="98" t="s">
        <v>108</v>
      </c>
      <c r="C9" s="97" t="s">
        <v>16</v>
      </c>
      <c r="D9" s="97">
        <v>18</v>
      </c>
      <c r="E9" s="97">
        <v>14.04</v>
      </c>
      <c r="F9" s="97"/>
      <c r="G9" s="97">
        <v>18</v>
      </c>
      <c r="H9" s="97">
        <v>65</v>
      </c>
      <c r="I9" s="97" t="s">
        <v>136</v>
      </c>
      <c r="J9" s="97">
        <v>0.72399999999999998</v>
      </c>
      <c r="K9" s="96">
        <v>0.20899999999999999</v>
      </c>
      <c r="L9" s="201" t="s">
        <v>146</v>
      </c>
      <c r="M9" s="202"/>
      <c r="N9" s="202"/>
      <c r="O9" s="202"/>
      <c r="P9" s="202"/>
      <c r="Q9" s="202"/>
      <c r="R9" s="203"/>
    </row>
    <row r="10" spans="1:19">
      <c r="A10" s="99" t="s">
        <v>145</v>
      </c>
      <c r="B10" s="98" t="s">
        <v>108</v>
      </c>
      <c r="C10" s="97" t="s">
        <v>16</v>
      </c>
      <c r="D10" s="97">
        <v>19</v>
      </c>
      <c r="E10" s="97">
        <v>14.82</v>
      </c>
      <c r="F10" s="97"/>
      <c r="G10" s="97">
        <v>18</v>
      </c>
      <c r="H10" s="97">
        <v>65</v>
      </c>
      <c r="I10" s="97" t="s">
        <v>136</v>
      </c>
      <c r="J10" s="97">
        <v>0.72399999999999998</v>
      </c>
      <c r="K10" s="96">
        <v>0.20100000000000001</v>
      </c>
      <c r="L10" s="204"/>
      <c r="M10" s="205"/>
      <c r="N10" s="205"/>
      <c r="O10" s="205"/>
      <c r="P10" s="205"/>
      <c r="Q10" s="205"/>
      <c r="R10" s="206"/>
    </row>
    <row r="11" spans="1:19">
      <c r="A11" s="99" t="s">
        <v>144</v>
      </c>
      <c r="B11" s="98" t="s">
        <v>108</v>
      </c>
      <c r="C11" s="97" t="s">
        <v>16</v>
      </c>
      <c r="D11" s="97">
        <v>20</v>
      </c>
      <c r="E11" s="97">
        <v>15.6</v>
      </c>
      <c r="F11" s="97"/>
      <c r="G11" s="97">
        <v>18</v>
      </c>
      <c r="H11" s="97">
        <v>65</v>
      </c>
      <c r="I11" s="97" t="s">
        <v>136</v>
      </c>
      <c r="J11" s="97">
        <v>0.72399999999999998</v>
      </c>
      <c r="K11" s="96">
        <v>0.19</v>
      </c>
      <c r="L11" s="204"/>
      <c r="M11" s="205"/>
      <c r="N11" s="205"/>
      <c r="O11" s="205"/>
      <c r="P11" s="205"/>
      <c r="Q11" s="205"/>
      <c r="R11" s="206"/>
    </row>
    <row r="12" spans="1:19">
      <c r="A12" s="99" t="s">
        <v>143</v>
      </c>
      <c r="B12" s="98" t="s">
        <v>108</v>
      </c>
      <c r="C12" s="97" t="s">
        <v>16</v>
      </c>
      <c r="D12" s="97">
        <v>21</v>
      </c>
      <c r="E12" s="97">
        <v>16.38</v>
      </c>
      <c r="F12" s="97"/>
      <c r="G12" s="97">
        <v>18</v>
      </c>
      <c r="H12" s="97">
        <v>65</v>
      </c>
      <c r="I12" s="97" t="s">
        <v>136</v>
      </c>
      <c r="J12" s="97">
        <v>0.72399999999999998</v>
      </c>
      <c r="K12" s="96">
        <v>0.18</v>
      </c>
      <c r="L12" s="204"/>
      <c r="M12" s="205"/>
      <c r="N12" s="205"/>
      <c r="O12" s="205"/>
      <c r="P12" s="205"/>
      <c r="Q12" s="205"/>
      <c r="R12" s="206"/>
    </row>
    <row r="13" spans="1:19">
      <c r="A13" s="99" t="s">
        <v>142</v>
      </c>
      <c r="B13" s="98" t="s">
        <v>108</v>
      </c>
      <c r="C13" s="97" t="s">
        <v>141</v>
      </c>
      <c r="D13" s="97">
        <v>14</v>
      </c>
      <c r="E13" s="97">
        <v>11.82</v>
      </c>
      <c r="F13" s="97"/>
      <c r="G13" s="97">
        <v>45</v>
      </c>
      <c r="H13" s="97">
        <v>65</v>
      </c>
      <c r="I13" s="97" t="s">
        <v>136</v>
      </c>
      <c r="J13" s="97">
        <v>0.75900000000000001</v>
      </c>
      <c r="K13" s="96">
        <v>0.247</v>
      </c>
      <c r="L13" s="204"/>
      <c r="M13" s="205"/>
      <c r="N13" s="205"/>
      <c r="O13" s="205"/>
      <c r="P13" s="205"/>
      <c r="Q13" s="205"/>
      <c r="R13" s="206"/>
    </row>
    <row r="14" spans="1:19">
      <c r="A14" s="99" t="s">
        <v>140</v>
      </c>
      <c r="B14" s="98" t="s">
        <v>108</v>
      </c>
      <c r="C14" s="97" t="s">
        <v>139</v>
      </c>
      <c r="D14" s="97">
        <v>10</v>
      </c>
      <c r="E14" s="97">
        <v>8.52</v>
      </c>
      <c r="F14" s="97"/>
      <c r="G14" s="97">
        <v>18</v>
      </c>
      <c r="H14" s="97">
        <v>65</v>
      </c>
      <c r="I14" s="97" t="s">
        <v>136</v>
      </c>
      <c r="J14" s="97">
        <v>0.74399999999999999</v>
      </c>
      <c r="K14" s="96">
        <v>0.34499999999999997</v>
      </c>
      <c r="L14" s="204"/>
      <c r="M14" s="205"/>
      <c r="N14" s="205"/>
      <c r="O14" s="205"/>
      <c r="P14" s="205"/>
      <c r="Q14" s="205"/>
      <c r="R14" s="206"/>
    </row>
    <row r="15" spans="1:19">
      <c r="A15" s="99" t="s">
        <v>138</v>
      </c>
      <c r="B15" s="98" t="s">
        <v>108</v>
      </c>
      <c r="C15" s="97" t="s">
        <v>137</v>
      </c>
      <c r="D15" s="97">
        <v>13</v>
      </c>
      <c r="E15" s="97">
        <v>11.08</v>
      </c>
      <c r="F15" s="97"/>
      <c r="G15" s="97">
        <v>18</v>
      </c>
      <c r="H15" s="97">
        <v>65</v>
      </c>
      <c r="I15" s="97" t="s">
        <v>136</v>
      </c>
      <c r="J15" s="97">
        <v>0.74399999999999999</v>
      </c>
      <c r="K15" s="96">
        <v>0.25800000000000001</v>
      </c>
      <c r="L15" s="204"/>
      <c r="M15" s="205"/>
      <c r="N15" s="205"/>
      <c r="O15" s="205"/>
      <c r="P15" s="205"/>
      <c r="Q15" s="205"/>
      <c r="R15" s="206"/>
    </row>
    <row r="16" spans="1:19" ht="15.75" thickBot="1">
      <c r="A16" s="95" t="s">
        <v>135</v>
      </c>
      <c r="B16" s="94" t="s">
        <v>108</v>
      </c>
      <c r="C16" s="93" t="s">
        <v>16</v>
      </c>
      <c r="D16" s="93">
        <v>17.399999999999999</v>
      </c>
      <c r="E16" s="92"/>
      <c r="F16" s="92"/>
      <c r="G16" s="93">
        <v>18</v>
      </c>
      <c r="H16" s="93">
        <v>45</v>
      </c>
      <c r="I16" s="93" t="s">
        <v>134</v>
      </c>
      <c r="J16" s="92"/>
      <c r="K16" s="91"/>
      <c r="L16" s="207"/>
      <c r="M16" s="208"/>
      <c r="N16" s="208"/>
      <c r="O16" s="208"/>
      <c r="P16" s="208"/>
      <c r="Q16" s="208"/>
      <c r="R16" s="209"/>
    </row>
    <row r="17" spans="1:6">
      <c r="F17" s="90"/>
    </row>
    <row r="19" spans="1:6">
      <c r="A19" s="89"/>
      <c r="B19" s="88"/>
      <c r="C19" s="87"/>
    </row>
    <row r="20" spans="1:6">
      <c r="A20" t="s">
        <v>133</v>
      </c>
    </row>
    <row r="21" spans="1:6" ht="17.25">
      <c r="A21" t="s">
        <v>132</v>
      </c>
      <c r="B21" t="s">
        <v>131</v>
      </c>
      <c r="C21">
        <v>80</v>
      </c>
      <c r="D21" t="s">
        <v>128</v>
      </c>
    </row>
    <row r="22" spans="1:6" ht="17.25">
      <c r="A22" t="s">
        <v>132</v>
      </c>
      <c r="B22" t="s">
        <v>129</v>
      </c>
      <c r="C22">
        <v>67</v>
      </c>
      <c r="D22" t="s">
        <v>128</v>
      </c>
    </row>
    <row r="23" spans="1:6" ht="17.25">
      <c r="A23" t="s">
        <v>130</v>
      </c>
      <c r="B23" t="s">
        <v>131</v>
      </c>
      <c r="C23">
        <v>95</v>
      </c>
      <c r="D23" t="s">
        <v>128</v>
      </c>
    </row>
    <row r="24" spans="1:6" ht="17.25">
      <c r="A24" t="s">
        <v>130</v>
      </c>
      <c r="B24" t="s">
        <v>129</v>
      </c>
      <c r="C24">
        <v>75</v>
      </c>
      <c r="D24" t="s">
        <v>128</v>
      </c>
    </row>
  </sheetData>
  <mergeCells count="2">
    <mergeCell ref="L2:P2"/>
    <mergeCell ref="L9:R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6"/>
  <sheetViews>
    <sheetView workbookViewId="0">
      <selection activeCell="C9" sqref="C9"/>
    </sheetView>
  </sheetViews>
  <sheetFormatPr defaultRowHeight="15"/>
  <sheetData>
    <row r="1" spans="1:81">
      <c r="M1" s="47" t="s">
        <v>102</v>
      </c>
      <c r="N1" s="48" t="s">
        <v>7</v>
      </c>
      <c r="O1" s="48" t="s">
        <v>9</v>
      </c>
      <c r="P1" s="48" t="s">
        <v>103</v>
      </c>
      <c r="Q1" s="49" t="s">
        <v>104</v>
      </c>
      <c r="R1" s="49" t="s">
        <v>11</v>
      </c>
      <c r="S1" s="50" t="s">
        <v>105</v>
      </c>
    </row>
    <row r="2" spans="1:81">
      <c r="M2">
        <v>21405</v>
      </c>
      <c r="N2">
        <v>14</v>
      </c>
      <c r="O2">
        <v>11.929577464788734</v>
      </c>
      <c r="P2">
        <v>0.29399999999999998</v>
      </c>
      <c r="Q2">
        <v>1</v>
      </c>
      <c r="R2">
        <v>8.1999999999999993</v>
      </c>
      <c r="S2" t="s">
        <v>18</v>
      </c>
    </row>
    <row r="3" spans="1:81" ht="20.25" thickBot="1">
      <c r="A3" s="9" t="s">
        <v>19</v>
      </c>
      <c r="B3" s="9"/>
      <c r="C3" s="9"/>
      <c r="D3" s="9"/>
      <c r="E3" s="9"/>
      <c r="M3">
        <v>21501</v>
      </c>
      <c r="N3">
        <v>15</v>
      </c>
      <c r="O3">
        <v>12.781690140845072</v>
      </c>
      <c r="P3">
        <v>0.251</v>
      </c>
      <c r="Q3">
        <v>1</v>
      </c>
      <c r="R3">
        <v>8.6999999999999993</v>
      </c>
      <c r="S3" t="s">
        <v>18</v>
      </c>
    </row>
    <row r="4" spans="1:81" ht="15.75" thickTop="1">
      <c r="M4">
        <v>21604</v>
      </c>
      <c r="N4">
        <v>16</v>
      </c>
      <c r="O4">
        <v>12.48</v>
      </c>
      <c r="P4">
        <v>0.27100000000000002</v>
      </c>
      <c r="Q4">
        <v>2</v>
      </c>
      <c r="R4">
        <v>9</v>
      </c>
      <c r="S4" t="s">
        <v>20</v>
      </c>
    </row>
    <row r="5" spans="1:81">
      <c r="A5" t="s">
        <v>21</v>
      </c>
      <c r="M5">
        <v>21704</v>
      </c>
      <c r="N5">
        <v>17</v>
      </c>
      <c r="O5">
        <v>13.260000000000002</v>
      </c>
      <c r="P5">
        <v>0.27100000000000002</v>
      </c>
      <c r="Q5">
        <v>2</v>
      </c>
      <c r="R5">
        <v>9.4</v>
      </c>
      <c r="S5" t="s">
        <v>20</v>
      </c>
    </row>
    <row r="6" spans="1:81">
      <c r="M6">
        <v>21802</v>
      </c>
      <c r="N6">
        <v>18</v>
      </c>
      <c r="O6">
        <v>14.040000000000001</v>
      </c>
      <c r="P6">
        <v>0.27100000000000002</v>
      </c>
      <c r="Q6">
        <v>2</v>
      </c>
      <c r="R6">
        <v>9.6999999999999993</v>
      </c>
      <c r="S6" t="s">
        <v>20</v>
      </c>
    </row>
    <row r="8" spans="1:81">
      <c r="A8" s="10" t="s">
        <v>22</v>
      </c>
      <c r="B8" s="11" t="s">
        <v>8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</row>
    <row r="9" spans="1:81">
      <c r="A9" s="13">
        <v>1</v>
      </c>
      <c r="B9" s="14">
        <v>1</v>
      </c>
      <c r="C9" s="15">
        <v>2</v>
      </c>
      <c r="D9" s="15">
        <v>3</v>
      </c>
      <c r="E9" s="16">
        <v>4</v>
      </c>
      <c r="F9" s="16">
        <v>5</v>
      </c>
      <c r="G9" s="16">
        <v>6</v>
      </c>
      <c r="H9" s="16">
        <v>7</v>
      </c>
      <c r="I9" s="16">
        <v>8</v>
      </c>
      <c r="J9" s="16">
        <v>9</v>
      </c>
      <c r="K9" s="16">
        <v>10</v>
      </c>
      <c r="L9" s="17">
        <v>11</v>
      </c>
      <c r="M9" s="17">
        <v>12</v>
      </c>
      <c r="N9" s="17">
        <v>13</v>
      </c>
      <c r="O9" s="17">
        <v>14</v>
      </c>
      <c r="P9" s="17">
        <v>15</v>
      </c>
      <c r="Q9" s="17">
        <v>16</v>
      </c>
      <c r="R9" s="17">
        <v>17</v>
      </c>
      <c r="S9" s="17">
        <v>18</v>
      </c>
      <c r="T9" s="17">
        <v>19</v>
      </c>
      <c r="U9" s="17">
        <v>20</v>
      </c>
      <c r="V9" s="17">
        <v>21</v>
      </c>
      <c r="W9" s="17">
        <v>22</v>
      </c>
      <c r="X9" s="17">
        <v>23</v>
      </c>
      <c r="Y9" s="17">
        <v>24</v>
      </c>
      <c r="Z9" s="17">
        <v>25</v>
      </c>
      <c r="AA9" s="17">
        <v>26</v>
      </c>
      <c r="AB9" s="17">
        <v>27</v>
      </c>
      <c r="AC9" s="17">
        <v>28</v>
      </c>
      <c r="AD9" s="17">
        <v>29</v>
      </c>
      <c r="AE9" s="17">
        <v>30</v>
      </c>
      <c r="AF9" s="17">
        <v>31</v>
      </c>
      <c r="AG9" s="17">
        <v>32</v>
      </c>
      <c r="AH9" s="17">
        <v>33</v>
      </c>
      <c r="AI9" s="17">
        <v>34</v>
      </c>
      <c r="AJ9" s="17">
        <v>35</v>
      </c>
      <c r="AK9" s="17">
        <v>36</v>
      </c>
      <c r="AL9" s="17">
        <v>37</v>
      </c>
      <c r="AM9" s="17">
        <v>38</v>
      </c>
      <c r="AN9" s="17">
        <v>39</v>
      </c>
      <c r="AO9" s="17">
        <v>40</v>
      </c>
      <c r="AP9" s="17">
        <v>41</v>
      </c>
      <c r="AQ9" s="17">
        <v>42</v>
      </c>
      <c r="AR9" s="17">
        <v>43</v>
      </c>
      <c r="AS9" s="17">
        <v>44</v>
      </c>
      <c r="AT9" s="17">
        <v>45</v>
      </c>
      <c r="AU9" s="17">
        <v>46</v>
      </c>
      <c r="AV9" s="17">
        <v>47</v>
      </c>
      <c r="AW9" s="17">
        <v>48</v>
      </c>
      <c r="AX9" s="17">
        <v>49</v>
      </c>
      <c r="AY9" s="17">
        <v>50</v>
      </c>
      <c r="AZ9" s="17">
        <v>51</v>
      </c>
      <c r="BA9" s="17">
        <v>52</v>
      </c>
      <c r="BB9" s="17">
        <v>53</v>
      </c>
      <c r="BC9" s="17">
        <v>54</v>
      </c>
      <c r="BD9" s="17">
        <v>55</v>
      </c>
      <c r="BE9" s="17">
        <v>56</v>
      </c>
      <c r="BF9" s="17">
        <v>57</v>
      </c>
      <c r="BG9" s="17">
        <v>58</v>
      </c>
      <c r="BH9" s="18">
        <v>59</v>
      </c>
      <c r="BI9" s="18">
        <v>60</v>
      </c>
      <c r="BJ9" s="18">
        <v>61</v>
      </c>
      <c r="BK9" s="18">
        <v>62</v>
      </c>
      <c r="BL9" s="17">
        <v>63</v>
      </c>
      <c r="BM9" s="17">
        <v>64</v>
      </c>
      <c r="BN9" s="17">
        <v>65</v>
      </c>
      <c r="BO9" s="17">
        <v>66</v>
      </c>
      <c r="BP9" s="17">
        <v>67</v>
      </c>
      <c r="BQ9" s="17">
        <v>68</v>
      </c>
      <c r="BR9" s="17">
        <v>69</v>
      </c>
      <c r="BS9" s="17">
        <v>70</v>
      </c>
      <c r="BT9" s="17">
        <v>71</v>
      </c>
      <c r="BU9" s="17">
        <v>72</v>
      </c>
      <c r="BV9" s="17">
        <v>73</v>
      </c>
      <c r="BW9" s="17">
        <v>74</v>
      </c>
      <c r="BX9" s="17">
        <v>75</v>
      </c>
      <c r="BY9" s="17">
        <v>76</v>
      </c>
      <c r="BZ9" s="17">
        <v>77</v>
      </c>
      <c r="CA9" s="17">
        <v>78</v>
      </c>
    </row>
    <row r="10" spans="1:81" ht="15.75" customHeight="1">
      <c r="A10" s="19" t="s">
        <v>23</v>
      </c>
      <c r="B10" s="19" t="s">
        <v>7</v>
      </c>
      <c r="C10" s="20" t="s">
        <v>9</v>
      </c>
      <c r="D10" s="21" t="s">
        <v>24</v>
      </c>
      <c r="E10" s="22" t="s">
        <v>25</v>
      </c>
      <c r="F10" s="23" t="s">
        <v>17</v>
      </c>
      <c r="G10" s="24" t="s">
        <v>26</v>
      </c>
      <c r="H10" s="23" t="s">
        <v>27</v>
      </c>
      <c r="I10" s="23" t="s">
        <v>28</v>
      </c>
      <c r="J10" s="23" t="s">
        <v>29</v>
      </c>
      <c r="K10" s="25" t="s">
        <v>30</v>
      </c>
      <c r="L10" s="26" t="s">
        <v>31</v>
      </c>
      <c r="M10" s="26"/>
      <c r="N10" s="26"/>
      <c r="O10" s="26"/>
      <c r="P10" s="26"/>
      <c r="Q10" s="27"/>
      <c r="R10" s="28" t="s">
        <v>32</v>
      </c>
      <c r="S10" s="28"/>
      <c r="T10" s="28"/>
      <c r="U10" s="28"/>
      <c r="V10" s="28"/>
      <c r="W10" s="27"/>
      <c r="X10" s="29" t="s">
        <v>33</v>
      </c>
      <c r="Y10" s="28"/>
      <c r="Z10" s="28"/>
      <c r="AA10" s="28"/>
      <c r="AB10" s="28"/>
      <c r="AC10" s="27"/>
      <c r="AD10" s="28" t="s">
        <v>34</v>
      </c>
      <c r="AE10" s="28"/>
      <c r="AF10" s="28"/>
      <c r="AG10" s="28"/>
      <c r="AH10" s="28"/>
      <c r="AI10" s="27"/>
      <c r="AJ10" s="28" t="s">
        <v>35</v>
      </c>
      <c r="AK10" s="28"/>
      <c r="AL10" s="28"/>
      <c r="AM10" s="27"/>
      <c r="AN10" s="28" t="s">
        <v>36</v>
      </c>
      <c r="AO10" s="28"/>
      <c r="AP10" s="28"/>
      <c r="AQ10" s="27"/>
      <c r="AR10" s="28" t="s">
        <v>37</v>
      </c>
      <c r="AS10" s="28"/>
      <c r="AT10" s="28"/>
      <c r="AU10" s="30"/>
      <c r="AV10" s="31" t="s">
        <v>38</v>
      </c>
      <c r="AW10" s="28"/>
      <c r="AX10" s="27"/>
      <c r="AY10" s="31" t="s">
        <v>39</v>
      </c>
      <c r="AZ10" s="31"/>
      <c r="BA10" s="32"/>
      <c r="BB10" s="31" t="s">
        <v>40</v>
      </c>
      <c r="BC10" s="31"/>
      <c r="BD10" s="32"/>
      <c r="BE10" s="33" t="s">
        <v>41</v>
      </c>
      <c r="BF10" s="31" t="s">
        <v>42</v>
      </c>
      <c r="BG10" s="34"/>
      <c r="BH10" s="35" t="s">
        <v>11</v>
      </c>
      <c r="BI10" s="36" t="s">
        <v>43</v>
      </c>
      <c r="BJ10" s="35" t="s">
        <v>44</v>
      </c>
      <c r="BK10" s="37" t="s">
        <v>12</v>
      </c>
      <c r="BL10" s="29" t="s">
        <v>31</v>
      </c>
      <c r="BM10" s="28"/>
      <c r="BN10" s="28"/>
      <c r="BO10" s="28"/>
      <c r="BP10" s="28"/>
      <c r="BQ10" s="38"/>
      <c r="BR10" s="29" t="s">
        <v>45</v>
      </c>
      <c r="BS10" s="28"/>
      <c r="BT10" s="28"/>
      <c r="BU10" s="28"/>
      <c r="BV10" s="28"/>
      <c r="BW10" s="38"/>
      <c r="BX10" s="29" t="s">
        <v>46</v>
      </c>
      <c r="BY10" s="28"/>
      <c r="BZ10" s="28"/>
      <c r="CA10" s="28"/>
    </row>
    <row r="11" spans="1:81">
      <c r="A11" s="1">
        <v>21405</v>
      </c>
      <c r="B11" s="39">
        <v>14</v>
      </c>
      <c r="C11" s="40">
        <v>11.929577464788734</v>
      </c>
      <c r="D11" s="41">
        <v>34895</v>
      </c>
      <c r="E11" s="42">
        <v>0.74399999999999999</v>
      </c>
      <c r="F11" s="42">
        <v>0.24467</v>
      </c>
      <c r="G11" s="42">
        <v>3.2099999999999997E-2</v>
      </c>
      <c r="H11" s="42">
        <v>0.29399999999999998</v>
      </c>
      <c r="I11" s="42">
        <v>0.12</v>
      </c>
      <c r="J11" s="42">
        <v>1.09E-2</v>
      </c>
      <c r="K11" s="33">
        <v>100</v>
      </c>
      <c r="L11" s="39">
        <v>0.33897178911564851</v>
      </c>
      <c r="M11" s="39">
        <v>4.1807142857127792E-4</v>
      </c>
      <c r="N11" s="39">
        <v>2.1371428571428737E-4</v>
      </c>
      <c r="O11" s="39">
        <v>8.9003244897959653E-3</v>
      </c>
      <c r="P11" s="39">
        <v>-2.5962585034013662E-5</v>
      </c>
      <c r="Q11" s="33">
        <v>-1.4730000000000052E-4</v>
      </c>
      <c r="R11" s="39">
        <v>4.6779843523809648</v>
      </c>
      <c r="S11" s="39">
        <v>-7.37121142857146E-2</v>
      </c>
      <c r="T11" s="39">
        <v>2.8931428571428772E-4</v>
      </c>
      <c r="U11" s="39">
        <v>6.4477142857142572E-3</v>
      </c>
      <c r="V11" s="39">
        <v>-2.7952380952380968E-5</v>
      </c>
      <c r="W11" s="33">
        <v>-6.2571428571428123E-5</v>
      </c>
      <c r="X11" s="39">
        <v>0.92750261088437846</v>
      </c>
      <c r="Y11" s="39">
        <v>-4.6154285714325525E-4</v>
      </c>
      <c r="Z11" s="39">
        <v>3.9600000000001891E-5</v>
      </c>
      <c r="AA11" s="39">
        <v>-6.8688054421770662E-3</v>
      </c>
      <c r="AB11" s="39">
        <v>2.047959183673473E-4</v>
      </c>
      <c r="AC11" s="33">
        <v>-1.9954285714285575E-4</v>
      </c>
      <c r="AD11" s="39">
        <v>25.546232884620121</v>
      </c>
      <c r="AE11" s="39">
        <v>-0.65921738762013815</v>
      </c>
      <c r="AF11" s="39">
        <v>5.1163880791784697E-3</v>
      </c>
      <c r="AG11" s="39">
        <v>-2.7637602981531319E-2</v>
      </c>
      <c r="AH11" s="39">
        <v>3.3263218349186414E-4</v>
      </c>
      <c r="AI11" s="33">
        <v>-5.848495167748019E-4</v>
      </c>
      <c r="AJ11" s="39">
        <v>-6.9999999999999994E-5</v>
      </c>
      <c r="AK11" s="39">
        <v>1.16951</v>
      </c>
      <c r="AL11" s="39">
        <v>-0.21321000000000001</v>
      </c>
      <c r="AM11" s="33">
        <v>4.3770000000000003E-2</v>
      </c>
      <c r="AN11" s="39">
        <v>1.2E-4</v>
      </c>
      <c r="AO11" s="39">
        <v>1.2017800000000001</v>
      </c>
      <c r="AP11" s="39">
        <v>-0.26145000000000002</v>
      </c>
      <c r="AQ11" s="33">
        <v>5.9549999999999999E-2</v>
      </c>
      <c r="AR11" s="39">
        <v>6.9999999999999994E-5</v>
      </c>
      <c r="AS11" s="39">
        <v>1.23139</v>
      </c>
      <c r="AT11" s="39">
        <v>-0.30703000000000003</v>
      </c>
      <c r="AU11" s="33">
        <v>7.5569999999999998E-2</v>
      </c>
      <c r="AV11" s="39">
        <v>0.85187000000000002</v>
      </c>
      <c r="AW11" s="39">
        <v>0.17007</v>
      </c>
      <c r="AX11" s="33">
        <v>-2.1940000000000001E-2</v>
      </c>
      <c r="AY11" s="39">
        <v>0.82723000000000002</v>
      </c>
      <c r="AZ11" s="39">
        <v>0.20272999999999999</v>
      </c>
      <c r="BA11" s="33">
        <v>-2.9960000000000001E-2</v>
      </c>
      <c r="BB11" s="39">
        <v>0.80530000000000002</v>
      </c>
      <c r="BC11" s="39">
        <v>0.23269999999999999</v>
      </c>
      <c r="BD11" s="39">
        <v>-3.7999999999999999E-2</v>
      </c>
      <c r="BE11" s="33">
        <v>1</v>
      </c>
      <c r="BF11" s="39">
        <v>1</v>
      </c>
      <c r="BG11" s="33">
        <v>1</v>
      </c>
      <c r="BH11" s="43">
        <v>8.1999999999999993</v>
      </c>
      <c r="BI11" s="43">
        <v>3.48</v>
      </c>
      <c r="BJ11" s="43">
        <v>33754</v>
      </c>
      <c r="BK11" s="51">
        <v>0.28764382763758872</v>
      </c>
      <c r="BL11" s="39">
        <v>0.4833384866331345</v>
      </c>
      <c r="BM11" s="39">
        <v>-1.8833377765659987E-3</v>
      </c>
      <c r="BN11" s="39">
        <v>5.4505813947896185E-6</v>
      </c>
      <c r="BO11" s="39">
        <v>1.7814999884937295E-2</v>
      </c>
      <c r="BP11" s="39">
        <v>-1.6964762912520161E-6</v>
      </c>
      <c r="BQ11" s="33">
        <v>-6.4367832696857446E-5</v>
      </c>
      <c r="BR11" s="39">
        <v>1.3857442620188305</v>
      </c>
      <c r="BS11" s="39">
        <v>5.6717486467470785E-3</v>
      </c>
      <c r="BT11" s="39">
        <v>5.2469745563982854E-5</v>
      </c>
      <c r="BU11" s="39">
        <v>-2.8076219687492267E-2</v>
      </c>
      <c r="BV11" s="39">
        <v>2.6022594687188553E-4</v>
      </c>
      <c r="BW11" s="33">
        <v>-8.9703711818389176E-5</v>
      </c>
      <c r="BX11" s="39">
        <v>1</v>
      </c>
      <c r="BY11" s="39">
        <v>0</v>
      </c>
      <c r="BZ11" s="39">
        <v>0</v>
      </c>
      <c r="CA11" s="39">
        <v>1</v>
      </c>
      <c r="CC11" s="44"/>
    </row>
    <row r="12" spans="1:81">
      <c r="A12" s="1">
        <v>21501</v>
      </c>
      <c r="B12" s="39">
        <v>15</v>
      </c>
      <c r="C12" s="40">
        <v>12.781690140845072</v>
      </c>
      <c r="D12" s="41">
        <v>34895</v>
      </c>
      <c r="E12" s="42">
        <v>0.74399999999999999</v>
      </c>
      <c r="F12" s="42">
        <v>0.23218</v>
      </c>
      <c r="G12" s="42">
        <v>3.2099999999999997E-2</v>
      </c>
      <c r="H12" s="42">
        <v>0.251</v>
      </c>
      <c r="I12" s="42">
        <v>0.12</v>
      </c>
      <c r="J12" s="42">
        <v>1.09E-2</v>
      </c>
      <c r="K12" s="33">
        <v>100</v>
      </c>
      <c r="L12" s="39">
        <v>0.33897178911564851</v>
      </c>
      <c r="M12" s="39">
        <v>4.1807142857127792E-4</v>
      </c>
      <c r="N12" s="39">
        <v>2.1371428571428737E-4</v>
      </c>
      <c r="O12" s="39">
        <v>8.9003244897959653E-3</v>
      </c>
      <c r="P12" s="39">
        <v>-2.5962585034013662E-5</v>
      </c>
      <c r="Q12" s="33">
        <v>-1.4730000000000052E-4</v>
      </c>
      <c r="R12" s="39">
        <v>4.6779843523809648</v>
      </c>
      <c r="S12" s="39">
        <v>-7.37121142857146E-2</v>
      </c>
      <c r="T12" s="39">
        <v>2.8931428571428772E-4</v>
      </c>
      <c r="U12" s="39">
        <v>6.4477142857142572E-3</v>
      </c>
      <c r="V12" s="39">
        <v>-2.7952380952380968E-5</v>
      </c>
      <c r="W12" s="33">
        <v>-6.2571428571428123E-5</v>
      </c>
      <c r="X12" s="39">
        <v>0.92750261088437846</v>
      </c>
      <c r="Y12" s="39">
        <v>-4.6154285714325525E-4</v>
      </c>
      <c r="Z12" s="39">
        <v>3.9600000000001891E-5</v>
      </c>
      <c r="AA12" s="39">
        <v>-6.8688054421770662E-3</v>
      </c>
      <c r="AB12" s="39">
        <v>2.047959183673473E-4</v>
      </c>
      <c r="AC12" s="33">
        <v>-1.9954285714285575E-4</v>
      </c>
      <c r="AD12" s="39">
        <v>25.546232884620121</v>
      </c>
      <c r="AE12" s="39">
        <v>-0.65921738762013815</v>
      </c>
      <c r="AF12" s="39">
        <v>5.1163880791784697E-3</v>
      </c>
      <c r="AG12" s="39">
        <v>-2.7637602981531319E-2</v>
      </c>
      <c r="AH12" s="39">
        <v>3.3263218349186414E-4</v>
      </c>
      <c r="AI12" s="33">
        <v>-5.848495167748019E-4</v>
      </c>
      <c r="AJ12" s="39">
        <v>-6.9999999999999994E-5</v>
      </c>
      <c r="AK12" s="39">
        <v>1.16951</v>
      </c>
      <c r="AL12" s="39">
        <v>-0.21321000000000001</v>
      </c>
      <c r="AM12" s="33">
        <v>4.3770000000000003E-2</v>
      </c>
      <c r="AN12" s="39">
        <v>1.2E-4</v>
      </c>
      <c r="AO12" s="39">
        <v>1.2017800000000001</v>
      </c>
      <c r="AP12" s="39">
        <v>-0.26145000000000002</v>
      </c>
      <c r="AQ12" s="33">
        <v>5.9549999999999999E-2</v>
      </c>
      <c r="AR12" s="39">
        <v>6.9999999999999994E-5</v>
      </c>
      <c r="AS12" s="39">
        <v>1.23139</v>
      </c>
      <c r="AT12" s="39">
        <v>-0.30703000000000003</v>
      </c>
      <c r="AU12" s="33">
        <v>7.5569999999999998E-2</v>
      </c>
      <c r="AV12" s="39">
        <v>0.85187000000000002</v>
      </c>
      <c r="AW12" s="39">
        <v>0.17007</v>
      </c>
      <c r="AX12" s="33">
        <v>-2.1940000000000001E-2</v>
      </c>
      <c r="AY12" s="39">
        <v>0.82723000000000002</v>
      </c>
      <c r="AZ12" s="39">
        <v>0.20272999999999999</v>
      </c>
      <c r="BA12" s="33">
        <v>-2.9960000000000001E-2</v>
      </c>
      <c r="BB12" s="39">
        <v>0.80530000000000002</v>
      </c>
      <c r="BC12" s="39">
        <v>0.23269999999999999</v>
      </c>
      <c r="BD12" s="39">
        <v>-3.7999999999999999E-2</v>
      </c>
      <c r="BE12" s="33">
        <v>1</v>
      </c>
      <c r="BF12" s="39">
        <v>1</v>
      </c>
      <c r="BG12" s="33">
        <v>1</v>
      </c>
      <c r="BH12" s="43">
        <v>8.6999999999999993</v>
      </c>
      <c r="BI12" s="43">
        <v>3.68</v>
      </c>
      <c r="BJ12" s="43">
        <v>33754</v>
      </c>
      <c r="BK12" s="51">
        <v>0.27156761278540476</v>
      </c>
      <c r="BL12" s="39">
        <v>0.4833384866331345</v>
      </c>
      <c r="BM12" s="39">
        <v>-1.8833377765659987E-3</v>
      </c>
      <c r="BN12" s="39">
        <v>5.4505813947896185E-6</v>
      </c>
      <c r="BO12" s="39">
        <v>1.7814999884937295E-2</v>
      </c>
      <c r="BP12" s="39">
        <v>-1.6964762912520161E-6</v>
      </c>
      <c r="BQ12" s="33">
        <v>-6.4367832696857446E-5</v>
      </c>
      <c r="BR12" s="39">
        <v>1.3857442620188305</v>
      </c>
      <c r="BS12" s="39">
        <v>5.6717486467470785E-3</v>
      </c>
      <c r="BT12" s="39">
        <v>5.2469745563982854E-5</v>
      </c>
      <c r="BU12" s="39">
        <v>-2.8076219687492267E-2</v>
      </c>
      <c r="BV12" s="39">
        <v>2.6022594687188553E-4</v>
      </c>
      <c r="BW12" s="33">
        <v>-8.9703711818389176E-5</v>
      </c>
      <c r="BX12" s="39">
        <v>1</v>
      </c>
      <c r="BY12" s="39">
        <v>0</v>
      </c>
      <c r="BZ12" s="39">
        <v>0</v>
      </c>
      <c r="CA12" s="39">
        <v>1</v>
      </c>
      <c r="CC12" s="44"/>
    </row>
    <row r="13" spans="1:81">
      <c r="A13" s="1">
        <v>21604</v>
      </c>
      <c r="B13" s="39">
        <v>16</v>
      </c>
      <c r="C13" s="40">
        <v>12.48</v>
      </c>
      <c r="D13" s="41">
        <v>58805</v>
      </c>
      <c r="E13" s="42">
        <v>0.72399999999999998</v>
      </c>
      <c r="F13" s="42">
        <v>0.23813999999999999</v>
      </c>
      <c r="G13" s="42">
        <v>0.03</v>
      </c>
      <c r="H13" s="42">
        <v>0.27100000000000002</v>
      </c>
      <c r="I13" s="42">
        <v>0.10199999999999999</v>
      </c>
      <c r="J13" s="42">
        <v>0.01</v>
      </c>
      <c r="K13" s="33">
        <v>100</v>
      </c>
      <c r="L13" s="39">
        <v>3.4461565310120856</v>
      </c>
      <c r="M13" s="39">
        <v>-9.1330269718902374E-2</v>
      </c>
      <c r="N13" s="39">
        <v>9.2399829570244212E-4</v>
      </c>
      <c r="O13" s="39">
        <v>7.0175794276700178E-3</v>
      </c>
      <c r="P13" s="39">
        <v>-2.0119196428571198E-5</v>
      </c>
      <c r="Q13" s="33">
        <v>-1.5081714173050841E-4</v>
      </c>
      <c r="R13" s="39">
        <v>0.2599408937536426</v>
      </c>
      <c r="S13" s="39">
        <v>7.4842822316778038E-2</v>
      </c>
      <c r="T13" s="39">
        <v>-9.1894734402268299E-4</v>
      </c>
      <c r="U13" s="39">
        <v>-9.6755856100718771E-3</v>
      </c>
      <c r="V13" s="39">
        <v>-3.0969419642857838E-5</v>
      </c>
      <c r="W13" s="33">
        <v>1.6487420009012933E-4</v>
      </c>
      <c r="X13" s="39">
        <v>-3.022348096120381</v>
      </c>
      <c r="Y13" s="39">
        <v>0.13455103785367409</v>
      </c>
      <c r="Z13" s="39">
        <v>-1.0034324143760995E-3</v>
      </c>
      <c r="AA13" s="39">
        <v>-1.5978434373591734E-2</v>
      </c>
      <c r="AB13" s="39">
        <v>2.3792098214285714E-4</v>
      </c>
      <c r="AC13" s="33">
        <v>-1.7556149729607915E-4</v>
      </c>
      <c r="AD13" s="39">
        <v>66.897375698272214</v>
      </c>
      <c r="AE13" s="39">
        <v>-2.013163412131187</v>
      </c>
      <c r="AF13" s="39">
        <v>1.5880129625811059E-2</v>
      </c>
      <c r="AG13" s="39">
        <v>0.1009210752253446</v>
      </c>
      <c r="AH13" s="39">
        <v>3.5450963471849031E-4</v>
      </c>
      <c r="AI13" s="33">
        <v>-2.3705075531014375E-3</v>
      </c>
      <c r="AJ13" s="39">
        <v>-7.2624999999881812E-3</v>
      </c>
      <c r="AK13" s="39">
        <v>1.1133649999999544</v>
      </c>
      <c r="AL13" s="39">
        <v>-0.13234499999994129</v>
      </c>
      <c r="AM13" s="33">
        <v>2.6242499999975043E-2</v>
      </c>
      <c r="AN13" s="39">
        <v>-1.4400000000063251E-3</v>
      </c>
      <c r="AO13" s="39">
        <v>1.1191325000000234</v>
      </c>
      <c r="AP13" s="39">
        <v>-0.13966000000002712</v>
      </c>
      <c r="AQ13" s="33">
        <v>2.1967500000009996E-2</v>
      </c>
      <c r="AR13" s="39">
        <v>6.3475000000017268E-3</v>
      </c>
      <c r="AS13" s="39">
        <v>1.116227499999995</v>
      </c>
      <c r="AT13" s="39">
        <v>-0.13861999999999522</v>
      </c>
      <c r="AU13" s="33">
        <v>1.6044999999998467E-2</v>
      </c>
      <c r="AV13" s="39">
        <v>0.95949749999999889</v>
      </c>
      <c r="AW13" s="39">
        <v>9.3422500000002351E-2</v>
      </c>
      <c r="AX13" s="33">
        <v>-6.8750000000014182E-3</v>
      </c>
      <c r="AY13" s="39">
        <v>0.94031999999999849</v>
      </c>
      <c r="AZ13" s="39">
        <v>0.12406500000000346</v>
      </c>
      <c r="BA13" s="33">
        <v>-1.0927500000001986E-2</v>
      </c>
      <c r="BB13" s="39">
        <v>0.92296499999999926</v>
      </c>
      <c r="BC13" s="39">
        <v>0.15259000000000186</v>
      </c>
      <c r="BD13" s="39">
        <v>-1.5617500000001306E-2</v>
      </c>
      <c r="BE13" s="33">
        <v>2</v>
      </c>
      <c r="BF13" s="39">
        <v>0.73899999999999999</v>
      </c>
      <c r="BG13" s="33">
        <v>0.68600000000000005</v>
      </c>
      <c r="BH13" s="43">
        <v>9</v>
      </c>
      <c r="BI13" s="43">
        <v>3.57</v>
      </c>
      <c r="BJ13" s="43">
        <v>31641</v>
      </c>
      <c r="BK13" s="51">
        <v>0.27990352176214484</v>
      </c>
      <c r="BL13" s="39">
        <v>0.42850557322424038</v>
      </c>
      <c r="BM13" s="39">
        <v>-9.781310650890029E-4</v>
      </c>
      <c r="BN13" s="39">
        <v>5.0141842632088548E-15</v>
      </c>
      <c r="BO13" s="39">
        <v>1.5309057068694105E-2</v>
      </c>
      <c r="BP13" s="39">
        <v>3.901777735449216E-5</v>
      </c>
      <c r="BQ13" s="33">
        <v>-5.038065382895917E-5</v>
      </c>
      <c r="BR13" s="39">
        <v>1.3659605661464331</v>
      </c>
      <c r="BS13" s="39">
        <v>3.4687682277816574E-3</v>
      </c>
      <c r="BT13" s="39">
        <v>6.2208699697665948E-5</v>
      </c>
      <c r="BU13" s="39">
        <v>-2.3459778569559359E-2</v>
      </c>
      <c r="BV13" s="39">
        <v>2.250215469264863E-4</v>
      </c>
      <c r="BW13" s="33">
        <v>-9.3635250760191671E-5</v>
      </c>
      <c r="BX13" s="39">
        <v>1.7450000000000001</v>
      </c>
      <c r="BY13" s="39">
        <v>-0.745</v>
      </c>
      <c r="BZ13" s="39">
        <v>1</v>
      </c>
      <c r="CA13" s="39">
        <v>1.1889999999999998</v>
      </c>
      <c r="CC13" s="44"/>
    </row>
    <row r="14" spans="1:81">
      <c r="A14" s="1">
        <v>21704</v>
      </c>
      <c r="B14" s="39">
        <v>17</v>
      </c>
      <c r="C14" s="40">
        <v>13.260000000000002</v>
      </c>
      <c r="D14" s="41">
        <v>58805</v>
      </c>
      <c r="E14" s="42">
        <v>0.72399999999999998</v>
      </c>
      <c r="F14" s="42">
        <v>0.2225</v>
      </c>
      <c r="G14" s="42">
        <v>0.03</v>
      </c>
      <c r="H14" s="42">
        <v>0.27100000000000002</v>
      </c>
      <c r="I14" s="42">
        <v>0.10199999999999999</v>
      </c>
      <c r="J14" s="42">
        <v>0.01</v>
      </c>
      <c r="K14" s="33">
        <v>100</v>
      </c>
      <c r="L14" s="39">
        <v>3.4461565310120856</v>
      </c>
      <c r="M14" s="39">
        <v>-9.1330269718902374E-2</v>
      </c>
      <c r="N14" s="39">
        <v>9.2399829570244212E-4</v>
      </c>
      <c r="O14" s="39">
        <v>7.0175794276700178E-3</v>
      </c>
      <c r="P14" s="39">
        <v>-2.0119196428571198E-5</v>
      </c>
      <c r="Q14" s="33">
        <v>-1.5081714173050841E-4</v>
      </c>
      <c r="R14" s="39">
        <v>0.2599408937536426</v>
      </c>
      <c r="S14" s="39">
        <v>7.4842822316778038E-2</v>
      </c>
      <c r="T14" s="39">
        <v>-9.1894734402268299E-4</v>
      </c>
      <c r="U14" s="39">
        <v>-9.6755856100718771E-3</v>
      </c>
      <c r="V14" s="39">
        <v>-3.0969419642857838E-5</v>
      </c>
      <c r="W14" s="33">
        <v>1.6487420009012933E-4</v>
      </c>
      <c r="X14" s="39">
        <v>-3.022348096120381</v>
      </c>
      <c r="Y14" s="39">
        <v>0.13455103785367409</v>
      </c>
      <c r="Z14" s="39">
        <v>-1.0034324143760995E-3</v>
      </c>
      <c r="AA14" s="39">
        <v>-1.5978434373591734E-2</v>
      </c>
      <c r="AB14" s="39">
        <v>2.3792098214285714E-4</v>
      </c>
      <c r="AC14" s="33">
        <v>-1.7556149729607915E-4</v>
      </c>
      <c r="AD14" s="39">
        <v>66.897375698272214</v>
      </c>
      <c r="AE14" s="39">
        <v>-2.013163412131187</v>
      </c>
      <c r="AF14" s="39">
        <v>1.5880129625811059E-2</v>
      </c>
      <c r="AG14" s="39">
        <v>0.1009210752253446</v>
      </c>
      <c r="AH14" s="39">
        <v>3.5450963471849031E-4</v>
      </c>
      <c r="AI14" s="33">
        <v>-2.3705075531014375E-3</v>
      </c>
      <c r="AJ14" s="39">
        <v>-7.2624999999881812E-3</v>
      </c>
      <c r="AK14" s="39">
        <v>1.1133649999999544</v>
      </c>
      <c r="AL14" s="39">
        <v>-0.13234499999994129</v>
      </c>
      <c r="AM14" s="33">
        <v>2.6242499999975043E-2</v>
      </c>
      <c r="AN14" s="39">
        <v>-1.4400000000063251E-3</v>
      </c>
      <c r="AO14" s="39">
        <v>1.1191325000000234</v>
      </c>
      <c r="AP14" s="39">
        <v>-0.13966000000002712</v>
      </c>
      <c r="AQ14" s="33">
        <v>2.1967500000009996E-2</v>
      </c>
      <c r="AR14" s="39">
        <v>6.3475000000017268E-3</v>
      </c>
      <c r="AS14" s="39">
        <v>1.116227499999995</v>
      </c>
      <c r="AT14" s="39">
        <v>-0.13861999999999522</v>
      </c>
      <c r="AU14" s="33">
        <v>1.6044999999998467E-2</v>
      </c>
      <c r="AV14" s="39">
        <v>0.95949749999999889</v>
      </c>
      <c r="AW14" s="39">
        <v>9.3422500000002351E-2</v>
      </c>
      <c r="AX14" s="33">
        <v>-6.8750000000014182E-3</v>
      </c>
      <c r="AY14" s="39">
        <v>0.94031999999999849</v>
      </c>
      <c r="AZ14" s="39">
        <v>0.12406500000000346</v>
      </c>
      <c r="BA14" s="33">
        <v>-1.0927500000001986E-2</v>
      </c>
      <c r="BB14" s="39">
        <v>0.92296499999999926</v>
      </c>
      <c r="BC14" s="39">
        <v>0.15259000000000186</v>
      </c>
      <c r="BD14" s="39">
        <v>-1.5617500000001306E-2</v>
      </c>
      <c r="BE14" s="33">
        <v>2</v>
      </c>
      <c r="BF14" s="39">
        <v>0.73899999999999999</v>
      </c>
      <c r="BG14" s="33">
        <v>0.68600000000000005</v>
      </c>
      <c r="BH14" s="43">
        <v>9.4</v>
      </c>
      <c r="BI14" s="43">
        <v>3.74</v>
      </c>
      <c r="BJ14" s="43">
        <v>31641</v>
      </c>
      <c r="BK14" s="51">
        <v>0.26764677615524501</v>
      </c>
      <c r="BL14" s="39">
        <v>0.42850557322424038</v>
      </c>
      <c r="BM14" s="39">
        <v>-9.781310650890029E-4</v>
      </c>
      <c r="BN14" s="39">
        <v>5.0141842632088548E-15</v>
      </c>
      <c r="BO14" s="39">
        <v>1.5309057068694105E-2</v>
      </c>
      <c r="BP14" s="39">
        <v>3.901777735449216E-5</v>
      </c>
      <c r="BQ14" s="33">
        <v>-5.038065382895917E-5</v>
      </c>
      <c r="BR14" s="39">
        <v>1.3659605661464331</v>
      </c>
      <c r="BS14" s="39">
        <v>3.4687682277816574E-3</v>
      </c>
      <c r="BT14" s="39">
        <v>6.2208699697665948E-5</v>
      </c>
      <c r="BU14" s="39">
        <v>-2.3459778569559359E-2</v>
      </c>
      <c r="BV14" s="39">
        <v>2.250215469264863E-4</v>
      </c>
      <c r="BW14" s="33">
        <v>-9.3635250760191671E-5</v>
      </c>
      <c r="BX14" s="39">
        <v>1.7450000000000001</v>
      </c>
      <c r="BY14" s="39">
        <v>-0.745</v>
      </c>
      <c r="BZ14" s="39">
        <v>1</v>
      </c>
      <c r="CA14" s="39">
        <v>1.1889999999999998</v>
      </c>
      <c r="CC14" s="44"/>
    </row>
    <row r="15" spans="1:81">
      <c r="A15">
        <v>21802</v>
      </c>
      <c r="B15" s="39">
        <v>18</v>
      </c>
      <c r="C15" s="40">
        <v>14.040000000000001</v>
      </c>
      <c r="D15" s="41">
        <v>58805</v>
      </c>
      <c r="E15" s="42">
        <v>0.72399999999999998</v>
      </c>
      <c r="F15" s="42">
        <v>0.20860000000000001</v>
      </c>
      <c r="G15" s="42">
        <v>0.03</v>
      </c>
      <c r="H15" s="42">
        <v>0.27100000000000002</v>
      </c>
      <c r="I15" s="42">
        <v>0.10199999999999999</v>
      </c>
      <c r="J15" s="42">
        <v>0.01</v>
      </c>
      <c r="K15" s="33">
        <v>100</v>
      </c>
      <c r="L15" s="39">
        <v>3.4461565310120856</v>
      </c>
      <c r="M15" s="39">
        <v>-9.1330269718902374E-2</v>
      </c>
      <c r="N15" s="39">
        <v>9.2399829570244212E-4</v>
      </c>
      <c r="O15" s="39">
        <v>7.0175794276700178E-3</v>
      </c>
      <c r="P15" s="39">
        <v>-2.0119196428571198E-5</v>
      </c>
      <c r="Q15" s="33">
        <v>-1.5081714173050841E-4</v>
      </c>
      <c r="R15" s="39">
        <v>0.2599408937536426</v>
      </c>
      <c r="S15" s="39">
        <v>7.4842822316778038E-2</v>
      </c>
      <c r="T15" s="39">
        <v>-9.1894734402268299E-4</v>
      </c>
      <c r="U15" s="39">
        <v>-9.6755856100718771E-3</v>
      </c>
      <c r="V15" s="39">
        <v>-3.0969419642857838E-5</v>
      </c>
      <c r="W15" s="33">
        <v>1.6487420009012933E-4</v>
      </c>
      <c r="X15" s="39">
        <v>-3.022348096120381</v>
      </c>
      <c r="Y15" s="39">
        <v>0.13455103785367409</v>
      </c>
      <c r="Z15" s="39">
        <v>-1.0034324143760995E-3</v>
      </c>
      <c r="AA15" s="39">
        <v>-1.5978434373591734E-2</v>
      </c>
      <c r="AB15" s="39">
        <v>2.3792098214285714E-4</v>
      </c>
      <c r="AC15" s="33">
        <v>-1.7556149729607915E-4</v>
      </c>
      <c r="AD15" s="39">
        <v>66.897375698272214</v>
      </c>
      <c r="AE15" s="39">
        <v>-2.013163412131187</v>
      </c>
      <c r="AF15" s="39">
        <v>1.5880129625811059E-2</v>
      </c>
      <c r="AG15" s="39">
        <v>0.1009210752253446</v>
      </c>
      <c r="AH15" s="39">
        <v>3.5450963471849031E-4</v>
      </c>
      <c r="AI15" s="33">
        <v>-2.3705075531014375E-3</v>
      </c>
      <c r="AJ15" s="39">
        <v>-7.2624999999881812E-3</v>
      </c>
      <c r="AK15" s="39">
        <v>1.1133649999999544</v>
      </c>
      <c r="AL15" s="39">
        <v>-0.13234499999994129</v>
      </c>
      <c r="AM15" s="33">
        <v>2.6242499999975043E-2</v>
      </c>
      <c r="AN15" s="39">
        <v>-1.4400000000063251E-3</v>
      </c>
      <c r="AO15" s="39">
        <v>1.1191325000000234</v>
      </c>
      <c r="AP15" s="39">
        <v>-0.13966000000002712</v>
      </c>
      <c r="AQ15" s="33">
        <v>2.1967500000009996E-2</v>
      </c>
      <c r="AR15" s="39">
        <v>6.3475000000017268E-3</v>
      </c>
      <c r="AS15" s="39">
        <v>1.116227499999995</v>
      </c>
      <c r="AT15" s="39">
        <v>-0.13861999999999522</v>
      </c>
      <c r="AU15" s="33">
        <v>1.6044999999998467E-2</v>
      </c>
      <c r="AV15" s="39">
        <v>0.95949749999999889</v>
      </c>
      <c r="AW15" s="39">
        <v>9.3422500000002351E-2</v>
      </c>
      <c r="AX15" s="33">
        <v>-6.8750000000014182E-3</v>
      </c>
      <c r="AY15" s="39">
        <v>0.94031999999999849</v>
      </c>
      <c r="AZ15" s="39">
        <v>0.12406500000000346</v>
      </c>
      <c r="BA15" s="33">
        <v>-1.0927500000001986E-2</v>
      </c>
      <c r="BB15" s="39">
        <v>0.92296499999999926</v>
      </c>
      <c r="BC15" s="39">
        <v>0.15259000000000186</v>
      </c>
      <c r="BD15" s="39">
        <v>-1.5617500000001306E-2</v>
      </c>
      <c r="BE15" s="33">
        <v>2</v>
      </c>
      <c r="BF15" s="39">
        <v>0.73899999999999999</v>
      </c>
      <c r="BG15" s="33">
        <v>0.68600000000000005</v>
      </c>
      <c r="BH15" s="43">
        <v>9.6999999999999993</v>
      </c>
      <c r="BI15" s="43">
        <v>3.86</v>
      </c>
      <c r="BJ15" s="43">
        <v>31641</v>
      </c>
      <c r="BK15" s="51">
        <v>0.25911759751126839</v>
      </c>
      <c r="BL15" s="39">
        <v>0.42850557322424038</v>
      </c>
      <c r="BM15" s="39">
        <v>-9.781310650890029E-4</v>
      </c>
      <c r="BN15" s="39">
        <v>5.0141842632088548E-15</v>
      </c>
      <c r="BO15" s="39">
        <v>1.5309057068694105E-2</v>
      </c>
      <c r="BP15" s="39">
        <v>3.901777735449216E-5</v>
      </c>
      <c r="BQ15" s="33">
        <v>-5.038065382895917E-5</v>
      </c>
      <c r="BR15" s="39">
        <v>1.3659605661464331</v>
      </c>
      <c r="BS15" s="39">
        <v>3.4687682277816574E-3</v>
      </c>
      <c r="BT15" s="39">
        <v>6.2208699697665948E-5</v>
      </c>
      <c r="BU15" s="39">
        <v>-2.3459778569559359E-2</v>
      </c>
      <c r="BV15" s="39">
        <v>2.250215469264863E-4</v>
      </c>
      <c r="BW15" s="33">
        <v>-9.3635250760191671E-5</v>
      </c>
      <c r="BX15" s="39">
        <v>1.7450000000000001</v>
      </c>
      <c r="BY15" s="39">
        <v>-0.745</v>
      </c>
      <c r="BZ15" s="39">
        <v>1</v>
      </c>
      <c r="CA15" s="39">
        <v>1.1889999999999998</v>
      </c>
      <c r="CC15" s="44"/>
    </row>
    <row r="49" spans="1:2">
      <c r="A49" s="45" t="s">
        <v>47</v>
      </c>
    </row>
    <row r="50" spans="1:2" ht="30">
      <c r="A50" s="46" t="s">
        <v>48</v>
      </c>
      <c r="B50" t="s">
        <v>49</v>
      </c>
    </row>
    <row r="51" spans="1:2">
      <c r="A51" s="45">
        <v>1</v>
      </c>
      <c r="B51" t="s">
        <v>7</v>
      </c>
    </row>
    <row r="52" spans="1:2">
      <c r="A52" s="45">
        <v>2</v>
      </c>
      <c r="B52" t="s">
        <v>50</v>
      </c>
    </row>
    <row r="53" spans="1:2">
      <c r="A53" s="45">
        <v>3</v>
      </c>
      <c r="B53" t="s">
        <v>51</v>
      </c>
    </row>
    <row r="54" spans="1:2">
      <c r="A54" s="45" t="s">
        <v>52</v>
      </c>
    </row>
    <row r="55" spans="1:2">
      <c r="A55" s="45">
        <v>4</v>
      </c>
      <c r="B55" t="s">
        <v>53</v>
      </c>
    </row>
    <row r="56" spans="1:2">
      <c r="A56" s="45"/>
      <c r="B56" t="s">
        <v>54</v>
      </c>
    </row>
    <row r="57" spans="1:2">
      <c r="A57" s="45">
        <v>5</v>
      </c>
      <c r="B57" t="s">
        <v>55</v>
      </c>
    </row>
    <row r="58" spans="1:2">
      <c r="A58" s="45">
        <v>6</v>
      </c>
      <c r="B58" t="s">
        <v>56</v>
      </c>
    </row>
    <row r="59" spans="1:2">
      <c r="A59" s="45">
        <v>7</v>
      </c>
      <c r="B59" t="s">
        <v>57</v>
      </c>
    </row>
    <row r="60" spans="1:2">
      <c r="A60" s="45"/>
      <c r="B60" t="s">
        <v>58</v>
      </c>
    </row>
    <row r="61" spans="1:2">
      <c r="A61" s="45"/>
      <c r="B61" t="s">
        <v>59</v>
      </c>
    </row>
    <row r="62" spans="1:2">
      <c r="A62" s="45">
        <v>8</v>
      </c>
      <c r="B62" t="s">
        <v>60</v>
      </c>
    </row>
    <row r="63" spans="1:2">
      <c r="A63" s="45">
        <v>9</v>
      </c>
      <c r="B63" t="s">
        <v>61</v>
      </c>
    </row>
    <row r="64" spans="1:2">
      <c r="A64" s="45">
        <v>10</v>
      </c>
      <c r="B64" t="s">
        <v>62</v>
      </c>
    </row>
    <row r="65" spans="1:2">
      <c r="A65" s="45" t="s">
        <v>63</v>
      </c>
      <c r="B65" t="s">
        <v>64</v>
      </c>
    </row>
    <row r="66" spans="1:2">
      <c r="A66" s="45" t="s">
        <v>65</v>
      </c>
      <c r="B66" t="s">
        <v>66</v>
      </c>
    </row>
    <row r="67" spans="1:2">
      <c r="A67" s="45" t="s">
        <v>67</v>
      </c>
      <c r="B67" t="s">
        <v>68</v>
      </c>
    </row>
    <row r="68" spans="1:2">
      <c r="A68" s="45" t="s">
        <v>69</v>
      </c>
      <c r="B68" t="s">
        <v>70</v>
      </c>
    </row>
    <row r="69" spans="1:2">
      <c r="A69" s="45"/>
      <c r="B69" t="s">
        <v>71</v>
      </c>
    </row>
    <row r="70" spans="1:2">
      <c r="A70" s="45" t="s">
        <v>72</v>
      </c>
      <c r="B70" t="s">
        <v>73</v>
      </c>
    </row>
    <row r="71" spans="1:2">
      <c r="A71" s="45" t="s">
        <v>74</v>
      </c>
      <c r="B71" t="s">
        <v>75</v>
      </c>
    </row>
    <row r="72" spans="1:2">
      <c r="A72" s="45" t="s">
        <v>76</v>
      </c>
      <c r="B72" t="s">
        <v>77</v>
      </c>
    </row>
    <row r="73" spans="1:2">
      <c r="A73" s="45" t="s">
        <v>78</v>
      </c>
      <c r="B73" t="s">
        <v>79</v>
      </c>
    </row>
    <row r="74" spans="1:2">
      <c r="A74" s="45" t="s">
        <v>80</v>
      </c>
      <c r="B74" t="s">
        <v>81</v>
      </c>
    </row>
    <row r="75" spans="1:2">
      <c r="A75" s="45" t="s">
        <v>82</v>
      </c>
      <c r="B75" t="s">
        <v>83</v>
      </c>
    </row>
    <row r="76" spans="1:2">
      <c r="A76" s="45">
        <v>56</v>
      </c>
      <c r="B76" t="s">
        <v>84</v>
      </c>
    </row>
    <row r="77" spans="1:2">
      <c r="A77" s="45">
        <v>57</v>
      </c>
      <c r="B77" t="s">
        <v>85</v>
      </c>
    </row>
    <row r="78" spans="1:2">
      <c r="A78" s="45">
        <v>58</v>
      </c>
      <c r="B78" t="s">
        <v>86</v>
      </c>
    </row>
    <row r="79" spans="1:2">
      <c r="A79" s="45" t="s">
        <v>87</v>
      </c>
    </row>
    <row r="80" spans="1:2">
      <c r="A80" s="45">
        <v>59</v>
      </c>
      <c r="B80" t="s">
        <v>88</v>
      </c>
    </row>
    <row r="81" spans="1:2">
      <c r="A81" s="45">
        <v>60</v>
      </c>
      <c r="B81" t="s">
        <v>89</v>
      </c>
    </row>
    <row r="82" spans="1:2">
      <c r="A82" s="45">
        <v>61</v>
      </c>
      <c r="B82" t="s">
        <v>90</v>
      </c>
    </row>
    <row r="83" spans="1:2">
      <c r="A83" s="45">
        <v>62</v>
      </c>
      <c r="B83" t="s">
        <v>91</v>
      </c>
    </row>
    <row r="84" spans="1:2">
      <c r="A84" s="45" t="s">
        <v>92</v>
      </c>
      <c r="B84" t="s">
        <v>93</v>
      </c>
    </row>
    <row r="85" spans="1:2">
      <c r="A85" s="45" t="s">
        <v>94</v>
      </c>
      <c r="B85" t="s">
        <v>95</v>
      </c>
    </row>
    <row r="86" spans="1:2">
      <c r="A86" s="45" t="s">
        <v>96</v>
      </c>
      <c r="B86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COP</vt:lpstr>
      <vt:lpstr>Summary EER</vt:lpstr>
      <vt:lpstr>DEER DX SEER to EER</vt:lpstr>
      <vt:lpstr>DEER HP COP to HIR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EliCaudill</dc:creator>
  <cp:lastModifiedBy>EliCaudill</cp:lastModifiedBy>
  <dcterms:created xsi:type="dcterms:W3CDTF">2016-04-22T15:11:39Z</dcterms:created>
  <dcterms:modified xsi:type="dcterms:W3CDTF">2017-03-07T21:29:24Z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61079627</vt:i4>
  </property>
  <property fmtid="{D5CDD505-2E9C-101B-9397-08002B2CF9AE}" pid="3" name="_NewReviewCycle">
    <vt:lpwstr/>
  </property>
  <property fmtid="{D5CDD505-2E9C-101B-9397-08002B2CF9AE}" pid="4" name="_EmailSubject">
    <vt:lpwstr>Pre-processing Calcs_DRAFT_V2_SCE13HC023.4.xlsx</vt:lpwstr>
  </property>
  <property fmtid="{D5CDD505-2E9C-101B-9397-08002B2CF9AE}" pid="5" name="_AuthorEmail">
    <vt:lpwstr>Cory.Fulton@clearesult.com</vt:lpwstr>
  </property>
  <property fmtid="{D5CDD505-2E9C-101B-9397-08002B2CF9AE}" pid="6" name="_AuthorEmailDisplayName">
    <vt:lpwstr>Cory Fulton</vt:lpwstr>
  </property>
  <property fmtid="{D5CDD505-2E9C-101B-9397-08002B2CF9AE}" pid="7" name="_ReviewingToolsShownOnce">
    <vt:lpwstr/>
  </property>
</Properties>
</file>