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TRC\SCE Workpapers\(002) SCE17HC013 - Direct Evaporative Coolers\2017 Updated Workpaper Files\SCE17HC013.0 - Deliverables\SCE17HC013.0 Attachments\"/>
    </mc:Choice>
  </mc:AlternateContent>
  <bookViews>
    <workbookView xWindow="1125" yWindow="-15" windowWidth="9495" windowHeight="7830" tabRatio="673"/>
  </bookViews>
  <sheets>
    <sheet name="EnergyImpacts_RES_EvapCool" sheetId="34" r:id="rId1"/>
    <sheet name="ESAF_&amp;_PDAF_Summary" sheetId="32" r:id="rId2"/>
    <sheet name="Water Costs" sheetId="33" r:id="rId3"/>
  </sheets>
  <externalReferences>
    <externalReference r:id="rId4"/>
  </externalReferences>
  <definedNames>
    <definedName name="_xlnm._FilterDatabase" localSheetId="0" hidden="1">EnergyImpacts_RES_EvapCool!$A$5:$BA$100</definedName>
    <definedName name="DatCol" localSheetId="0">#REF!</definedName>
    <definedName name="DatCol">#REF!</definedName>
    <definedName name="DatCZ" localSheetId="0">#REF!</definedName>
    <definedName name="DatCZ">#REF!</definedName>
    <definedName name="DatCZlbl" localSheetId="0">#REF!</definedName>
    <definedName name="DatCZlbl">#REF!</definedName>
    <definedName name="DatDec" localSheetId="0">#REF!</definedName>
    <definedName name="DatDec">#REF!</definedName>
    <definedName name="DatEnd" localSheetId="0">#REF!</definedName>
    <definedName name="DatEnd">#REF!</definedName>
    <definedName name="DatFldName" localSheetId="0">#REF!</definedName>
    <definedName name="DatFldName">#REF!</definedName>
    <definedName name="DatMet" localSheetId="0">#REF!</definedName>
    <definedName name="DatMet">#REF!</definedName>
    <definedName name="DatStart" localSheetId="0">#REF!</definedName>
    <definedName name="DatStart">#REF!</definedName>
    <definedName name="DegHr">[1]compare!$U$2</definedName>
  </definedNames>
  <calcPr calcId="152511" calcMode="manual"/>
</workbook>
</file>

<file path=xl/calcChain.xml><?xml version="1.0" encoding="utf-8"?>
<calcChain xmlns="http://schemas.openxmlformats.org/spreadsheetml/2006/main">
  <c r="AW7" i="34" l="1"/>
  <c r="J10" i="34" l="1"/>
  <c r="J9" i="34"/>
  <c r="J8" i="34"/>
  <c r="J7" i="34"/>
  <c r="J6" i="34"/>
  <c r="J100" i="34"/>
  <c r="J99" i="34"/>
  <c r="J98" i="34"/>
  <c r="J97" i="34"/>
  <c r="J96" i="34"/>
  <c r="J95" i="34"/>
  <c r="J94" i="34"/>
  <c r="J93" i="34"/>
  <c r="J92" i="34"/>
  <c r="J91" i="34"/>
  <c r="J90" i="34"/>
  <c r="J89" i="34"/>
  <c r="J88" i="34"/>
  <c r="J87" i="34"/>
  <c r="J86" i="34"/>
  <c r="J85" i="34"/>
  <c r="J84" i="34"/>
  <c r="J83" i="34"/>
  <c r="J82" i="34"/>
  <c r="J81" i="34"/>
  <c r="J80" i="34"/>
  <c r="J79" i="34"/>
  <c r="J78" i="34"/>
  <c r="J77" i="34"/>
  <c r="J76" i="34"/>
  <c r="J75" i="34"/>
  <c r="J74" i="34"/>
  <c r="J73" i="34"/>
  <c r="J72" i="34"/>
  <c r="J71" i="34"/>
  <c r="J70" i="34"/>
  <c r="J69" i="34"/>
  <c r="J68" i="34"/>
  <c r="J67" i="34"/>
  <c r="J66" i="34"/>
  <c r="J65" i="34"/>
  <c r="J64" i="34"/>
  <c r="J63" i="34"/>
  <c r="J62" i="34"/>
  <c r="J61" i="34"/>
  <c r="J60" i="34"/>
  <c r="J59" i="34"/>
  <c r="J58" i="34"/>
  <c r="J57" i="34"/>
  <c r="J56" i="34"/>
  <c r="J55" i="34"/>
  <c r="J54" i="34"/>
  <c r="J53" i="34"/>
  <c r="J52" i="34"/>
  <c r="J51" i="34"/>
  <c r="J50" i="34"/>
  <c r="J49" i="34"/>
  <c r="J48" i="34"/>
  <c r="J47" i="34"/>
  <c r="J46" i="34"/>
  <c r="J45" i="34"/>
  <c r="J44" i="34"/>
  <c r="J43" i="34"/>
  <c r="J42" i="34"/>
  <c r="J41" i="34"/>
  <c r="J40" i="34"/>
  <c r="J39" i="34"/>
  <c r="J38" i="34"/>
  <c r="J37" i="34"/>
  <c r="J36" i="34"/>
  <c r="J35" i="34"/>
  <c r="J34" i="34"/>
  <c r="J33" i="34"/>
  <c r="J32" i="34"/>
  <c r="J31" i="34"/>
  <c r="J30" i="34"/>
  <c r="J29" i="34"/>
  <c r="J28" i="34"/>
  <c r="J27" i="34"/>
  <c r="J26" i="34"/>
  <c r="J25" i="34"/>
  <c r="J24" i="34"/>
  <c r="J23" i="34"/>
  <c r="J22" i="34"/>
  <c r="J21" i="34"/>
  <c r="J20" i="34"/>
  <c r="J19" i="34"/>
  <c r="J18" i="34"/>
  <c r="J17" i="34"/>
  <c r="J16" i="34"/>
  <c r="J15" i="34"/>
  <c r="J14" i="34"/>
  <c r="J13" i="34"/>
  <c r="J12" i="34"/>
  <c r="J11" i="34"/>
  <c r="D14" i="33" l="1"/>
  <c r="D15" i="33" s="1"/>
  <c r="C14" i="33"/>
  <c r="I14" i="33" s="1"/>
  <c r="I15" i="33" s="1"/>
  <c r="I16" i="33" s="1"/>
  <c r="E6" i="33"/>
  <c r="I6" i="33" s="1"/>
  <c r="D6" i="33"/>
  <c r="I5" i="33"/>
  <c r="E5" i="33"/>
  <c r="D5" i="33"/>
  <c r="E4" i="33"/>
  <c r="I4" i="33" s="1"/>
  <c r="D4" i="33"/>
  <c r="AZ100" i="34"/>
  <c r="AY100" i="34"/>
  <c r="AX100" i="34"/>
  <c r="AW100" i="34"/>
  <c r="AU100" i="34"/>
  <c r="AT100" i="34"/>
  <c r="AS100" i="34"/>
  <c r="AR100" i="34"/>
  <c r="AQ100" i="34"/>
  <c r="AZ99" i="34"/>
  <c r="AY99" i="34"/>
  <c r="AX99" i="34"/>
  <c r="AW99" i="34"/>
  <c r="AU99" i="34"/>
  <c r="AT99" i="34"/>
  <c r="AS99" i="34"/>
  <c r="AR99" i="34"/>
  <c r="AQ99" i="34"/>
  <c r="AZ98" i="34"/>
  <c r="AY98" i="34"/>
  <c r="AX98" i="34"/>
  <c r="AW98" i="34"/>
  <c r="AU98" i="34"/>
  <c r="AT98" i="34"/>
  <c r="AS98" i="34"/>
  <c r="AR98" i="34"/>
  <c r="AQ98" i="34"/>
  <c r="AZ97" i="34"/>
  <c r="AY97" i="34"/>
  <c r="AX97" i="34"/>
  <c r="AW97" i="34"/>
  <c r="AU97" i="34"/>
  <c r="AT97" i="34"/>
  <c r="AS97" i="34"/>
  <c r="AR97" i="34"/>
  <c r="AQ97" i="34"/>
  <c r="AZ96" i="34"/>
  <c r="AY96" i="34"/>
  <c r="AX96" i="34"/>
  <c r="AW96" i="34"/>
  <c r="AU96" i="34"/>
  <c r="AT96" i="34"/>
  <c r="AS96" i="34"/>
  <c r="AR96" i="34"/>
  <c r="AQ96" i="34"/>
  <c r="AZ95" i="34"/>
  <c r="AY95" i="34"/>
  <c r="AX95" i="34"/>
  <c r="AW95" i="34"/>
  <c r="AU95" i="34"/>
  <c r="AT95" i="34"/>
  <c r="AS95" i="34"/>
  <c r="AR95" i="34"/>
  <c r="AQ95" i="34"/>
  <c r="AZ94" i="34"/>
  <c r="AY94" i="34"/>
  <c r="AX94" i="34"/>
  <c r="AW94" i="34"/>
  <c r="AU94" i="34"/>
  <c r="AT94" i="34"/>
  <c r="AS94" i="34"/>
  <c r="AR94" i="34"/>
  <c r="AQ94" i="34"/>
  <c r="AZ93" i="34"/>
  <c r="AY93" i="34"/>
  <c r="AX93" i="34"/>
  <c r="AW93" i="34"/>
  <c r="AU93" i="34"/>
  <c r="AT93" i="34"/>
  <c r="AS93" i="34"/>
  <c r="AR93" i="34"/>
  <c r="AQ93" i="34"/>
  <c r="AZ92" i="34"/>
  <c r="AY92" i="34"/>
  <c r="AX92" i="34"/>
  <c r="AW92" i="34"/>
  <c r="AU92" i="34"/>
  <c r="AT92" i="34"/>
  <c r="AS92" i="34"/>
  <c r="AR92" i="34"/>
  <c r="AQ92" i="34"/>
  <c r="AZ91" i="34"/>
  <c r="AY91" i="34"/>
  <c r="AX91" i="34"/>
  <c r="AW91" i="34"/>
  <c r="AU91" i="34"/>
  <c r="AT91" i="34"/>
  <c r="AS91" i="34"/>
  <c r="AR91" i="34"/>
  <c r="AQ91" i="34"/>
  <c r="AZ90" i="34"/>
  <c r="AY90" i="34"/>
  <c r="AX90" i="34"/>
  <c r="AW90" i="34"/>
  <c r="AU90" i="34"/>
  <c r="AT90" i="34"/>
  <c r="AS90" i="34"/>
  <c r="AR90" i="34"/>
  <c r="AQ90" i="34"/>
  <c r="AZ89" i="34"/>
  <c r="AY89" i="34"/>
  <c r="AX89" i="34"/>
  <c r="AW89" i="34"/>
  <c r="AU89" i="34"/>
  <c r="AT89" i="34"/>
  <c r="AS89" i="34"/>
  <c r="AR89" i="34"/>
  <c r="AQ89" i="34"/>
  <c r="AZ88" i="34"/>
  <c r="AY88" i="34"/>
  <c r="AX88" i="34"/>
  <c r="AW88" i="34"/>
  <c r="AU88" i="34"/>
  <c r="AT88" i="34"/>
  <c r="AS88" i="34"/>
  <c r="AR88" i="34"/>
  <c r="AQ88" i="34"/>
  <c r="AZ87" i="34"/>
  <c r="AY87" i="34"/>
  <c r="AX87" i="34"/>
  <c r="AW87" i="34"/>
  <c r="AU87" i="34"/>
  <c r="AT87" i="34"/>
  <c r="AS87" i="34"/>
  <c r="AR87" i="34"/>
  <c r="AQ87" i="34"/>
  <c r="AZ86" i="34"/>
  <c r="AY86" i="34"/>
  <c r="AX86" i="34"/>
  <c r="AW86" i="34"/>
  <c r="AU86" i="34"/>
  <c r="AT86" i="34"/>
  <c r="AS86" i="34"/>
  <c r="AR86" i="34"/>
  <c r="AQ86" i="34"/>
  <c r="AZ85" i="34"/>
  <c r="AY85" i="34"/>
  <c r="AX85" i="34"/>
  <c r="AW85" i="34"/>
  <c r="AU85" i="34"/>
  <c r="AT85" i="34"/>
  <c r="AS85" i="34"/>
  <c r="AR85" i="34"/>
  <c r="AQ85" i="34"/>
  <c r="AZ84" i="34"/>
  <c r="AY84" i="34"/>
  <c r="AX84" i="34"/>
  <c r="AW84" i="34"/>
  <c r="AU84" i="34"/>
  <c r="AT84" i="34"/>
  <c r="AS84" i="34"/>
  <c r="AR84" i="34"/>
  <c r="AQ84" i="34"/>
  <c r="AZ83" i="34"/>
  <c r="AY83" i="34"/>
  <c r="AX83" i="34"/>
  <c r="AW83" i="34"/>
  <c r="AU83" i="34"/>
  <c r="AT83" i="34"/>
  <c r="AS83" i="34"/>
  <c r="AR83" i="34"/>
  <c r="AQ83" i="34"/>
  <c r="AZ82" i="34"/>
  <c r="AY82" i="34"/>
  <c r="AX82" i="34"/>
  <c r="AW82" i="34"/>
  <c r="AU82" i="34"/>
  <c r="AT82" i="34"/>
  <c r="AS82" i="34"/>
  <c r="AR82" i="34"/>
  <c r="AQ82" i="34"/>
  <c r="AZ81" i="34"/>
  <c r="AY81" i="34"/>
  <c r="AX81" i="34"/>
  <c r="AW81" i="34"/>
  <c r="AU81" i="34"/>
  <c r="AT81" i="34"/>
  <c r="AS81" i="34"/>
  <c r="AR81" i="34"/>
  <c r="AQ81" i="34"/>
  <c r="AZ80" i="34"/>
  <c r="AY80" i="34"/>
  <c r="AX80" i="34"/>
  <c r="AW80" i="34"/>
  <c r="AU80" i="34"/>
  <c r="AT80" i="34"/>
  <c r="AS80" i="34"/>
  <c r="AR80" i="34"/>
  <c r="AQ80" i="34"/>
  <c r="AZ79" i="34"/>
  <c r="AY79" i="34"/>
  <c r="AX79" i="34"/>
  <c r="AW79" i="34"/>
  <c r="AU79" i="34"/>
  <c r="AT79" i="34"/>
  <c r="AS79" i="34"/>
  <c r="AR79" i="34"/>
  <c r="AQ79" i="34"/>
  <c r="AZ78" i="34"/>
  <c r="AY78" i="34"/>
  <c r="AX78" i="34"/>
  <c r="AW78" i="34"/>
  <c r="AU78" i="34"/>
  <c r="AT78" i="34"/>
  <c r="AS78" i="34"/>
  <c r="AR78" i="34"/>
  <c r="AQ78" i="34"/>
  <c r="AZ77" i="34"/>
  <c r="AY77" i="34"/>
  <c r="AX77" i="34"/>
  <c r="AW77" i="34"/>
  <c r="AU77" i="34"/>
  <c r="AT77" i="34"/>
  <c r="AS77" i="34"/>
  <c r="AR77" i="34"/>
  <c r="AQ77" i="34"/>
  <c r="AZ76" i="34"/>
  <c r="AY76" i="34"/>
  <c r="AX76" i="34"/>
  <c r="AW76" i="34"/>
  <c r="AU76" i="34"/>
  <c r="AT76" i="34"/>
  <c r="AS76" i="34"/>
  <c r="AR76" i="34"/>
  <c r="AQ76" i="34"/>
  <c r="AZ75" i="34"/>
  <c r="AY75" i="34"/>
  <c r="AX75" i="34"/>
  <c r="AW75" i="34"/>
  <c r="AU75" i="34"/>
  <c r="AT75" i="34"/>
  <c r="AS75" i="34"/>
  <c r="AR75" i="34"/>
  <c r="AQ75" i="34"/>
  <c r="AZ74" i="34"/>
  <c r="AY74" i="34"/>
  <c r="AX74" i="34"/>
  <c r="AW74" i="34"/>
  <c r="AU74" i="34"/>
  <c r="AT74" i="34"/>
  <c r="AS74" i="34"/>
  <c r="AR74" i="34"/>
  <c r="AQ74" i="34"/>
  <c r="AZ73" i="34"/>
  <c r="AY73" i="34"/>
  <c r="AX73" i="34"/>
  <c r="AW73" i="34"/>
  <c r="AU73" i="34"/>
  <c r="AT73" i="34"/>
  <c r="AS73" i="34"/>
  <c r="AR73" i="34"/>
  <c r="AQ73" i="34"/>
  <c r="AZ72" i="34"/>
  <c r="AY72" i="34"/>
  <c r="AX72" i="34"/>
  <c r="AW72" i="34"/>
  <c r="AU72" i="34"/>
  <c r="AT72" i="34"/>
  <c r="AS72" i="34"/>
  <c r="AR72" i="34"/>
  <c r="AQ72" i="34"/>
  <c r="AZ71" i="34"/>
  <c r="AY71" i="34"/>
  <c r="AX71" i="34"/>
  <c r="AW71" i="34"/>
  <c r="AU71" i="34"/>
  <c r="AT71" i="34"/>
  <c r="AS71" i="34"/>
  <c r="AR71" i="34"/>
  <c r="AQ71" i="34"/>
  <c r="AZ70" i="34"/>
  <c r="AY70" i="34"/>
  <c r="AX70" i="34"/>
  <c r="AW70" i="34"/>
  <c r="AU70" i="34"/>
  <c r="AT70" i="34"/>
  <c r="AS70" i="34"/>
  <c r="AR70" i="34"/>
  <c r="AQ70" i="34"/>
  <c r="AZ69" i="34"/>
  <c r="AY69" i="34"/>
  <c r="AX69" i="34"/>
  <c r="AW69" i="34"/>
  <c r="AU69" i="34"/>
  <c r="AT69" i="34"/>
  <c r="AS69" i="34"/>
  <c r="AR69" i="34"/>
  <c r="AQ69" i="34"/>
  <c r="AZ68" i="34"/>
  <c r="AY68" i="34"/>
  <c r="AX68" i="34"/>
  <c r="AW68" i="34"/>
  <c r="AU68" i="34"/>
  <c r="AT68" i="34"/>
  <c r="AS68" i="34"/>
  <c r="AR68" i="34"/>
  <c r="AQ68" i="34"/>
  <c r="AZ67" i="34"/>
  <c r="AY67" i="34"/>
  <c r="AX67" i="34"/>
  <c r="AW67" i="34"/>
  <c r="AU67" i="34"/>
  <c r="AT67" i="34"/>
  <c r="AS67" i="34"/>
  <c r="AR67" i="34"/>
  <c r="AQ67" i="34"/>
  <c r="AZ66" i="34"/>
  <c r="AY66" i="34"/>
  <c r="AX66" i="34"/>
  <c r="AW66" i="34"/>
  <c r="AU66" i="34"/>
  <c r="AT66" i="34"/>
  <c r="AS66" i="34"/>
  <c r="AR66" i="34"/>
  <c r="AQ66" i="34"/>
  <c r="AZ65" i="34"/>
  <c r="AY65" i="34"/>
  <c r="AX65" i="34"/>
  <c r="AW65" i="34"/>
  <c r="AU65" i="34"/>
  <c r="AT65" i="34"/>
  <c r="AS65" i="34"/>
  <c r="AR65" i="34"/>
  <c r="AQ65" i="34"/>
  <c r="AZ64" i="34"/>
  <c r="AY64" i="34"/>
  <c r="AX64" i="34"/>
  <c r="AW64" i="34"/>
  <c r="AU64" i="34"/>
  <c r="AT64" i="34"/>
  <c r="AS64" i="34"/>
  <c r="AR64" i="34"/>
  <c r="AQ64" i="34"/>
  <c r="AZ63" i="34"/>
  <c r="AY63" i="34"/>
  <c r="AX63" i="34"/>
  <c r="AW63" i="34"/>
  <c r="AU63" i="34"/>
  <c r="AT63" i="34"/>
  <c r="AS63" i="34"/>
  <c r="AR63" i="34"/>
  <c r="AQ63" i="34"/>
  <c r="AZ62" i="34"/>
  <c r="AY62" i="34"/>
  <c r="AX62" i="34"/>
  <c r="AW62" i="34"/>
  <c r="AU62" i="34"/>
  <c r="AT62" i="34"/>
  <c r="AS62" i="34"/>
  <c r="AR62" i="34"/>
  <c r="AQ62" i="34"/>
  <c r="AZ61" i="34"/>
  <c r="AY61" i="34"/>
  <c r="AX61" i="34"/>
  <c r="AW61" i="34"/>
  <c r="AU61" i="34"/>
  <c r="AT61" i="34"/>
  <c r="AS61" i="34"/>
  <c r="AR61" i="34"/>
  <c r="AQ61" i="34"/>
  <c r="AZ60" i="34"/>
  <c r="AY60" i="34"/>
  <c r="AX60" i="34"/>
  <c r="AW60" i="34"/>
  <c r="AU60" i="34"/>
  <c r="AT60" i="34"/>
  <c r="AS60" i="34"/>
  <c r="AR60" i="34"/>
  <c r="AQ60" i="34"/>
  <c r="AZ59" i="34"/>
  <c r="AY59" i="34"/>
  <c r="AX59" i="34"/>
  <c r="AW59" i="34"/>
  <c r="AU59" i="34"/>
  <c r="AT59" i="34"/>
  <c r="AS59" i="34"/>
  <c r="AR59" i="34"/>
  <c r="AQ59" i="34"/>
  <c r="AZ58" i="34"/>
  <c r="AY58" i="34"/>
  <c r="AX58" i="34"/>
  <c r="AW58" i="34"/>
  <c r="AU58" i="34"/>
  <c r="AT58" i="34"/>
  <c r="AS58" i="34"/>
  <c r="AR58" i="34"/>
  <c r="AQ58" i="34"/>
  <c r="AZ57" i="34"/>
  <c r="AY57" i="34"/>
  <c r="AX57" i="34"/>
  <c r="AW57" i="34"/>
  <c r="AU57" i="34"/>
  <c r="AT57" i="34"/>
  <c r="AS57" i="34"/>
  <c r="AR57" i="34"/>
  <c r="AQ57" i="34"/>
  <c r="AZ56" i="34"/>
  <c r="AS56" i="34" s="1"/>
  <c r="AW56" i="34"/>
  <c r="AZ55" i="34"/>
  <c r="AW55" i="34"/>
  <c r="AZ54" i="34"/>
  <c r="AS54" i="34" s="1"/>
  <c r="AW54" i="34"/>
  <c r="AZ53" i="34"/>
  <c r="AR53" i="34" s="1"/>
  <c r="AW53" i="34"/>
  <c r="AZ52" i="34"/>
  <c r="AS52" i="34" s="1"/>
  <c r="AW52" i="34"/>
  <c r="AZ51" i="34"/>
  <c r="AW51" i="34"/>
  <c r="AZ50" i="34"/>
  <c r="AS50" i="34" s="1"/>
  <c r="AW50" i="34"/>
  <c r="AZ49" i="34"/>
  <c r="AR49" i="34" s="1"/>
  <c r="AW49" i="34"/>
  <c r="AZ48" i="34"/>
  <c r="AS48" i="34" s="1"/>
  <c r="AW48" i="34"/>
  <c r="AZ47" i="34"/>
  <c r="AW47" i="34"/>
  <c r="AZ46" i="34"/>
  <c r="AS46" i="34" s="1"/>
  <c r="AW46" i="34"/>
  <c r="AZ45" i="34"/>
  <c r="AR45" i="34" s="1"/>
  <c r="AW45" i="34"/>
  <c r="AZ44" i="34"/>
  <c r="AS44" i="34" s="1"/>
  <c r="AW44" i="34"/>
  <c r="AZ43" i="34"/>
  <c r="AW43" i="34"/>
  <c r="AZ42" i="34"/>
  <c r="AS42" i="34" s="1"/>
  <c r="AW42" i="34"/>
  <c r="AZ41" i="34"/>
  <c r="AR41" i="34" s="1"/>
  <c r="AW41" i="34"/>
  <c r="AZ40" i="34"/>
  <c r="AS40" i="34" s="1"/>
  <c r="AW40" i="34"/>
  <c r="AZ39" i="34"/>
  <c r="AW39" i="34"/>
  <c r="AZ38" i="34"/>
  <c r="AS38" i="34" s="1"/>
  <c r="AW38" i="34"/>
  <c r="AZ37" i="34"/>
  <c r="AR37" i="34" s="1"/>
  <c r="AW37" i="34"/>
  <c r="AZ36" i="34"/>
  <c r="AS36" i="34" s="1"/>
  <c r="AW36" i="34"/>
  <c r="AZ35" i="34"/>
  <c r="AS35" i="34" s="1"/>
  <c r="AW35" i="34"/>
  <c r="AZ34" i="34"/>
  <c r="AQ34" i="34" s="1"/>
  <c r="AW34" i="34"/>
  <c r="AZ33" i="34"/>
  <c r="AS33" i="34" s="1"/>
  <c r="AW33" i="34"/>
  <c r="AZ32" i="34"/>
  <c r="AW32" i="34"/>
  <c r="AY32" i="34" s="1"/>
  <c r="AX32" i="34" s="1"/>
  <c r="AU32" i="34"/>
  <c r="AT32" i="34"/>
  <c r="AS32" i="34"/>
  <c r="AR32" i="34"/>
  <c r="AQ32" i="34"/>
  <c r="AZ31" i="34"/>
  <c r="AW31" i="34"/>
  <c r="AU31" i="34"/>
  <c r="AT31" i="34"/>
  <c r="AS31" i="34"/>
  <c r="AR31" i="34"/>
  <c r="AQ31" i="34"/>
  <c r="AZ30" i="34"/>
  <c r="AW30" i="34"/>
  <c r="AU30" i="34"/>
  <c r="AT30" i="34"/>
  <c r="AS30" i="34"/>
  <c r="AR30" i="34"/>
  <c r="AQ30" i="34"/>
  <c r="AZ29" i="34"/>
  <c r="AW29" i="34"/>
  <c r="AU29" i="34"/>
  <c r="AT29" i="34"/>
  <c r="AS29" i="34"/>
  <c r="AR29" i="34"/>
  <c r="AQ29" i="34"/>
  <c r="AZ28" i="34"/>
  <c r="AW28" i="34"/>
  <c r="AY28" i="34" s="1"/>
  <c r="AX28" i="34" s="1"/>
  <c r="AU28" i="34"/>
  <c r="AT28" i="34"/>
  <c r="AS28" i="34"/>
  <c r="AR28" i="34"/>
  <c r="AQ28" i="34"/>
  <c r="AZ27" i="34"/>
  <c r="AW27" i="34"/>
  <c r="AU27" i="34"/>
  <c r="AT27" i="34"/>
  <c r="AS27" i="34"/>
  <c r="AR27" i="34"/>
  <c r="AQ27" i="34"/>
  <c r="AZ26" i="34"/>
  <c r="AW26" i="34"/>
  <c r="AU26" i="34"/>
  <c r="AT26" i="34"/>
  <c r="AS26" i="34"/>
  <c r="AR26" i="34"/>
  <c r="AQ26" i="34"/>
  <c r="AZ25" i="34"/>
  <c r="AW25" i="34"/>
  <c r="AU25" i="34"/>
  <c r="AT25" i="34"/>
  <c r="AS25" i="34"/>
  <c r="AR25" i="34"/>
  <c r="AQ25" i="34"/>
  <c r="AZ24" i="34"/>
  <c r="AW24" i="34"/>
  <c r="AY24" i="34" s="1"/>
  <c r="AX24" i="34" s="1"/>
  <c r="AU24" i="34"/>
  <c r="AT24" i="34"/>
  <c r="AS24" i="34"/>
  <c r="AR24" i="34"/>
  <c r="AQ24" i="34"/>
  <c r="AZ23" i="34"/>
  <c r="AW23" i="34"/>
  <c r="AU23" i="34"/>
  <c r="AT23" i="34"/>
  <c r="AS23" i="34"/>
  <c r="AR23" i="34"/>
  <c r="AQ23" i="34"/>
  <c r="AZ22" i="34"/>
  <c r="AW22" i="34"/>
  <c r="AS22" i="34"/>
  <c r="AR22" i="34"/>
  <c r="AQ22" i="34"/>
  <c r="AZ21" i="34"/>
  <c r="AW21" i="34"/>
  <c r="AS21" i="34"/>
  <c r="AR21" i="34"/>
  <c r="AQ21" i="34"/>
  <c r="AZ20" i="34"/>
  <c r="AW20" i="34"/>
  <c r="AS20" i="34"/>
  <c r="AR20" i="34"/>
  <c r="AQ20" i="34"/>
  <c r="AZ19" i="34"/>
  <c r="AW19" i="34"/>
  <c r="AU19" i="34"/>
  <c r="AT19" i="34"/>
  <c r="AS19" i="34"/>
  <c r="AR19" i="34"/>
  <c r="AQ19" i="34"/>
  <c r="AZ18" i="34"/>
  <c r="AW18" i="34"/>
  <c r="AU18" i="34"/>
  <c r="AT18" i="34"/>
  <c r="AS18" i="34"/>
  <c r="AR18" i="34"/>
  <c r="AQ18" i="34"/>
  <c r="AZ17" i="34"/>
  <c r="AW17" i="34"/>
  <c r="AY17" i="34" s="1"/>
  <c r="AX17" i="34" s="1"/>
  <c r="AU17" i="34"/>
  <c r="AT17" i="34"/>
  <c r="AS17" i="34"/>
  <c r="AR17" i="34"/>
  <c r="AQ17" i="34"/>
  <c r="AZ16" i="34"/>
  <c r="AW16" i="34"/>
  <c r="AU16" i="34"/>
  <c r="AT16" i="34"/>
  <c r="AS16" i="34"/>
  <c r="AR16" i="34"/>
  <c r="AQ16" i="34"/>
  <c r="AZ15" i="34"/>
  <c r="AW15" i="34"/>
  <c r="AU15" i="34"/>
  <c r="AT15" i="34"/>
  <c r="AS15" i="34"/>
  <c r="AR15" i="34"/>
  <c r="AQ15" i="34"/>
  <c r="AZ14" i="34"/>
  <c r="AW14" i="34"/>
  <c r="AU14" i="34"/>
  <c r="AT14" i="34"/>
  <c r="AS14" i="34"/>
  <c r="AR14" i="34"/>
  <c r="AQ14" i="34"/>
  <c r="AZ13" i="34"/>
  <c r="AW13" i="34"/>
  <c r="AY13" i="34" s="1"/>
  <c r="AX13" i="34" s="1"/>
  <c r="AU13" i="34"/>
  <c r="AT13" i="34"/>
  <c r="AS13" i="34"/>
  <c r="AR13" i="34"/>
  <c r="AQ13" i="34"/>
  <c r="AZ12" i="34"/>
  <c r="AW12" i="34"/>
  <c r="AU12" i="34"/>
  <c r="AT12" i="34"/>
  <c r="AS12" i="34"/>
  <c r="AR12" i="34"/>
  <c r="AQ12" i="34"/>
  <c r="AZ11" i="34"/>
  <c r="AW11" i="34"/>
  <c r="AU11" i="34"/>
  <c r="AT11" i="34"/>
  <c r="AS11" i="34"/>
  <c r="AR11" i="34"/>
  <c r="AQ11" i="34"/>
  <c r="AZ10" i="34"/>
  <c r="AW10" i="34"/>
  <c r="AU10" i="34"/>
  <c r="AT10" i="34"/>
  <c r="AS10" i="34"/>
  <c r="AR10" i="34"/>
  <c r="AQ10" i="34"/>
  <c r="AZ9" i="34"/>
  <c r="AW9" i="34"/>
  <c r="AY9" i="34" s="1"/>
  <c r="AX9" i="34" s="1"/>
  <c r="AU9" i="34"/>
  <c r="AT9" i="34"/>
  <c r="AS9" i="34"/>
  <c r="AR9" i="34"/>
  <c r="AQ9" i="34"/>
  <c r="AZ8" i="34"/>
  <c r="AW8" i="34"/>
  <c r="AU8" i="34"/>
  <c r="AT8" i="34"/>
  <c r="AS8" i="34"/>
  <c r="AR8" i="34"/>
  <c r="AQ8" i="34"/>
  <c r="AZ7" i="34"/>
  <c r="AU7" i="34"/>
  <c r="AT7" i="34"/>
  <c r="AS7" i="34"/>
  <c r="AR7" i="34"/>
  <c r="AQ7" i="34"/>
  <c r="AZ6" i="34"/>
  <c r="AW6" i="34"/>
  <c r="AU6" i="34"/>
  <c r="AT6" i="34"/>
  <c r="AS6" i="34"/>
  <c r="AR6" i="34"/>
  <c r="AQ6" i="34"/>
  <c r="AU20" i="34" l="1"/>
  <c r="AS49" i="34"/>
  <c r="AU49" i="34" s="1"/>
  <c r="AQ48" i="34"/>
  <c r="BB48" i="34" s="1"/>
  <c r="AQ53" i="34"/>
  <c r="AQ45" i="34"/>
  <c r="AU21" i="34"/>
  <c r="AR35" i="34"/>
  <c r="BC35" i="34" s="1"/>
  <c r="BC57" i="34"/>
  <c r="AQ33" i="34"/>
  <c r="AQ44" i="34"/>
  <c r="AT44" i="34" s="1"/>
  <c r="AS45" i="34"/>
  <c r="AU45" i="34" s="1"/>
  <c r="AS41" i="34"/>
  <c r="AU41" i="34" s="1"/>
  <c r="AQ56" i="34"/>
  <c r="AT56" i="34" s="1"/>
  <c r="BB58" i="34"/>
  <c r="AT22" i="34"/>
  <c r="AR33" i="34"/>
  <c r="BC33" i="34" s="1"/>
  <c r="AQ37" i="34"/>
  <c r="AQ40" i="34"/>
  <c r="AT40" i="34" s="1"/>
  <c r="AT20" i="34"/>
  <c r="AT21" i="34"/>
  <c r="AU22" i="34"/>
  <c r="AQ36" i="34"/>
  <c r="AT36" i="34" s="1"/>
  <c r="AS37" i="34"/>
  <c r="BC37" i="34" s="1"/>
  <c r="AQ49" i="34"/>
  <c r="AQ52" i="34"/>
  <c r="AT52" i="34" s="1"/>
  <c r="AS53" i="34"/>
  <c r="AU53" i="34" s="1"/>
  <c r="BC58" i="34"/>
  <c r="D7" i="33"/>
  <c r="AQ41" i="34"/>
  <c r="AR36" i="34"/>
  <c r="AU36" i="34" s="1"/>
  <c r="AR40" i="34"/>
  <c r="BC40" i="34" s="1"/>
  <c r="AR44" i="34"/>
  <c r="AU44" i="34" s="1"/>
  <c r="AR48" i="34"/>
  <c r="BC48" i="34" s="1"/>
  <c r="AR52" i="34"/>
  <c r="AU52" i="34" s="1"/>
  <c r="AR56" i="34"/>
  <c r="BC56" i="34" s="1"/>
  <c r="AQ35" i="34"/>
  <c r="AQ38" i="34"/>
  <c r="BB38" i="34" s="1"/>
  <c r="AQ42" i="34"/>
  <c r="AT42" i="34" s="1"/>
  <c r="AQ46" i="34"/>
  <c r="BB46" i="34" s="1"/>
  <c r="AQ50" i="34"/>
  <c r="AT50" i="34" s="1"/>
  <c r="AQ54" i="34"/>
  <c r="BB54" i="34" s="1"/>
  <c r="AY21" i="34"/>
  <c r="AX21" i="34" s="1"/>
  <c r="AR43" i="34"/>
  <c r="AS43" i="34"/>
  <c r="AR51" i="34"/>
  <c r="AS51" i="34"/>
  <c r="AY8" i="34"/>
  <c r="AX8" i="34" s="1"/>
  <c r="AY12" i="34"/>
  <c r="AX12" i="34" s="1"/>
  <c r="AY16" i="34"/>
  <c r="AX16" i="34" s="1"/>
  <c r="AY20" i="34"/>
  <c r="AX20" i="34" s="1"/>
  <c r="AQ43" i="34"/>
  <c r="AQ51" i="34"/>
  <c r="BB57" i="34"/>
  <c r="AS34" i="34"/>
  <c r="BB34" i="34" s="1"/>
  <c r="AR34" i="34"/>
  <c r="AR39" i="34"/>
  <c r="AS39" i="34"/>
  <c r="AR47" i="34"/>
  <c r="AS47" i="34"/>
  <c r="AR55" i="34"/>
  <c r="AS55" i="34"/>
  <c r="AY31" i="34"/>
  <c r="AX31" i="34" s="1"/>
  <c r="AY27" i="34"/>
  <c r="AX27" i="34" s="1"/>
  <c r="AY23" i="34"/>
  <c r="AX23" i="34" s="1"/>
  <c r="AY19" i="34"/>
  <c r="AX19" i="34" s="1"/>
  <c r="AY15" i="34"/>
  <c r="AX15" i="34" s="1"/>
  <c r="AY11" i="34"/>
  <c r="AX11" i="34" s="1"/>
  <c r="AY7" i="34"/>
  <c r="AX7" i="34" s="1"/>
  <c r="AY30" i="34"/>
  <c r="AX30" i="34" s="1"/>
  <c r="AY26" i="34"/>
  <c r="AX26" i="34" s="1"/>
  <c r="AY22" i="34"/>
  <c r="AX22" i="34" s="1"/>
  <c r="AY18" i="34"/>
  <c r="AX18" i="34" s="1"/>
  <c r="AY14" i="34"/>
  <c r="AX14" i="34" s="1"/>
  <c r="AY10" i="34"/>
  <c r="AX10" i="34" s="1"/>
  <c r="AY6" i="34"/>
  <c r="AX6" i="34" s="1"/>
  <c r="AY25" i="34"/>
  <c r="AX25" i="34" s="1"/>
  <c r="AY29" i="34"/>
  <c r="AX29" i="34" s="1"/>
  <c r="AQ39" i="34"/>
  <c r="AQ47" i="34"/>
  <c r="AQ55" i="34"/>
  <c r="I7" i="33"/>
  <c r="I8" i="33" s="1"/>
  <c r="I9" i="33" s="1"/>
  <c r="AR38" i="34"/>
  <c r="AR42" i="34"/>
  <c r="AR46" i="34"/>
  <c r="AR50" i="34"/>
  <c r="AR54" i="34"/>
  <c r="BB33" i="34" l="1"/>
  <c r="AT33" i="34"/>
  <c r="BC45" i="34"/>
  <c r="BB49" i="34"/>
  <c r="BB53" i="34"/>
  <c r="BC44" i="34"/>
  <c r="BC49" i="34"/>
  <c r="BB56" i="34"/>
  <c r="AT49" i="34"/>
  <c r="AT41" i="34"/>
  <c r="BC41" i="34"/>
  <c r="AT53" i="34"/>
  <c r="AU35" i="34"/>
  <c r="BB40" i="34"/>
  <c r="BB36" i="34"/>
  <c r="AT45" i="34"/>
  <c r="AU37" i="34"/>
  <c r="AU40" i="34"/>
  <c r="AT48" i="34"/>
  <c r="AU48" i="34"/>
  <c r="BB52" i="34"/>
  <c r="BB45" i="34"/>
  <c r="BC53" i="34"/>
  <c r="BB37" i="34"/>
  <c r="AT37" i="34"/>
  <c r="BB41" i="34"/>
  <c r="AU56" i="34"/>
  <c r="BB44" i="34"/>
  <c r="BC36" i="34"/>
  <c r="AU33" i="34"/>
  <c r="BB50" i="34"/>
  <c r="AT46" i="34"/>
  <c r="BC52" i="34"/>
  <c r="BB42" i="34"/>
  <c r="AT54" i="34"/>
  <c r="AT38" i="34"/>
  <c r="AT35" i="34"/>
  <c r="BB35" i="34"/>
  <c r="BC42" i="34"/>
  <c r="AU42" i="34"/>
  <c r="BC54" i="34"/>
  <c r="AU54" i="34"/>
  <c r="BC38" i="34"/>
  <c r="AU38" i="34"/>
  <c r="BC34" i="34"/>
  <c r="AU34" i="34"/>
  <c r="AT51" i="34"/>
  <c r="BB51" i="34"/>
  <c r="AT43" i="34"/>
  <c r="BB43" i="34"/>
  <c r="BC50" i="34"/>
  <c r="AU50" i="34"/>
  <c r="AY55" i="34"/>
  <c r="AX55" i="34" s="1"/>
  <c r="AY51" i="34"/>
  <c r="AX51" i="34" s="1"/>
  <c r="AY47" i="34"/>
  <c r="AX47" i="34" s="1"/>
  <c r="AY43" i="34"/>
  <c r="AX43" i="34" s="1"/>
  <c r="AY39" i="34"/>
  <c r="AX39" i="34" s="1"/>
  <c r="AY35" i="34"/>
  <c r="AX35" i="34" s="1"/>
  <c r="AY53" i="34"/>
  <c r="AX53" i="34" s="1"/>
  <c r="AY49" i="34"/>
  <c r="AX49" i="34" s="1"/>
  <c r="AY45" i="34"/>
  <c r="AX45" i="34" s="1"/>
  <c r="AY41" i="34"/>
  <c r="AX41" i="34" s="1"/>
  <c r="AY56" i="34"/>
  <c r="AX56" i="34" s="1"/>
  <c r="AY52" i="34"/>
  <c r="AX52" i="34" s="1"/>
  <c r="AY48" i="34"/>
  <c r="AX48" i="34" s="1"/>
  <c r="AY44" i="34"/>
  <c r="AX44" i="34" s="1"/>
  <c r="AY40" i="34"/>
  <c r="AX40" i="34" s="1"/>
  <c r="AY36" i="34"/>
  <c r="AX36" i="34" s="1"/>
  <c r="AY37" i="34"/>
  <c r="AX37" i="34" s="1"/>
  <c r="AY50" i="34"/>
  <c r="AX50" i="34" s="1"/>
  <c r="AY42" i="34"/>
  <c r="AX42" i="34" s="1"/>
  <c r="AY33" i="34"/>
  <c r="AX33" i="34" s="1"/>
  <c r="AY54" i="34"/>
  <c r="AX54" i="34" s="1"/>
  <c r="AY46" i="34"/>
  <c r="AX46" i="34" s="1"/>
  <c r="AY38" i="34"/>
  <c r="AX38" i="34" s="1"/>
  <c r="AY34" i="34"/>
  <c r="AX34" i="34" s="1"/>
  <c r="BC55" i="34"/>
  <c r="AU55" i="34"/>
  <c r="BC47" i="34"/>
  <c r="AU47" i="34"/>
  <c r="BC39" i="34"/>
  <c r="AU39" i="34"/>
  <c r="BC43" i="34"/>
  <c r="AU43" i="34"/>
  <c r="AT34" i="34"/>
  <c r="BC46" i="34"/>
  <c r="AU46" i="34"/>
  <c r="AT55" i="34"/>
  <c r="BB55" i="34"/>
  <c r="AT47" i="34"/>
  <c r="BB47" i="34"/>
  <c r="AT39" i="34"/>
  <c r="BB39" i="34"/>
  <c r="BC51" i="34"/>
  <c r="AU51" i="34"/>
</calcChain>
</file>

<file path=xl/comments1.xml><?xml version="1.0" encoding="utf-8"?>
<comments xmlns="http://schemas.openxmlformats.org/spreadsheetml/2006/main">
  <authors>
    <author>Amber Buhl</author>
  </authors>
  <commentList>
    <comment ref="AW4" authorId="0" shapeId="0">
      <text>
        <r>
          <rPr>
            <b/>
            <sz val="9"/>
            <color indexed="81"/>
            <rFont val="Tahoma"/>
            <family val="2"/>
          </rPr>
          <t>Arvind Subramanya:</t>
        </r>
        <r>
          <rPr>
            <sz val="9"/>
            <color indexed="81"/>
            <rFont val="Tahoma"/>
            <family val="2"/>
          </rPr>
          <t xml:space="preserve">
base case cost from WO017 ($/1,000 sq. ft .)
Refer to Attachment #5 - SCE17HC013.0 - Cost Calculation</t>
        </r>
      </text>
    </comment>
    <comment ref="AY4" authorId="0" shapeId="0">
      <text>
        <r>
          <rPr>
            <sz val="9"/>
            <color indexed="81"/>
            <rFont val="Tahoma"/>
            <family val="2"/>
          </rPr>
          <t>Cost taken from WO017. Refer to Attachment #5 - SCE17HC013.0 - Cost Calculation</t>
        </r>
      </text>
    </comment>
    <comment ref="AQ5" authorId="0" shapeId="0">
      <text>
        <r>
          <rPr>
            <b/>
            <sz val="9"/>
            <color indexed="81"/>
            <rFont val="Tahoma"/>
            <family val="2"/>
          </rPr>
          <t>Amber Buhl:</t>
        </r>
        <r>
          <rPr>
            <sz val="9"/>
            <color indexed="81"/>
            <rFont val="Tahoma"/>
            <family val="2"/>
          </rPr>
          <t xml:space="preserve">
if IOU=SCE then lookup in ESAF_&amp;_PDAF_Summary table else =100%.</t>
        </r>
      </text>
    </comment>
    <comment ref="AT5" authorId="0" shapeId="0">
      <text>
        <r>
          <rPr>
            <sz val="9"/>
            <color indexed="81"/>
            <rFont val="Tahoma"/>
            <family val="2"/>
          </rPr>
          <t xml:space="preserve">Columns AS to AT: if PG&amp;E: uses above code baseline (AStdWB…) &amp; multiplies by common unit to get per household; if SCE uses customer baseline (ACustWB…) &amp; doesn't multiply by common unit so per 1,000 sq. ft </t>
        </r>
      </text>
    </comment>
    <comment ref="AX5" authorId="0" shapeId="0">
      <text>
        <r>
          <rPr>
            <sz val="9"/>
            <color indexed="81"/>
            <rFont val="Tahoma"/>
            <family val="2"/>
          </rPr>
          <t>gross measure $</t>
        </r>
      </text>
    </comment>
    <comment ref="AY5" authorId="0" shapeId="0">
      <text>
        <r>
          <rPr>
            <b/>
            <sz val="9"/>
            <color indexed="81"/>
            <rFont val="Tahoma"/>
            <family val="2"/>
          </rPr>
          <t>Amber Buhl:</t>
        </r>
        <r>
          <rPr>
            <sz val="9"/>
            <color indexed="81"/>
            <rFont val="Tahoma"/>
            <family val="2"/>
          </rPr>
          <t xml:space="preserve">
PG&amp;E RET = measure $ - base cost</t>
        </r>
      </text>
    </comment>
    <comment ref="BB5" authorId="0" shapeId="0">
      <text>
        <r>
          <rPr>
            <sz val="9"/>
            <color indexed="81"/>
            <rFont val="Tahoma"/>
            <family val="2"/>
          </rPr>
          <t xml:space="preserve">Columns AS to AT: if PG&amp;E: uses above code baseline (AStdWB…) &amp; multiplies by common unit to get per household; if SCE uses customer baseline (ACustWB…) &amp; doesn't multiply by common unit so per 1,000 sq. ft </t>
        </r>
      </text>
    </comment>
  </commentList>
</comments>
</file>

<file path=xl/comments2.xml><?xml version="1.0" encoding="utf-8"?>
<comments xmlns="http://schemas.openxmlformats.org/spreadsheetml/2006/main">
  <authors>
    <author>Amber Buhl</author>
  </authors>
  <commentList>
    <comment ref="C3" authorId="0" shapeId="0">
      <text>
        <r>
          <rPr>
            <sz val="9"/>
            <color indexed="81"/>
            <rFont val="Tahoma"/>
            <family val="2"/>
          </rPr>
          <t>Based on DEER equest prototype building annual cooling load.</t>
        </r>
      </text>
    </comment>
    <comment ref="C13" authorId="0" shapeId="0">
      <text>
        <r>
          <rPr>
            <sz val="9"/>
            <color indexed="81"/>
            <rFont val="Tahoma"/>
            <family val="2"/>
          </rPr>
          <t>Based on DEER equest prototype building annual cooling load.</t>
        </r>
      </text>
    </comment>
  </commentList>
</comments>
</file>

<file path=xl/sharedStrings.xml><?xml version="1.0" encoding="utf-8"?>
<sst xmlns="http://schemas.openxmlformats.org/spreadsheetml/2006/main" count="2208" uniqueCount="138">
  <si>
    <t>MeasureID</t>
  </si>
  <si>
    <t>T24 minimum: 13 SEER(11.09 EER) Split System Air Conditioner</t>
  </si>
  <si>
    <t>Residential Single Family</t>
  </si>
  <si>
    <t>10.0 SEER Split-System Air Conditioner</t>
  </si>
  <si>
    <t>Riverside</t>
  </si>
  <si>
    <t>Residential Multi-family</t>
  </si>
  <si>
    <t>Climate Zone</t>
  </si>
  <si>
    <t>Electrical Energy Saving Factor</t>
  </si>
  <si>
    <t>Power Demand Reduction Factor</t>
  </si>
  <si>
    <t>SCE</t>
  </si>
  <si>
    <t>PG&amp;E</t>
  </si>
  <si>
    <t>D03-405</t>
  </si>
  <si>
    <t>Direct Evaporative Cooler</t>
  </si>
  <si>
    <t>ACustWBkWh</t>
  </si>
  <si>
    <t>ACustWBkW</t>
  </si>
  <si>
    <t>AStdWBkWh</t>
  </si>
  <si>
    <t>AStdWBkW</t>
  </si>
  <si>
    <t>EnergyImpactID</t>
  </si>
  <si>
    <t>Version</t>
  </si>
  <si>
    <t>VersionSrc</t>
  </si>
  <si>
    <t>LastMod</t>
  </si>
  <si>
    <t>IOU</t>
  </si>
  <si>
    <t>BldgType</t>
  </si>
  <si>
    <t>BldgVint</t>
  </si>
  <si>
    <t>BldgHVAC</t>
  </si>
  <si>
    <t>BldgLoc</t>
  </si>
  <si>
    <t>NormUnit</t>
  </si>
  <si>
    <t>NumUnits</t>
  </si>
  <si>
    <t>MeasArea</t>
  </si>
  <si>
    <t>ScalBasis</t>
  </si>
  <si>
    <t>ACustEUkWh</t>
  </si>
  <si>
    <t>ACustEUkW</t>
  </si>
  <si>
    <t>ACustEUtherm</t>
  </si>
  <si>
    <t>ACustWBtherm</t>
  </si>
  <si>
    <t>AStdEUkWh</t>
  </si>
  <si>
    <t>AStdEUkW</t>
  </si>
  <si>
    <t>AStdEUtherm</t>
  </si>
  <si>
    <t>AStdWBtherm</t>
  </si>
  <si>
    <t>ElecImpProfileID</t>
  </si>
  <si>
    <t>GasImpProfileID</t>
  </si>
  <si>
    <t>Flag</t>
  </si>
  <si>
    <t>BldgType_desc</t>
  </si>
  <si>
    <t>BldgVint_desc</t>
  </si>
  <si>
    <t>BldgLoc_desc</t>
  </si>
  <si>
    <t>IOUname</t>
  </si>
  <si>
    <t>Qualifier</t>
  </si>
  <si>
    <t>MeasureDesc</t>
  </si>
  <si>
    <t>MeasImpactType</t>
  </si>
  <si>
    <t>MeasTechEUL_ID</t>
  </si>
  <si>
    <t>MeasTechDesc</t>
  </si>
  <si>
    <t>StdTechDesc</t>
  </si>
  <si>
    <t>BaseTechDesc</t>
  </si>
  <si>
    <t>QualifierDesc</t>
  </si>
  <si>
    <t>DEER2005</t>
  </si>
  <si>
    <t>D05 v2.01</t>
  </si>
  <si>
    <t>PGE</t>
  </si>
  <si>
    <t>DMo</t>
  </si>
  <si>
    <t>Ex</t>
  </si>
  <si>
    <t>Any</t>
  </si>
  <si>
    <t>CZ01</t>
  </si>
  <si>
    <t>Area-1kH</t>
  </si>
  <si>
    <t>None</t>
  </si>
  <si>
    <t>Residential Mobile Home</t>
  </si>
  <si>
    <t>Existing</t>
  </si>
  <si>
    <t>Arcata Area</t>
  </si>
  <si>
    <t>Standard</t>
  </si>
  <si>
    <t>Measure Definition does not have Energy Impact Qualifiers</t>
  </si>
  <si>
    <t>CZ02</t>
  </si>
  <si>
    <t>Santa Rosa Area</t>
  </si>
  <si>
    <t>CZ03</t>
  </si>
  <si>
    <t>Oakland Area</t>
  </si>
  <si>
    <t>CZ04</t>
  </si>
  <si>
    <t>San Jose-Reid</t>
  </si>
  <si>
    <t>CZ05</t>
  </si>
  <si>
    <t>Santa Maria Area</t>
  </si>
  <si>
    <t>CZ11</t>
  </si>
  <si>
    <t>Red Bluff Area</t>
  </si>
  <si>
    <t>CZ12</t>
  </si>
  <si>
    <t>Sacramento Area</t>
  </si>
  <si>
    <t>CZ13</t>
  </si>
  <si>
    <t>Fresno Area</t>
  </si>
  <si>
    <t>CZ16</t>
  </si>
  <si>
    <t>Blue Canyon</t>
  </si>
  <si>
    <t>MFm</t>
  </si>
  <si>
    <t>SFm</t>
  </si>
  <si>
    <t>CZ06</t>
  </si>
  <si>
    <t>Torrance</t>
  </si>
  <si>
    <t>CZ08</t>
  </si>
  <si>
    <t>Fullerton</t>
  </si>
  <si>
    <t>CZ09</t>
  </si>
  <si>
    <t>Burbank-Glendale</t>
  </si>
  <si>
    <t>CZ10</t>
  </si>
  <si>
    <t>CZ14</t>
  </si>
  <si>
    <t>Palmdale</t>
  </si>
  <si>
    <t>CZ15</t>
  </si>
  <si>
    <t>Palm Springs-Intl</t>
  </si>
  <si>
    <t>SCG</t>
  </si>
  <si>
    <t>CZ07</t>
  </si>
  <si>
    <t>San Diego-Lindbergh</t>
  </si>
  <si>
    <t>SDG</t>
  </si>
  <si>
    <t>SDG&amp;E</t>
  </si>
  <si>
    <t>Annual Electrical Energy Savings 
(kWh/unit)</t>
  </si>
  <si>
    <t>Peak Electrical Demand Reduction
(kW/unit)</t>
  </si>
  <si>
    <t>Annual Gas Savings
(Therms/unit)</t>
  </si>
  <si>
    <t>Energy Savings Adjustment Factor (ESAF)</t>
  </si>
  <si>
    <t>Peak Demand Adjustment Factor (PDAF)</t>
  </si>
  <si>
    <t>Numeric CZ</t>
  </si>
  <si>
    <t>Both</t>
  </si>
  <si>
    <t>Human Error Adjustment Factor (HEAF)</t>
  </si>
  <si>
    <t>Columns A through D were copied from: Weather Data - ESAF and PDAF - REV 2.xlsx</t>
  </si>
  <si>
    <t>HEAF</t>
  </si>
  <si>
    <t>Base Cost 
($/unit)</t>
  </si>
  <si>
    <t>Incremental Measure Cost 
($/unit)</t>
  </si>
  <si>
    <t>Gross Measure Cost
($/unit)</t>
  </si>
  <si>
    <t>ESAF</t>
  </si>
  <si>
    <t xml:space="preserve"> BTU/lb water evaporated</t>
  </si>
  <si>
    <t>lbwater/ft3</t>
  </si>
  <si>
    <t>Water Rates/100 ft3</t>
  </si>
  <si>
    <t>Inflation escalator</t>
  </si>
  <si>
    <t>Measure Life</t>
  </si>
  <si>
    <t>Average</t>
  </si>
  <si>
    <t>US rate of inflation source:</t>
  </si>
  <si>
    <t>US Inflation Rate | US Inflation</t>
  </si>
  <si>
    <t>Annual Cooling Load (Btu/yr)</t>
  </si>
  <si>
    <t>Representative City</t>
  </si>
  <si>
    <t>Alhambra</t>
  </si>
  <si>
    <t>Coachchella</t>
  </si>
  <si>
    <t>Added water costs over life of measure ($/household)</t>
  </si>
  <si>
    <t>Added water costs over life of measure ($/1000 sq. ft)</t>
  </si>
  <si>
    <t>Average household sq. ft</t>
  </si>
  <si>
    <t>Total $/household*year</t>
  </si>
  <si>
    <t xml:space="preserve">SCE </t>
  </si>
  <si>
    <t>Fresno</t>
  </si>
  <si>
    <t>2nd Baseline Savings</t>
  </si>
  <si>
    <t>exante2014 database tables: EnImpact</t>
  </si>
  <si>
    <t>This file created on 6/20/2014 7:26:35 AM while connected to deeresources.net as sptviewer.</t>
  </si>
  <si>
    <t>Program/Database Description: READI v.2.0.1 ("DEER for 2014 Code Update" database, released in November of 2013.)</t>
  </si>
  <si>
    <t>BldgCZ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</si>
</sst>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00"/>
  </numFmts>
  <fonts count="59" x14ac:knownFonts="1">
    <font>
      <sz val="10"/>
      <color theme="1"/>
      <name val="Arial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u/>
      <sz val="10"/>
      <color theme="11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0"/>
      <color rgb="FF006100"/>
      <name val="Calibri"/>
      <family val="2"/>
    </font>
    <font>
      <sz val="10"/>
      <color rgb="FF9C0006"/>
      <name val="Calibri"/>
      <family val="2"/>
    </font>
    <font>
      <sz val="10"/>
      <color rgb="FF9C6500"/>
      <name val="Calibri"/>
      <family val="2"/>
    </font>
    <font>
      <sz val="10"/>
      <color rgb="FF3F3F76"/>
      <name val="Calibri"/>
      <family val="2"/>
    </font>
    <font>
      <b/>
      <sz val="10"/>
      <color rgb="FF3F3F3F"/>
      <name val="Calibri"/>
      <family val="2"/>
    </font>
    <font>
      <b/>
      <sz val="10"/>
      <color rgb="FFFA7D00"/>
      <name val="Calibri"/>
      <family val="2"/>
    </font>
    <font>
      <sz val="10"/>
      <color rgb="FFFA7D00"/>
      <name val="Calibri"/>
      <family val="2"/>
    </font>
    <font>
      <b/>
      <sz val="10"/>
      <color theme="0"/>
      <name val="Calibri"/>
      <family val="2"/>
    </font>
    <font>
      <sz val="10"/>
      <color rgb="FFFF0000"/>
      <name val="Calibri"/>
      <family val="2"/>
    </font>
    <font>
      <i/>
      <sz val="10"/>
      <color rgb="FF7F7F7F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</fonts>
  <fills count="60">
    <fill>
      <patternFill patternType="none"/>
    </fill>
    <fill>
      <patternFill patternType="gray125"/>
    </fill>
    <fill>
      <patternFill patternType="solid">
        <fgColor rgb="FF92D050"/>
        <bgColor indexed="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0"/>
      </patternFill>
    </fill>
    <fill>
      <patternFill patternType="solid">
        <fgColor theme="4" tint="0.7999816888943144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54">
    <xf numFmtId="0" fontId="0" fillId="0" borderId="0"/>
    <xf numFmtId="9" fontId="11" fillId="0" borderId="0" applyFont="0" applyFill="0" applyBorder="0" applyAlignment="0" applyProtection="0"/>
    <xf numFmtId="0" fontId="12" fillId="0" borderId="0"/>
    <xf numFmtId="0" fontId="13" fillId="0" borderId="0" applyNumberFormat="0" applyFill="0" applyBorder="0" applyAlignment="0" applyProtection="0"/>
    <xf numFmtId="0" fontId="15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21" borderId="2" applyNumberFormat="0" applyAlignment="0" applyProtection="0"/>
    <xf numFmtId="0" fontId="19" fillId="21" borderId="2" applyNumberFormat="0" applyAlignment="0" applyProtection="0"/>
    <xf numFmtId="0" fontId="20" fillId="22" borderId="3" applyNumberFormat="0" applyAlignment="0" applyProtection="0"/>
    <xf numFmtId="0" fontId="20" fillId="22" borderId="3" applyNumberFormat="0" applyAlignment="0" applyProtection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8" borderId="2" applyNumberFormat="0" applyAlignment="0" applyProtection="0"/>
    <xf numFmtId="0" fontId="26" fillId="8" borderId="2" applyNumberFormat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24" borderId="1" applyNumberFormat="0" applyFont="0" applyAlignment="0" applyProtection="0"/>
    <xf numFmtId="0" fontId="15" fillId="24" borderId="1" applyNumberFormat="0" applyFont="0" applyAlignment="0" applyProtection="0"/>
    <xf numFmtId="0" fontId="29" fillId="21" borderId="8" applyNumberFormat="0" applyAlignment="0" applyProtection="0"/>
    <xf numFmtId="0" fontId="29" fillId="21" borderId="8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26" fillId="8" borderId="10" applyNumberFormat="0" applyAlignment="0" applyProtection="0"/>
    <xf numFmtId="0" fontId="26" fillId="8" borderId="10" applyNumberFormat="0" applyAlignment="0" applyProtection="0"/>
    <xf numFmtId="0" fontId="16" fillId="24" borderId="11" applyNumberFormat="0" applyFont="0" applyAlignment="0" applyProtection="0"/>
    <xf numFmtId="0" fontId="15" fillId="24" borderId="11" applyNumberFormat="0" applyFont="0" applyAlignment="0" applyProtection="0"/>
    <xf numFmtId="0" fontId="29" fillId="21" borderId="12" applyNumberFormat="0" applyAlignment="0" applyProtection="0"/>
    <xf numFmtId="0" fontId="29" fillId="21" borderId="12" applyNumberFormat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0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28" borderId="0" applyNumberFormat="0" applyBorder="0" applyAlignment="0" applyProtection="0"/>
    <xf numFmtId="0" fontId="48" fillId="29" borderId="0" applyNumberFormat="0" applyBorder="0" applyAlignment="0" applyProtection="0"/>
    <xf numFmtId="0" fontId="49" fillId="30" borderId="0" applyNumberFormat="0" applyBorder="0" applyAlignment="0" applyProtection="0"/>
    <xf numFmtId="0" fontId="50" fillId="31" borderId="24" applyNumberFormat="0" applyAlignment="0" applyProtection="0"/>
    <xf numFmtId="0" fontId="51" fillId="32" borderId="25" applyNumberFormat="0" applyAlignment="0" applyProtection="0"/>
    <xf numFmtId="0" fontId="52" fillId="32" borderId="24" applyNumberFormat="0" applyAlignment="0" applyProtection="0"/>
    <xf numFmtId="0" fontId="53" fillId="0" borderId="26" applyNumberFormat="0" applyFill="0" applyAlignment="0" applyProtection="0"/>
    <xf numFmtId="0" fontId="54" fillId="33" borderId="27" applyNumberFormat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29" applyNumberFormat="0" applyFill="0" applyAlignment="0" applyProtection="0"/>
    <xf numFmtId="0" fontId="58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58" fillId="46" borderId="0" applyNumberFormat="0" applyBorder="0" applyAlignment="0" applyProtection="0"/>
    <xf numFmtId="0" fontId="58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58" fillId="54" borderId="0" applyNumberFormat="0" applyBorder="0" applyAlignment="0" applyProtection="0"/>
    <xf numFmtId="0" fontId="58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58" fillId="58" borderId="0" applyNumberFormat="0" applyBorder="0" applyAlignment="0" applyProtection="0"/>
    <xf numFmtId="0" fontId="1" fillId="0" borderId="0"/>
    <xf numFmtId="0" fontId="1" fillId="34" borderId="28" applyNumberFormat="0" applyFont="0" applyAlignment="0" applyProtection="0"/>
  </cellStyleXfs>
  <cellXfs count="65">
    <xf numFmtId="0" fontId="0" fillId="0" borderId="0" xfId="0"/>
    <xf numFmtId="0" fontId="14" fillId="2" borderId="14" xfId="2" applyFont="1" applyFill="1" applyBorder="1" applyAlignment="1">
      <alignment horizontal="center" vertical="center" wrapText="1"/>
    </xf>
    <xf numFmtId="0" fontId="14" fillId="2" borderId="15" xfId="2" applyFont="1" applyFill="1" applyBorder="1" applyAlignment="1">
      <alignment horizontal="center" vertical="center" wrapText="1"/>
    </xf>
    <xf numFmtId="0" fontId="10" fillId="0" borderId="0" xfId="2003"/>
    <xf numFmtId="14" fontId="10" fillId="0" borderId="0" xfId="2003" applyNumberFormat="1"/>
    <xf numFmtId="0" fontId="10" fillId="0" borderId="0" xfId="2003" applyAlignment="1">
      <alignment vertical="center" wrapText="1"/>
    </xf>
    <xf numFmtId="9" fontId="10" fillId="0" borderId="0" xfId="1" applyFont="1"/>
    <xf numFmtId="0" fontId="33" fillId="0" borderId="0" xfId="2003" applyFont="1"/>
    <xf numFmtId="0" fontId="9" fillId="0" borderId="0" xfId="2004"/>
    <xf numFmtId="0" fontId="37" fillId="0" borderId="0" xfId="2004" applyFont="1"/>
    <xf numFmtId="0" fontId="36" fillId="0" borderId="17" xfId="2004" applyFont="1" applyBorder="1" applyAlignment="1">
      <alignment horizontal="center" vertical="center" wrapText="1"/>
    </xf>
    <xf numFmtId="0" fontId="36" fillId="0" borderId="17" xfId="2004" applyFont="1" applyFill="1" applyBorder="1" applyAlignment="1">
      <alignment horizontal="center" vertical="center" wrapText="1"/>
    </xf>
    <xf numFmtId="0" fontId="36" fillId="0" borderId="0" xfId="2004" applyFont="1"/>
    <xf numFmtId="0" fontId="9" fillId="0" borderId="17" xfId="2004" applyBorder="1"/>
    <xf numFmtId="0" fontId="9" fillId="0" borderId="17" xfId="2004" applyBorder="1" applyAlignment="1">
      <alignment horizontal="center" vertical="center"/>
    </xf>
    <xf numFmtId="9" fontId="0" fillId="0" borderId="17" xfId="2005" applyFont="1" applyBorder="1" applyAlignment="1">
      <alignment horizontal="center" vertical="center"/>
    </xf>
    <xf numFmtId="0" fontId="9" fillId="0" borderId="0" xfId="2003" applyFont="1" applyAlignment="1">
      <alignment vertical="center" wrapText="1"/>
    </xf>
    <xf numFmtId="0" fontId="8" fillId="0" borderId="17" xfId="2004" applyFont="1" applyBorder="1"/>
    <xf numFmtId="0" fontId="7" fillId="0" borderId="0" xfId="2003" applyFont="1" applyAlignment="1">
      <alignment vertical="center" wrapText="1"/>
    </xf>
    <xf numFmtId="0" fontId="7" fillId="0" borderId="0" xfId="2003" applyFont="1"/>
    <xf numFmtId="0" fontId="36" fillId="0" borderId="17" xfId="2004" applyFont="1" applyBorder="1" applyAlignment="1">
      <alignment horizontal="center" vertical="center"/>
    </xf>
    <xf numFmtId="0" fontId="12" fillId="25" borderId="18" xfId="2" applyFont="1" applyFill="1" applyBorder="1" applyAlignment="1">
      <alignment horizontal="center" vertical="center" wrapText="1"/>
    </xf>
    <xf numFmtId="44" fontId="6" fillId="0" borderId="0" xfId="2006" applyFont="1"/>
    <xf numFmtId="0" fontId="14" fillId="26" borderId="14" xfId="2" applyFont="1" applyFill="1" applyBorder="1" applyAlignment="1">
      <alignment horizontal="center" vertical="center" wrapText="1"/>
    </xf>
    <xf numFmtId="0" fontId="14" fillId="26" borderId="15" xfId="2" applyFont="1" applyFill="1" applyBorder="1" applyAlignment="1">
      <alignment horizontal="center" vertical="center" wrapText="1"/>
    </xf>
    <xf numFmtId="0" fontId="14" fillId="26" borderId="19" xfId="2" applyFont="1" applyFill="1" applyBorder="1" applyAlignment="1">
      <alignment horizontal="center" vertical="center" wrapText="1"/>
    </xf>
    <xf numFmtId="0" fontId="5" fillId="0" borderId="0" xfId="2007"/>
    <xf numFmtId="164" fontId="0" fillId="0" borderId="0" xfId="2008" applyNumberFormat="1" applyFont="1"/>
    <xf numFmtId="0" fontId="5" fillId="0" borderId="17" xfId="2007" applyBorder="1" applyAlignment="1">
      <alignment wrapText="1"/>
    </xf>
    <xf numFmtId="0" fontId="5" fillId="0" borderId="0" xfId="2007" applyAlignment="1">
      <alignment wrapText="1"/>
    </xf>
    <xf numFmtId="0" fontId="38" fillId="0" borderId="0" xfId="2007" applyFont="1" applyAlignment="1">
      <alignment vertical="center"/>
    </xf>
    <xf numFmtId="44" fontId="0" fillId="0" borderId="17" xfId="2009" applyFont="1" applyBorder="1" applyAlignment="1">
      <alignment wrapText="1"/>
    </xf>
    <xf numFmtId="0" fontId="38" fillId="0" borderId="0" xfId="2007" applyFont="1" applyAlignment="1">
      <alignment horizontal="left" vertical="center" indent="2"/>
    </xf>
    <xf numFmtId="0" fontId="39" fillId="0" borderId="0" xfId="2007" applyFont="1" applyAlignment="1">
      <alignment horizontal="left" vertical="center" indent="2"/>
    </xf>
    <xf numFmtId="0" fontId="40" fillId="0" borderId="0" xfId="2010"/>
    <xf numFmtId="0" fontId="41" fillId="0" borderId="0" xfId="2007" applyFont="1"/>
    <xf numFmtId="0" fontId="42" fillId="0" borderId="0" xfId="2007" applyFont="1" applyAlignment="1">
      <alignment vertical="center"/>
    </xf>
    <xf numFmtId="9" fontId="0" fillId="0" borderId="17" xfId="0" applyNumberFormat="1" applyBorder="1" applyAlignment="1">
      <alignment wrapText="1"/>
    </xf>
    <xf numFmtId="44" fontId="36" fillId="0" borderId="17" xfId="2007" applyNumberFormat="1" applyFont="1" applyBorder="1"/>
    <xf numFmtId="165" fontId="5" fillId="0" borderId="17" xfId="2011" applyNumberFormat="1" applyFont="1" applyBorder="1" applyAlignment="1">
      <alignment wrapText="1"/>
    </xf>
    <xf numFmtId="0" fontId="4" fillId="0" borderId="17" xfId="2007" applyFont="1" applyBorder="1" applyAlignment="1">
      <alignment wrapText="1"/>
    </xf>
    <xf numFmtId="0" fontId="3" fillId="0" borderId="0" xfId="2007" applyFont="1"/>
    <xf numFmtId="0" fontId="4" fillId="0" borderId="17" xfId="2007" applyFont="1" applyBorder="1"/>
    <xf numFmtId="0" fontId="3" fillId="0" borderId="17" xfId="2007" applyFont="1" applyBorder="1"/>
    <xf numFmtId="0" fontId="3" fillId="0" borderId="17" xfId="2007" applyFont="1" applyBorder="1" applyAlignment="1">
      <alignment wrapText="1"/>
    </xf>
    <xf numFmtId="165" fontId="5" fillId="0" borderId="17" xfId="2007" applyNumberFormat="1" applyBorder="1" applyAlignment="1">
      <alignment wrapText="1"/>
    </xf>
    <xf numFmtId="0" fontId="2" fillId="0" borderId="0" xfId="2007" applyFont="1"/>
    <xf numFmtId="0" fontId="2" fillId="0" borderId="17" xfId="2007" applyFont="1" applyBorder="1"/>
    <xf numFmtId="0" fontId="40" fillId="0" borderId="0" xfId="2010" applyAlignment="1">
      <alignment horizontal="left" vertical="center" indent="2"/>
    </xf>
    <xf numFmtId="0" fontId="3" fillId="0" borderId="0" xfId="2007" applyFont="1" applyBorder="1"/>
    <xf numFmtId="0" fontId="5" fillId="0" borderId="0" xfId="2007" applyBorder="1"/>
    <xf numFmtId="44" fontId="36" fillId="0" borderId="0" xfId="2007" applyNumberFormat="1" applyFont="1" applyBorder="1"/>
    <xf numFmtId="44" fontId="5" fillId="0" borderId="17" xfId="2006" applyFont="1" applyFill="1" applyBorder="1" applyAlignment="1">
      <alignment wrapText="1"/>
    </xf>
    <xf numFmtId="44" fontId="5" fillId="0" borderId="17" xfId="2006" applyFont="1" applyBorder="1" applyAlignment="1">
      <alignment wrapText="1"/>
    </xf>
    <xf numFmtId="44" fontId="5" fillId="0" borderId="0" xfId="2006" applyFont="1"/>
    <xf numFmtId="165" fontId="5" fillId="0" borderId="17" xfId="2011" applyNumberFormat="1" applyFont="1" applyFill="1" applyBorder="1" applyAlignment="1">
      <alignment wrapText="1"/>
    </xf>
    <xf numFmtId="166" fontId="10" fillId="0" borderId="0" xfId="2003" applyNumberFormat="1"/>
    <xf numFmtId="166" fontId="14" fillId="2" borderId="16" xfId="2" applyNumberFormat="1" applyFont="1" applyFill="1" applyBorder="1" applyAlignment="1">
      <alignment horizontal="center" vertical="center" wrapText="1"/>
    </xf>
    <xf numFmtId="9" fontId="10" fillId="0" borderId="0" xfId="1" applyNumberFormat="1" applyFont="1"/>
    <xf numFmtId="9" fontId="0" fillId="27" borderId="17" xfId="2005" applyFont="1" applyFill="1" applyBorder="1" applyAlignment="1">
      <alignment horizontal="center" vertical="center"/>
    </xf>
    <xf numFmtId="44" fontId="10" fillId="0" borderId="0" xfId="2003" applyNumberFormat="1"/>
    <xf numFmtId="0" fontId="2" fillId="27" borderId="17" xfId="2004" applyFont="1" applyFill="1" applyBorder="1"/>
    <xf numFmtId="0" fontId="0" fillId="59" borderId="0" xfId="0" applyFill="1"/>
    <xf numFmtId="0" fontId="2" fillId="0" borderId="20" xfId="2003" applyFont="1" applyBorder="1" applyAlignment="1">
      <alignment horizontal="center"/>
    </xf>
    <xf numFmtId="0" fontId="10" fillId="0" borderId="20" xfId="2003" applyBorder="1" applyAlignment="1">
      <alignment horizontal="center"/>
    </xf>
  </cellXfs>
  <cellStyles count="2054">
    <cellStyle name="20% - Accent1" xfId="2029" builtinId="30" customBuiltin="1"/>
    <cellStyle name="20% - Accent1 2" xfId="6"/>
    <cellStyle name="20% - Accent1 3" xfId="5"/>
    <cellStyle name="20% - Accent2" xfId="2033" builtinId="34" customBuiltin="1"/>
    <cellStyle name="20% - Accent2 2" xfId="8"/>
    <cellStyle name="20% - Accent2 3" xfId="7"/>
    <cellStyle name="20% - Accent3" xfId="2037" builtinId="38" customBuiltin="1"/>
    <cellStyle name="20% - Accent3 2" xfId="10"/>
    <cellStyle name="20% - Accent3 3" xfId="9"/>
    <cellStyle name="20% - Accent4" xfId="2041" builtinId="42" customBuiltin="1"/>
    <cellStyle name="20% - Accent4 2" xfId="12"/>
    <cellStyle name="20% - Accent4 3" xfId="11"/>
    <cellStyle name="20% - Accent5" xfId="2045" builtinId="46" customBuiltin="1"/>
    <cellStyle name="20% - Accent5 2" xfId="14"/>
    <cellStyle name="20% - Accent5 3" xfId="13"/>
    <cellStyle name="20% - Accent6" xfId="2049" builtinId="50" customBuiltin="1"/>
    <cellStyle name="20% - Accent6 2" xfId="16"/>
    <cellStyle name="20% - Accent6 3" xfId="15"/>
    <cellStyle name="40% - Accent1" xfId="2030" builtinId="31" customBuiltin="1"/>
    <cellStyle name="40% - Accent1 2" xfId="18"/>
    <cellStyle name="40% - Accent1 3" xfId="17"/>
    <cellStyle name="40% - Accent2" xfId="2034" builtinId="35" customBuiltin="1"/>
    <cellStyle name="40% - Accent2 2" xfId="20"/>
    <cellStyle name="40% - Accent2 3" xfId="19"/>
    <cellStyle name="40% - Accent3" xfId="2038" builtinId="39" customBuiltin="1"/>
    <cellStyle name="40% - Accent3 2" xfId="22"/>
    <cellStyle name="40% - Accent3 3" xfId="21"/>
    <cellStyle name="40% - Accent4" xfId="2042" builtinId="43" customBuiltin="1"/>
    <cellStyle name="40% - Accent4 2" xfId="24"/>
    <cellStyle name="40% - Accent4 3" xfId="23"/>
    <cellStyle name="40% - Accent5" xfId="2046" builtinId="47" customBuiltin="1"/>
    <cellStyle name="40% - Accent5 2" xfId="26"/>
    <cellStyle name="40% - Accent5 3" xfId="25"/>
    <cellStyle name="40% - Accent6" xfId="2050" builtinId="51" customBuiltin="1"/>
    <cellStyle name="40% - Accent6 2" xfId="28"/>
    <cellStyle name="40% - Accent6 3" xfId="27"/>
    <cellStyle name="60% - Accent1" xfId="2031" builtinId="32" customBuiltin="1"/>
    <cellStyle name="60% - Accent1 2" xfId="30"/>
    <cellStyle name="60% - Accent1 3" xfId="29"/>
    <cellStyle name="60% - Accent2" xfId="2035" builtinId="36" customBuiltin="1"/>
    <cellStyle name="60% - Accent2 2" xfId="32"/>
    <cellStyle name="60% - Accent2 3" xfId="31"/>
    <cellStyle name="60% - Accent3" xfId="2039" builtinId="40" customBuiltin="1"/>
    <cellStyle name="60% - Accent3 2" xfId="34"/>
    <cellStyle name="60% - Accent3 3" xfId="33"/>
    <cellStyle name="60% - Accent4" xfId="2043" builtinId="44" customBuiltin="1"/>
    <cellStyle name="60% - Accent4 2" xfId="36"/>
    <cellStyle name="60% - Accent4 3" xfId="35"/>
    <cellStyle name="60% - Accent5" xfId="2047" builtinId="48" customBuiltin="1"/>
    <cellStyle name="60% - Accent5 2" xfId="38"/>
    <cellStyle name="60% - Accent5 3" xfId="37"/>
    <cellStyle name="60% - Accent6" xfId="2051" builtinId="52" customBuiltin="1"/>
    <cellStyle name="60% - Accent6 2" xfId="40"/>
    <cellStyle name="60% - Accent6 3" xfId="39"/>
    <cellStyle name="Accent1" xfId="2028" builtinId="29" customBuiltin="1"/>
    <cellStyle name="Accent1 2" xfId="42"/>
    <cellStyle name="Accent1 3" xfId="41"/>
    <cellStyle name="Accent2" xfId="2032" builtinId="33" customBuiltin="1"/>
    <cellStyle name="Accent2 2" xfId="44"/>
    <cellStyle name="Accent2 3" xfId="43"/>
    <cellStyle name="Accent3" xfId="2036" builtinId="37" customBuiltin="1"/>
    <cellStyle name="Accent3 2" xfId="46"/>
    <cellStyle name="Accent3 3" xfId="45"/>
    <cellStyle name="Accent4" xfId="2040" builtinId="41" customBuiltin="1"/>
    <cellStyle name="Accent4 2" xfId="48"/>
    <cellStyle name="Accent4 3" xfId="47"/>
    <cellStyle name="Accent5" xfId="2044" builtinId="45" customBuiltin="1"/>
    <cellStyle name="Accent5 2" xfId="50"/>
    <cellStyle name="Accent5 3" xfId="49"/>
    <cellStyle name="Accent6" xfId="2048" builtinId="49" customBuiltin="1"/>
    <cellStyle name="Accent6 2" xfId="52"/>
    <cellStyle name="Accent6 3" xfId="51"/>
    <cellStyle name="Bad" xfId="2018" builtinId="27" customBuiltin="1"/>
    <cellStyle name="Bad 2" xfId="54"/>
    <cellStyle name="Bad 3" xfId="53"/>
    <cellStyle name="Calculation" xfId="2022" builtinId="22" customBuiltin="1"/>
    <cellStyle name="Calculation 2" xfId="56"/>
    <cellStyle name="Calculation 2 2" xfId="1994"/>
    <cellStyle name="Calculation 3" xfId="55"/>
    <cellStyle name="Calculation 4" xfId="1993"/>
    <cellStyle name="Check Cell" xfId="2024" builtinId="23" customBuiltin="1"/>
    <cellStyle name="Check Cell 2" xfId="58"/>
    <cellStyle name="Check Cell 3" xfId="57"/>
    <cellStyle name="Comma" xfId="2011" builtinId="3"/>
    <cellStyle name="Comma 2" xfId="59"/>
    <cellStyle name="Currency" xfId="2006" builtinId="4"/>
    <cellStyle name="Currency 2" xfId="61"/>
    <cellStyle name="Currency 3" xfId="60"/>
    <cellStyle name="Currency 4" xfId="2009"/>
    <cellStyle name="Explanatory Text" xfId="2026" builtinId="53" customBuiltin="1"/>
    <cellStyle name="Explanatory Text 2" xfId="63"/>
    <cellStyle name="Explanatory Text 3" xfId="62"/>
    <cellStyle name="Followed Hyperlink" xfId="3" builtinId="9" hidden="1"/>
    <cellStyle name="Good" xfId="2017" builtinId="26" customBuiltin="1"/>
    <cellStyle name="Good 2" xfId="65"/>
    <cellStyle name="Good 3" xfId="64"/>
    <cellStyle name="Heading 1" xfId="2013" builtinId="16" customBuiltin="1"/>
    <cellStyle name="Heading 1 2" xfId="67"/>
    <cellStyle name="Heading 1 3" xfId="66"/>
    <cellStyle name="Heading 2" xfId="2014" builtinId="17" customBuiltin="1"/>
    <cellStyle name="Heading 2 2" xfId="69"/>
    <cellStyle name="Heading 2 3" xfId="68"/>
    <cellStyle name="Heading 3" xfId="2015" builtinId="18" customBuiltin="1"/>
    <cellStyle name="Heading 3 2" xfId="71"/>
    <cellStyle name="Heading 3 3" xfId="70"/>
    <cellStyle name="Heading 4" xfId="2016" builtinId="19" customBuiltin="1"/>
    <cellStyle name="Heading 4 2" xfId="73"/>
    <cellStyle name="Heading 4 3" xfId="72"/>
    <cellStyle name="Hyperlink" xfId="2010" builtinId="8"/>
    <cellStyle name="Input" xfId="2020" builtinId="20" customBuiltin="1"/>
    <cellStyle name="Input 2" xfId="75"/>
    <cellStyle name="Input 2 2" xfId="1996"/>
    <cellStyle name="Input 3" xfId="74"/>
    <cellStyle name="Input 4" xfId="1995"/>
    <cellStyle name="Linked Cell" xfId="2023" builtinId="24" customBuiltin="1"/>
    <cellStyle name="Linked Cell 2" xfId="77"/>
    <cellStyle name="Linked Cell 3" xfId="76"/>
    <cellStyle name="Neutral" xfId="2019" builtinId="28" customBuiltin="1"/>
    <cellStyle name="Neutral 2" xfId="79"/>
    <cellStyle name="Neutral 3" xfId="78"/>
    <cellStyle name="Normal" xfId="0" builtinId="0"/>
    <cellStyle name="Normal 10" xfId="2003"/>
    <cellStyle name="Normal 11" xfId="2004"/>
    <cellStyle name="Normal 12" xfId="2007"/>
    <cellStyle name="Normal 13" xfId="2052"/>
    <cellStyle name="Normal 2" xfId="80"/>
    <cellStyle name="Normal 2 10" xfId="81"/>
    <cellStyle name="Normal 2 10 10" xfId="82"/>
    <cellStyle name="Normal 2 10 11" xfId="83"/>
    <cellStyle name="Normal 2 10 12" xfId="84"/>
    <cellStyle name="Normal 2 10 13" xfId="85"/>
    <cellStyle name="Normal 2 10 14" xfId="86"/>
    <cellStyle name="Normal 2 10 15" xfId="87"/>
    <cellStyle name="Normal 2 10 16" xfId="88"/>
    <cellStyle name="Normal 2 10 17" xfId="89"/>
    <cellStyle name="Normal 2 10 18" xfId="90"/>
    <cellStyle name="Normal 2 10 19" xfId="91"/>
    <cellStyle name="Normal 2 10 2" xfId="92"/>
    <cellStyle name="Normal 2 10 20" xfId="93"/>
    <cellStyle name="Normal 2 10 21" xfId="94"/>
    <cellStyle name="Normal 2 10 22" xfId="95"/>
    <cellStyle name="Normal 2 10 23" xfId="96"/>
    <cellStyle name="Normal 2 10 3" xfId="97"/>
    <cellStyle name="Normal 2 10 4" xfId="98"/>
    <cellStyle name="Normal 2 10 5" xfId="99"/>
    <cellStyle name="Normal 2 10 6" xfId="100"/>
    <cellStyle name="Normal 2 10 7" xfId="101"/>
    <cellStyle name="Normal 2 10 8" xfId="102"/>
    <cellStyle name="Normal 2 10 9" xfId="103"/>
    <cellStyle name="Normal 2 11" xfId="104"/>
    <cellStyle name="Normal 2 11 10" xfId="105"/>
    <cellStyle name="Normal 2 11 11" xfId="106"/>
    <cellStyle name="Normal 2 11 12" xfId="107"/>
    <cellStyle name="Normal 2 11 13" xfId="108"/>
    <cellStyle name="Normal 2 11 14" xfId="109"/>
    <cellStyle name="Normal 2 11 15" xfId="110"/>
    <cellStyle name="Normal 2 11 16" xfId="111"/>
    <cellStyle name="Normal 2 11 17" xfId="112"/>
    <cellStyle name="Normal 2 11 18" xfId="113"/>
    <cellStyle name="Normal 2 11 19" xfId="114"/>
    <cellStyle name="Normal 2 11 2" xfId="115"/>
    <cellStyle name="Normal 2 11 20" xfId="116"/>
    <cellStyle name="Normal 2 11 21" xfId="117"/>
    <cellStyle name="Normal 2 11 22" xfId="118"/>
    <cellStyle name="Normal 2 11 23" xfId="119"/>
    <cellStyle name="Normal 2 11 3" xfId="120"/>
    <cellStyle name="Normal 2 11 4" xfId="121"/>
    <cellStyle name="Normal 2 11 5" xfId="122"/>
    <cellStyle name="Normal 2 11 6" xfId="123"/>
    <cellStyle name="Normal 2 11 7" xfId="124"/>
    <cellStyle name="Normal 2 11 8" xfId="125"/>
    <cellStyle name="Normal 2 11 9" xfId="126"/>
    <cellStyle name="Normal 2 12" xfId="127"/>
    <cellStyle name="Normal 2 12 10" xfId="128"/>
    <cellStyle name="Normal 2 12 11" xfId="129"/>
    <cellStyle name="Normal 2 12 12" xfId="130"/>
    <cellStyle name="Normal 2 12 13" xfId="131"/>
    <cellStyle name="Normal 2 12 14" xfId="132"/>
    <cellStyle name="Normal 2 12 15" xfId="133"/>
    <cellStyle name="Normal 2 12 16" xfId="134"/>
    <cellStyle name="Normal 2 12 17" xfId="135"/>
    <cellStyle name="Normal 2 12 18" xfId="136"/>
    <cellStyle name="Normal 2 12 19" xfId="137"/>
    <cellStyle name="Normal 2 12 2" xfId="138"/>
    <cellStyle name="Normal 2 12 20" xfId="139"/>
    <cellStyle name="Normal 2 12 21" xfId="140"/>
    <cellStyle name="Normal 2 12 22" xfId="141"/>
    <cellStyle name="Normal 2 12 23" xfId="142"/>
    <cellStyle name="Normal 2 12 3" xfId="143"/>
    <cellStyle name="Normal 2 12 4" xfId="144"/>
    <cellStyle name="Normal 2 12 5" xfId="145"/>
    <cellStyle name="Normal 2 12 6" xfId="146"/>
    <cellStyle name="Normal 2 12 7" xfId="147"/>
    <cellStyle name="Normal 2 12 8" xfId="148"/>
    <cellStyle name="Normal 2 12 9" xfId="149"/>
    <cellStyle name="Normal 2 13" xfId="150"/>
    <cellStyle name="Normal 2 13 10" xfId="151"/>
    <cellStyle name="Normal 2 13 11" xfId="152"/>
    <cellStyle name="Normal 2 13 12" xfId="153"/>
    <cellStyle name="Normal 2 13 13" xfId="154"/>
    <cellStyle name="Normal 2 13 14" xfId="155"/>
    <cellStyle name="Normal 2 13 15" xfId="156"/>
    <cellStyle name="Normal 2 13 16" xfId="157"/>
    <cellStyle name="Normal 2 13 17" xfId="158"/>
    <cellStyle name="Normal 2 13 18" xfId="159"/>
    <cellStyle name="Normal 2 13 19" xfId="160"/>
    <cellStyle name="Normal 2 13 2" xfId="161"/>
    <cellStyle name="Normal 2 13 20" xfId="162"/>
    <cellStyle name="Normal 2 13 21" xfId="163"/>
    <cellStyle name="Normal 2 13 22" xfId="164"/>
    <cellStyle name="Normal 2 13 23" xfId="165"/>
    <cellStyle name="Normal 2 13 3" xfId="166"/>
    <cellStyle name="Normal 2 13 4" xfId="167"/>
    <cellStyle name="Normal 2 13 5" xfId="168"/>
    <cellStyle name="Normal 2 13 6" xfId="169"/>
    <cellStyle name="Normal 2 13 7" xfId="170"/>
    <cellStyle name="Normal 2 13 8" xfId="171"/>
    <cellStyle name="Normal 2 13 9" xfId="172"/>
    <cellStyle name="Normal 2 14" xfId="173"/>
    <cellStyle name="Normal 2 14 10" xfId="174"/>
    <cellStyle name="Normal 2 14 11" xfId="175"/>
    <cellStyle name="Normal 2 14 12" xfId="176"/>
    <cellStyle name="Normal 2 14 13" xfId="177"/>
    <cellStyle name="Normal 2 14 14" xfId="178"/>
    <cellStyle name="Normal 2 14 15" xfId="179"/>
    <cellStyle name="Normal 2 14 16" xfId="180"/>
    <cellStyle name="Normal 2 14 17" xfId="181"/>
    <cellStyle name="Normal 2 14 18" xfId="182"/>
    <cellStyle name="Normal 2 14 19" xfId="183"/>
    <cellStyle name="Normal 2 14 2" xfId="184"/>
    <cellStyle name="Normal 2 14 20" xfId="185"/>
    <cellStyle name="Normal 2 14 21" xfId="186"/>
    <cellStyle name="Normal 2 14 22" xfId="187"/>
    <cellStyle name="Normal 2 14 23" xfId="188"/>
    <cellStyle name="Normal 2 14 3" xfId="189"/>
    <cellStyle name="Normal 2 14 4" xfId="190"/>
    <cellStyle name="Normal 2 14 5" xfId="191"/>
    <cellStyle name="Normal 2 14 6" xfId="192"/>
    <cellStyle name="Normal 2 14 7" xfId="193"/>
    <cellStyle name="Normal 2 14 8" xfId="194"/>
    <cellStyle name="Normal 2 14 9" xfId="195"/>
    <cellStyle name="Normal 2 15" xfId="196"/>
    <cellStyle name="Normal 2 15 10" xfId="197"/>
    <cellStyle name="Normal 2 15 11" xfId="198"/>
    <cellStyle name="Normal 2 15 12" xfId="199"/>
    <cellStyle name="Normal 2 15 13" xfId="200"/>
    <cellStyle name="Normal 2 15 14" xfId="201"/>
    <cellStyle name="Normal 2 15 15" xfId="202"/>
    <cellStyle name="Normal 2 15 16" xfId="203"/>
    <cellStyle name="Normal 2 15 17" xfId="204"/>
    <cellStyle name="Normal 2 15 18" xfId="205"/>
    <cellStyle name="Normal 2 15 19" xfId="206"/>
    <cellStyle name="Normal 2 15 2" xfId="207"/>
    <cellStyle name="Normal 2 15 20" xfId="208"/>
    <cellStyle name="Normal 2 15 21" xfId="209"/>
    <cellStyle name="Normal 2 15 22" xfId="210"/>
    <cellStyle name="Normal 2 15 23" xfId="211"/>
    <cellStyle name="Normal 2 15 3" xfId="212"/>
    <cellStyle name="Normal 2 15 4" xfId="213"/>
    <cellStyle name="Normal 2 15 5" xfId="214"/>
    <cellStyle name="Normal 2 15 6" xfId="215"/>
    <cellStyle name="Normal 2 15 7" xfId="216"/>
    <cellStyle name="Normal 2 15 8" xfId="217"/>
    <cellStyle name="Normal 2 15 9" xfId="218"/>
    <cellStyle name="Normal 2 16" xfId="219"/>
    <cellStyle name="Normal 2 16 10" xfId="220"/>
    <cellStyle name="Normal 2 16 11" xfId="221"/>
    <cellStyle name="Normal 2 16 12" xfId="222"/>
    <cellStyle name="Normal 2 16 13" xfId="223"/>
    <cellStyle name="Normal 2 16 14" xfId="224"/>
    <cellStyle name="Normal 2 16 15" xfId="225"/>
    <cellStyle name="Normal 2 16 16" xfId="226"/>
    <cellStyle name="Normal 2 16 17" xfId="227"/>
    <cellStyle name="Normal 2 16 18" xfId="228"/>
    <cellStyle name="Normal 2 16 19" xfId="229"/>
    <cellStyle name="Normal 2 16 2" xfId="230"/>
    <cellStyle name="Normal 2 16 20" xfId="231"/>
    <cellStyle name="Normal 2 16 21" xfId="232"/>
    <cellStyle name="Normal 2 16 22" xfId="233"/>
    <cellStyle name="Normal 2 16 23" xfId="234"/>
    <cellStyle name="Normal 2 16 3" xfId="235"/>
    <cellStyle name="Normal 2 16 4" xfId="236"/>
    <cellStyle name="Normal 2 16 5" xfId="237"/>
    <cellStyle name="Normal 2 16 6" xfId="238"/>
    <cellStyle name="Normal 2 16 7" xfId="239"/>
    <cellStyle name="Normal 2 16 8" xfId="240"/>
    <cellStyle name="Normal 2 16 9" xfId="241"/>
    <cellStyle name="Normal 2 17" xfId="242"/>
    <cellStyle name="Normal 2 17 10" xfId="243"/>
    <cellStyle name="Normal 2 17 11" xfId="244"/>
    <cellStyle name="Normal 2 17 12" xfId="245"/>
    <cellStyle name="Normal 2 17 13" xfId="246"/>
    <cellStyle name="Normal 2 17 14" xfId="247"/>
    <cellStyle name="Normal 2 17 15" xfId="248"/>
    <cellStyle name="Normal 2 17 16" xfId="249"/>
    <cellStyle name="Normal 2 17 17" xfId="250"/>
    <cellStyle name="Normal 2 17 18" xfId="251"/>
    <cellStyle name="Normal 2 17 19" xfId="252"/>
    <cellStyle name="Normal 2 17 2" xfId="253"/>
    <cellStyle name="Normal 2 17 20" xfId="254"/>
    <cellStyle name="Normal 2 17 21" xfId="255"/>
    <cellStyle name="Normal 2 17 22" xfId="256"/>
    <cellStyle name="Normal 2 17 23" xfId="257"/>
    <cellStyle name="Normal 2 17 3" xfId="258"/>
    <cellStyle name="Normal 2 17 4" xfId="259"/>
    <cellStyle name="Normal 2 17 5" xfId="260"/>
    <cellStyle name="Normal 2 17 6" xfId="261"/>
    <cellStyle name="Normal 2 17 7" xfId="262"/>
    <cellStyle name="Normal 2 17 8" xfId="263"/>
    <cellStyle name="Normal 2 17 9" xfId="264"/>
    <cellStyle name="Normal 2 18" xfId="265"/>
    <cellStyle name="Normal 2 18 10" xfId="266"/>
    <cellStyle name="Normal 2 18 11" xfId="267"/>
    <cellStyle name="Normal 2 18 12" xfId="268"/>
    <cellStyle name="Normal 2 18 13" xfId="269"/>
    <cellStyle name="Normal 2 18 14" xfId="270"/>
    <cellStyle name="Normal 2 18 15" xfId="271"/>
    <cellStyle name="Normal 2 18 16" xfId="272"/>
    <cellStyle name="Normal 2 18 17" xfId="273"/>
    <cellStyle name="Normal 2 18 18" xfId="274"/>
    <cellStyle name="Normal 2 18 19" xfId="275"/>
    <cellStyle name="Normal 2 18 2" xfId="276"/>
    <cellStyle name="Normal 2 18 20" xfId="277"/>
    <cellStyle name="Normal 2 18 21" xfId="278"/>
    <cellStyle name="Normal 2 18 22" xfId="279"/>
    <cellStyle name="Normal 2 18 23" xfId="280"/>
    <cellStyle name="Normal 2 18 3" xfId="281"/>
    <cellStyle name="Normal 2 18 4" xfId="282"/>
    <cellStyle name="Normal 2 18 5" xfId="283"/>
    <cellStyle name="Normal 2 18 6" xfId="284"/>
    <cellStyle name="Normal 2 18 7" xfId="285"/>
    <cellStyle name="Normal 2 18 8" xfId="286"/>
    <cellStyle name="Normal 2 18 9" xfId="287"/>
    <cellStyle name="Normal 2 19" xfId="288"/>
    <cellStyle name="Normal 2 19 10" xfId="289"/>
    <cellStyle name="Normal 2 19 11" xfId="290"/>
    <cellStyle name="Normal 2 19 12" xfId="291"/>
    <cellStyle name="Normal 2 19 13" xfId="292"/>
    <cellStyle name="Normal 2 19 14" xfId="293"/>
    <cellStyle name="Normal 2 19 15" xfId="294"/>
    <cellStyle name="Normal 2 19 16" xfId="295"/>
    <cellStyle name="Normal 2 19 17" xfId="296"/>
    <cellStyle name="Normal 2 19 18" xfId="297"/>
    <cellStyle name="Normal 2 19 19" xfId="298"/>
    <cellStyle name="Normal 2 19 2" xfId="299"/>
    <cellStyle name="Normal 2 19 20" xfId="300"/>
    <cellStyle name="Normal 2 19 21" xfId="301"/>
    <cellStyle name="Normal 2 19 22" xfId="302"/>
    <cellStyle name="Normal 2 19 23" xfId="303"/>
    <cellStyle name="Normal 2 19 3" xfId="304"/>
    <cellStyle name="Normal 2 19 4" xfId="305"/>
    <cellStyle name="Normal 2 19 5" xfId="306"/>
    <cellStyle name="Normal 2 19 6" xfId="307"/>
    <cellStyle name="Normal 2 19 7" xfId="308"/>
    <cellStyle name="Normal 2 19 8" xfId="309"/>
    <cellStyle name="Normal 2 19 9" xfId="310"/>
    <cellStyle name="Normal 2 2" xfId="311"/>
    <cellStyle name="Normal 2 20" xfId="312"/>
    <cellStyle name="Normal 2 20 10" xfId="313"/>
    <cellStyle name="Normal 2 20 11" xfId="314"/>
    <cellStyle name="Normal 2 20 12" xfId="315"/>
    <cellStyle name="Normal 2 20 13" xfId="316"/>
    <cellStyle name="Normal 2 20 14" xfId="317"/>
    <cellStyle name="Normal 2 20 15" xfId="318"/>
    <cellStyle name="Normal 2 20 16" xfId="319"/>
    <cellStyle name="Normal 2 20 17" xfId="320"/>
    <cellStyle name="Normal 2 20 18" xfId="321"/>
    <cellStyle name="Normal 2 20 19" xfId="322"/>
    <cellStyle name="Normal 2 20 2" xfId="323"/>
    <cellStyle name="Normal 2 20 20" xfId="324"/>
    <cellStyle name="Normal 2 20 21" xfId="325"/>
    <cellStyle name="Normal 2 20 22" xfId="326"/>
    <cellStyle name="Normal 2 20 23" xfId="327"/>
    <cellStyle name="Normal 2 20 3" xfId="328"/>
    <cellStyle name="Normal 2 20 4" xfId="329"/>
    <cellStyle name="Normal 2 20 5" xfId="330"/>
    <cellStyle name="Normal 2 20 6" xfId="331"/>
    <cellStyle name="Normal 2 20 7" xfId="332"/>
    <cellStyle name="Normal 2 20 8" xfId="333"/>
    <cellStyle name="Normal 2 20 9" xfId="334"/>
    <cellStyle name="Normal 2 21" xfId="335"/>
    <cellStyle name="Normal 2 21 10" xfId="336"/>
    <cellStyle name="Normal 2 21 11" xfId="337"/>
    <cellStyle name="Normal 2 21 12" xfId="338"/>
    <cellStyle name="Normal 2 21 13" xfId="339"/>
    <cellStyle name="Normal 2 21 14" xfId="340"/>
    <cellStyle name="Normal 2 21 15" xfId="341"/>
    <cellStyle name="Normal 2 21 16" xfId="342"/>
    <cellStyle name="Normal 2 21 17" xfId="343"/>
    <cellStyle name="Normal 2 21 18" xfId="344"/>
    <cellStyle name="Normal 2 21 19" xfId="345"/>
    <cellStyle name="Normal 2 21 2" xfId="346"/>
    <cellStyle name="Normal 2 21 20" xfId="347"/>
    <cellStyle name="Normal 2 21 21" xfId="348"/>
    <cellStyle name="Normal 2 21 22" xfId="349"/>
    <cellStyle name="Normal 2 21 23" xfId="350"/>
    <cellStyle name="Normal 2 21 3" xfId="351"/>
    <cellStyle name="Normal 2 21 4" xfId="352"/>
    <cellStyle name="Normal 2 21 5" xfId="353"/>
    <cellStyle name="Normal 2 21 6" xfId="354"/>
    <cellStyle name="Normal 2 21 7" xfId="355"/>
    <cellStyle name="Normal 2 21 8" xfId="356"/>
    <cellStyle name="Normal 2 21 9" xfId="357"/>
    <cellStyle name="Normal 2 22" xfId="358"/>
    <cellStyle name="Normal 2 22 10" xfId="359"/>
    <cellStyle name="Normal 2 22 11" xfId="360"/>
    <cellStyle name="Normal 2 22 12" xfId="361"/>
    <cellStyle name="Normal 2 22 13" xfId="362"/>
    <cellStyle name="Normal 2 22 14" xfId="363"/>
    <cellStyle name="Normal 2 22 15" xfId="364"/>
    <cellStyle name="Normal 2 22 16" xfId="365"/>
    <cellStyle name="Normal 2 22 17" xfId="366"/>
    <cellStyle name="Normal 2 22 18" xfId="367"/>
    <cellStyle name="Normal 2 22 19" xfId="368"/>
    <cellStyle name="Normal 2 22 2" xfId="369"/>
    <cellStyle name="Normal 2 22 20" xfId="370"/>
    <cellStyle name="Normal 2 22 21" xfId="371"/>
    <cellStyle name="Normal 2 22 22" xfId="372"/>
    <cellStyle name="Normal 2 22 23" xfId="373"/>
    <cellStyle name="Normal 2 22 3" xfId="374"/>
    <cellStyle name="Normal 2 22 4" xfId="375"/>
    <cellStyle name="Normal 2 22 5" xfId="376"/>
    <cellStyle name="Normal 2 22 6" xfId="377"/>
    <cellStyle name="Normal 2 22 7" xfId="378"/>
    <cellStyle name="Normal 2 22 8" xfId="379"/>
    <cellStyle name="Normal 2 22 9" xfId="380"/>
    <cellStyle name="Normal 2 23" xfId="381"/>
    <cellStyle name="Normal 2 23 10" xfId="382"/>
    <cellStyle name="Normal 2 23 11" xfId="383"/>
    <cellStyle name="Normal 2 23 12" xfId="384"/>
    <cellStyle name="Normal 2 23 13" xfId="385"/>
    <cellStyle name="Normal 2 23 14" xfId="386"/>
    <cellStyle name="Normal 2 23 15" xfId="387"/>
    <cellStyle name="Normal 2 23 16" xfId="388"/>
    <cellStyle name="Normal 2 23 17" xfId="389"/>
    <cellStyle name="Normal 2 23 18" xfId="390"/>
    <cellStyle name="Normal 2 23 19" xfId="391"/>
    <cellStyle name="Normal 2 23 2" xfId="392"/>
    <cellStyle name="Normal 2 23 20" xfId="393"/>
    <cellStyle name="Normal 2 23 21" xfId="394"/>
    <cellStyle name="Normal 2 23 22" xfId="395"/>
    <cellStyle name="Normal 2 23 23" xfId="396"/>
    <cellStyle name="Normal 2 23 3" xfId="397"/>
    <cellStyle name="Normal 2 23 4" xfId="398"/>
    <cellStyle name="Normal 2 23 5" xfId="399"/>
    <cellStyle name="Normal 2 23 6" xfId="400"/>
    <cellStyle name="Normal 2 23 7" xfId="401"/>
    <cellStyle name="Normal 2 23 8" xfId="402"/>
    <cellStyle name="Normal 2 23 9" xfId="403"/>
    <cellStyle name="Normal 2 24" xfId="404"/>
    <cellStyle name="Normal 2 24 10" xfId="405"/>
    <cellStyle name="Normal 2 24 11" xfId="406"/>
    <cellStyle name="Normal 2 24 12" xfId="407"/>
    <cellStyle name="Normal 2 24 13" xfId="408"/>
    <cellStyle name="Normal 2 24 14" xfId="409"/>
    <cellStyle name="Normal 2 24 15" xfId="410"/>
    <cellStyle name="Normal 2 24 16" xfId="411"/>
    <cellStyle name="Normal 2 24 17" xfId="412"/>
    <cellStyle name="Normal 2 24 18" xfId="413"/>
    <cellStyle name="Normal 2 24 19" xfId="414"/>
    <cellStyle name="Normal 2 24 2" xfId="415"/>
    <cellStyle name="Normal 2 24 20" xfId="416"/>
    <cellStyle name="Normal 2 24 21" xfId="417"/>
    <cellStyle name="Normal 2 24 22" xfId="418"/>
    <cellStyle name="Normal 2 24 23" xfId="419"/>
    <cellStyle name="Normal 2 24 3" xfId="420"/>
    <cellStyle name="Normal 2 24 4" xfId="421"/>
    <cellStyle name="Normal 2 24 5" xfId="422"/>
    <cellStyle name="Normal 2 24 6" xfId="423"/>
    <cellStyle name="Normal 2 24 7" xfId="424"/>
    <cellStyle name="Normal 2 24 8" xfId="425"/>
    <cellStyle name="Normal 2 24 9" xfId="426"/>
    <cellStyle name="Normal 2 25" xfId="427"/>
    <cellStyle name="Normal 2 25 10" xfId="428"/>
    <cellStyle name="Normal 2 25 11" xfId="429"/>
    <cellStyle name="Normal 2 25 12" xfId="430"/>
    <cellStyle name="Normal 2 25 13" xfId="431"/>
    <cellStyle name="Normal 2 25 14" xfId="432"/>
    <cellStyle name="Normal 2 25 15" xfId="433"/>
    <cellStyle name="Normal 2 25 16" xfId="434"/>
    <cellStyle name="Normal 2 25 17" xfId="435"/>
    <cellStyle name="Normal 2 25 18" xfId="436"/>
    <cellStyle name="Normal 2 25 19" xfId="437"/>
    <cellStyle name="Normal 2 25 2" xfId="438"/>
    <cellStyle name="Normal 2 25 20" xfId="439"/>
    <cellStyle name="Normal 2 25 21" xfId="440"/>
    <cellStyle name="Normal 2 25 22" xfId="441"/>
    <cellStyle name="Normal 2 25 23" xfId="442"/>
    <cellStyle name="Normal 2 25 3" xfId="443"/>
    <cellStyle name="Normal 2 25 4" xfId="444"/>
    <cellStyle name="Normal 2 25 5" xfId="445"/>
    <cellStyle name="Normal 2 25 6" xfId="446"/>
    <cellStyle name="Normal 2 25 7" xfId="447"/>
    <cellStyle name="Normal 2 25 8" xfId="448"/>
    <cellStyle name="Normal 2 25 9" xfId="449"/>
    <cellStyle name="Normal 2 26" xfId="450"/>
    <cellStyle name="Normal 2 26 10" xfId="451"/>
    <cellStyle name="Normal 2 26 11" xfId="452"/>
    <cellStyle name="Normal 2 26 12" xfId="453"/>
    <cellStyle name="Normal 2 26 13" xfId="454"/>
    <cellStyle name="Normal 2 26 14" xfId="455"/>
    <cellStyle name="Normal 2 26 15" xfId="456"/>
    <cellStyle name="Normal 2 26 16" xfId="457"/>
    <cellStyle name="Normal 2 26 17" xfId="458"/>
    <cellStyle name="Normal 2 26 18" xfId="459"/>
    <cellStyle name="Normal 2 26 19" xfId="460"/>
    <cellStyle name="Normal 2 26 2" xfId="461"/>
    <cellStyle name="Normal 2 26 20" xfId="462"/>
    <cellStyle name="Normal 2 26 21" xfId="463"/>
    <cellStyle name="Normal 2 26 22" xfId="464"/>
    <cellStyle name="Normal 2 26 23" xfId="465"/>
    <cellStyle name="Normal 2 26 3" xfId="466"/>
    <cellStyle name="Normal 2 26 4" xfId="467"/>
    <cellStyle name="Normal 2 26 5" xfId="468"/>
    <cellStyle name="Normal 2 26 6" xfId="469"/>
    <cellStyle name="Normal 2 26 7" xfId="470"/>
    <cellStyle name="Normal 2 26 8" xfId="471"/>
    <cellStyle name="Normal 2 26 9" xfId="472"/>
    <cellStyle name="Normal 2 27" xfId="473"/>
    <cellStyle name="Normal 2 27 10" xfId="474"/>
    <cellStyle name="Normal 2 27 11" xfId="475"/>
    <cellStyle name="Normal 2 27 12" xfId="476"/>
    <cellStyle name="Normal 2 27 13" xfId="477"/>
    <cellStyle name="Normal 2 27 14" xfId="478"/>
    <cellStyle name="Normal 2 27 15" xfId="479"/>
    <cellStyle name="Normal 2 27 16" xfId="480"/>
    <cellStyle name="Normal 2 27 17" xfId="481"/>
    <cellStyle name="Normal 2 27 18" xfId="482"/>
    <cellStyle name="Normal 2 27 19" xfId="483"/>
    <cellStyle name="Normal 2 27 2" xfId="484"/>
    <cellStyle name="Normal 2 27 20" xfId="485"/>
    <cellStyle name="Normal 2 27 21" xfId="486"/>
    <cellStyle name="Normal 2 27 22" xfId="487"/>
    <cellStyle name="Normal 2 27 23" xfId="488"/>
    <cellStyle name="Normal 2 27 3" xfId="489"/>
    <cellStyle name="Normal 2 27 4" xfId="490"/>
    <cellStyle name="Normal 2 27 5" xfId="491"/>
    <cellStyle name="Normal 2 27 6" xfId="492"/>
    <cellStyle name="Normal 2 27 7" xfId="493"/>
    <cellStyle name="Normal 2 27 8" xfId="494"/>
    <cellStyle name="Normal 2 27 9" xfId="495"/>
    <cellStyle name="Normal 2 28" xfId="496"/>
    <cellStyle name="Normal 2 28 10" xfId="497"/>
    <cellStyle name="Normal 2 28 11" xfId="498"/>
    <cellStyle name="Normal 2 28 12" xfId="499"/>
    <cellStyle name="Normal 2 28 13" xfId="500"/>
    <cellStyle name="Normal 2 28 14" xfId="501"/>
    <cellStyle name="Normal 2 28 15" xfId="502"/>
    <cellStyle name="Normal 2 28 16" xfId="503"/>
    <cellStyle name="Normal 2 28 17" xfId="504"/>
    <cellStyle name="Normal 2 28 18" xfId="505"/>
    <cellStyle name="Normal 2 28 19" xfId="506"/>
    <cellStyle name="Normal 2 28 2" xfId="507"/>
    <cellStyle name="Normal 2 28 20" xfId="508"/>
    <cellStyle name="Normal 2 28 21" xfId="509"/>
    <cellStyle name="Normal 2 28 22" xfId="510"/>
    <cellStyle name="Normal 2 28 23" xfId="511"/>
    <cellStyle name="Normal 2 28 3" xfId="512"/>
    <cellStyle name="Normal 2 28 4" xfId="513"/>
    <cellStyle name="Normal 2 28 5" xfId="514"/>
    <cellStyle name="Normal 2 28 6" xfId="515"/>
    <cellStyle name="Normal 2 28 7" xfId="516"/>
    <cellStyle name="Normal 2 28 8" xfId="517"/>
    <cellStyle name="Normal 2 28 9" xfId="518"/>
    <cellStyle name="Normal 2 29" xfId="519"/>
    <cellStyle name="Normal 2 29 10" xfId="520"/>
    <cellStyle name="Normal 2 29 11" xfId="521"/>
    <cellStyle name="Normal 2 29 12" xfId="522"/>
    <cellStyle name="Normal 2 29 13" xfId="523"/>
    <cellStyle name="Normal 2 29 14" xfId="524"/>
    <cellStyle name="Normal 2 29 15" xfId="525"/>
    <cellStyle name="Normal 2 29 16" xfId="526"/>
    <cellStyle name="Normal 2 29 17" xfId="527"/>
    <cellStyle name="Normal 2 29 18" xfId="528"/>
    <cellStyle name="Normal 2 29 19" xfId="529"/>
    <cellStyle name="Normal 2 29 2" xfId="530"/>
    <cellStyle name="Normal 2 29 20" xfId="531"/>
    <cellStyle name="Normal 2 29 21" xfId="532"/>
    <cellStyle name="Normal 2 29 22" xfId="533"/>
    <cellStyle name="Normal 2 29 23" xfId="534"/>
    <cellStyle name="Normal 2 29 3" xfId="535"/>
    <cellStyle name="Normal 2 29 4" xfId="536"/>
    <cellStyle name="Normal 2 29 5" xfId="537"/>
    <cellStyle name="Normal 2 29 6" xfId="538"/>
    <cellStyle name="Normal 2 29 7" xfId="539"/>
    <cellStyle name="Normal 2 29 8" xfId="540"/>
    <cellStyle name="Normal 2 29 9" xfId="541"/>
    <cellStyle name="Normal 2 3" xfId="542"/>
    <cellStyle name="Normal 2 30" xfId="543"/>
    <cellStyle name="Normal 2 30 10" xfId="544"/>
    <cellStyle name="Normal 2 30 11" xfId="545"/>
    <cellStyle name="Normal 2 30 12" xfId="546"/>
    <cellStyle name="Normal 2 30 13" xfId="547"/>
    <cellStyle name="Normal 2 30 14" xfId="548"/>
    <cellStyle name="Normal 2 30 15" xfId="549"/>
    <cellStyle name="Normal 2 30 16" xfId="550"/>
    <cellStyle name="Normal 2 30 17" xfId="551"/>
    <cellStyle name="Normal 2 30 18" xfId="552"/>
    <cellStyle name="Normal 2 30 19" xfId="553"/>
    <cellStyle name="Normal 2 30 2" xfId="554"/>
    <cellStyle name="Normal 2 30 20" xfId="555"/>
    <cellStyle name="Normal 2 30 21" xfId="556"/>
    <cellStyle name="Normal 2 30 22" xfId="557"/>
    <cellStyle name="Normal 2 30 23" xfId="558"/>
    <cellStyle name="Normal 2 30 3" xfId="559"/>
    <cellStyle name="Normal 2 30 4" xfId="560"/>
    <cellStyle name="Normal 2 30 5" xfId="561"/>
    <cellStyle name="Normal 2 30 6" xfId="562"/>
    <cellStyle name="Normal 2 30 7" xfId="563"/>
    <cellStyle name="Normal 2 30 8" xfId="564"/>
    <cellStyle name="Normal 2 30 9" xfId="565"/>
    <cellStyle name="Normal 2 31" xfId="566"/>
    <cellStyle name="Normal 2 31 10" xfId="567"/>
    <cellStyle name="Normal 2 31 11" xfId="568"/>
    <cellStyle name="Normal 2 31 12" xfId="569"/>
    <cellStyle name="Normal 2 31 13" xfId="570"/>
    <cellStyle name="Normal 2 31 14" xfId="571"/>
    <cellStyle name="Normal 2 31 15" xfId="572"/>
    <cellStyle name="Normal 2 31 16" xfId="573"/>
    <cellStyle name="Normal 2 31 17" xfId="574"/>
    <cellStyle name="Normal 2 31 18" xfId="575"/>
    <cellStyle name="Normal 2 31 19" xfId="576"/>
    <cellStyle name="Normal 2 31 2" xfId="577"/>
    <cellStyle name="Normal 2 31 20" xfId="578"/>
    <cellStyle name="Normal 2 31 21" xfId="579"/>
    <cellStyle name="Normal 2 31 22" xfId="580"/>
    <cellStyle name="Normal 2 31 23" xfId="581"/>
    <cellStyle name="Normal 2 31 3" xfId="582"/>
    <cellStyle name="Normal 2 31 4" xfId="583"/>
    <cellStyle name="Normal 2 31 5" xfId="584"/>
    <cellStyle name="Normal 2 31 6" xfId="585"/>
    <cellStyle name="Normal 2 31 7" xfId="586"/>
    <cellStyle name="Normal 2 31 8" xfId="587"/>
    <cellStyle name="Normal 2 31 9" xfId="588"/>
    <cellStyle name="Normal 2 32" xfId="589"/>
    <cellStyle name="Normal 2 32 10" xfId="590"/>
    <cellStyle name="Normal 2 32 11" xfId="591"/>
    <cellStyle name="Normal 2 32 12" xfId="592"/>
    <cellStyle name="Normal 2 32 13" xfId="593"/>
    <cellStyle name="Normal 2 32 14" xfId="594"/>
    <cellStyle name="Normal 2 32 15" xfId="595"/>
    <cellStyle name="Normal 2 32 16" xfId="596"/>
    <cellStyle name="Normal 2 32 17" xfId="597"/>
    <cellStyle name="Normal 2 32 18" xfId="598"/>
    <cellStyle name="Normal 2 32 19" xfId="599"/>
    <cellStyle name="Normal 2 32 2" xfId="600"/>
    <cellStyle name="Normal 2 32 20" xfId="601"/>
    <cellStyle name="Normal 2 32 21" xfId="602"/>
    <cellStyle name="Normal 2 32 22" xfId="603"/>
    <cellStyle name="Normal 2 32 23" xfId="604"/>
    <cellStyle name="Normal 2 32 3" xfId="605"/>
    <cellStyle name="Normal 2 32 4" xfId="606"/>
    <cellStyle name="Normal 2 32 5" xfId="607"/>
    <cellStyle name="Normal 2 32 6" xfId="608"/>
    <cellStyle name="Normal 2 32 7" xfId="609"/>
    <cellStyle name="Normal 2 32 8" xfId="610"/>
    <cellStyle name="Normal 2 32 9" xfId="611"/>
    <cellStyle name="Normal 2 33" xfId="612"/>
    <cellStyle name="Normal 2 33 10" xfId="613"/>
    <cellStyle name="Normal 2 33 11" xfId="614"/>
    <cellStyle name="Normal 2 33 12" xfId="615"/>
    <cellStyle name="Normal 2 33 13" xfId="616"/>
    <cellStyle name="Normal 2 33 14" xfId="617"/>
    <cellStyle name="Normal 2 33 15" xfId="618"/>
    <cellStyle name="Normal 2 33 16" xfId="619"/>
    <cellStyle name="Normal 2 33 17" xfId="620"/>
    <cellStyle name="Normal 2 33 18" xfId="621"/>
    <cellStyle name="Normal 2 33 19" xfId="622"/>
    <cellStyle name="Normal 2 33 2" xfId="623"/>
    <cellStyle name="Normal 2 33 20" xfId="624"/>
    <cellStyle name="Normal 2 33 21" xfId="625"/>
    <cellStyle name="Normal 2 33 22" xfId="626"/>
    <cellStyle name="Normal 2 33 23" xfId="627"/>
    <cellStyle name="Normal 2 33 3" xfId="628"/>
    <cellStyle name="Normal 2 33 4" xfId="629"/>
    <cellStyle name="Normal 2 33 5" xfId="630"/>
    <cellStyle name="Normal 2 33 6" xfId="631"/>
    <cellStyle name="Normal 2 33 7" xfId="632"/>
    <cellStyle name="Normal 2 33 8" xfId="633"/>
    <cellStyle name="Normal 2 33 9" xfId="634"/>
    <cellStyle name="Normal 2 34" xfId="635"/>
    <cellStyle name="Normal 2 34 10" xfId="636"/>
    <cellStyle name="Normal 2 34 11" xfId="637"/>
    <cellStyle name="Normal 2 34 12" xfId="638"/>
    <cellStyle name="Normal 2 34 13" xfId="639"/>
    <cellStyle name="Normal 2 34 14" xfId="640"/>
    <cellStyle name="Normal 2 34 15" xfId="641"/>
    <cellStyle name="Normal 2 34 16" xfId="642"/>
    <cellStyle name="Normal 2 34 17" xfId="643"/>
    <cellStyle name="Normal 2 34 18" xfId="644"/>
    <cellStyle name="Normal 2 34 19" xfId="645"/>
    <cellStyle name="Normal 2 34 2" xfId="646"/>
    <cellStyle name="Normal 2 34 20" xfId="647"/>
    <cellStyle name="Normal 2 34 21" xfId="648"/>
    <cellStyle name="Normal 2 34 22" xfId="649"/>
    <cellStyle name="Normal 2 34 23" xfId="650"/>
    <cellStyle name="Normal 2 34 3" xfId="651"/>
    <cellStyle name="Normal 2 34 4" xfId="652"/>
    <cellStyle name="Normal 2 34 5" xfId="653"/>
    <cellStyle name="Normal 2 34 6" xfId="654"/>
    <cellStyle name="Normal 2 34 7" xfId="655"/>
    <cellStyle name="Normal 2 34 8" xfId="656"/>
    <cellStyle name="Normal 2 34 9" xfId="657"/>
    <cellStyle name="Normal 2 35" xfId="658"/>
    <cellStyle name="Normal 2 35 10" xfId="659"/>
    <cellStyle name="Normal 2 35 11" xfId="660"/>
    <cellStyle name="Normal 2 35 12" xfId="661"/>
    <cellStyle name="Normal 2 35 13" xfId="662"/>
    <cellStyle name="Normal 2 35 14" xfId="663"/>
    <cellStyle name="Normal 2 35 15" xfId="664"/>
    <cellStyle name="Normal 2 35 16" xfId="665"/>
    <cellStyle name="Normal 2 35 17" xfId="666"/>
    <cellStyle name="Normal 2 35 18" xfId="667"/>
    <cellStyle name="Normal 2 35 19" xfId="668"/>
    <cellStyle name="Normal 2 35 2" xfId="669"/>
    <cellStyle name="Normal 2 35 20" xfId="670"/>
    <cellStyle name="Normal 2 35 21" xfId="671"/>
    <cellStyle name="Normal 2 35 22" xfId="672"/>
    <cellStyle name="Normal 2 35 23" xfId="673"/>
    <cellStyle name="Normal 2 35 3" xfId="674"/>
    <cellStyle name="Normal 2 35 4" xfId="675"/>
    <cellStyle name="Normal 2 35 5" xfId="676"/>
    <cellStyle name="Normal 2 35 6" xfId="677"/>
    <cellStyle name="Normal 2 35 7" xfId="678"/>
    <cellStyle name="Normal 2 35 8" xfId="679"/>
    <cellStyle name="Normal 2 35 9" xfId="680"/>
    <cellStyle name="Normal 2 36" xfId="681"/>
    <cellStyle name="Normal 2 36 10" xfId="682"/>
    <cellStyle name="Normal 2 36 11" xfId="683"/>
    <cellStyle name="Normal 2 36 12" xfId="684"/>
    <cellStyle name="Normal 2 36 13" xfId="685"/>
    <cellStyle name="Normal 2 36 14" xfId="686"/>
    <cellStyle name="Normal 2 36 15" xfId="687"/>
    <cellStyle name="Normal 2 36 16" xfId="688"/>
    <cellStyle name="Normal 2 36 17" xfId="689"/>
    <cellStyle name="Normal 2 36 18" xfId="690"/>
    <cellStyle name="Normal 2 36 19" xfId="691"/>
    <cellStyle name="Normal 2 36 2" xfId="692"/>
    <cellStyle name="Normal 2 36 20" xfId="693"/>
    <cellStyle name="Normal 2 36 21" xfId="694"/>
    <cellStyle name="Normal 2 36 22" xfId="695"/>
    <cellStyle name="Normal 2 36 23" xfId="696"/>
    <cellStyle name="Normal 2 36 3" xfId="697"/>
    <cellStyle name="Normal 2 36 4" xfId="698"/>
    <cellStyle name="Normal 2 36 5" xfId="699"/>
    <cellStyle name="Normal 2 36 6" xfId="700"/>
    <cellStyle name="Normal 2 36 7" xfId="701"/>
    <cellStyle name="Normal 2 36 8" xfId="702"/>
    <cellStyle name="Normal 2 36 9" xfId="703"/>
    <cellStyle name="Normal 2 37" xfId="704"/>
    <cellStyle name="Normal 2 37 10" xfId="705"/>
    <cellStyle name="Normal 2 37 11" xfId="706"/>
    <cellStyle name="Normal 2 37 12" xfId="707"/>
    <cellStyle name="Normal 2 37 13" xfId="708"/>
    <cellStyle name="Normal 2 37 14" xfId="709"/>
    <cellStyle name="Normal 2 37 15" xfId="710"/>
    <cellStyle name="Normal 2 37 16" xfId="711"/>
    <cellStyle name="Normal 2 37 17" xfId="712"/>
    <cellStyle name="Normal 2 37 18" xfId="713"/>
    <cellStyle name="Normal 2 37 19" xfId="714"/>
    <cellStyle name="Normal 2 37 2" xfId="715"/>
    <cellStyle name="Normal 2 37 20" xfId="716"/>
    <cellStyle name="Normal 2 37 21" xfId="717"/>
    <cellStyle name="Normal 2 37 22" xfId="718"/>
    <cellStyle name="Normal 2 37 23" xfId="719"/>
    <cellStyle name="Normal 2 37 3" xfId="720"/>
    <cellStyle name="Normal 2 37 4" xfId="721"/>
    <cellStyle name="Normal 2 37 5" xfId="722"/>
    <cellStyle name="Normal 2 37 6" xfId="723"/>
    <cellStyle name="Normal 2 37 7" xfId="724"/>
    <cellStyle name="Normal 2 37 8" xfId="725"/>
    <cellStyle name="Normal 2 37 9" xfId="726"/>
    <cellStyle name="Normal 2 38" xfId="727"/>
    <cellStyle name="Normal 2 38 10" xfId="728"/>
    <cellStyle name="Normal 2 38 11" xfId="729"/>
    <cellStyle name="Normal 2 38 12" xfId="730"/>
    <cellStyle name="Normal 2 38 13" xfId="731"/>
    <cellStyle name="Normal 2 38 14" xfId="732"/>
    <cellStyle name="Normal 2 38 15" xfId="733"/>
    <cellStyle name="Normal 2 38 16" xfId="734"/>
    <cellStyle name="Normal 2 38 17" xfId="735"/>
    <cellStyle name="Normal 2 38 18" xfId="736"/>
    <cellStyle name="Normal 2 38 19" xfId="737"/>
    <cellStyle name="Normal 2 38 2" xfId="738"/>
    <cellStyle name="Normal 2 38 20" xfId="739"/>
    <cellStyle name="Normal 2 38 21" xfId="740"/>
    <cellStyle name="Normal 2 38 22" xfId="741"/>
    <cellStyle name="Normal 2 38 23" xfId="742"/>
    <cellStyle name="Normal 2 38 3" xfId="743"/>
    <cellStyle name="Normal 2 38 4" xfId="744"/>
    <cellStyle name="Normal 2 38 5" xfId="745"/>
    <cellStyle name="Normal 2 38 6" xfId="746"/>
    <cellStyle name="Normal 2 38 7" xfId="747"/>
    <cellStyle name="Normal 2 38 8" xfId="748"/>
    <cellStyle name="Normal 2 38 9" xfId="749"/>
    <cellStyle name="Normal 2 39" xfId="750"/>
    <cellStyle name="Normal 2 39 10" xfId="751"/>
    <cellStyle name="Normal 2 39 11" xfId="752"/>
    <cellStyle name="Normal 2 39 12" xfId="753"/>
    <cellStyle name="Normal 2 39 13" xfId="754"/>
    <cellStyle name="Normal 2 39 14" xfId="755"/>
    <cellStyle name="Normal 2 39 15" xfId="756"/>
    <cellStyle name="Normal 2 39 16" xfId="757"/>
    <cellStyle name="Normal 2 39 17" xfId="758"/>
    <cellStyle name="Normal 2 39 18" xfId="759"/>
    <cellStyle name="Normal 2 39 19" xfId="760"/>
    <cellStyle name="Normal 2 39 2" xfId="761"/>
    <cellStyle name="Normal 2 39 20" xfId="762"/>
    <cellStyle name="Normal 2 39 21" xfId="763"/>
    <cellStyle name="Normal 2 39 22" xfId="764"/>
    <cellStyle name="Normal 2 39 23" xfId="765"/>
    <cellStyle name="Normal 2 39 3" xfId="766"/>
    <cellStyle name="Normal 2 39 4" xfId="767"/>
    <cellStyle name="Normal 2 39 5" xfId="768"/>
    <cellStyle name="Normal 2 39 6" xfId="769"/>
    <cellStyle name="Normal 2 39 7" xfId="770"/>
    <cellStyle name="Normal 2 39 8" xfId="771"/>
    <cellStyle name="Normal 2 39 9" xfId="772"/>
    <cellStyle name="Normal 2 4" xfId="773"/>
    <cellStyle name="Normal 2 40" xfId="774"/>
    <cellStyle name="Normal 2 41" xfId="775"/>
    <cellStyle name="Normal 2 42" xfId="776"/>
    <cellStyle name="Normal 2 43" xfId="777"/>
    <cellStyle name="Normal 2 44" xfId="778"/>
    <cellStyle name="Normal 2 45" xfId="779"/>
    <cellStyle name="Normal 2 46" xfId="780"/>
    <cellStyle name="Normal 2 47" xfId="781"/>
    <cellStyle name="Normal 2 48" xfId="782"/>
    <cellStyle name="Normal 2 49" xfId="783"/>
    <cellStyle name="Normal 2 5" xfId="784"/>
    <cellStyle name="Normal 2 5 10" xfId="785"/>
    <cellStyle name="Normal 2 5 11" xfId="786"/>
    <cellStyle name="Normal 2 5 12" xfId="787"/>
    <cellStyle name="Normal 2 5 13" xfId="788"/>
    <cellStyle name="Normal 2 5 14" xfId="789"/>
    <cellStyle name="Normal 2 5 15" xfId="790"/>
    <cellStyle name="Normal 2 5 16" xfId="791"/>
    <cellStyle name="Normal 2 5 17" xfId="792"/>
    <cellStyle name="Normal 2 5 18" xfId="793"/>
    <cellStyle name="Normal 2 5 19" xfId="794"/>
    <cellStyle name="Normal 2 5 2" xfId="795"/>
    <cellStyle name="Normal 2 5 2 10" xfId="796"/>
    <cellStyle name="Normal 2 5 2 11" xfId="797"/>
    <cellStyle name="Normal 2 5 2 12" xfId="798"/>
    <cellStyle name="Normal 2 5 2 13" xfId="799"/>
    <cellStyle name="Normal 2 5 2 14" xfId="800"/>
    <cellStyle name="Normal 2 5 2 15" xfId="801"/>
    <cellStyle name="Normal 2 5 2 16" xfId="802"/>
    <cellStyle name="Normal 2 5 2 17" xfId="803"/>
    <cellStyle name="Normal 2 5 2 18" xfId="804"/>
    <cellStyle name="Normal 2 5 2 19" xfId="805"/>
    <cellStyle name="Normal 2 5 2 2" xfId="806"/>
    <cellStyle name="Normal 2 5 2 2 10" xfId="807"/>
    <cellStyle name="Normal 2 5 2 2 11" xfId="808"/>
    <cellStyle name="Normal 2 5 2 2 12" xfId="809"/>
    <cellStyle name="Normal 2 5 2 2 13" xfId="810"/>
    <cellStyle name="Normal 2 5 2 2 14" xfId="811"/>
    <cellStyle name="Normal 2 5 2 2 15" xfId="812"/>
    <cellStyle name="Normal 2 5 2 2 16" xfId="813"/>
    <cellStyle name="Normal 2 5 2 2 17" xfId="814"/>
    <cellStyle name="Normal 2 5 2 2 18" xfId="815"/>
    <cellStyle name="Normal 2 5 2 2 19" xfId="816"/>
    <cellStyle name="Normal 2 5 2 2 2" xfId="817"/>
    <cellStyle name="Normal 2 5 2 2 20" xfId="818"/>
    <cellStyle name="Normal 2 5 2 2 21" xfId="819"/>
    <cellStyle name="Normal 2 5 2 2 22" xfId="820"/>
    <cellStyle name="Normal 2 5 2 2 23" xfId="821"/>
    <cellStyle name="Normal 2 5 2 2 24" xfId="822"/>
    <cellStyle name="Normal 2 5 2 2 25" xfId="823"/>
    <cellStyle name="Normal 2 5 2 2 26" xfId="824"/>
    <cellStyle name="Normal 2 5 2 2 27" xfId="825"/>
    <cellStyle name="Normal 2 5 2 2 28" xfId="826"/>
    <cellStyle name="Normal 2 5 2 2 29" xfId="827"/>
    <cellStyle name="Normal 2 5 2 2 3" xfId="828"/>
    <cellStyle name="Normal 2 5 2 2 30" xfId="829"/>
    <cellStyle name="Normal 2 5 2 2 31" xfId="830"/>
    <cellStyle name="Normal 2 5 2 2 32" xfId="831"/>
    <cellStyle name="Normal 2 5 2 2 33" xfId="832"/>
    <cellStyle name="Normal 2 5 2 2 34" xfId="833"/>
    <cellStyle name="Normal 2 5 2 2 35" xfId="834"/>
    <cellStyle name="Normal 2 5 2 2 36" xfId="835"/>
    <cellStyle name="Normal 2 5 2 2 37" xfId="836"/>
    <cellStyle name="Normal 2 5 2 2 38" xfId="837"/>
    <cellStyle name="Normal 2 5 2 2 39" xfId="838"/>
    <cellStyle name="Normal 2 5 2 2 4" xfId="839"/>
    <cellStyle name="Normal 2 5 2 2 40" xfId="840"/>
    <cellStyle name="Normal 2 5 2 2 41" xfId="841"/>
    <cellStyle name="Normal 2 5 2 2 42" xfId="842"/>
    <cellStyle name="Normal 2 5 2 2 43" xfId="843"/>
    <cellStyle name="Normal 2 5 2 2 44" xfId="844"/>
    <cellStyle name="Normal 2 5 2 2 45" xfId="845"/>
    <cellStyle name="Normal 2 5 2 2 46" xfId="846"/>
    <cellStyle name="Normal 2 5 2 2 47" xfId="847"/>
    <cellStyle name="Normal 2 5 2 2 48" xfId="848"/>
    <cellStyle name="Normal 2 5 2 2 49" xfId="849"/>
    <cellStyle name="Normal 2 5 2 2 5" xfId="850"/>
    <cellStyle name="Normal 2 5 2 2 50" xfId="851"/>
    <cellStyle name="Normal 2 5 2 2 51" xfId="852"/>
    <cellStyle name="Normal 2 5 2 2 52" xfId="853"/>
    <cellStyle name="Normal 2 5 2 2 53" xfId="854"/>
    <cellStyle name="Normal 2 5 2 2 54" xfId="855"/>
    <cellStyle name="Normal 2 5 2 2 55" xfId="856"/>
    <cellStyle name="Normal 2 5 2 2 6" xfId="857"/>
    <cellStyle name="Normal 2 5 2 2 7" xfId="858"/>
    <cellStyle name="Normal 2 5 2 2 8" xfId="859"/>
    <cellStyle name="Normal 2 5 2 2 9" xfId="860"/>
    <cellStyle name="Normal 2 5 2 20" xfId="861"/>
    <cellStyle name="Normal 2 5 2 21" xfId="862"/>
    <cellStyle name="Normal 2 5 2 22" xfId="863"/>
    <cellStyle name="Normal 2 5 2 23" xfId="864"/>
    <cellStyle name="Normal 2 5 2 24" xfId="865"/>
    <cellStyle name="Normal 2 5 2 25" xfId="866"/>
    <cellStyle name="Normal 2 5 2 26" xfId="867"/>
    <cellStyle name="Normal 2 5 2 27" xfId="868"/>
    <cellStyle name="Normal 2 5 2 28" xfId="869"/>
    <cellStyle name="Normal 2 5 2 29" xfId="870"/>
    <cellStyle name="Normal 2 5 2 3" xfId="871"/>
    <cellStyle name="Normal 2 5 2 30" xfId="872"/>
    <cellStyle name="Normal 2 5 2 31" xfId="873"/>
    <cellStyle name="Normal 2 5 2 32" xfId="874"/>
    <cellStyle name="Normal 2 5 2 33" xfId="875"/>
    <cellStyle name="Normal 2 5 2 4" xfId="876"/>
    <cellStyle name="Normal 2 5 2 5" xfId="877"/>
    <cellStyle name="Normal 2 5 2 6" xfId="878"/>
    <cellStyle name="Normal 2 5 2 7" xfId="879"/>
    <cellStyle name="Normal 2 5 2 8" xfId="880"/>
    <cellStyle name="Normal 2 5 2 9" xfId="881"/>
    <cellStyle name="Normal 2 5 20" xfId="882"/>
    <cellStyle name="Normal 2 5 21" xfId="883"/>
    <cellStyle name="Normal 2 5 22" xfId="884"/>
    <cellStyle name="Normal 2 5 23" xfId="885"/>
    <cellStyle name="Normal 2 5 24" xfId="886"/>
    <cellStyle name="Normal 2 5 25" xfId="887"/>
    <cellStyle name="Normal 2 5 26" xfId="888"/>
    <cellStyle name="Normal 2 5 27" xfId="889"/>
    <cellStyle name="Normal 2 5 28" xfId="890"/>
    <cellStyle name="Normal 2 5 29" xfId="891"/>
    <cellStyle name="Normal 2 5 3" xfId="892"/>
    <cellStyle name="Normal 2 5 30" xfId="893"/>
    <cellStyle name="Normal 2 5 31" xfId="894"/>
    <cellStyle name="Normal 2 5 32" xfId="895"/>
    <cellStyle name="Normal 2 5 33" xfId="896"/>
    <cellStyle name="Normal 2 5 34" xfId="897"/>
    <cellStyle name="Normal 2 5 35" xfId="898"/>
    <cellStyle name="Normal 2 5 36" xfId="899"/>
    <cellStyle name="Normal 2 5 37" xfId="900"/>
    <cellStyle name="Normal 2 5 38" xfId="901"/>
    <cellStyle name="Normal 2 5 39" xfId="902"/>
    <cellStyle name="Normal 2 5 4" xfId="903"/>
    <cellStyle name="Normal 2 5 40" xfId="904"/>
    <cellStyle name="Normal 2 5 41" xfId="905"/>
    <cellStyle name="Normal 2 5 42" xfId="906"/>
    <cellStyle name="Normal 2 5 43" xfId="907"/>
    <cellStyle name="Normal 2 5 44" xfId="908"/>
    <cellStyle name="Normal 2 5 45" xfId="909"/>
    <cellStyle name="Normal 2 5 46" xfId="910"/>
    <cellStyle name="Normal 2 5 47" xfId="911"/>
    <cellStyle name="Normal 2 5 48" xfId="912"/>
    <cellStyle name="Normal 2 5 49" xfId="913"/>
    <cellStyle name="Normal 2 5 5" xfId="914"/>
    <cellStyle name="Normal 2 5 50" xfId="915"/>
    <cellStyle name="Normal 2 5 51" xfId="916"/>
    <cellStyle name="Normal 2 5 52" xfId="917"/>
    <cellStyle name="Normal 2 5 53" xfId="918"/>
    <cellStyle name="Normal 2 5 54" xfId="919"/>
    <cellStyle name="Normal 2 5 55" xfId="920"/>
    <cellStyle name="Normal 2 5 56" xfId="921"/>
    <cellStyle name="Normal 2 5 57" xfId="922"/>
    <cellStyle name="Normal 2 5 58" xfId="923"/>
    <cellStyle name="Normal 2 5 59" xfId="924"/>
    <cellStyle name="Normal 2 5 6" xfId="925"/>
    <cellStyle name="Normal 2 5 60" xfId="926"/>
    <cellStyle name="Normal 2 5 61" xfId="927"/>
    <cellStyle name="Normal 2 5 62" xfId="928"/>
    <cellStyle name="Normal 2 5 63" xfId="929"/>
    <cellStyle name="Normal 2 5 64" xfId="930"/>
    <cellStyle name="Normal 2 5 65" xfId="931"/>
    <cellStyle name="Normal 2 5 66" xfId="932"/>
    <cellStyle name="Normal 2 5 67" xfId="933"/>
    <cellStyle name="Normal 2 5 68" xfId="934"/>
    <cellStyle name="Normal 2 5 69" xfId="935"/>
    <cellStyle name="Normal 2 5 7" xfId="936"/>
    <cellStyle name="Normal 2 5 70" xfId="937"/>
    <cellStyle name="Normal 2 5 71" xfId="938"/>
    <cellStyle name="Normal 2 5 72" xfId="939"/>
    <cellStyle name="Normal 2 5 73" xfId="940"/>
    <cellStyle name="Normal 2 5 74" xfId="941"/>
    <cellStyle name="Normal 2 5 75" xfId="942"/>
    <cellStyle name="Normal 2 5 76" xfId="943"/>
    <cellStyle name="Normal 2 5 77" xfId="944"/>
    <cellStyle name="Normal 2 5 78" xfId="945"/>
    <cellStyle name="Normal 2 5 79" xfId="946"/>
    <cellStyle name="Normal 2 5 8" xfId="947"/>
    <cellStyle name="Normal 2 5 80" xfId="948"/>
    <cellStyle name="Normal 2 5 81" xfId="949"/>
    <cellStyle name="Normal 2 5 82" xfId="950"/>
    <cellStyle name="Normal 2 5 83" xfId="951"/>
    <cellStyle name="Normal 2 5 84" xfId="952"/>
    <cellStyle name="Normal 2 5 85" xfId="953"/>
    <cellStyle name="Normal 2 5 86" xfId="954"/>
    <cellStyle name="Normal 2 5 87" xfId="955"/>
    <cellStyle name="Normal 2 5 9" xfId="956"/>
    <cellStyle name="Normal 2 5_DEER 032008 Cost Summary Delivery - Rev 4 (2)" xfId="957"/>
    <cellStyle name="Normal 2 50" xfId="958"/>
    <cellStyle name="Normal 2 51" xfId="959"/>
    <cellStyle name="Normal 2 52" xfId="960"/>
    <cellStyle name="Normal 2 53" xfId="961"/>
    <cellStyle name="Normal 2 54" xfId="962"/>
    <cellStyle name="Normal 2 55" xfId="963"/>
    <cellStyle name="Normal 2 56" xfId="964"/>
    <cellStyle name="Normal 2 57" xfId="965"/>
    <cellStyle name="Normal 2 58" xfId="966"/>
    <cellStyle name="Normal 2 59" xfId="967"/>
    <cellStyle name="Normal 2 6" xfId="968"/>
    <cellStyle name="Normal 2 60" xfId="969"/>
    <cellStyle name="Normal 2 61" xfId="970"/>
    <cellStyle name="Normal 2 62" xfId="971"/>
    <cellStyle name="Normal 2 63" xfId="972"/>
    <cellStyle name="Normal 2 64" xfId="973"/>
    <cellStyle name="Normal 2 65" xfId="974"/>
    <cellStyle name="Normal 2 66" xfId="975"/>
    <cellStyle name="Normal 2 67" xfId="976"/>
    <cellStyle name="Normal 2 68" xfId="977"/>
    <cellStyle name="Normal 2 69" xfId="978"/>
    <cellStyle name="Normal 2 7" xfId="979"/>
    <cellStyle name="Normal 2 70" xfId="980"/>
    <cellStyle name="Normal 2 71" xfId="981"/>
    <cellStyle name="Normal 2 72" xfId="982"/>
    <cellStyle name="Normal 2 73" xfId="983"/>
    <cellStyle name="Normal 2 74" xfId="984"/>
    <cellStyle name="Normal 2 75" xfId="985"/>
    <cellStyle name="Normal 2 76" xfId="986"/>
    <cellStyle name="Normal 2 77" xfId="987"/>
    <cellStyle name="Normal 2 78" xfId="988"/>
    <cellStyle name="Normal 2 79" xfId="989"/>
    <cellStyle name="Normal 2 8" xfId="990"/>
    <cellStyle name="Normal 2 8 10" xfId="991"/>
    <cellStyle name="Normal 2 8 11" xfId="992"/>
    <cellStyle name="Normal 2 8 12" xfId="993"/>
    <cellStyle name="Normal 2 8 13" xfId="994"/>
    <cellStyle name="Normal 2 8 14" xfId="995"/>
    <cellStyle name="Normal 2 8 15" xfId="996"/>
    <cellStyle name="Normal 2 8 16" xfId="997"/>
    <cellStyle name="Normal 2 8 17" xfId="998"/>
    <cellStyle name="Normal 2 8 18" xfId="999"/>
    <cellStyle name="Normal 2 8 19" xfId="1000"/>
    <cellStyle name="Normal 2 8 2" xfId="1001"/>
    <cellStyle name="Normal 2 8 20" xfId="1002"/>
    <cellStyle name="Normal 2 8 21" xfId="1003"/>
    <cellStyle name="Normal 2 8 22" xfId="1004"/>
    <cellStyle name="Normal 2 8 23" xfId="1005"/>
    <cellStyle name="Normal 2 8 3" xfId="1006"/>
    <cellStyle name="Normal 2 8 4" xfId="1007"/>
    <cellStyle name="Normal 2 8 5" xfId="1008"/>
    <cellStyle name="Normal 2 8 6" xfId="1009"/>
    <cellStyle name="Normal 2 8 7" xfId="1010"/>
    <cellStyle name="Normal 2 8 8" xfId="1011"/>
    <cellStyle name="Normal 2 8 9" xfId="1012"/>
    <cellStyle name="Normal 2 80" xfId="1013"/>
    <cellStyle name="Normal 2 81" xfId="1014"/>
    <cellStyle name="Normal 2 82" xfId="1015"/>
    <cellStyle name="Normal 2 83" xfId="1016"/>
    <cellStyle name="Normal 2 84" xfId="1017"/>
    <cellStyle name="Normal 2 85" xfId="1018"/>
    <cellStyle name="Normal 2 86" xfId="1019"/>
    <cellStyle name="Normal 2 87" xfId="1020"/>
    <cellStyle name="Normal 2 88" xfId="1021"/>
    <cellStyle name="Normal 2 89" xfId="1022"/>
    <cellStyle name="Normal 2 9" xfId="1023"/>
    <cellStyle name="Normal 2 9 10" xfId="1024"/>
    <cellStyle name="Normal 2 9 11" xfId="1025"/>
    <cellStyle name="Normal 2 9 12" xfId="1026"/>
    <cellStyle name="Normal 2 9 13" xfId="1027"/>
    <cellStyle name="Normal 2 9 14" xfId="1028"/>
    <cellStyle name="Normal 2 9 15" xfId="1029"/>
    <cellStyle name="Normal 2 9 16" xfId="1030"/>
    <cellStyle name="Normal 2 9 17" xfId="1031"/>
    <cellStyle name="Normal 2 9 18" xfId="1032"/>
    <cellStyle name="Normal 2 9 19" xfId="1033"/>
    <cellStyle name="Normal 2 9 2" xfId="1034"/>
    <cellStyle name="Normal 2 9 20" xfId="1035"/>
    <cellStyle name="Normal 2 9 21" xfId="1036"/>
    <cellStyle name="Normal 2 9 22" xfId="1037"/>
    <cellStyle name="Normal 2 9 23" xfId="1038"/>
    <cellStyle name="Normal 2 9 3" xfId="1039"/>
    <cellStyle name="Normal 2 9 4" xfId="1040"/>
    <cellStyle name="Normal 2 9 5" xfId="1041"/>
    <cellStyle name="Normal 2 9 6" xfId="1042"/>
    <cellStyle name="Normal 2 9 7" xfId="1043"/>
    <cellStyle name="Normal 2 9 8" xfId="1044"/>
    <cellStyle name="Normal 2 9 9" xfId="1045"/>
    <cellStyle name="Normal 2 90" xfId="1046"/>
    <cellStyle name="Normal 2 91" xfId="1047"/>
    <cellStyle name="Normal 2 92" xfId="1048"/>
    <cellStyle name="Normal 2 93" xfId="1049"/>
    <cellStyle name="Normal 2_DEER 032008 Cost Summary Delivery - Rev 4 (2)" xfId="1050"/>
    <cellStyle name="Normal 3" xfId="1051"/>
    <cellStyle name="Normal 3 10" xfId="1052"/>
    <cellStyle name="Normal 3 10 10" xfId="1053"/>
    <cellStyle name="Normal 3 10 11" xfId="1054"/>
    <cellStyle name="Normal 3 10 12" xfId="1055"/>
    <cellStyle name="Normal 3 10 13" xfId="1056"/>
    <cellStyle name="Normal 3 10 14" xfId="1057"/>
    <cellStyle name="Normal 3 10 15" xfId="1058"/>
    <cellStyle name="Normal 3 10 16" xfId="1059"/>
    <cellStyle name="Normal 3 10 17" xfId="1060"/>
    <cellStyle name="Normal 3 10 18" xfId="1061"/>
    <cellStyle name="Normal 3 10 19" xfId="1062"/>
    <cellStyle name="Normal 3 10 2" xfId="1063"/>
    <cellStyle name="Normal 3 10 20" xfId="1064"/>
    <cellStyle name="Normal 3 10 21" xfId="1065"/>
    <cellStyle name="Normal 3 10 22" xfId="1066"/>
    <cellStyle name="Normal 3 10 23" xfId="1067"/>
    <cellStyle name="Normal 3 10 3" xfId="1068"/>
    <cellStyle name="Normal 3 10 4" xfId="1069"/>
    <cellStyle name="Normal 3 10 5" xfId="1070"/>
    <cellStyle name="Normal 3 10 6" xfId="1071"/>
    <cellStyle name="Normal 3 10 7" xfId="1072"/>
    <cellStyle name="Normal 3 10 8" xfId="1073"/>
    <cellStyle name="Normal 3 10 9" xfId="1074"/>
    <cellStyle name="Normal 3 11" xfId="1075"/>
    <cellStyle name="Normal 3 11 10" xfId="1076"/>
    <cellStyle name="Normal 3 11 11" xfId="1077"/>
    <cellStyle name="Normal 3 11 12" xfId="1078"/>
    <cellStyle name="Normal 3 11 13" xfId="1079"/>
    <cellStyle name="Normal 3 11 14" xfId="1080"/>
    <cellStyle name="Normal 3 11 15" xfId="1081"/>
    <cellStyle name="Normal 3 11 16" xfId="1082"/>
    <cellStyle name="Normal 3 11 17" xfId="1083"/>
    <cellStyle name="Normal 3 11 18" xfId="1084"/>
    <cellStyle name="Normal 3 11 19" xfId="1085"/>
    <cellStyle name="Normal 3 11 2" xfId="1086"/>
    <cellStyle name="Normal 3 11 20" xfId="1087"/>
    <cellStyle name="Normal 3 11 21" xfId="1088"/>
    <cellStyle name="Normal 3 11 22" xfId="1089"/>
    <cellStyle name="Normal 3 11 23" xfId="1090"/>
    <cellStyle name="Normal 3 11 3" xfId="1091"/>
    <cellStyle name="Normal 3 11 4" xfId="1092"/>
    <cellStyle name="Normal 3 11 5" xfId="1093"/>
    <cellStyle name="Normal 3 11 6" xfId="1094"/>
    <cellStyle name="Normal 3 11 7" xfId="1095"/>
    <cellStyle name="Normal 3 11 8" xfId="1096"/>
    <cellStyle name="Normal 3 11 9" xfId="1097"/>
    <cellStyle name="Normal 3 12" xfId="1098"/>
    <cellStyle name="Normal 3 12 10" xfId="1099"/>
    <cellStyle name="Normal 3 12 11" xfId="1100"/>
    <cellStyle name="Normal 3 12 12" xfId="1101"/>
    <cellStyle name="Normal 3 12 13" xfId="1102"/>
    <cellStyle name="Normal 3 12 14" xfId="1103"/>
    <cellStyle name="Normal 3 12 15" xfId="1104"/>
    <cellStyle name="Normal 3 12 16" xfId="1105"/>
    <cellStyle name="Normal 3 12 17" xfId="1106"/>
    <cellStyle name="Normal 3 12 18" xfId="1107"/>
    <cellStyle name="Normal 3 12 19" xfId="1108"/>
    <cellStyle name="Normal 3 12 2" xfId="1109"/>
    <cellStyle name="Normal 3 12 20" xfId="1110"/>
    <cellStyle name="Normal 3 12 21" xfId="1111"/>
    <cellStyle name="Normal 3 12 22" xfId="1112"/>
    <cellStyle name="Normal 3 12 23" xfId="1113"/>
    <cellStyle name="Normal 3 12 3" xfId="1114"/>
    <cellStyle name="Normal 3 12 4" xfId="1115"/>
    <cellStyle name="Normal 3 12 5" xfId="1116"/>
    <cellStyle name="Normal 3 12 6" xfId="1117"/>
    <cellStyle name="Normal 3 12 7" xfId="1118"/>
    <cellStyle name="Normal 3 12 8" xfId="1119"/>
    <cellStyle name="Normal 3 12 9" xfId="1120"/>
    <cellStyle name="Normal 3 13" xfId="1121"/>
    <cellStyle name="Normal 3 13 10" xfId="1122"/>
    <cellStyle name="Normal 3 13 11" xfId="1123"/>
    <cellStyle name="Normal 3 13 12" xfId="1124"/>
    <cellStyle name="Normal 3 13 13" xfId="1125"/>
    <cellStyle name="Normal 3 13 14" xfId="1126"/>
    <cellStyle name="Normal 3 13 15" xfId="1127"/>
    <cellStyle name="Normal 3 13 16" xfId="1128"/>
    <cellStyle name="Normal 3 13 17" xfId="1129"/>
    <cellStyle name="Normal 3 13 18" xfId="1130"/>
    <cellStyle name="Normal 3 13 19" xfId="1131"/>
    <cellStyle name="Normal 3 13 2" xfId="1132"/>
    <cellStyle name="Normal 3 13 20" xfId="1133"/>
    <cellStyle name="Normal 3 13 21" xfId="1134"/>
    <cellStyle name="Normal 3 13 22" xfId="1135"/>
    <cellStyle name="Normal 3 13 23" xfId="1136"/>
    <cellStyle name="Normal 3 13 3" xfId="1137"/>
    <cellStyle name="Normal 3 13 4" xfId="1138"/>
    <cellStyle name="Normal 3 13 5" xfId="1139"/>
    <cellStyle name="Normal 3 13 6" xfId="1140"/>
    <cellStyle name="Normal 3 13 7" xfId="1141"/>
    <cellStyle name="Normal 3 13 8" xfId="1142"/>
    <cellStyle name="Normal 3 13 9" xfId="1143"/>
    <cellStyle name="Normal 3 14" xfId="1144"/>
    <cellStyle name="Normal 3 14 10" xfId="1145"/>
    <cellStyle name="Normal 3 14 11" xfId="1146"/>
    <cellStyle name="Normal 3 14 12" xfId="1147"/>
    <cellStyle name="Normal 3 14 13" xfId="1148"/>
    <cellStyle name="Normal 3 14 14" xfId="1149"/>
    <cellStyle name="Normal 3 14 15" xfId="1150"/>
    <cellStyle name="Normal 3 14 16" xfId="1151"/>
    <cellStyle name="Normal 3 14 17" xfId="1152"/>
    <cellStyle name="Normal 3 14 18" xfId="1153"/>
    <cellStyle name="Normal 3 14 19" xfId="1154"/>
    <cellStyle name="Normal 3 14 2" xfId="1155"/>
    <cellStyle name="Normal 3 14 20" xfId="1156"/>
    <cellStyle name="Normal 3 14 21" xfId="1157"/>
    <cellStyle name="Normal 3 14 22" xfId="1158"/>
    <cellStyle name="Normal 3 14 23" xfId="1159"/>
    <cellStyle name="Normal 3 14 3" xfId="1160"/>
    <cellStyle name="Normal 3 14 4" xfId="1161"/>
    <cellStyle name="Normal 3 14 5" xfId="1162"/>
    <cellStyle name="Normal 3 14 6" xfId="1163"/>
    <cellStyle name="Normal 3 14 7" xfId="1164"/>
    <cellStyle name="Normal 3 14 8" xfId="1165"/>
    <cellStyle name="Normal 3 14 9" xfId="1166"/>
    <cellStyle name="Normal 3 15" xfId="1167"/>
    <cellStyle name="Normal 3 15 10" xfId="1168"/>
    <cellStyle name="Normal 3 15 11" xfId="1169"/>
    <cellStyle name="Normal 3 15 12" xfId="1170"/>
    <cellStyle name="Normal 3 15 13" xfId="1171"/>
    <cellStyle name="Normal 3 15 14" xfId="1172"/>
    <cellStyle name="Normal 3 15 15" xfId="1173"/>
    <cellStyle name="Normal 3 15 16" xfId="1174"/>
    <cellStyle name="Normal 3 15 17" xfId="1175"/>
    <cellStyle name="Normal 3 15 18" xfId="1176"/>
    <cellStyle name="Normal 3 15 19" xfId="1177"/>
    <cellStyle name="Normal 3 15 2" xfId="1178"/>
    <cellStyle name="Normal 3 15 20" xfId="1179"/>
    <cellStyle name="Normal 3 15 21" xfId="1180"/>
    <cellStyle name="Normal 3 15 22" xfId="1181"/>
    <cellStyle name="Normal 3 15 23" xfId="1182"/>
    <cellStyle name="Normal 3 15 3" xfId="1183"/>
    <cellStyle name="Normal 3 15 4" xfId="1184"/>
    <cellStyle name="Normal 3 15 5" xfId="1185"/>
    <cellStyle name="Normal 3 15 6" xfId="1186"/>
    <cellStyle name="Normal 3 15 7" xfId="1187"/>
    <cellStyle name="Normal 3 15 8" xfId="1188"/>
    <cellStyle name="Normal 3 15 9" xfId="1189"/>
    <cellStyle name="Normal 3 16" xfId="1190"/>
    <cellStyle name="Normal 3 16 10" xfId="1191"/>
    <cellStyle name="Normal 3 16 11" xfId="1192"/>
    <cellStyle name="Normal 3 16 12" xfId="1193"/>
    <cellStyle name="Normal 3 16 13" xfId="1194"/>
    <cellStyle name="Normal 3 16 14" xfId="1195"/>
    <cellStyle name="Normal 3 16 15" xfId="1196"/>
    <cellStyle name="Normal 3 16 16" xfId="1197"/>
    <cellStyle name="Normal 3 16 17" xfId="1198"/>
    <cellStyle name="Normal 3 16 18" xfId="1199"/>
    <cellStyle name="Normal 3 16 19" xfId="1200"/>
    <cellStyle name="Normal 3 16 2" xfId="1201"/>
    <cellStyle name="Normal 3 16 20" xfId="1202"/>
    <cellStyle name="Normal 3 16 21" xfId="1203"/>
    <cellStyle name="Normal 3 16 22" xfId="1204"/>
    <cellStyle name="Normal 3 16 23" xfId="1205"/>
    <cellStyle name="Normal 3 16 3" xfId="1206"/>
    <cellStyle name="Normal 3 16 4" xfId="1207"/>
    <cellStyle name="Normal 3 16 5" xfId="1208"/>
    <cellStyle name="Normal 3 16 6" xfId="1209"/>
    <cellStyle name="Normal 3 16 7" xfId="1210"/>
    <cellStyle name="Normal 3 16 8" xfId="1211"/>
    <cellStyle name="Normal 3 16 9" xfId="1212"/>
    <cellStyle name="Normal 3 17" xfId="1213"/>
    <cellStyle name="Normal 3 17 10" xfId="1214"/>
    <cellStyle name="Normal 3 17 11" xfId="1215"/>
    <cellStyle name="Normal 3 17 12" xfId="1216"/>
    <cellStyle name="Normal 3 17 13" xfId="1217"/>
    <cellStyle name="Normal 3 17 14" xfId="1218"/>
    <cellStyle name="Normal 3 17 15" xfId="1219"/>
    <cellStyle name="Normal 3 17 16" xfId="1220"/>
    <cellStyle name="Normal 3 17 17" xfId="1221"/>
    <cellStyle name="Normal 3 17 18" xfId="1222"/>
    <cellStyle name="Normal 3 17 19" xfId="1223"/>
    <cellStyle name="Normal 3 17 2" xfId="1224"/>
    <cellStyle name="Normal 3 17 20" xfId="1225"/>
    <cellStyle name="Normal 3 17 21" xfId="1226"/>
    <cellStyle name="Normal 3 17 22" xfId="1227"/>
    <cellStyle name="Normal 3 17 23" xfId="1228"/>
    <cellStyle name="Normal 3 17 3" xfId="1229"/>
    <cellStyle name="Normal 3 17 4" xfId="1230"/>
    <cellStyle name="Normal 3 17 5" xfId="1231"/>
    <cellStyle name="Normal 3 17 6" xfId="1232"/>
    <cellStyle name="Normal 3 17 7" xfId="1233"/>
    <cellStyle name="Normal 3 17 8" xfId="1234"/>
    <cellStyle name="Normal 3 17 9" xfId="1235"/>
    <cellStyle name="Normal 3 18" xfId="1236"/>
    <cellStyle name="Normal 3 18 10" xfId="1237"/>
    <cellStyle name="Normal 3 18 11" xfId="1238"/>
    <cellStyle name="Normal 3 18 12" xfId="1239"/>
    <cellStyle name="Normal 3 18 13" xfId="1240"/>
    <cellStyle name="Normal 3 18 14" xfId="1241"/>
    <cellStyle name="Normal 3 18 15" xfId="1242"/>
    <cellStyle name="Normal 3 18 16" xfId="1243"/>
    <cellStyle name="Normal 3 18 17" xfId="1244"/>
    <cellStyle name="Normal 3 18 18" xfId="1245"/>
    <cellStyle name="Normal 3 18 19" xfId="1246"/>
    <cellStyle name="Normal 3 18 2" xfId="1247"/>
    <cellStyle name="Normal 3 18 20" xfId="1248"/>
    <cellStyle name="Normal 3 18 21" xfId="1249"/>
    <cellStyle name="Normal 3 18 22" xfId="1250"/>
    <cellStyle name="Normal 3 18 23" xfId="1251"/>
    <cellStyle name="Normal 3 18 3" xfId="1252"/>
    <cellStyle name="Normal 3 18 4" xfId="1253"/>
    <cellStyle name="Normal 3 18 5" xfId="1254"/>
    <cellStyle name="Normal 3 18 6" xfId="1255"/>
    <cellStyle name="Normal 3 18 7" xfId="1256"/>
    <cellStyle name="Normal 3 18 8" xfId="1257"/>
    <cellStyle name="Normal 3 18 9" xfId="1258"/>
    <cellStyle name="Normal 3 19" xfId="1259"/>
    <cellStyle name="Normal 3 19 10" xfId="1260"/>
    <cellStyle name="Normal 3 19 11" xfId="1261"/>
    <cellStyle name="Normal 3 19 12" xfId="1262"/>
    <cellStyle name="Normal 3 19 13" xfId="1263"/>
    <cellStyle name="Normal 3 19 14" xfId="1264"/>
    <cellStyle name="Normal 3 19 15" xfId="1265"/>
    <cellStyle name="Normal 3 19 16" xfId="1266"/>
    <cellStyle name="Normal 3 19 17" xfId="1267"/>
    <cellStyle name="Normal 3 19 18" xfId="1268"/>
    <cellStyle name="Normal 3 19 19" xfId="1269"/>
    <cellStyle name="Normal 3 19 2" xfId="1270"/>
    <cellStyle name="Normal 3 19 20" xfId="1271"/>
    <cellStyle name="Normal 3 19 21" xfId="1272"/>
    <cellStyle name="Normal 3 19 22" xfId="1273"/>
    <cellStyle name="Normal 3 19 23" xfId="1274"/>
    <cellStyle name="Normal 3 19 3" xfId="1275"/>
    <cellStyle name="Normal 3 19 4" xfId="1276"/>
    <cellStyle name="Normal 3 19 5" xfId="1277"/>
    <cellStyle name="Normal 3 19 6" xfId="1278"/>
    <cellStyle name="Normal 3 19 7" xfId="1279"/>
    <cellStyle name="Normal 3 19 8" xfId="1280"/>
    <cellStyle name="Normal 3 19 9" xfId="1281"/>
    <cellStyle name="Normal 3 2" xfId="1282"/>
    <cellStyle name="Normal 3 2 10" xfId="1283"/>
    <cellStyle name="Normal 3 2 11" xfId="1284"/>
    <cellStyle name="Normal 3 2 12" xfId="1285"/>
    <cellStyle name="Normal 3 2 13" xfId="1286"/>
    <cellStyle name="Normal 3 2 14" xfId="1287"/>
    <cellStyle name="Normal 3 2 15" xfId="1288"/>
    <cellStyle name="Normal 3 2 16" xfId="1289"/>
    <cellStyle name="Normal 3 2 17" xfId="1290"/>
    <cellStyle name="Normal 3 2 18" xfId="1291"/>
    <cellStyle name="Normal 3 2 19" xfId="1292"/>
    <cellStyle name="Normal 3 2 2" xfId="1293"/>
    <cellStyle name="Normal 3 2 2 10" xfId="1294"/>
    <cellStyle name="Normal 3 2 2 11" xfId="1295"/>
    <cellStyle name="Normal 3 2 2 12" xfId="1296"/>
    <cellStyle name="Normal 3 2 2 13" xfId="1297"/>
    <cellStyle name="Normal 3 2 2 14" xfId="1298"/>
    <cellStyle name="Normal 3 2 2 15" xfId="1299"/>
    <cellStyle name="Normal 3 2 2 16" xfId="1300"/>
    <cellStyle name="Normal 3 2 2 17" xfId="1301"/>
    <cellStyle name="Normal 3 2 2 18" xfId="1302"/>
    <cellStyle name="Normal 3 2 2 19" xfId="1303"/>
    <cellStyle name="Normal 3 2 2 2" xfId="1304"/>
    <cellStyle name="Normal 3 2 2 20" xfId="1305"/>
    <cellStyle name="Normal 3 2 2 21" xfId="1306"/>
    <cellStyle name="Normal 3 2 2 22" xfId="1307"/>
    <cellStyle name="Normal 3 2 2 23" xfId="1308"/>
    <cellStyle name="Normal 3 2 2 24" xfId="1309"/>
    <cellStyle name="Normal 3 2 2 25" xfId="1310"/>
    <cellStyle name="Normal 3 2 2 26" xfId="1311"/>
    <cellStyle name="Normal 3 2 2 27" xfId="1312"/>
    <cellStyle name="Normal 3 2 2 28" xfId="1313"/>
    <cellStyle name="Normal 3 2 2 29" xfId="1314"/>
    <cellStyle name="Normal 3 2 2 3" xfId="1315"/>
    <cellStyle name="Normal 3 2 2 30" xfId="1316"/>
    <cellStyle name="Normal 3 2 2 31" xfId="1317"/>
    <cellStyle name="Normal 3 2 2 32" xfId="1318"/>
    <cellStyle name="Normal 3 2 2 33" xfId="1319"/>
    <cellStyle name="Normal 3 2 2 4" xfId="1320"/>
    <cellStyle name="Normal 3 2 2 5" xfId="1321"/>
    <cellStyle name="Normal 3 2 2 6" xfId="1322"/>
    <cellStyle name="Normal 3 2 2 7" xfId="1323"/>
    <cellStyle name="Normal 3 2 2 8" xfId="1324"/>
    <cellStyle name="Normal 3 2 2 9" xfId="1325"/>
    <cellStyle name="Normal 3 2 20" xfId="1326"/>
    <cellStyle name="Normal 3 2 21" xfId="1327"/>
    <cellStyle name="Normal 3 2 22" xfId="1328"/>
    <cellStyle name="Normal 3 2 23" xfId="1329"/>
    <cellStyle name="Normal 3 2 24" xfId="1330"/>
    <cellStyle name="Normal 3 2 25" xfId="1331"/>
    <cellStyle name="Normal 3 2 26" xfId="1332"/>
    <cellStyle name="Normal 3 2 27" xfId="1333"/>
    <cellStyle name="Normal 3 2 28" xfId="1334"/>
    <cellStyle name="Normal 3 2 29" xfId="1335"/>
    <cellStyle name="Normal 3 2 3" xfId="1336"/>
    <cellStyle name="Normal 3 2 30" xfId="1337"/>
    <cellStyle name="Normal 3 2 31" xfId="1338"/>
    <cellStyle name="Normal 3 2 32" xfId="1339"/>
    <cellStyle name="Normal 3 2 33" xfId="1340"/>
    <cellStyle name="Normal 3 2 34" xfId="1341"/>
    <cellStyle name="Normal 3 2 35" xfId="1342"/>
    <cellStyle name="Normal 3 2 36" xfId="1343"/>
    <cellStyle name="Normal 3 2 37" xfId="1344"/>
    <cellStyle name="Normal 3 2 38" xfId="1345"/>
    <cellStyle name="Normal 3 2 39" xfId="1346"/>
    <cellStyle name="Normal 3 2 4" xfId="1347"/>
    <cellStyle name="Normal 3 2 40" xfId="1348"/>
    <cellStyle name="Normal 3 2 41" xfId="1349"/>
    <cellStyle name="Normal 3 2 42" xfId="1350"/>
    <cellStyle name="Normal 3 2 43" xfId="1351"/>
    <cellStyle name="Normal 3 2 44" xfId="1352"/>
    <cellStyle name="Normal 3 2 45" xfId="1353"/>
    <cellStyle name="Normal 3 2 46" xfId="1354"/>
    <cellStyle name="Normal 3 2 47" xfId="1355"/>
    <cellStyle name="Normal 3 2 48" xfId="1356"/>
    <cellStyle name="Normal 3 2 49" xfId="1357"/>
    <cellStyle name="Normal 3 2 5" xfId="1358"/>
    <cellStyle name="Normal 3 2 50" xfId="1359"/>
    <cellStyle name="Normal 3 2 51" xfId="1360"/>
    <cellStyle name="Normal 3 2 52" xfId="1361"/>
    <cellStyle name="Normal 3 2 53" xfId="1362"/>
    <cellStyle name="Normal 3 2 54" xfId="1363"/>
    <cellStyle name="Normal 3 2 55" xfId="1364"/>
    <cellStyle name="Normal 3 2 6" xfId="1365"/>
    <cellStyle name="Normal 3 2 7" xfId="1366"/>
    <cellStyle name="Normal 3 2 8" xfId="1367"/>
    <cellStyle name="Normal 3 2 9" xfId="1368"/>
    <cellStyle name="Normal 3 20" xfId="1369"/>
    <cellStyle name="Normal 3 20 10" xfId="1370"/>
    <cellStyle name="Normal 3 20 11" xfId="1371"/>
    <cellStyle name="Normal 3 20 12" xfId="1372"/>
    <cellStyle name="Normal 3 20 13" xfId="1373"/>
    <cellStyle name="Normal 3 20 14" xfId="1374"/>
    <cellStyle name="Normal 3 20 15" xfId="1375"/>
    <cellStyle name="Normal 3 20 16" xfId="1376"/>
    <cellStyle name="Normal 3 20 17" xfId="1377"/>
    <cellStyle name="Normal 3 20 18" xfId="1378"/>
    <cellStyle name="Normal 3 20 19" xfId="1379"/>
    <cellStyle name="Normal 3 20 2" xfId="1380"/>
    <cellStyle name="Normal 3 20 20" xfId="1381"/>
    <cellStyle name="Normal 3 20 21" xfId="1382"/>
    <cellStyle name="Normal 3 20 22" xfId="1383"/>
    <cellStyle name="Normal 3 20 23" xfId="1384"/>
    <cellStyle name="Normal 3 20 3" xfId="1385"/>
    <cellStyle name="Normal 3 20 4" xfId="1386"/>
    <cellStyle name="Normal 3 20 5" xfId="1387"/>
    <cellStyle name="Normal 3 20 6" xfId="1388"/>
    <cellStyle name="Normal 3 20 7" xfId="1389"/>
    <cellStyle name="Normal 3 20 8" xfId="1390"/>
    <cellStyle name="Normal 3 20 9" xfId="1391"/>
    <cellStyle name="Normal 3 21" xfId="1392"/>
    <cellStyle name="Normal 3 21 10" xfId="1393"/>
    <cellStyle name="Normal 3 21 11" xfId="1394"/>
    <cellStyle name="Normal 3 21 12" xfId="1395"/>
    <cellStyle name="Normal 3 21 13" xfId="1396"/>
    <cellStyle name="Normal 3 21 14" xfId="1397"/>
    <cellStyle name="Normal 3 21 15" xfId="1398"/>
    <cellStyle name="Normal 3 21 16" xfId="1399"/>
    <cellStyle name="Normal 3 21 17" xfId="1400"/>
    <cellStyle name="Normal 3 21 18" xfId="1401"/>
    <cellStyle name="Normal 3 21 19" xfId="1402"/>
    <cellStyle name="Normal 3 21 2" xfId="1403"/>
    <cellStyle name="Normal 3 21 20" xfId="1404"/>
    <cellStyle name="Normal 3 21 21" xfId="1405"/>
    <cellStyle name="Normal 3 21 22" xfId="1406"/>
    <cellStyle name="Normal 3 21 23" xfId="1407"/>
    <cellStyle name="Normal 3 21 3" xfId="1408"/>
    <cellStyle name="Normal 3 21 4" xfId="1409"/>
    <cellStyle name="Normal 3 21 5" xfId="1410"/>
    <cellStyle name="Normal 3 21 6" xfId="1411"/>
    <cellStyle name="Normal 3 21 7" xfId="1412"/>
    <cellStyle name="Normal 3 21 8" xfId="1413"/>
    <cellStyle name="Normal 3 21 9" xfId="1414"/>
    <cellStyle name="Normal 3 22" xfId="1415"/>
    <cellStyle name="Normal 3 22 10" xfId="1416"/>
    <cellStyle name="Normal 3 22 11" xfId="1417"/>
    <cellStyle name="Normal 3 22 12" xfId="1418"/>
    <cellStyle name="Normal 3 22 13" xfId="1419"/>
    <cellStyle name="Normal 3 22 14" xfId="1420"/>
    <cellStyle name="Normal 3 22 15" xfId="1421"/>
    <cellStyle name="Normal 3 22 16" xfId="1422"/>
    <cellStyle name="Normal 3 22 17" xfId="1423"/>
    <cellStyle name="Normal 3 22 18" xfId="1424"/>
    <cellStyle name="Normal 3 22 19" xfId="1425"/>
    <cellStyle name="Normal 3 22 2" xfId="1426"/>
    <cellStyle name="Normal 3 22 20" xfId="1427"/>
    <cellStyle name="Normal 3 22 21" xfId="1428"/>
    <cellStyle name="Normal 3 22 22" xfId="1429"/>
    <cellStyle name="Normal 3 22 23" xfId="1430"/>
    <cellStyle name="Normal 3 22 3" xfId="1431"/>
    <cellStyle name="Normal 3 22 4" xfId="1432"/>
    <cellStyle name="Normal 3 22 5" xfId="1433"/>
    <cellStyle name="Normal 3 22 6" xfId="1434"/>
    <cellStyle name="Normal 3 22 7" xfId="1435"/>
    <cellStyle name="Normal 3 22 8" xfId="1436"/>
    <cellStyle name="Normal 3 22 9" xfId="1437"/>
    <cellStyle name="Normal 3 23" xfId="1438"/>
    <cellStyle name="Normal 3 23 10" xfId="1439"/>
    <cellStyle name="Normal 3 23 11" xfId="1440"/>
    <cellStyle name="Normal 3 23 12" xfId="1441"/>
    <cellStyle name="Normal 3 23 13" xfId="1442"/>
    <cellStyle name="Normal 3 23 14" xfId="1443"/>
    <cellStyle name="Normal 3 23 15" xfId="1444"/>
    <cellStyle name="Normal 3 23 16" xfId="1445"/>
    <cellStyle name="Normal 3 23 17" xfId="1446"/>
    <cellStyle name="Normal 3 23 18" xfId="1447"/>
    <cellStyle name="Normal 3 23 19" xfId="1448"/>
    <cellStyle name="Normal 3 23 2" xfId="1449"/>
    <cellStyle name="Normal 3 23 20" xfId="1450"/>
    <cellStyle name="Normal 3 23 21" xfId="1451"/>
    <cellStyle name="Normal 3 23 22" xfId="1452"/>
    <cellStyle name="Normal 3 23 23" xfId="1453"/>
    <cellStyle name="Normal 3 23 3" xfId="1454"/>
    <cellStyle name="Normal 3 23 4" xfId="1455"/>
    <cellStyle name="Normal 3 23 5" xfId="1456"/>
    <cellStyle name="Normal 3 23 6" xfId="1457"/>
    <cellStyle name="Normal 3 23 7" xfId="1458"/>
    <cellStyle name="Normal 3 23 8" xfId="1459"/>
    <cellStyle name="Normal 3 23 9" xfId="1460"/>
    <cellStyle name="Normal 3 24" xfId="1461"/>
    <cellStyle name="Normal 3 24 10" xfId="1462"/>
    <cellStyle name="Normal 3 24 11" xfId="1463"/>
    <cellStyle name="Normal 3 24 12" xfId="1464"/>
    <cellStyle name="Normal 3 24 13" xfId="1465"/>
    <cellStyle name="Normal 3 24 14" xfId="1466"/>
    <cellStyle name="Normal 3 24 15" xfId="1467"/>
    <cellStyle name="Normal 3 24 16" xfId="1468"/>
    <cellStyle name="Normal 3 24 17" xfId="1469"/>
    <cellStyle name="Normal 3 24 18" xfId="1470"/>
    <cellStyle name="Normal 3 24 19" xfId="1471"/>
    <cellStyle name="Normal 3 24 2" xfId="1472"/>
    <cellStyle name="Normal 3 24 20" xfId="1473"/>
    <cellStyle name="Normal 3 24 21" xfId="1474"/>
    <cellStyle name="Normal 3 24 22" xfId="1475"/>
    <cellStyle name="Normal 3 24 23" xfId="1476"/>
    <cellStyle name="Normal 3 24 3" xfId="1477"/>
    <cellStyle name="Normal 3 24 4" xfId="1478"/>
    <cellStyle name="Normal 3 24 5" xfId="1479"/>
    <cellStyle name="Normal 3 24 6" xfId="1480"/>
    <cellStyle name="Normal 3 24 7" xfId="1481"/>
    <cellStyle name="Normal 3 24 8" xfId="1482"/>
    <cellStyle name="Normal 3 24 9" xfId="1483"/>
    <cellStyle name="Normal 3 25" xfId="1484"/>
    <cellStyle name="Normal 3 25 10" xfId="1485"/>
    <cellStyle name="Normal 3 25 11" xfId="1486"/>
    <cellStyle name="Normal 3 25 12" xfId="1487"/>
    <cellStyle name="Normal 3 25 13" xfId="1488"/>
    <cellStyle name="Normal 3 25 14" xfId="1489"/>
    <cellStyle name="Normal 3 25 15" xfId="1490"/>
    <cellStyle name="Normal 3 25 16" xfId="1491"/>
    <cellStyle name="Normal 3 25 17" xfId="1492"/>
    <cellStyle name="Normal 3 25 18" xfId="1493"/>
    <cellStyle name="Normal 3 25 19" xfId="1494"/>
    <cellStyle name="Normal 3 25 2" xfId="1495"/>
    <cellStyle name="Normal 3 25 20" xfId="1496"/>
    <cellStyle name="Normal 3 25 21" xfId="1497"/>
    <cellStyle name="Normal 3 25 22" xfId="1498"/>
    <cellStyle name="Normal 3 25 23" xfId="1499"/>
    <cellStyle name="Normal 3 25 3" xfId="1500"/>
    <cellStyle name="Normal 3 25 4" xfId="1501"/>
    <cellStyle name="Normal 3 25 5" xfId="1502"/>
    <cellStyle name="Normal 3 25 6" xfId="1503"/>
    <cellStyle name="Normal 3 25 7" xfId="1504"/>
    <cellStyle name="Normal 3 25 8" xfId="1505"/>
    <cellStyle name="Normal 3 25 9" xfId="1506"/>
    <cellStyle name="Normal 3 26" xfId="1507"/>
    <cellStyle name="Normal 3 26 10" xfId="1508"/>
    <cellStyle name="Normal 3 26 11" xfId="1509"/>
    <cellStyle name="Normal 3 26 12" xfId="1510"/>
    <cellStyle name="Normal 3 26 13" xfId="1511"/>
    <cellStyle name="Normal 3 26 14" xfId="1512"/>
    <cellStyle name="Normal 3 26 15" xfId="1513"/>
    <cellStyle name="Normal 3 26 16" xfId="1514"/>
    <cellStyle name="Normal 3 26 17" xfId="1515"/>
    <cellStyle name="Normal 3 26 18" xfId="1516"/>
    <cellStyle name="Normal 3 26 19" xfId="1517"/>
    <cellStyle name="Normal 3 26 2" xfId="1518"/>
    <cellStyle name="Normal 3 26 20" xfId="1519"/>
    <cellStyle name="Normal 3 26 21" xfId="1520"/>
    <cellStyle name="Normal 3 26 22" xfId="1521"/>
    <cellStyle name="Normal 3 26 23" xfId="1522"/>
    <cellStyle name="Normal 3 26 3" xfId="1523"/>
    <cellStyle name="Normal 3 26 4" xfId="1524"/>
    <cellStyle name="Normal 3 26 5" xfId="1525"/>
    <cellStyle name="Normal 3 26 6" xfId="1526"/>
    <cellStyle name="Normal 3 26 7" xfId="1527"/>
    <cellStyle name="Normal 3 26 8" xfId="1528"/>
    <cellStyle name="Normal 3 26 9" xfId="1529"/>
    <cellStyle name="Normal 3 27" xfId="1530"/>
    <cellStyle name="Normal 3 27 10" xfId="1531"/>
    <cellStyle name="Normal 3 27 11" xfId="1532"/>
    <cellStyle name="Normal 3 27 12" xfId="1533"/>
    <cellStyle name="Normal 3 27 13" xfId="1534"/>
    <cellStyle name="Normal 3 27 14" xfId="1535"/>
    <cellStyle name="Normal 3 27 15" xfId="1536"/>
    <cellStyle name="Normal 3 27 16" xfId="1537"/>
    <cellStyle name="Normal 3 27 17" xfId="1538"/>
    <cellStyle name="Normal 3 27 18" xfId="1539"/>
    <cellStyle name="Normal 3 27 19" xfId="1540"/>
    <cellStyle name="Normal 3 27 2" xfId="1541"/>
    <cellStyle name="Normal 3 27 20" xfId="1542"/>
    <cellStyle name="Normal 3 27 21" xfId="1543"/>
    <cellStyle name="Normal 3 27 22" xfId="1544"/>
    <cellStyle name="Normal 3 27 23" xfId="1545"/>
    <cellStyle name="Normal 3 27 3" xfId="1546"/>
    <cellStyle name="Normal 3 27 4" xfId="1547"/>
    <cellStyle name="Normal 3 27 5" xfId="1548"/>
    <cellStyle name="Normal 3 27 6" xfId="1549"/>
    <cellStyle name="Normal 3 27 7" xfId="1550"/>
    <cellStyle name="Normal 3 27 8" xfId="1551"/>
    <cellStyle name="Normal 3 27 9" xfId="1552"/>
    <cellStyle name="Normal 3 28" xfId="1553"/>
    <cellStyle name="Normal 3 28 10" xfId="1554"/>
    <cellStyle name="Normal 3 28 11" xfId="1555"/>
    <cellStyle name="Normal 3 28 12" xfId="1556"/>
    <cellStyle name="Normal 3 28 13" xfId="1557"/>
    <cellStyle name="Normal 3 28 14" xfId="1558"/>
    <cellStyle name="Normal 3 28 15" xfId="1559"/>
    <cellStyle name="Normal 3 28 16" xfId="1560"/>
    <cellStyle name="Normal 3 28 17" xfId="1561"/>
    <cellStyle name="Normal 3 28 18" xfId="1562"/>
    <cellStyle name="Normal 3 28 19" xfId="1563"/>
    <cellStyle name="Normal 3 28 2" xfId="1564"/>
    <cellStyle name="Normal 3 28 20" xfId="1565"/>
    <cellStyle name="Normal 3 28 21" xfId="1566"/>
    <cellStyle name="Normal 3 28 22" xfId="1567"/>
    <cellStyle name="Normal 3 28 23" xfId="1568"/>
    <cellStyle name="Normal 3 28 3" xfId="1569"/>
    <cellStyle name="Normal 3 28 4" xfId="1570"/>
    <cellStyle name="Normal 3 28 5" xfId="1571"/>
    <cellStyle name="Normal 3 28 6" xfId="1572"/>
    <cellStyle name="Normal 3 28 7" xfId="1573"/>
    <cellStyle name="Normal 3 28 8" xfId="1574"/>
    <cellStyle name="Normal 3 28 9" xfId="1575"/>
    <cellStyle name="Normal 3 29" xfId="1576"/>
    <cellStyle name="Normal 3 29 10" xfId="1577"/>
    <cellStyle name="Normal 3 29 11" xfId="1578"/>
    <cellStyle name="Normal 3 29 12" xfId="1579"/>
    <cellStyle name="Normal 3 29 13" xfId="1580"/>
    <cellStyle name="Normal 3 29 14" xfId="1581"/>
    <cellStyle name="Normal 3 29 15" xfId="1582"/>
    <cellStyle name="Normal 3 29 16" xfId="1583"/>
    <cellStyle name="Normal 3 29 17" xfId="1584"/>
    <cellStyle name="Normal 3 29 18" xfId="1585"/>
    <cellStyle name="Normal 3 29 19" xfId="1586"/>
    <cellStyle name="Normal 3 29 2" xfId="1587"/>
    <cellStyle name="Normal 3 29 20" xfId="1588"/>
    <cellStyle name="Normal 3 29 21" xfId="1589"/>
    <cellStyle name="Normal 3 29 22" xfId="1590"/>
    <cellStyle name="Normal 3 29 23" xfId="1591"/>
    <cellStyle name="Normal 3 29 3" xfId="1592"/>
    <cellStyle name="Normal 3 29 4" xfId="1593"/>
    <cellStyle name="Normal 3 29 5" xfId="1594"/>
    <cellStyle name="Normal 3 29 6" xfId="1595"/>
    <cellStyle name="Normal 3 29 7" xfId="1596"/>
    <cellStyle name="Normal 3 29 8" xfId="1597"/>
    <cellStyle name="Normal 3 29 9" xfId="1598"/>
    <cellStyle name="Normal 3 3" xfId="1599"/>
    <cellStyle name="Normal 3 3 10" xfId="1600"/>
    <cellStyle name="Normal 3 3 11" xfId="1601"/>
    <cellStyle name="Normal 3 3 12" xfId="1602"/>
    <cellStyle name="Normal 3 3 13" xfId="1603"/>
    <cellStyle name="Normal 3 3 14" xfId="1604"/>
    <cellStyle name="Normal 3 3 15" xfId="1605"/>
    <cellStyle name="Normal 3 3 16" xfId="1606"/>
    <cellStyle name="Normal 3 3 17" xfId="1607"/>
    <cellStyle name="Normal 3 3 18" xfId="1608"/>
    <cellStyle name="Normal 3 3 19" xfId="1609"/>
    <cellStyle name="Normal 3 3 2" xfId="1610"/>
    <cellStyle name="Normal 3 3 20" xfId="1611"/>
    <cellStyle name="Normal 3 3 21" xfId="1612"/>
    <cellStyle name="Normal 3 3 22" xfId="1613"/>
    <cellStyle name="Normal 3 3 23" xfId="1614"/>
    <cellStyle name="Normal 3 3 3" xfId="1615"/>
    <cellStyle name="Normal 3 3 4" xfId="1616"/>
    <cellStyle name="Normal 3 3 5" xfId="1617"/>
    <cellStyle name="Normal 3 3 6" xfId="1618"/>
    <cellStyle name="Normal 3 3 7" xfId="1619"/>
    <cellStyle name="Normal 3 3 8" xfId="1620"/>
    <cellStyle name="Normal 3 3 9" xfId="1621"/>
    <cellStyle name="Normal 3 30" xfId="1622"/>
    <cellStyle name="Normal 3 30 10" xfId="1623"/>
    <cellStyle name="Normal 3 30 11" xfId="1624"/>
    <cellStyle name="Normal 3 30 12" xfId="1625"/>
    <cellStyle name="Normal 3 30 13" xfId="1626"/>
    <cellStyle name="Normal 3 30 14" xfId="1627"/>
    <cellStyle name="Normal 3 30 15" xfId="1628"/>
    <cellStyle name="Normal 3 30 16" xfId="1629"/>
    <cellStyle name="Normal 3 30 17" xfId="1630"/>
    <cellStyle name="Normal 3 30 18" xfId="1631"/>
    <cellStyle name="Normal 3 30 19" xfId="1632"/>
    <cellStyle name="Normal 3 30 2" xfId="1633"/>
    <cellStyle name="Normal 3 30 20" xfId="1634"/>
    <cellStyle name="Normal 3 30 21" xfId="1635"/>
    <cellStyle name="Normal 3 30 22" xfId="1636"/>
    <cellStyle name="Normal 3 30 23" xfId="1637"/>
    <cellStyle name="Normal 3 30 3" xfId="1638"/>
    <cellStyle name="Normal 3 30 4" xfId="1639"/>
    <cellStyle name="Normal 3 30 5" xfId="1640"/>
    <cellStyle name="Normal 3 30 6" xfId="1641"/>
    <cellStyle name="Normal 3 30 7" xfId="1642"/>
    <cellStyle name="Normal 3 30 8" xfId="1643"/>
    <cellStyle name="Normal 3 30 9" xfId="1644"/>
    <cellStyle name="Normal 3 31" xfId="1645"/>
    <cellStyle name="Normal 3 31 10" xfId="1646"/>
    <cellStyle name="Normal 3 31 11" xfId="1647"/>
    <cellStyle name="Normal 3 31 12" xfId="1648"/>
    <cellStyle name="Normal 3 31 13" xfId="1649"/>
    <cellStyle name="Normal 3 31 14" xfId="1650"/>
    <cellStyle name="Normal 3 31 15" xfId="1651"/>
    <cellStyle name="Normal 3 31 16" xfId="1652"/>
    <cellStyle name="Normal 3 31 17" xfId="1653"/>
    <cellStyle name="Normal 3 31 18" xfId="1654"/>
    <cellStyle name="Normal 3 31 19" xfId="1655"/>
    <cellStyle name="Normal 3 31 2" xfId="1656"/>
    <cellStyle name="Normal 3 31 20" xfId="1657"/>
    <cellStyle name="Normal 3 31 21" xfId="1658"/>
    <cellStyle name="Normal 3 31 22" xfId="1659"/>
    <cellStyle name="Normal 3 31 23" xfId="1660"/>
    <cellStyle name="Normal 3 31 3" xfId="1661"/>
    <cellStyle name="Normal 3 31 4" xfId="1662"/>
    <cellStyle name="Normal 3 31 5" xfId="1663"/>
    <cellStyle name="Normal 3 31 6" xfId="1664"/>
    <cellStyle name="Normal 3 31 7" xfId="1665"/>
    <cellStyle name="Normal 3 31 8" xfId="1666"/>
    <cellStyle name="Normal 3 31 9" xfId="1667"/>
    <cellStyle name="Normal 3 32" xfId="1668"/>
    <cellStyle name="Normal 3 32 10" xfId="1669"/>
    <cellStyle name="Normal 3 32 11" xfId="1670"/>
    <cellStyle name="Normal 3 32 12" xfId="1671"/>
    <cellStyle name="Normal 3 32 13" xfId="1672"/>
    <cellStyle name="Normal 3 32 14" xfId="1673"/>
    <cellStyle name="Normal 3 32 15" xfId="1674"/>
    <cellStyle name="Normal 3 32 16" xfId="1675"/>
    <cellStyle name="Normal 3 32 17" xfId="1676"/>
    <cellStyle name="Normal 3 32 18" xfId="1677"/>
    <cellStyle name="Normal 3 32 19" xfId="1678"/>
    <cellStyle name="Normal 3 32 2" xfId="1679"/>
    <cellStyle name="Normal 3 32 20" xfId="1680"/>
    <cellStyle name="Normal 3 32 21" xfId="1681"/>
    <cellStyle name="Normal 3 32 22" xfId="1682"/>
    <cellStyle name="Normal 3 32 23" xfId="1683"/>
    <cellStyle name="Normal 3 32 3" xfId="1684"/>
    <cellStyle name="Normal 3 32 4" xfId="1685"/>
    <cellStyle name="Normal 3 32 5" xfId="1686"/>
    <cellStyle name="Normal 3 32 6" xfId="1687"/>
    <cellStyle name="Normal 3 32 7" xfId="1688"/>
    <cellStyle name="Normal 3 32 8" xfId="1689"/>
    <cellStyle name="Normal 3 32 9" xfId="1690"/>
    <cellStyle name="Normal 3 33" xfId="1691"/>
    <cellStyle name="Normal 3 33 10" xfId="1692"/>
    <cellStyle name="Normal 3 33 11" xfId="1693"/>
    <cellStyle name="Normal 3 33 12" xfId="1694"/>
    <cellStyle name="Normal 3 33 13" xfId="1695"/>
    <cellStyle name="Normal 3 33 14" xfId="1696"/>
    <cellStyle name="Normal 3 33 15" xfId="1697"/>
    <cellStyle name="Normal 3 33 16" xfId="1698"/>
    <cellStyle name="Normal 3 33 17" xfId="1699"/>
    <cellStyle name="Normal 3 33 18" xfId="1700"/>
    <cellStyle name="Normal 3 33 19" xfId="1701"/>
    <cellStyle name="Normal 3 33 2" xfId="1702"/>
    <cellStyle name="Normal 3 33 20" xfId="1703"/>
    <cellStyle name="Normal 3 33 21" xfId="1704"/>
    <cellStyle name="Normal 3 33 22" xfId="1705"/>
    <cellStyle name="Normal 3 33 23" xfId="1706"/>
    <cellStyle name="Normal 3 33 3" xfId="1707"/>
    <cellStyle name="Normal 3 33 4" xfId="1708"/>
    <cellStyle name="Normal 3 33 5" xfId="1709"/>
    <cellStyle name="Normal 3 33 6" xfId="1710"/>
    <cellStyle name="Normal 3 33 7" xfId="1711"/>
    <cellStyle name="Normal 3 33 8" xfId="1712"/>
    <cellStyle name="Normal 3 33 9" xfId="1713"/>
    <cellStyle name="Normal 3 34" xfId="1714"/>
    <cellStyle name="Normal 3 35" xfId="1715"/>
    <cellStyle name="Normal 3 36" xfId="1716"/>
    <cellStyle name="Normal 3 37" xfId="1717"/>
    <cellStyle name="Normal 3 38" xfId="1718"/>
    <cellStyle name="Normal 3 39" xfId="1719"/>
    <cellStyle name="Normal 3 4" xfId="1720"/>
    <cellStyle name="Normal 3 4 10" xfId="1721"/>
    <cellStyle name="Normal 3 4 11" xfId="1722"/>
    <cellStyle name="Normal 3 4 12" xfId="1723"/>
    <cellStyle name="Normal 3 4 13" xfId="1724"/>
    <cellStyle name="Normal 3 4 14" xfId="1725"/>
    <cellStyle name="Normal 3 4 15" xfId="1726"/>
    <cellStyle name="Normal 3 4 16" xfId="1727"/>
    <cellStyle name="Normal 3 4 17" xfId="1728"/>
    <cellStyle name="Normal 3 4 18" xfId="1729"/>
    <cellStyle name="Normal 3 4 19" xfId="1730"/>
    <cellStyle name="Normal 3 4 2" xfId="1731"/>
    <cellStyle name="Normal 3 4 20" xfId="1732"/>
    <cellStyle name="Normal 3 4 21" xfId="1733"/>
    <cellStyle name="Normal 3 4 22" xfId="1734"/>
    <cellStyle name="Normal 3 4 23" xfId="1735"/>
    <cellStyle name="Normal 3 4 3" xfId="1736"/>
    <cellStyle name="Normal 3 4 4" xfId="1737"/>
    <cellStyle name="Normal 3 4 5" xfId="1738"/>
    <cellStyle name="Normal 3 4 6" xfId="1739"/>
    <cellStyle name="Normal 3 4 7" xfId="1740"/>
    <cellStyle name="Normal 3 4 8" xfId="1741"/>
    <cellStyle name="Normal 3 4 9" xfId="1742"/>
    <cellStyle name="Normal 3 40" xfId="1743"/>
    <cellStyle name="Normal 3 41" xfId="1744"/>
    <cellStyle name="Normal 3 42" xfId="1745"/>
    <cellStyle name="Normal 3 43" xfId="1746"/>
    <cellStyle name="Normal 3 44" xfId="1747"/>
    <cellStyle name="Normal 3 45" xfId="1748"/>
    <cellStyle name="Normal 3 46" xfId="1749"/>
    <cellStyle name="Normal 3 47" xfId="1750"/>
    <cellStyle name="Normal 3 48" xfId="1751"/>
    <cellStyle name="Normal 3 49" xfId="1752"/>
    <cellStyle name="Normal 3 5" xfId="1753"/>
    <cellStyle name="Normal 3 5 10" xfId="1754"/>
    <cellStyle name="Normal 3 5 11" xfId="1755"/>
    <cellStyle name="Normal 3 5 12" xfId="1756"/>
    <cellStyle name="Normal 3 5 13" xfId="1757"/>
    <cellStyle name="Normal 3 5 14" xfId="1758"/>
    <cellStyle name="Normal 3 5 15" xfId="1759"/>
    <cellStyle name="Normal 3 5 16" xfId="1760"/>
    <cellStyle name="Normal 3 5 17" xfId="1761"/>
    <cellStyle name="Normal 3 5 18" xfId="1762"/>
    <cellStyle name="Normal 3 5 19" xfId="1763"/>
    <cellStyle name="Normal 3 5 2" xfId="1764"/>
    <cellStyle name="Normal 3 5 20" xfId="1765"/>
    <cellStyle name="Normal 3 5 21" xfId="1766"/>
    <cellStyle name="Normal 3 5 22" xfId="1767"/>
    <cellStyle name="Normal 3 5 23" xfId="1768"/>
    <cellStyle name="Normal 3 5 3" xfId="1769"/>
    <cellStyle name="Normal 3 5 4" xfId="1770"/>
    <cellStyle name="Normal 3 5 5" xfId="1771"/>
    <cellStyle name="Normal 3 5 6" xfId="1772"/>
    <cellStyle name="Normal 3 5 7" xfId="1773"/>
    <cellStyle name="Normal 3 5 8" xfId="1774"/>
    <cellStyle name="Normal 3 5 9" xfId="1775"/>
    <cellStyle name="Normal 3 50" xfId="1776"/>
    <cellStyle name="Normal 3 51" xfId="1777"/>
    <cellStyle name="Normal 3 52" xfId="1778"/>
    <cellStyle name="Normal 3 53" xfId="1779"/>
    <cellStyle name="Normal 3 54" xfId="1780"/>
    <cellStyle name="Normal 3 55" xfId="1781"/>
    <cellStyle name="Normal 3 56" xfId="1782"/>
    <cellStyle name="Normal 3 57" xfId="1783"/>
    <cellStyle name="Normal 3 58" xfId="1784"/>
    <cellStyle name="Normal 3 59" xfId="1785"/>
    <cellStyle name="Normal 3 6" xfId="1786"/>
    <cellStyle name="Normal 3 6 10" xfId="1787"/>
    <cellStyle name="Normal 3 6 11" xfId="1788"/>
    <cellStyle name="Normal 3 6 12" xfId="1789"/>
    <cellStyle name="Normal 3 6 13" xfId="1790"/>
    <cellStyle name="Normal 3 6 14" xfId="1791"/>
    <cellStyle name="Normal 3 6 15" xfId="1792"/>
    <cellStyle name="Normal 3 6 16" xfId="1793"/>
    <cellStyle name="Normal 3 6 17" xfId="1794"/>
    <cellStyle name="Normal 3 6 18" xfId="1795"/>
    <cellStyle name="Normal 3 6 19" xfId="1796"/>
    <cellStyle name="Normal 3 6 2" xfId="1797"/>
    <cellStyle name="Normal 3 6 20" xfId="1798"/>
    <cellStyle name="Normal 3 6 21" xfId="1799"/>
    <cellStyle name="Normal 3 6 22" xfId="1800"/>
    <cellStyle name="Normal 3 6 23" xfId="1801"/>
    <cellStyle name="Normal 3 6 3" xfId="1802"/>
    <cellStyle name="Normal 3 6 4" xfId="1803"/>
    <cellStyle name="Normal 3 6 5" xfId="1804"/>
    <cellStyle name="Normal 3 6 6" xfId="1805"/>
    <cellStyle name="Normal 3 6 7" xfId="1806"/>
    <cellStyle name="Normal 3 6 8" xfId="1807"/>
    <cellStyle name="Normal 3 6 9" xfId="1808"/>
    <cellStyle name="Normal 3 60" xfId="1809"/>
    <cellStyle name="Normal 3 61" xfId="1810"/>
    <cellStyle name="Normal 3 62" xfId="1811"/>
    <cellStyle name="Normal 3 63" xfId="1812"/>
    <cellStyle name="Normal 3 64" xfId="1813"/>
    <cellStyle name="Normal 3 65" xfId="1814"/>
    <cellStyle name="Normal 3 7" xfId="1815"/>
    <cellStyle name="Normal 3 7 10" xfId="1816"/>
    <cellStyle name="Normal 3 7 11" xfId="1817"/>
    <cellStyle name="Normal 3 7 12" xfId="1818"/>
    <cellStyle name="Normal 3 7 13" xfId="1819"/>
    <cellStyle name="Normal 3 7 14" xfId="1820"/>
    <cellStyle name="Normal 3 7 15" xfId="1821"/>
    <cellStyle name="Normal 3 7 16" xfId="1822"/>
    <cellStyle name="Normal 3 7 17" xfId="1823"/>
    <cellStyle name="Normal 3 7 18" xfId="1824"/>
    <cellStyle name="Normal 3 7 19" xfId="1825"/>
    <cellStyle name="Normal 3 7 2" xfId="1826"/>
    <cellStyle name="Normal 3 7 20" xfId="1827"/>
    <cellStyle name="Normal 3 7 21" xfId="1828"/>
    <cellStyle name="Normal 3 7 22" xfId="1829"/>
    <cellStyle name="Normal 3 7 23" xfId="1830"/>
    <cellStyle name="Normal 3 7 3" xfId="1831"/>
    <cellStyle name="Normal 3 7 4" xfId="1832"/>
    <cellStyle name="Normal 3 7 5" xfId="1833"/>
    <cellStyle name="Normal 3 7 6" xfId="1834"/>
    <cellStyle name="Normal 3 7 7" xfId="1835"/>
    <cellStyle name="Normal 3 7 8" xfId="1836"/>
    <cellStyle name="Normal 3 7 9" xfId="1837"/>
    <cellStyle name="Normal 3 8" xfId="1838"/>
    <cellStyle name="Normal 3 8 10" xfId="1839"/>
    <cellStyle name="Normal 3 8 11" xfId="1840"/>
    <cellStyle name="Normal 3 8 12" xfId="1841"/>
    <cellStyle name="Normal 3 8 13" xfId="1842"/>
    <cellStyle name="Normal 3 8 14" xfId="1843"/>
    <cellStyle name="Normal 3 8 15" xfId="1844"/>
    <cellStyle name="Normal 3 8 16" xfId="1845"/>
    <cellStyle name="Normal 3 8 17" xfId="1846"/>
    <cellStyle name="Normal 3 8 18" xfId="1847"/>
    <cellStyle name="Normal 3 8 19" xfId="1848"/>
    <cellStyle name="Normal 3 8 2" xfId="1849"/>
    <cellStyle name="Normal 3 8 20" xfId="1850"/>
    <cellStyle name="Normal 3 8 21" xfId="1851"/>
    <cellStyle name="Normal 3 8 22" xfId="1852"/>
    <cellStyle name="Normal 3 8 23" xfId="1853"/>
    <cellStyle name="Normal 3 8 3" xfId="1854"/>
    <cellStyle name="Normal 3 8 4" xfId="1855"/>
    <cellStyle name="Normal 3 8 5" xfId="1856"/>
    <cellStyle name="Normal 3 8 6" xfId="1857"/>
    <cellStyle name="Normal 3 8 7" xfId="1858"/>
    <cellStyle name="Normal 3 8 8" xfId="1859"/>
    <cellStyle name="Normal 3 8 9" xfId="1860"/>
    <cellStyle name="Normal 3 9" xfId="1861"/>
    <cellStyle name="Normal 3 9 10" xfId="1862"/>
    <cellStyle name="Normal 3 9 11" xfId="1863"/>
    <cellStyle name="Normal 3 9 12" xfId="1864"/>
    <cellStyle name="Normal 3 9 13" xfId="1865"/>
    <cellStyle name="Normal 3 9 14" xfId="1866"/>
    <cellStyle name="Normal 3 9 15" xfId="1867"/>
    <cellStyle name="Normal 3 9 16" xfId="1868"/>
    <cellStyle name="Normal 3 9 17" xfId="1869"/>
    <cellStyle name="Normal 3 9 18" xfId="1870"/>
    <cellStyle name="Normal 3 9 19" xfId="1871"/>
    <cellStyle name="Normal 3 9 2" xfId="1872"/>
    <cellStyle name="Normal 3 9 20" xfId="1873"/>
    <cellStyle name="Normal 3 9 21" xfId="1874"/>
    <cellStyle name="Normal 3 9 22" xfId="1875"/>
    <cellStyle name="Normal 3 9 23" xfId="1876"/>
    <cellStyle name="Normal 3 9 3" xfId="1877"/>
    <cellStyle name="Normal 3 9 4" xfId="1878"/>
    <cellStyle name="Normal 3 9 5" xfId="1879"/>
    <cellStyle name="Normal 3 9 6" xfId="1880"/>
    <cellStyle name="Normal 3 9 7" xfId="1881"/>
    <cellStyle name="Normal 3 9 8" xfId="1882"/>
    <cellStyle name="Normal 3 9 9" xfId="1883"/>
    <cellStyle name="Normal 4" xfId="1884"/>
    <cellStyle name="Normal 4 2" xfId="1885"/>
    <cellStyle name="Normal 5" xfId="1886"/>
    <cellStyle name="Normal 5 10" xfId="1887"/>
    <cellStyle name="Normal 5 11" xfId="1888"/>
    <cellStyle name="Normal 5 12" xfId="1889"/>
    <cellStyle name="Normal 5 13" xfId="1890"/>
    <cellStyle name="Normal 5 14" xfId="1891"/>
    <cellStyle name="Normal 5 15" xfId="1892"/>
    <cellStyle name="Normal 5 16" xfId="1893"/>
    <cellStyle name="Normal 5 17" xfId="1894"/>
    <cellStyle name="Normal 5 18" xfId="1895"/>
    <cellStyle name="Normal 5 19" xfId="1896"/>
    <cellStyle name="Normal 5 2" xfId="1897"/>
    <cellStyle name="Normal 5 2 10" xfId="1898"/>
    <cellStyle name="Normal 5 2 11" xfId="1899"/>
    <cellStyle name="Normal 5 2 12" xfId="1900"/>
    <cellStyle name="Normal 5 2 13" xfId="1901"/>
    <cellStyle name="Normal 5 2 14" xfId="1902"/>
    <cellStyle name="Normal 5 2 15" xfId="1903"/>
    <cellStyle name="Normal 5 2 16" xfId="1904"/>
    <cellStyle name="Normal 5 2 17" xfId="1905"/>
    <cellStyle name="Normal 5 2 18" xfId="1906"/>
    <cellStyle name="Normal 5 2 19" xfId="1907"/>
    <cellStyle name="Normal 5 2 2" xfId="1908"/>
    <cellStyle name="Normal 5 2 20" xfId="1909"/>
    <cellStyle name="Normal 5 2 21" xfId="1910"/>
    <cellStyle name="Normal 5 2 22" xfId="1911"/>
    <cellStyle name="Normal 5 2 23" xfId="1912"/>
    <cellStyle name="Normal 5 2 3" xfId="1913"/>
    <cellStyle name="Normal 5 2 4" xfId="1914"/>
    <cellStyle name="Normal 5 2 5" xfId="1915"/>
    <cellStyle name="Normal 5 2 6" xfId="1916"/>
    <cellStyle name="Normal 5 2 7" xfId="1917"/>
    <cellStyle name="Normal 5 2 8" xfId="1918"/>
    <cellStyle name="Normal 5 2 9" xfId="1919"/>
    <cellStyle name="Normal 5 20" xfId="1920"/>
    <cellStyle name="Normal 5 21" xfId="1921"/>
    <cellStyle name="Normal 5 22" xfId="1922"/>
    <cellStyle name="Normal 5 23" xfId="1923"/>
    <cellStyle name="Normal 5 24" xfId="1924"/>
    <cellStyle name="Normal 5 3" xfId="1925"/>
    <cellStyle name="Normal 5 4" xfId="1926"/>
    <cellStyle name="Normal 5 5" xfId="1927"/>
    <cellStyle name="Normal 5 6" xfId="1928"/>
    <cellStyle name="Normal 5 7" xfId="1929"/>
    <cellStyle name="Normal 5 8" xfId="1930"/>
    <cellStyle name="Normal 5 9" xfId="1931"/>
    <cellStyle name="Normal 6" xfId="1932"/>
    <cellStyle name="Normal 7" xfId="1933"/>
    <cellStyle name="Normal 7 10" xfId="1934"/>
    <cellStyle name="Normal 7 11" xfId="1935"/>
    <cellStyle name="Normal 7 12" xfId="1936"/>
    <cellStyle name="Normal 7 13" xfId="1937"/>
    <cellStyle name="Normal 7 14" xfId="1938"/>
    <cellStyle name="Normal 7 15" xfId="1939"/>
    <cellStyle name="Normal 7 16" xfId="1940"/>
    <cellStyle name="Normal 7 17" xfId="1941"/>
    <cellStyle name="Normal 7 18" xfId="1942"/>
    <cellStyle name="Normal 7 19" xfId="1943"/>
    <cellStyle name="Normal 7 2" xfId="1944"/>
    <cellStyle name="Normal 7 2 10" xfId="1945"/>
    <cellStyle name="Normal 7 2 11" xfId="1946"/>
    <cellStyle name="Normal 7 2 12" xfId="1947"/>
    <cellStyle name="Normal 7 2 13" xfId="1948"/>
    <cellStyle name="Normal 7 2 14" xfId="1949"/>
    <cellStyle name="Normal 7 2 15" xfId="1950"/>
    <cellStyle name="Normal 7 2 16" xfId="1951"/>
    <cellStyle name="Normal 7 2 17" xfId="1952"/>
    <cellStyle name="Normal 7 2 18" xfId="1953"/>
    <cellStyle name="Normal 7 2 19" xfId="1954"/>
    <cellStyle name="Normal 7 2 2" xfId="1955"/>
    <cellStyle name="Normal 7 2 20" xfId="1956"/>
    <cellStyle name="Normal 7 2 21" xfId="1957"/>
    <cellStyle name="Normal 7 2 22" xfId="1958"/>
    <cellStyle name="Normal 7 2 23" xfId="1959"/>
    <cellStyle name="Normal 7 2 3" xfId="1960"/>
    <cellStyle name="Normal 7 2 4" xfId="1961"/>
    <cellStyle name="Normal 7 2 5" xfId="1962"/>
    <cellStyle name="Normal 7 2 6" xfId="1963"/>
    <cellStyle name="Normal 7 2 7" xfId="1964"/>
    <cellStyle name="Normal 7 2 8" xfId="1965"/>
    <cellStyle name="Normal 7 2 9" xfId="1966"/>
    <cellStyle name="Normal 7 20" xfId="1967"/>
    <cellStyle name="Normal 7 21" xfId="1968"/>
    <cellStyle name="Normal 7 22" xfId="1969"/>
    <cellStyle name="Normal 7 23" xfId="1970"/>
    <cellStyle name="Normal 7 24" xfId="1971"/>
    <cellStyle name="Normal 7 3" xfId="1972"/>
    <cellStyle name="Normal 7 4" xfId="1973"/>
    <cellStyle name="Normal 7 5" xfId="1974"/>
    <cellStyle name="Normal 7 6" xfId="1975"/>
    <cellStyle name="Normal 7 7" xfId="1976"/>
    <cellStyle name="Normal 7 8" xfId="1977"/>
    <cellStyle name="Normal 7 9" xfId="1978"/>
    <cellStyle name="Normal 8" xfId="1979"/>
    <cellStyle name="Normal 9" xfId="4"/>
    <cellStyle name="Normal_DEER SFM Direct Evap Coolers" xfId="2"/>
    <cellStyle name="Note 2" xfId="1981"/>
    <cellStyle name="Note 2 2" xfId="1998"/>
    <cellStyle name="Note 3" xfId="1980"/>
    <cellStyle name="Note 4" xfId="1997"/>
    <cellStyle name="Note 5" xfId="2053"/>
    <cellStyle name="Output" xfId="2021" builtinId="21" customBuiltin="1"/>
    <cellStyle name="Output 2" xfId="1983"/>
    <cellStyle name="Output 2 2" xfId="2000"/>
    <cellStyle name="Output 3" xfId="1982"/>
    <cellStyle name="Output 4" xfId="1999"/>
    <cellStyle name="Percent" xfId="1" builtinId="5"/>
    <cellStyle name="Percent 2" xfId="1985"/>
    <cellStyle name="Percent 3" xfId="1984"/>
    <cellStyle name="Percent 4" xfId="1986"/>
    <cellStyle name="Percent 5" xfId="2005"/>
    <cellStyle name="Percent 6" xfId="2008"/>
    <cellStyle name="Title" xfId="2012" builtinId="15" customBuiltin="1"/>
    <cellStyle name="Title 2" xfId="1988"/>
    <cellStyle name="Title 3" xfId="1987"/>
    <cellStyle name="Total" xfId="2027" builtinId="25" customBuiltin="1"/>
    <cellStyle name="Total 2" xfId="1990"/>
    <cellStyle name="Total 2 2" xfId="2002"/>
    <cellStyle name="Total 3" xfId="1989"/>
    <cellStyle name="Total 4" xfId="2001"/>
    <cellStyle name="Warning Text" xfId="2025" builtinId="11" customBuiltin="1"/>
    <cellStyle name="Warning Text 2" xfId="1992"/>
    <cellStyle name="Warning Text 3" xfId="19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ercial/Current/11210%20-%20SCE%20Workpapers%20(CWA)/Work%20Paper%20Training%20Documents%2002.07.2014/DEER%202014%20Update%20Info/CompareWeatherData-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2010"/>
      <sheetName val="oldCTZ2"/>
      <sheetName val="Intro"/>
      <sheetName val="compare"/>
      <sheetName val="2010"/>
      <sheetName val="CTZ2"/>
      <sheetName val="Report Tables"/>
      <sheetName val="fields"/>
    </sheetNames>
    <sheetDataSet>
      <sheetData sheetId="0"/>
      <sheetData sheetId="1"/>
      <sheetData sheetId="2"/>
      <sheetData sheetId="3">
        <row r="2">
          <cell r="U2">
            <v>65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usinflation.org/us-inflation-rate/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BC122"/>
  <sheetViews>
    <sheetView tabSelected="1" zoomScale="70" zoomScaleNormal="70" workbookViewId="0">
      <pane xSplit="9" ySplit="5" topLeftCell="J6" activePane="bottomRight" state="frozen"/>
      <selection pane="topRight" activeCell="J1" sqref="J1"/>
      <selection pane="bottomLeft" activeCell="A6" sqref="A6"/>
      <selection pane="bottomRight" activeCell="N16" sqref="N16"/>
    </sheetView>
  </sheetViews>
  <sheetFormatPr defaultColWidth="8.7109375" defaultRowHeight="15" x14ac:dyDescent="0.25"/>
  <cols>
    <col min="1" max="1" width="19.28515625" style="3" customWidth="1"/>
    <col min="2" max="2" width="11.7109375" style="3" bestFit="1" customWidth="1"/>
    <col min="3" max="3" width="15" style="3" bestFit="1" customWidth="1"/>
    <col min="4" max="4" width="12.85546875" style="3" bestFit="1" customWidth="1"/>
    <col min="5" max="5" width="8.140625" style="3" bestFit="1" customWidth="1"/>
    <col min="6" max="6" width="13.5703125" style="3" bestFit="1" customWidth="1"/>
    <col min="7" max="7" width="12.5703125" style="3" bestFit="1" customWidth="1"/>
    <col min="8" max="8" width="14.5703125" style="3" bestFit="1" customWidth="1"/>
    <col min="9" max="9" width="12.5703125" style="3" bestFit="1" customWidth="1"/>
    <col min="10" max="10" width="12.5703125" style="3" customWidth="1"/>
    <col min="11" max="11" width="13.140625" style="3" bestFit="1" customWidth="1"/>
    <col min="12" max="12" width="13.5703125" style="3" bestFit="1" customWidth="1"/>
    <col min="13" max="13" width="14.28515625" style="3" bestFit="1" customWidth="1"/>
    <col min="14" max="16" width="14" style="3" bestFit="1" customWidth="1"/>
    <col min="17" max="17" width="14.85546875" style="3" bestFit="1" customWidth="1"/>
    <col min="18" max="19" width="14.5703125" style="3" bestFit="1" customWidth="1"/>
    <col min="20" max="20" width="15.42578125" style="3" bestFit="1" customWidth="1"/>
    <col min="21" max="22" width="14.85546875" style="3" bestFit="1" customWidth="1"/>
    <col min="23" max="23" width="15.7109375" style="3" bestFit="1" customWidth="1"/>
    <col min="24" max="25" width="15.42578125" style="3" bestFit="1" customWidth="1"/>
    <col min="26" max="26" width="15.7109375" style="3" bestFit="1" customWidth="1"/>
    <col min="27" max="27" width="15.28515625" style="3" bestFit="1" customWidth="1"/>
    <col min="28" max="28" width="15.7109375" style="3" bestFit="1" customWidth="1"/>
    <col min="29" max="29" width="8.7109375" style="3"/>
    <col min="30" max="30" width="25" style="3" bestFit="1" customWidth="1"/>
    <col min="31" max="31" width="15" style="3" bestFit="1" customWidth="1"/>
    <col min="32" max="32" width="22.42578125" style="3" bestFit="1" customWidth="1"/>
    <col min="33" max="33" width="13.42578125" style="3" bestFit="1" customWidth="1"/>
    <col min="34" max="34" width="14.5703125" style="3" bestFit="1" customWidth="1"/>
    <col min="35" max="35" width="12.42578125" style="3" bestFit="1" customWidth="1"/>
    <col min="36" max="36" width="25.42578125" style="3" bestFit="1" customWidth="1"/>
    <col min="37" max="37" width="15.42578125" style="3" bestFit="1" customWidth="1"/>
    <col min="38" max="38" width="14.5703125" style="3" bestFit="1" customWidth="1"/>
    <col min="39" max="39" width="25.42578125" style="3" bestFit="1" customWidth="1"/>
    <col min="40" max="40" width="61" style="3" bestFit="1" customWidth="1"/>
    <col min="41" max="41" width="38.7109375" style="3" bestFit="1" customWidth="1"/>
    <col min="42" max="42" width="57.42578125" style="3" bestFit="1" customWidth="1"/>
    <col min="43" max="43" width="15.7109375" style="3" bestFit="1" customWidth="1"/>
    <col min="44" max="44" width="16.7109375" style="3" bestFit="1" customWidth="1"/>
    <col min="45" max="45" width="13.140625" style="3" bestFit="1" customWidth="1"/>
    <col min="46" max="46" width="17.7109375" style="3" bestFit="1" customWidth="1"/>
    <col min="47" max="47" width="17.140625" style="56" bestFit="1" customWidth="1"/>
    <col min="48" max="48" width="18.7109375" style="3" bestFit="1" customWidth="1"/>
    <col min="49" max="49" width="16.7109375" style="3" bestFit="1" customWidth="1"/>
    <col min="50" max="50" width="19.7109375" style="3" bestFit="1" customWidth="1"/>
    <col min="51" max="51" width="25.28515625" style="3" bestFit="1" customWidth="1"/>
    <col min="52" max="52" width="15.42578125" style="3" bestFit="1" customWidth="1"/>
    <col min="53" max="53" width="8.7109375" style="3"/>
    <col min="54" max="54" width="16.85546875" style="3" bestFit="1" customWidth="1"/>
    <col min="55" max="55" width="15" style="3" bestFit="1" customWidth="1"/>
    <col min="56" max="16384" width="8.7109375" style="3"/>
  </cols>
  <sheetData>
    <row r="1" spans="1:55" x14ac:dyDescent="0.25">
      <c r="A1" s="3" t="s">
        <v>134</v>
      </c>
      <c r="AQ1" s="7"/>
      <c r="AR1" s="7"/>
      <c r="AS1" s="7"/>
      <c r="AV1" s="7"/>
      <c r="AW1" s="7"/>
      <c r="AX1" s="7"/>
      <c r="AY1" s="7"/>
    </row>
    <row r="2" spans="1:55" x14ac:dyDescent="0.25">
      <c r="A2" s="3" t="s">
        <v>135</v>
      </c>
      <c r="AX2" s="60"/>
      <c r="AY2" s="60"/>
      <c r="AZ2" s="60"/>
    </row>
    <row r="3" spans="1:55" x14ac:dyDescent="0.25">
      <c r="A3" s="3" t="s">
        <v>136</v>
      </c>
      <c r="AX3" s="60"/>
    </row>
    <row r="4" spans="1:55" ht="15.75" thickBot="1" x14ac:dyDescent="0.3">
      <c r="AW4" s="22">
        <v>2027.25</v>
      </c>
      <c r="AY4" s="22">
        <v>2069.58</v>
      </c>
      <c r="BB4" s="63" t="s">
        <v>133</v>
      </c>
      <c r="BC4" s="64"/>
    </row>
    <row r="5" spans="1:55" s="5" customFormat="1" ht="45.75" thickBot="1" x14ac:dyDescent="0.25">
      <c r="A5" s="5" t="s">
        <v>17</v>
      </c>
      <c r="B5" s="5" t="s">
        <v>18</v>
      </c>
      <c r="C5" s="5" t="s">
        <v>19</v>
      </c>
      <c r="D5" s="5" t="s">
        <v>20</v>
      </c>
      <c r="E5" s="5" t="s">
        <v>21</v>
      </c>
      <c r="F5" s="5" t="s">
        <v>22</v>
      </c>
      <c r="G5" s="5" t="s">
        <v>23</v>
      </c>
      <c r="H5" s="5" t="s">
        <v>24</v>
      </c>
      <c r="I5" s="5" t="s">
        <v>25</v>
      </c>
      <c r="J5" s="62" t="s">
        <v>137</v>
      </c>
      <c r="K5" s="5" t="s">
        <v>26</v>
      </c>
      <c r="L5" s="5" t="s">
        <v>27</v>
      </c>
      <c r="M5" s="5" t="s">
        <v>28</v>
      </c>
      <c r="N5" s="5" t="s">
        <v>29</v>
      </c>
      <c r="O5" s="5" t="s">
        <v>30</v>
      </c>
      <c r="P5" s="5" t="s">
        <v>31</v>
      </c>
      <c r="Q5" s="5" t="s">
        <v>32</v>
      </c>
      <c r="R5" s="5" t="s">
        <v>13</v>
      </c>
      <c r="S5" s="5" t="s">
        <v>14</v>
      </c>
      <c r="T5" s="5" t="s">
        <v>33</v>
      </c>
      <c r="U5" s="5" t="s">
        <v>34</v>
      </c>
      <c r="V5" s="5" t="s">
        <v>35</v>
      </c>
      <c r="W5" s="5" t="s">
        <v>36</v>
      </c>
      <c r="X5" s="5" t="s">
        <v>15</v>
      </c>
      <c r="Y5" s="5" t="s">
        <v>16</v>
      </c>
      <c r="Z5" s="5" t="s">
        <v>37</v>
      </c>
      <c r="AA5" s="5" t="s">
        <v>38</v>
      </c>
      <c r="AB5" s="5" t="s">
        <v>39</v>
      </c>
      <c r="AC5" s="5" t="s">
        <v>40</v>
      </c>
      <c r="AD5" s="5" t="s">
        <v>41</v>
      </c>
      <c r="AE5" s="5" t="s">
        <v>42</v>
      </c>
      <c r="AF5" s="5" t="s">
        <v>43</v>
      </c>
      <c r="AG5" s="5" t="s">
        <v>44</v>
      </c>
      <c r="AH5" s="5" t="s">
        <v>0</v>
      </c>
      <c r="AI5" s="5" t="s">
        <v>45</v>
      </c>
      <c r="AJ5" s="5" t="s">
        <v>46</v>
      </c>
      <c r="AK5" s="5" t="s">
        <v>47</v>
      </c>
      <c r="AL5" s="5" t="s">
        <v>48</v>
      </c>
      <c r="AM5" s="5" t="s">
        <v>49</v>
      </c>
      <c r="AN5" s="5" t="s">
        <v>50</v>
      </c>
      <c r="AO5" s="5" t="s">
        <v>51</v>
      </c>
      <c r="AP5" s="5" t="s">
        <v>52</v>
      </c>
      <c r="AQ5" s="21" t="s">
        <v>7</v>
      </c>
      <c r="AR5" s="21" t="s">
        <v>8</v>
      </c>
      <c r="AS5" s="21" t="s">
        <v>110</v>
      </c>
      <c r="AT5" s="1" t="s">
        <v>101</v>
      </c>
      <c r="AU5" s="57" t="s">
        <v>102</v>
      </c>
      <c r="AV5" s="2" t="s">
        <v>103</v>
      </c>
      <c r="AW5" s="23" t="s">
        <v>111</v>
      </c>
      <c r="AX5" s="24" t="s">
        <v>112</v>
      </c>
      <c r="AY5" s="25" t="s">
        <v>113</v>
      </c>
      <c r="AZ5" s="16" t="s">
        <v>106</v>
      </c>
      <c r="BA5" s="18"/>
      <c r="BB5" s="1" t="s">
        <v>101</v>
      </c>
      <c r="BC5" s="57" t="s">
        <v>102</v>
      </c>
    </row>
    <row r="6" spans="1:55" x14ac:dyDescent="0.25">
      <c r="A6" s="3" t="s">
        <v>11</v>
      </c>
      <c r="B6" s="3" t="s">
        <v>53</v>
      </c>
      <c r="C6" s="3" t="s">
        <v>54</v>
      </c>
      <c r="D6" s="4">
        <v>40944</v>
      </c>
      <c r="E6" s="3" t="s">
        <v>55</v>
      </c>
      <c r="F6" s="3" t="s">
        <v>56</v>
      </c>
      <c r="G6" s="3" t="s">
        <v>57</v>
      </c>
      <c r="H6" s="3" t="s">
        <v>58</v>
      </c>
      <c r="I6" s="3" t="s">
        <v>59</v>
      </c>
      <c r="J6" s="62" t="str">
        <f>CONCATENATE(F6,I6)</f>
        <v>DMoCZ01</v>
      </c>
      <c r="K6" s="3" t="s">
        <v>60</v>
      </c>
      <c r="L6" s="3">
        <v>1.24</v>
      </c>
      <c r="M6" s="3">
        <v>1240</v>
      </c>
      <c r="N6" s="3" t="s">
        <v>61</v>
      </c>
      <c r="O6" s="3">
        <v>0</v>
      </c>
      <c r="P6" s="3">
        <v>0</v>
      </c>
      <c r="Q6" s="3">
        <v>0</v>
      </c>
      <c r="R6" s="3">
        <v>-99.6</v>
      </c>
      <c r="S6" s="3">
        <v>2.83</v>
      </c>
      <c r="T6" s="3">
        <v>-104</v>
      </c>
      <c r="U6" s="3">
        <v>0</v>
      </c>
      <c r="V6" s="3">
        <v>0</v>
      </c>
      <c r="W6" s="3">
        <v>0</v>
      </c>
      <c r="X6" s="3">
        <v>-105</v>
      </c>
      <c r="Y6" s="3">
        <v>1.1499999999999999</v>
      </c>
      <c r="Z6" s="3">
        <v>-105</v>
      </c>
      <c r="AC6" s="3">
        <v>2</v>
      </c>
      <c r="AD6" s="3" t="s">
        <v>62</v>
      </c>
      <c r="AE6" s="3" t="s">
        <v>63</v>
      </c>
      <c r="AF6" s="3" t="s">
        <v>64</v>
      </c>
      <c r="AG6" s="3" t="s">
        <v>10</v>
      </c>
      <c r="AH6" s="3" t="s">
        <v>11</v>
      </c>
      <c r="AI6" s="3" t="s">
        <v>61</v>
      </c>
      <c r="AJ6" s="3" t="s">
        <v>12</v>
      </c>
      <c r="AK6" s="3" t="s">
        <v>65</v>
      </c>
      <c r="AM6" s="3" t="s">
        <v>12</v>
      </c>
      <c r="AN6" s="3" t="s">
        <v>1</v>
      </c>
      <c r="AO6" s="19" t="s">
        <v>3</v>
      </c>
      <c r="AP6" s="3" t="s">
        <v>66</v>
      </c>
      <c r="AQ6" s="6">
        <f>IF($E6="SCE",VLOOKUP($AZ6,'ESAF_&amp;_PDAF_Summary'!$B$4:$D$18,2,0),1)</f>
        <v>1</v>
      </c>
      <c r="AR6" s="6">
        <f>IF($E6="SCE",VLOOKUP($AZ6,'ESAF_&amp;_PDAF_Summary'!$B$4:$D$18,3,0),1)</f>
        <v>1</v>
      </c>
      <c r="AS6" s="6">
        <f>IF($E6="SCE",VLOOKUP($AZ6,'ESAF_&amp;_PDAF_Summary'!$B$4:$E$18,4,0),1)</f>
        <v>1</v>
      </c>
      <c r="AT6" s="3" t="str">
        <f>IF(AND($E6="PGE",$F6="MFm",OR($I6="CZ11",$I6="CZ12",$I6="CZ13")),X6*$AQ6*$AS6*$L6,IF($E6="SCE",R6*$AQ6*$AS6,"N/A"))</f>
        <v>N/A</v>
      </c>
      <c r="AU6" s="3" t="str">
        <f>IF(AND($E6="PGE",$F6="MFm",OR($I6="CZ11",$I6="CZ12",$I6="CZ13")),Y6*$AR6*$AS6*$L6,IF($E6="SCE",S6*$AR6*$AS6,"N/A"))</f>
        <v>N/A</v>
      </c>
      <c r="AV6" s="3">
        <v>0</v>
      </c>
      <c r="AW6" s="3">
        <f>IF($E6="PGE",$AW$4*$L6,IF($E6="SCE",$AW$4,"N/A"))</f>
        <v>2513.79</v>
      </c>
      <c r="AX6" s="3">
        <f>IF($E6="PGE",AY6,IF($E6="SCE",AY6,"N/A"))</f>
        <v>117.18870944936361</v>
      </c>
      <c r="AY6" s="22">
        <f>IF($E6="PGE",($AY$4*$L6)+'Water Costs'!I$16-AW6,IF($E6="SCE",$AY$4+'Water Costs'!$I$9,"N/A"))</f>
        <v>117.18870944936361</v>
      </c>
      <c r="AZ6" s="3">
        <f t="shared" ref="AZ6:AZ60" si="0">VALUE(RIGHT(I6,2))</f>
        <v>1</v>
      </c>
    </row>
    <row r="7" spans="1:55" x14ac:dyDescent="0.25">
      <c r="A7" s="3" t="s">
        <v>11</v>
      </c>
      <c r="B7" s="3" t="s">
        <v>53</v>
      </c>
      <c r="C7" s="3" t="s">
        <v>54</v>
      </c>
      <c r="D7" s="4">
        <v>40944</v>
      </c>
      <c r="E7" s="3" t="s">
        <v>55</v>
      </c>
      <c r="F7" s="3" t="s">
        <v>56</v>
      </c>
      <c r="G7" s="3" t="s">
        <v>57</v>
      </c>
      <c r="H7" s="3" t="s">
        <v>58</v>
      </c>
      <c r="I7" s="3" t="s">
        <v>67</v>
      </c>
      <c r="J7" s="62" t="str">
        <f>CONCATENATE(F7,I7)</f>
        <v>DMoCZ02</v>
      </c>
      <c r="K7" s="3" t="s">
        <v>60</v>
      </c>
      <c r="L7" s="3">
        <v>1.24</v>
      </c>
      <c r="M7" s="3">
        <v>1240</v>
      </c>
      <c r="N7" s="3" t="s">
        <v>61</v>
      </c>
      <c r="O7" s="3">
        <v>0</v>
      </c>
      <c r="P7" s="3">
        <v>0</v>
      </c>
      <c r="Q7" s="3">
        <v>0</v>
      </c>
      <c r="R7" s="3">
        <v>519</v>
      </c>
      <c r="S7" s="3">
        <v>2.61</v>
      </c>
      <c r="T7" s="3">
        <v>-77.900000000000006</v>
      </c>
      <c r="U7" s="3">
        <v>0</v>
      </c>
      <c r="V7" s="3">
        <v>0</v>
      </c>
      <c r="W7" s="3">
        <v>0</v>
      </c>
      <c r="X7" s="3">
        <v>181</v>
      </c>
      <c r="Y7" s="3">
        <v>1.22</v>
      </c>
      <c r="Z7" s="3">
        <v>-78.400000000000006</v>
      </c>
      <c r="AC7" s="3">
        <v>2</v>
      </c>
      <c r="AD7" s="3" t="s">
        <v>62</v>
      </c>
      <c r="AE7" s="3" t="s">
        <v>63</v>
      </c>
      <c r="AF7" s="3" t="s">
        <v>68</v>
      </c>
      <c r="AG7" s="3" t="s">
        <v>10</v>
      </c>
      <c r="AH7" s="3" t="s">
        <v>11</v>
      </c>
      <c r="AI7" s="3" t="s">
        <v>61</v>
      </c>
      <c r="AJ7" s="3" t="s">
        <v>12</v>
      </c>
      <c r="AK7" s="3" t="s">
        <v>65</v>
      </c>
      <c r="AM7" s="3" t="s">
        <v>12</v>
      </c>
      <c r="AN7" s="3" t="s">
        <v>1</v>
      </c>
      <c r="AO7" s="3" t="s">
        <v>3</v>
      </c>
      <c r="AP7" s="3" t="s">
        <v>66</v>
      </c>
      <c r="AQ7" s="6">
        <f>IF($E7="SCE",VLOOKUP($AZ7,'ESAF_&amp;_PDAF_Summary'!$B$4:$D$18,2,0),1)</f>
        <v>1</v>
      </c>
      <c r="AR7" s="6">
        <f>IF($E7="SCE",VLOOKUP($AZ7,'ESAF_&amp;_PDAF_Summary'!$B$4:$D$18,3,0),1)</f>
        <v>1</v>
      </c>
      <c r="AS7" s="6">
        <f>IF($E7="SCE",VLOOKUP($AZ7,'ESAF_&amp;_PDAF_Summary'!$B$4:$E$18,4,0),1)</f>
        <v>1</v>
      </c>
      <c r="AT7" s="3" t="str">
        <f t="shared" ref="AT7:AT61" si="1">IF(AND($E7="PGE",$F7="MFm",OR($I7="CZ11",$I7="CZ12",$I7="CZ13")),X7*$AQ7*$AS7*$L7,IF($E7="SCE",R7*$AQ7*$AS7,"N/A"))</f>
        <v>N/A</v>
      </c>
      <c r="AU7" s="3" t="str">
        <f t="shared" ref="AU7:AU61" si="2">IF(AND($E7="PGE",$F7="MFm",OR($I7="CZ11",$I7="CZ12",$I7="CZ13")),Y7*$AR7*$AS7*$L7,IF($E7="SCE",S7*$AR7*$AS7,"N/A"))</f>
        <v>N/A</v>
      </c>
      <c r="AV7" s="3">
        <v>0</v>
      </c>
      <c r="AW7" s="3">
        <f>IF($E7="PGE",$AW$4*$L7,IF($E7="SCE",$AW$4,"N/A"))</f>
        <v>2513.79</v>
      </c>
      <c r="AX7" s="3">
        <f t="shared" ref="AX7:AX61" si="3">IF($E7="PGE",AY7,IF($E7="SCE",AY7,"N/A"))</f>
        <v>117.18870944936361</v>
      </c>
      <c r="AY7" s="22">
        <f>IF($E7="PGE",($AY$4*$L7)+'Water Costs'!I$16-AW7,IF($E7="SCE",$AY$4+'Water Costs'!$I$9,"N/A"))</f>
        <v>117.18870944936361</v>
      </c>
      <c r="AZ7" s="3">
        <f t="shared" si="0"/>
        <v>2</v>
      </c>
    </row>
    <row r="8" spans="1:55" x14ac:dyDescent="0.25">
      <c r="A8" s="3" t="s">
        <v>11</v>
      </c>
      <c r="B8" s="3" t="s">
        <v>53</v>
      </c>
      <c r="C8" s="3" t="s">
        <v>54</v>
      </c>
      <c r="D8" s="4">
        <v>40944</v>
      </c>
      <c r="E8" s="3" t="s">
        <v>55</v>
      </c>
      <c r="F8" s="3" t="s">
        <v>56</v>
      </c>
      <c r="G8" s="3" t="s">
        <v>57</v>
      </c>
      <c r="H8" s="3" t="s">
        <v>58</v>
      </c>
      <c r="I8" s="3" t="s">
        <v>69</v>
      </c>
      <c r="J8" s="62" t="str">
        <f>CONCATENATE(F8,I8)</f>
        <v>DMoCZ03</v>
      </c>
      <c r="K8" s="3" t="s">
        <v>60</v>
      </c>
      <c r="L8" s="3">
        <v>1.24</v>
      </c>
      <c r="M8" s="3">
        <v>1240</v>
      </c>
      <c r="N8" s="3" t="s">
        <v>61</v>
      </c>
      <c r="O8" s="3">
        <v>0</v>
      </c>
      <c r="P8" s="3">
        <v>0</v>
      </c>
      <c r="Q8" s="3">
        <v>0</v>
      </c>
      <c r="R8" s="3">
        <v>67.3</v>
      </c>
      <c r="S8" s="3">
        <v>2.71</v>
      </c>
      <c r="T8" s="3">
        <v>-54.3</v>
      </c>
      <c r="U8" s="3">
        <v>0</v>
      </c>
      <c r="V8" s="3">
        <v>0</v>
      </c>
      <c r="W8" s="3">
        <v>0</v>
      </c>
      <c r="X8" s="3">
        <v>-13</v>
      </c>
      <c r="Y8" s="3">
        <v>1.07</v>
      </c>
      <c r="Z8" s="3">
        <v>-54.8</v>
      </c>
      <c r="AC8" s="3">
        <v>2</v>
      </c>
      <c r="AD8" s="3" t="s">
        <v>62</v>
      </c>
      <c r="AE8" s="3" t="s">
        <v>63</v>
      </c>
      <c r="AF8" s="3" t="s">
        <v>70</v>
      </c>
      <c r="AG8" s="3" t="s">
        <v>10</v>
      </c>
      <c r="AH8" s="3" t="s">
        <v>11</v>
      </c>
      <c r="AI8" s="3" t="s">
        <v>61</v>
      </c>
      <c r="AJ8" s="3" t="s">
        <v>12</v>
      </c>
      <c r="AK8" s="3" t="s">
        <v>65</v>
      </c>
      <c r="AM8" s="3" t="s">
        <v>12</v>
      </c>
      <c r="AN8" s="3" t="s">
        <v>1</v>
      </c>
      <c r="AO8" s="3" t="s">
        <v>3</v>
      </c>
      <c r="AP8" s="3" t="s">
        <v>66</v>
      </c>
      <c r="AQ8" s="6">
        <f>IF($E8="SCE",VLOOKUP($AZ8,'ESAF_&amp;_PDAF_Summary'!$B$4:$D$18,2,0),1)</f>
        <v>1</v>
      </c>
      <c r="AR8" s="6">
        <f>IF($E8="SCE",VLOOKUP($AZ8,'ESAF_&amp;_PDAF_Summary'!$B$4:$D$18,3,0),1)</f>
        <v>1</v>
      </c>
      <c r="AS8" s="6">
        <f>IF($E8="SCE",VLOOKUP($AZ8,'ESAF_&amp;_PDAF_Summary'!$B$4:$E$18,4,0),1)</f>
        <v>1</v>
      </c>
      <c r="AT8" s="3" t="str">
        <f t="shared" si="1"/>
        <v>N/A</v>
      </c>
      <c r="AU8" s="3" t="str">
        <f t="shared" si="2"/>
        <v>N/A</v>
      </c>
      <c r="AV8" s="3">
        <v>0</v>
      </c>
      <c r="AW8" s="3">
        <f t="shared" ref="AW8:AW61" si="4">IF($E8="PGE",$AW$4*$L8,IF($E8="SCE",$AW$4,"N/A"))</f>
        <v>2513.79</v>
      </c>
      <c r="AX8" s="3">
        <f t="shared" si="3"/>
        <v>117.18870944936361</v>
      </c>
      <c r="AY8" s="22">
        <f>IF($E8="PGE",($AY$4*$L8)+'Water Costs'!I$16-AW8,IF($E8="SCE",$AY$4+'Water Costs'!$I$9,"N/A"))</f>
        <v>117.18870944936361</v>
      </c>
      <c r="AZ8" s="3">
        <f t="shared" si="0"/>
        <v>3</v>
      </c>
    </row>
    <row r="9" spans="1:55" x14ac:dyDescent="0.25">
      <c r="A9" s="3" t="s">
        <v>11</v>
      </c>
      <c r="B9" s="3" t="s">
        <v>53</v>
      </c>
      <c r="C9" s="3" t="s">
        <v>54</v>
      </c>
      <c r="D9" s="4">
        <v>40944</v>
      </c>
      <c r="E9" s="3" t="s">
        <v>55</v>
      </c>
      <c r="F9" s="3" t="s">
        <v>56</v>
      </c>
      <c r="G9" s="3" t="s">
        <v>57</v>
      </c>
      <c r="H9" s="3" t="s">
        <v>58</v>
      </c>
      <c r="I9" s="3" t="s">
        <v>71</v>
      </c>
      <c r="J9" s="62" t="str">
        <f>CONCATENATE(F9,I9)</f>
        <v>DMoCZ04</v>
      </c>
      <c r="K9" s="3" t="s">
        <v>60</v>
      </c>
      <c r="L9" s="3">
        <v>1.24</v>
      </c>
      <c r="M9" s="3">
        <v>1240</v>
      </c>
      <c r="N9" s="3" t="s">
        <v>61</v>
      </c>
      <c r="O9" s="3">
        <v>0</v>
      </c>
      <c r="P9" s="3">
        <v>0</v>
      </c>
      <c r="Q9" s="3">
        <v>0</v>
      </c>
      <c r="R9" s="3">
        <v>200</v>
      </c>
      <c r="S9" s="3">
        <v>1.42</v>
      </c>
      <c r="T9" s="3">
        <v>-52.8</v>
      </c>
      <c r="U9" s="3">
        <v>0</v>
      </c>
      <c r="V9" s="3">
        <v>0</v>
      </c>
      <c r="W9" s="3">
        <v>0</v>
      </c>
      <c r="X9" s="3">
        <v>38.6</v>
      </c>
      <c r="Y9" s="3">
        <v>0.96699999999999997</v>
      </c>
      <c r="Z9" s="3">
        <v>-53.1</v>
      </c>
      <c r="AC9" s="3">
        <v>2</v>
      </c>
      <c r="AD9" s="3" t="s">
        <v>62</v>
      </c>
      <c r="AE9" s="3" t="s">
        <v>63</v>
      </c>
      <c r="AF9" s="3" t="s">
        <v>72</v>
      </c>
      <c r="AG9" s="3" t="s">
        <v>10</v>
      </c>
      <c r="AH9" s="3" t="s">
        <v>11</v>
      </c>
      <c r="AI9" s="3" t="s">
        <v>61</v>
      </c>
      <c r="AJ9" s="3" t="s">
        <v>12</v>
      </c>
      <c r="AK9" s="3" t="s">
        <v>65</v>
      </c>
      <c r="AM9" s="3" t="s">
        <v>12</v>
      </c>
      <c r="AN9" s="3" t="s">
        <v>1</v>
      </c>
      <c r="AO9" s="3" t="s">
        <v>3</v>
      </c>
      <c r="AP9" s="3" t="s">
        <v>66</v>
      </c>
      <c r="AQ9" s="6">
        <f>IF($E9="SCE",VLOOKUP($AZ9,'ESAF_&amp;_PDAF_Summary'!$B$4:$D$18,2,0),1)</f>
        <v>1</v>
      </c>
      <c r="AR9" s="6">
        <f>IF($E9="SCE",VLOOKUP($AZ9,'ESAF_&amp;_PDAF_Summary'!$B$4:$D$18,3,0),1)</f>
        <v>1</v>
      </c>
      <c r="AS9" s="6">
        <f>IF($E9="SCE",VLOOKUP($AZ9,'ESAF_&amp;_PDAF_Summary'!$B$4:$E$18,4,0),1)</f>
        <v>1</v>
      </c>
      <c r="AT9" s="3" t="str">
        <f t="shared" si="1"/>
        <v>N/A</v>
      </c>
      <c r="AU9" s="3" t="str">
        <f t="shared" si="2"/>
        <v>N/A</v>
      </c>
      <c r="AV9" s="3">
        <v>0</v>
      </c>
      <c r="AW9" s="3">
        <f t="shared" si="4"/>
        <v>2513.79</v>
      </c>
      <c r="AX9" s="3">
        <f t="shared" si="3"/>
        <v>117.18870944936361</v>
      </c>
      <c r="AY9" s="22">
        <f>IF($E9="PGE",($AY$4*$L9)+'Water Costs'!I$16-AW9,IF($E9="SCE",$AY$4+'Water Costs'!$I$9,"N/A"))</f>
        <v>117.18870944936361</v>
      </c>
      <c r="AZ9" s="3">
        <f t="shared" si="0"/>
        <v>4</v>
      </c>
    </row>
    <row r="10" spans="1:55" x14ac:dyDescent="0.25">
      <c r="A10" s="3" t="s">
        <v>11</v>
      </c>
      <c r="B10" s="3" t="s">
        <v>53</v>
      </c>
      <c r="C10" s="3" t="s">
        <v>54</v>
      </c>
      <c r="D10" s="4">
        <v>40944</v>
      </c>
      <c r="E10" s="3" t="s">
        <v>55</v>
      </c>
      <c r="F10" s="3" t="s">
        <v>56</v>
      </c>
      <c r="G10" s="3" t="s">
        <v>57</v>
      </c>
      <c r="H10" s="3" t="s">
        <v>58</v>
      </c>
      <c r="I10" s="3" t="s">
        <v>73</v>
      </c>
      <c r="J10" s="62" t="str">
        <f>CONCATENATE(F10,I10)</f>
        <v>DMoCZ05</v>
      </c>
      <c r="K10" s="3" t="s">
        <v>60</v>
      </c>
      <c r="L10" s="3">
        <v>1.24</v>
      </c>
      <c r="M10" s="3">
        <v>1240</v>
      </c>
      <c r="N10" s="3" t="s">
        <v>61</v>
      </c>
      <c r="O10" s="3">
        <v>0</v>
      </c>
      <c r="P10" s="3">
        <v>0</v>
      </c>
      <c r="Q10" s="3">
        <v>0</v>
      </c>
      <c r="R10" s="3">
        <v>113</v>
      </c>
      <c r="S10" s="3">
        <v>2.83</v>
      </c>
      <c r="T10" s="3">
        <v>-53.2</v>
      </c>
      <c r="U10" s="3">
        <v>0</v>
      </c>
      <c r="V10" s="3">
        <v>0</v>
      </c>
      <c r="W10" s="3">
        <v>0</v>
      </c>
      <c r="X10" s="3">
        <v>8.82</v>
      </c>
      <c r="Y10" s="3">
        <v>1.34</v>
      </c>
      <c r="Z10" s="3">
        <v>-53.7</v>
      </c>
      <c r="AC10" s="3">
        <v>2</v>
      </c>
      <c r="AD10" s="3" t="s">
        <v>62</v>
      </c>
      <c r="AE10" s="3" t="s">
        <v>63</v>
      </c>
      <c r="AF10" s="3" t="s">
        <v>74</v>
      </c>
      <c r="AG10" s="3" t="s">
        <v>10</v>
      </c>
      <c r="AH10" s="3" t="s">
        <v>11</v>
      </c>
      <c r="AI10" s="3" t="s">
        <v>61</v>
      </c>
      <c r="AJ10" s="3" t="s">
        <v>12</v>
      </c>
      <c r="AK10" s="3" t="s">
        <v>65</v>
      </c>
      <c r="AM10" s="3" t="s">
        <v>12</v>
      </c>
      <c r="AN10" s="3" t="s">
        <v>1</v>
      </c>
      <c r="AO10" s="3" t="s">
        <v>3</v>
      </c>
      <c r="AP10" s="3" t="s">
        <v>66</v>
      </c>
      <c r="AQ10" s="6">
        <f>IF($E10="SCE",VLOOKUP($AZ10,'ESAF_&amp;_PDAF_Summary'!$B$4:$D$18,2,0),1)</f>
        <v>1</v>
      </c>
      <c r="AR10" s="6">
        <f>IF($E10="SCE",VLOOKUP($AZ10,'ESAF_&amp;_PDAF_Summary'!$B$4:$D$18,3,0),1)</f>
        <v>1</v>
      </c>
      <c r="AS10" s="6">
        <f>IF($E10="SCE",VLOOKUP($AZ10,'ESAF_&amp;_PDAF_Summary'!$B$4:$E$18,4,0),1)</f>
        <v>1</v>
      </c>
      <c r="AT10" s="3" t="str">
        <f t="shared" si="1"/>
        <v>N/A</v>
      </c>
      <c r="AU10" s="3" t="str">
        <f t="shared" si="2"/>
        <v>N/A</v>
      </c>
      <c r="AV10" s="3">
        <v>0</v>
      </c>
      <c r="AW10" s="3">
        <f t="shared" si="4"/>
        <v>2513.79</v>
      </c>
      <c r="AX10" s="3">
        <f t="shared" si="3"/>
        <v>117.18870944936361</v>
      </c>
      <c r="AY10" s="22">
        <f>IF($E10="PGE",($AY$4*$L10)+'Water Costs'!I$16-AW10,IF($E10="SCE",$AY$4+'Water Costs'!$I$9,"N/A"))</f>
        <v>117.18870944936361</v>
      </c>
      <c r="AZ10" s="3">
        <f t="shared" si="0"/>
        <v>5</v>
      </c>
    </row>
    <row r="11" spans="1:55" x14ac:dyDescent="0.25">
      <c r="A11" s="3" t="s">
        <v>11</v>
      </c>
      <c r="B11" s="3" t="s">
        <v>53</v>
      </c>
      <c r="C11" s="3" t="s">
        <v>54</v>
      </c>
      <c r="D11" s="4">
        <v>40944</v>
      </c>
      <c r="E11" s="3" t="s">
        <v>55</v>
      </c>
      <c r="F11" s="3" t="s">
        <v>56</v>
      </c>
      <c r="G11" s="3" t="s">
        <v>57</v>
      </c>
      <c r="H11" s="3" t="s">
        <v>58</v>
      </c>
      <c r="I11" s="3" t="s">
        <v>75</v>
      </c>
      <c r="J11" s="62" t="str">
        <f t="shared" ref="J11:J70" si="5">CONCATENATE(F11,I11)</f>
        <v>DMoCZ11</v>
      </c>
      <c r="K11" s="3" t="s">
        <v>60</v>
      </c>
      <c r="L11" s="3">
        <v>1.24</v>
      </c>
      <c r="M11" s="3">
        <v>1240</v>
      </c>
      <c r="N11" s="3" t="s">
        <v>61</v>
      </c>
      <c r="O11" s="3">
        <v>0</v>
      </c>
      <c r="P11" s="3">
        <v>0</v>
      </c>
      <c r="Q11" s="3">
        <v>0</v>
      </c>
      <c r="R11" s="3">
        <v>1130</v>
      </c>
      <c r="S11" s="3">
        <v>2.96</v>
      </c>
      <c r="T11" s="3">
        <v>-80.5</v>
      </c>
      <c r="U11" s="3">
        <v>0</v>
      </c>
      <c r="V11" s="3">
        <v>0</v>
      </c>
      <c r="W11" s="3">
        <v>0</v>
      </c>
      <c r="X11" s="3">
        <v>431</v>
      </c>
      <c r="Y11" s="3">
        <v>1.3</v>
      </c>
      <c r="Z11" s="3">
        <v>-81.099999999999994</v>
      </c>
      <c r="AC11" s="3">
        <v>2</v>
      </c>
      <c r="AD11" s="3" t="s">
        <v>62</v>
      </c>
      <c r="AE11" s="3" t="s">
        <v>63</v>
      </c>
      <c r="AF11" s="3" t="s">
        <v>76</v>
      </c>
      <c r="AG11" s="3" t="s">
        <v>10</v>
      </c>
      <c r="AH11" s="3" t="s">
        <v>11</v>
      </c>
      <c r="AI11" s="3" t="s">
        <v>61</v>
      </c>
      <c r="AJ11" s="3" t="s">
        <v>12</v>
      </c>
      <c r="AK11" s="3" t="s">
        <v>65</v>
      </c>
      <c r="AM11" s="3" t="s">
        <v>12</v>
      </c>
      <c r="AN11" s="3" t="s">
        <v>1</v>
      </c>
      <c r="AO11" s="3" t="s">
        <v>3</v>
      </c>
      <c r="AP11" s="3" t="s">
        <v>66</v>
      </c>
      <c r="AQ11" s="6">
        <f>IF($E11="SCE",VLOOKUP($AZ11,'ESAF_&amp;_PDAF_Summary'!$B$4:$D$18,2,0),1)</f>
        <v>1</v>
      </c>
      <c r="AR11" s="6">
        <f>IF($E11="SCE",VLOOKUP($AZ11,'ESAF_&amp;_PDAF_Summary'!$B$4:$D$18,3,0),1)</f>
        <v>1</v>
      </c>
      <c r="AS11" s="6">
        <f>IF($E11="SCE",VLOOKUP($AZ11,'ESAF_&amp;_PDAF_Summary'!$B$4:$E$18,4,0),1)</f>
        <v>1</v>
      </c>
      <c r="AT11" s="3" t="str">
        <f t="shared" si="1"/>
        <v>N/A</v>
      </c>
      <c r="AU11" s="3" t="str">
        <f t="shared" si="2"/>
        <v>N/A</v>
      </c>
      <c r="AV11" s="3">
        <v>0</v>
      </c>
      <c r="AW11" s="3">
        <f t="shared" si="4"/>
        <v>2513.79</v>
      </c>
      <c r="AX11" s="3">
        <f t="shared" si="3"/>
        <v>117.18870944936361</v>
      </c>
      <c r="AY11" s="22">
        <f>IF($E11="PGE",($AY$4*$L11)+'Water Costs'!I$16-AW11,IF($E11="SCE",$AY$4+'Water Costs'!$I$9,"N/A"))</f>
        <v>117.18870944936361</v>
      </c>
      <c r="AZ11" s="3">
        <f t="shared" si="0"/>
        <v>11</v>
      </c>
    </row>
    <row r="12" spans="1:55" x14ac:dyDescent="0.25">
      <c r="A12" s="3" t="s">
        <v>11</v>
      </c>
      <c r="B12" s="3" t="s">
        <v>53</v>
      </c>
      <c r="C12" s="3" t="s">
        <v>54</v>
      </c>
      <c r="D12" s="4">
        <v>40944</v>
      </c>
      <c r="E12" s="3" t="s">
        <v>55</v>
      </c>
      <c r="F12" s="3" t="s">
        <v>56</v>
      </c>
      <c r="G12" s="3" t="s">
        <v>57</v>
      </c>
      <c r="H12" s="3" t="s">
        <v>58</v>
      </c>
      <c r="I12" s="3" t="s">
        <v>77</v>
      </c>
      <c r="J12" s="62" t="str">
        <f t="shared" si="5"/>
        <v>DMoCZ12</v>
      </c>
      <c r="K12" s="3" t="s">
        <v>60</v>
      </c>
      <c r="L12" s="3">
        <v>1.24</v>
      </c>
      <c r="M12" s="3">
        <v>1240</v>
      </c>
      <c r="N12" s="3" t="s">
        <v>61</v>
      </c>
      <c r="O12" s="3">
        <v>0</v>
      </c>
      <c r="P12" s="3">
        <v>0</v>
      </c>
      <c r="Q12" s="3">
        <v>0</v>
      </c>
      <c r="R12" s="3">
        <v>776</v>
      </c>
      <c r="S12" s="3">
        <v>2.4900000000000002</v>
      </c>
      <c r="T12" s="3">
        <v>-71.3</v>
      </c>
      <c r="U12" s="3">
        <v>0</v>
      </c>
      <c r="V12" s="3">
        <v>0</v>
      </c>
      <c r="W12" s="3">
        <v>0</v>
      </c>
      <c r="X12" s="3">
        <v>261</v>
      </c>
      <c r="Y12" s="3">
        <v>1.18</v>
      </c>
      <c r="Z12" s="3">
        <v>-71.8</v>
      </c>
      <c r="AC12" s="3">
        <v>2</v>
      </c>
      <c r="AD12" s="3" t="s">
        <v>62</v>
      </c>
      <c r="AE12" s="3" t="s">
        <v>63</v>
      </c>
      <c r="AF12" s="3" t="s">
        <v>78</v>
      </c>
      <c r="AG12" s="3" t="s">
        <v>10</v>
      </c>
      <c r="AH12" s="3" t="s">
        <v>11</v>
      </c>
      <c r="AI12" s="3" t="s">
        <v>61</v>
      </c>
      <c r="AJ12" s="3" t="s">
        <v>12</v>
      </c>
      <c r="AK12" s="3" t="s">
        <v>65</v>
      </c>
      <c r="AM12" s="3" t="s">
        <v>12</v>
      </c>
      <c r="AN12" s="3" t="s">
        <v>1</v>
      </c>
      <c r="AO12" s="3" t="s">
        <v>3</v>
      </c>
      <c r="AP12" s="3" t="s">
        <v>66</v>
      </c>
      <c r="AQ12" s="6">
        <f>IF($E12="SCE",VLOOKUP($AZ12,'ESAF_&amp;_PDAF_Summary'!$B$4:$D$18,2,0),1)</f>
        <v>1</v>
      </c>
      <c r="AR12" s="6">
        <f>IF($E12="SCE",VLOOKUP($AZ12,'ESAF_&amp;_PDAF_Summary'!$B$4:$D$18,3,0),1)</f>
        <v>1</v>
      </c>
      <c r="AS12" s="6">
        <f>IF($E12="SCE",VLOOKUP($AZ12,'ESAF_&amp;_PDAF_Summary'!$B$4:$E$18,4,0),1)</f>
        <v>1</v>
      </c>
      <c r="AT12" s="3" t="str">
        <f t="shared" si="1"/>
        <v>N/A</v>
      </c>
      <c r="AU12" s="3" t="str">
        <f t="shared" si="2"/>
        <v>N/A</v>
      </c>
      <c r="AV12" s="3">
        <v>0</v>
      </c>
      <c r="AW12" s="3">
        <f t="shared" si="4"/>
        <v>2513.79</v>
      </c>
      <c r="AX12" s="3">
        <f>IF($E12="PGE",AY12,IF($E12="SCE",AY12,"N/A"))</f>
        <v>117.18870944936361</v>
      </c>
      <c r="AY12" s="22">
        <f>IF($E12="PGE",($AY$4*$L12)+'Water Costs'!I$16-AW12,IF($E12="SCE",$AY$4+'Water Costs'!$I$9,"N/A"))</f>
        <v>117.18870944936361</v>
      </c>
      <c r="AZ12" s="3">
        <f t="shared" si="0"/>
        <v>12</v>
      </c>
    </row>
    <row r="13" spans="1:55" x14ac:dyDescent="0.25">
      <c r="A13" s="3" t="s">
        <v>11</v>
      </c>
      <c r="B13" s="3" t="s">
        <v>53</v>
      </c>
      <c r="C13" s="3" t="s">
        <v>54</v>
      </c>
      <c r="D13" s="4">
        <v>40944</v>
      </c>
      <c r="E13" s="3" t="s">
        <v>55</v>
      </c>
      <c r="F13" s="3" t="s">
        <v>56</v>
      </c>
      <c r="G13" s="3" t="s">
        <v>57</v>
      </c>
      <c r="H13" s="3" t="s">
        <v>58</v>
      </c>
      <c r="I13" s="3" t="s">
        <v>79</v>
      </c>
      <c r="J13" s="62" t="str">
        <f t="shared" si="5"/>
        <v>DMoCZ13</v>
      </c>
      <c r="K13" s="3" t="s">
        <v>60</v>
      </c>
      <c r="L13" s="3">
        <v>1.24</v>
      </c>
      <c r="M13" s="3">
        <v>1240</v>
      </c>
      <c r="N13" s="3" t="s">
        <v>61</v>
      </c>
      <c r="O13" s="3">
        <v>0</v>
      </c>
      <c r="P13" s="3">
        <v>0</v>
      </c>
      <c r="Q13" s="3">
        <v>0</v>
      </c>
      <c r="R13" s="3">
        <v>1480</v>
      </c>
      <c r="S13" s="3">
        <v>2.67</v>
      </c>
      <c r="T13" s="3">
        <v>-60.7</v>
      </c>
      <c r="U13" s="3">
        <v>0</v>
      </c>
      <c r="V13" s="3">
        <v>0</v>
      </c>
      <c r="W13" s="3">
        <v>0</v>
      </c>
      <c r="X13" s="3">
        <v>542</v>
      </c>
      <c r="Y13" s="3">
        <v>1.2</v>
      </c>
      <c r="Z13" s="3">
        <v>-61.1</v>
      </c>
      <c r="AC13" s="3">
        <v>2</v>
      </c>
      <c r="AD13" s="3" t="s">
        <v>62</v>
      </c>
      <c r="AE13" s="3" t="s">
        <v>63</v>
      </c>
      <c r="AF13" s="3" t="s">
        <v>80</v>
      </c>
      <c r="AG13" s="3" t="s">
        <v>10</v>
      </c>
      <c r="AH13" s="3" t="s">
        <v>11</v>
      </c>
      <c r="AI13" s="3" t="s">
        <v>61</v>
      </c>
      <c r="AJ13" s="3" t="s">
        <v>12</v>
      </c>
      <c r="AK13" s="3" t="s">
        <v>65</v>
      </c>
      <c r="AM13" s="3" t="s">
        <v>12</v>
      </c>
      <c r="AN13" s="3" t="s">
        <v>1</v>
      </c>
      <c r="AO13" s="3" t="s">
        <v>3</v>
      </c>
      <c r="AP13" s="3" t="s">
        <v>66</v>
      </c>
      <c r="AQ13" s="6">
        <f>IF($E13="SCE",VLOOKUP($AZ13,'ESAF_&amp;_PDAF_Summary'!$B$4:$D$18,2,0),1)</f>
        <v>1</v>
      </c>
      <c r="AR13" s="6">
        <f>IF($E13="SCE",VLOOKUP($AZ13,'ESAF_&amp;_PDAF_Summary'!$B$4:$D$18,3,0),1)</f>
        <v>1</v>
      </c>
      <c r="AS13" s="6">
        <f>IF($E13="SCE",VLOOKUP($AZ13,'ESAF_&amp;_PDAF_Summary'!$B$4:$E$18,4,0),1)</f>
        <v>1</v>
      </c>
      <c r="AT13" s="3" t="str">
        <f t="shared" si="1"/>
        <v>N/A</v>
      </c>
      <c r="AU13" s="3" t="str">
        <f t="shared" si="2"/>
        <v>N/A</v>
      </c>
      <c r="AV13" s="3">
        <v>0</v>
      </c>
      <c r="AW13" s="3">
        <f t="shared" si="4"/>
        <v>2513.79</v>
      </c>
      <c r="AX13" s="3">
        <f t="shared" si="3"/>
        <v>117.18870944936361</v>
      </c>
      <c r="AY13" s="22">
        <f>IF($E13="PGE",($AY$4*$L13)+'Water Costs'!I$16-AW13,IF($E13="SCE",$AY$4+'Water Costs'!$I$9,"N/A"))</f>
        <v>117.18870944936361</v>
      </c>
      <c r="AZ13" s="3">
        <f t="shared" si="0"/>
        <v>13</v>
      </c>
    </row>
    <row r="14" spans="1:55" x14ac:dyDescent="0.25">
      <c r="A14" s="3" t="s">
        <v>11</v>
      </c>
      <c r="B14" s="3" t="s">
        <v>53</v>
      </c>
      <c r="C14" s="3" t="s">
        <v>54</v>
      </c>
      <c r="D14" s="4">
        <v>40944</v>
      </c>
      <c r="E14" s="3" t="s">
        <v>55</v>
      </c>
      <c r="F14" s="3" t="s">
        <v>56</v>
      </c>
      <c r="G14" s="3" t="s">
        <v>57</v>
      </c>
      <c r="H14" s="3" t="s">
        <v>58</v>
      </c>
      <c r="I14" s="3" t="s">
        <v>81</v>
      </c>
      <c r="J14" s="62" t="str">
        <f t="shared" si="5"/>
        <v>DMoCZ16</v>
      </c>
      <c r="K14" s="3" t="s">
        <v>60</v>
      </c>
      <c r="L14" s="3">
        <v>1.24</v>
      </c>
      <c r="M14" s="3">
        <v>1240</v>
      </c>
      <c r="N14" s="3" t="s">
        <v>61</v>
      </c>
      <c r="O14" s="3">
        <v>0</v>
      </c>
      <c r="P14" s="3">
        <v>0</v>
      </c>
      <c r="Q14" s="3">
        <v>0</v>
      </c>
      <c r="R14" s="3">
        <v>257</v>
      </c>
      <c r="S14" s="3">
        <v>3.07</v>
      </c>
      <c r="T14" s="3">
        <v>-167</v>
      </c>
      <c r="U14" s="3">
        <v>0</v>
      </c>
      <c r="V14" s="3">
        <v>0</v>
      </c>
      <c r="W14" s="3">
        <v>0</v>
      </c>
      <c r="X14" s="3">
        <v>2.74</v>
      </c>
      <c r="Y14" s="3">
        <v>1.41</v>
      </c>
      <c r="Z14" s="3">
        <v>-168</v>
      </c>
      <c r="AC14" s="3">
        <v>2</v>
      </c>
      <c r="AD14" s="3" t="s">
        <v>62</v>
      </c>
      <c r="AE14" s="3" t="s">
        <v>63</v>
      </c>
      <c r="AF14" s="3" t="s">
        <v>82</v>
      </c>
      <c r="AG14" s="3" t="s">
        <v>10</v>
      </c>
      <c r="AH14" s="3" t="s">
        <v>11</v>
      </c>
      <c r="AI14" s="3" t="s">
        <v>61</v>
      </c>
      <c r="AJ14" s="3" t="s">
        <v>12</v>
      </c>
      <c r="AK14" s="3" t="s">
        <v>65</v>
      </c>
      <c r="AM14" s="3" t="s">
        <v>12</v>
      </c>
      <c r="AN14" s="3" t="s">
        <v>1</v>
      </c>
      <c r="AO14" s="3" t="s">
        <v>3</v>
      </c>
      <c r="AP14" s="3" t="s">
        <v>66</v>
      </c>
      <c r="AQ14" s="6">
        <f>IF($E14="SCE",VLOOKUP($AZ14,'ESAF_&amp;_PDAF_Summary'!$B$4:$D$18,2,0),1)</f>
        <v>1</v>
      </c>
      <c r="AR14" s="6">
        <f>IF($E14="SCE",VLOOKUP($AZ14,'ESAF_&amp;_PDAF_Summary'!$B$4:$D$18,3,0),1)</f>
        <v>1</v>
      </c>
      <c r="AS14" s="6">
        <f>IF($E14="SCE",VLOOKUP($AZ14,'ESAF_&amp;_PDAF_Summary'!$B$4:$E$18,4,0),1)</f>
        <v>1</v>
      </c>
      <c r="AT14" s="3" t="str">
        <f t="shared" si="1"/>
        <v>N/A</v>
      </c>
      <c r="AU14" s="3" t="str">
        <f t="shared" si="2"/>
        <v>N/A</v>
      </c>
      <c r="AV14" s="3">
        <v>0</v>
      </c>
      <c r="AW14" s="3">
        <f t="shared" si="4"/>
        <v>2513.79</v>
      </c>
      <c r="AX14" s="3">
        <f t="shared" si="3"/>
        <v>117.18870944936361</v>
      </c>
      <c r="AY14" s="22">
        <f>IF($E14="PGE",($AY$4*$L14)+'Water Costs'!I$16-AW14,IF($E14="SCE",$AY$4+'Water Costs'!$I$9,"N/A"))</f>
        <v>117.18870944936361</v>
      </c>
      <c r="AZ14" s="3">
        <f t="shared" si="0"/>
        <v>16</v>
      </c>
    </row>
    <row r="15" spans="1:55" x14ac:dyDescent="0.25">
      <c r="A15" s="3" t="s">
        <v>11</v>
      </c>
      <c r="B15" s="3" t="s">
        <v>53</v>
      </c>
      <c r="C15" s="3" t="s">
        <v>54</v>
      </c>
      <c r="D15" s="4">
        <v>40944</v>
      </c>
      <c r="E15" s="3" t="s">
        <v>55</v>
      </c>
      <c r="F15" s="3" t="s">
        <v>83</v>
      </c>
      <c r="G15" s="3" t="s">
        <v>57</v>
      </c>
      <c r="H15" s="3" t="s">
        <v>58</v>
      </c>
      <c r="I15" s="3" t="s">
        <v>59</v>
      </c>
      <c r="J15" s="62" t="str">
        <f t="shared" si="5"/>
        <v>MFmCZ01</v>
      </c>
      <c r="K15" s="3" t="s">
        <v>60</v>
      </c>
      <c r="L15" s="3">
        <v>0.91500000000000004</v>
      </c>
      <c r="M15" s="3">
        <v>915</v>
      </c>
      <c r="N15" s="3" t="s">
        <v>61</v>
      </c>
      <c r="O15" s="3">
        <v>0</v>
      </c>
      <c r="P15" s="3">
        <v>0</v>
      </c>
      <c r="Q15" s="3">
        <v>0</v>
      </c>
      <c r="R15" s="3">
        <v>6.95</v>
      </c>
      <c r="S15" s="3">
        <v>0.48599999999999999</v>
      </c>
      <c r="T15" s="3">
        <v>-12.1</v>
      </c>
      <c r="U15" s="3">
        <v>0</v>
      </c>
      <c r="V15" s="3">
        <v>0</v>
      </c>
      <c r="W15" s="3">
        <v>0</v>
      </c>
      <c r="X15" s="3">
        <v>0.61899999999999999</v>
      </c>
      <c r="Y15" s="3">
        <v>0.29699999999999999</v>
      </c>
      <c r="Z15" s="3">
        <v>-12.6</v>
      </c>
      <c r="AC15" s="3">
        <v>2</v>
      </c>
      <c r="AD15" s="3" t="s">
        <v>5</v>
      </c>
      <c r="AE15" s="3" t="s">
        <v>63</v>
      </c>
      <c r="AF15" s="3" t="s">
        <v>64</v>
      </c>
      <c r="AG15" s="3" t="s">
        <v>10</v>
      </c>
      <c r="AH15" s="3" t="s">
        <v>11</v>
      </c>
      <c r="AI15" s="3" t="s">
        <v>61</v>
      </c>
      <c r="AJ15" s="3" t="s">
        <v>12</v>
      </c>
      <c r="AK15" s="3" t="s">
        <v>65</v>
      </c>
      <c r="AM15" s="3" t="s">
        <v>12</v>
      </c>
      <c r="AN15" s="3" t="s">
        <v>1</v>
      </c>
      <c r="AO15" s="3" t="s">
        <v>3</v>
      </c>
      <c r="AP15" s="3" t="s">
        <v>66</v>
      </c>
      <c r="AQ15" s="6">
        <f>IF($E15="SCE",VLOOKUP($AZ15,'ESAF_&amp;_PDAF_Summary'!$B$4:$D$18,2,0),1)</f>
        <v>1</v>
      </c>
      <c r="AR15" s="6">
        <f>IF($E15="SCE",VLOOKUP($AZ15,'ESAF_&amp;_PDAF_Summary'!$B$4:$D$18,3,0),1)</f>
        <v>1</v>
      </c>
      <c r="AS15" s="6">
        <f>IF($E15="SCE",VLOOKUP($AZ15,'ESAF_&amp;_PDAF_Summary'!$B$4:$E$18,4,0),1)</f>
        <v>1</v>
      </c>
      <c r="AT15" s="3" t="str">
        <f t="shared" si="1"/>
        <v>N/A</v>
      </c>
      <c r="AU15" s="3" t="str">
        <f t="shared" si="2"/>
        <v>N/A</v>
      </c>
      <c r="AV15" s="3">
        <v>0</v>
      </c>
      <c r="AW15" s="3">
        <f t="shared" si="4"/>
        <v>1854.9337500000001</v>
      </c>
      <c r="AX15" s="3">
        <f t="shared" si="3"/>
        <v>103.43145944936327</v>
      </c>
      <c r="AY15" s="22">
        <f>IF($E15="PGE",($AY$4*$L15)+'Water Costs'!I$16-AW15,IF($E15="SCE",$AY$4+'Water Costs'!$I$9,"N/A"))</f>
        <v>103.43145944936327</v>
      </c>
      <c r="AZ15" s="3">
        <f t="shared" si="0"/>
        <v>1</v>
      </c>
    </row>
    <row r="16" spans="1:55" x14ac:dyDescent="0.25">
      <c r="A16" s="3" t="s">
        <v>11</v>
      </c>
      <c r="B16" s="3" t="s">
        <v>53</v>
      </c>
      <c r="C16" s="3" t="s">
        <v>54</v>
      </c>
      <c r="D16" s="4">
        <v>40944</v>
      </c>
      <c r="E16" s="3" t="s">
        <v>55</v>
      </c>
      <c r="F16" s="3" t="s">
        <v>83</v>
      </c>
      <c r="G16" s="3" t="s">
        <v>57</v>
      </c>
      <c r="H16" s="3" t="s">
        <v>58</v>
      </c>
      <c r="I16" s="3" t="s">
        <v>67</v>
      </c>
      <c r="J16" s="62" t="str">
        <f t="shared" si="5"/>
        <v>MFmCZ02</v>
      </c>
      <c r="K16" s="3" t="s">
        <v>60</v>
      </c>
      <c r="L16" s="3">
        <v>0.95699999999999996</v>
      </c>
      <c r="M16" s="3">
        <v>957</v>
      </c>
      <c r="N16" s="3" t="s">
        <v>61</v>
      </c>
      <c r="O16" s="3">
        <v>0</v>
      </c>
      <c r="P16" s="3">
        <v>0</v>
      </c>
      <c r="Q16" s="3">
        <v>0</v>
      </c>
      <c r="R16" s="3">
        <v>402</v>
      </c>
      <c r="S16" s="3">
        <v>1.01</v>
      </c>
      <c r="T16" s="3">
        <v>-12.1</v>
      </c>
      <c r="U16" s="3">
        <v>0</v>
      </c>
      <c r="V16" s="3">
        <v>0</v>
      </c>
      <c r="W16" s="3">
        <v>0</v>
      </c>
      <c r="X16" s="3">
        <v>231</v>
      </c>
      <c r="Y16" s="3">
        <v>0.64700000000000002</v>
      </c>
      <c r="Z16" s="3">
        <v>-12.5</v>
      </c>
      <c r="AC16" s="3">
        <v>2</v>
      </c>
      <c r="AD16" s="3" t="s">
        <v>5</v>
      </c>
      <c r="AE16" s="3" t="s">
        <v>63</v>
      </c>
      <c r="AF16" s="3" t="s">
        <v>68</v>
      </c>
      <c r="AG16" s="3" t="s">
        <v>10</v>
      </c>
      <c r="AH16" s="3" t="s">
        <v>11</v>
      </c>
      <c r="AI16" s="3" t="s">
        <v>61</v>
      </c>
      <c r="AJ16" s="3" t="s">
        <v>12</v>
      </c>
      <c r="AK16" s="3" t="s">
        <v>65</v>
      </c>
      <c r="AM16" s="3" t="s">
        <v>12</v>
      </c>
      <c r="AN16" s="3" t="s">
        <v>1</v>
      </c>
      <c r="AO16" s="3" t="s">
        <v>3</v>
      </c>
      <c r="AP16" s="3" t="s">
        <v>66</v>
      </c>
      <c r="AQ16" s="6">
        <f>IF($E16="SCE",VLOOKUP($AZ16,'ESAF_&amp;_PDAF_Summary'!$B$4:$D$18,2,0),1)</f>
        <v>1</v>
      </c>
      <c r="AR16" s="6">
        <f>IF($E16="SCE",VLOOKUP($AZ16,'ESAF_&amp;_PDAF_Summary'!$B$4:$D$18,3,0),1)</f>
        <v>1</v>
      </c>
      <c r="AS16" s="6">
        <f>IF($E16="SCE",VLOOKUP($AZ16,'ESAF_&amp;_PDAF_Summary'!$B$4:$E$18,4,0),1)</f>
        <v>1</v>
      </c>
      <c r="AT16" s="3" t="str">
        <f t="shared" si="1"/>
        <v>N/A</v>
      </c>
      <c r="AU16" s="3" t="str">
        <f t="shared" si="2"/>
        <v>N/A</v>
      </c>
      <c r="AV16" s="3">
        <v>0</v>
      </c>
      <c r="AW16" s="3">
        <f t="shared" si="4"/>
        <v>1940.07825</v>
      </c>
      <c r="AX16" s="3">
        <f t="shared" si="3"/>
        <v>105.20931944936319</v>
      </c>
      <c r="AY16" s="22">
        <f>IF($E16="PGE",($AY$4*$L16)+'Water Costs'!I$16-AW16,IF($E16="SCE",$AY$4+'Water Costs'!$I$9,"N/A"))</f>
        <v>105.20931944936319</v>
      </c>
      <c r="AZ16" s="3">
        <f t="shared" si="0"/>
        <v>2</v>
      </c>
    </row>
    <row r="17" spans="1:54" x14ac:dyDescent="0.25">
      <c r="A17" s="3" t="s">
        <v>11</v>
      </c>
      <c r="B17" s="3" t="s">
        <v>53</v>
      </c>
      <c r="C17" s="3" t="s">
        <v>54</v>
      </c>
      <c r="D17" s="4">
        <v>40944</v>
      </c>
      <c r="E17" s="3" t="s">
        <v>55</v>
      </c>
      <c r="F17" s="3" t="s">
        <v>83</v>
      </c>
      <c r="G17" s="3" t="s">
        <v>57</v>
      </c>
      <c r="H17" s="3" t="s">
        <v>58</v>
      </c>
      <c r="I17" s="3" t="s">
        <v>69</v>
      </c>
      <c r="J17" s="62" t="str">
        <f t="shared" si="5"/>
        <v>MFmCZ03</v>
      </c>
      <c r="K17" s="3" t="s">
        <v>60</v>
      </c>
      <c r="L17" s="3">
        <v>0.95499999999999996</v>
      </c>
      <c r="M17" s="3">
        <v>955</v>
      </c>
      <c r="N17" s="3" t="s">
        <v>61</v>
      </c>
      <c r="O17" s="3">
        <v>0</v>
      </c>
      <c r="P17" s="3">
        <v>0</v>
      </c>
      <c r="Q17" s="3">
        <v>0</v>
      </c>
      <c r="R17" s="3">
        <v>105</v>
      </c>
      <c r="S17" s="3">
        <v>0.91700000000000004</v>
      </c>
      <c r="T17" s="3">
        <v>-13.8</v>
      </c>
      <c r="U17" s="3">
        <v>0</v>
      </c>
      <c r="V17" s="3">
        <v>0</v>
      </c>
      <c r="W17" s="3">
        <v>0</v>
      </c>
      <c r="X17" s="3">
        <v>51.5</v>
      </c>
      <c r="Y17" s="3">
        <v>0.53200000000000003</v>
      </c>
      <c r="Z17" s="3">
        <v>-14.4</v>
      </c>
      <c r="AC17" s="3">
        <v>2</v>
      </c>
      <c r="AD17" s="3" t="s">
        <v>5</v>
      </c>
      <c r="AE17" s="3" t="s">
        <v>63</v>
      </c>
      <c r="AF17" s="3" t="s">
        <v>70</v>
      </c>
      <c r="AG17" s="3" t="s">
        <v>10</v>
      </c>
      <c r="AH17" s="3" t="s">
        <v>11</v>
      </c>
      <c r="AI17" s="3" t="s">
        <v>61</v>
      </c>
      <c r="AJ17" s="3" t="s">
        <v>12</v>
      </c>
      <c r="AK17" s="3" t="s">
        <v>65</v>
      </c>
      <c r="AM17" s="3" t="s">
        <v>12</v>
      </c>
      <c r="AN17" s="3" t="s">
        <v>1</v>
      </c>
      <c r="AO17" s="3" t="s">
        <v>3</v>
      </c>
      <c r="AP17" s="3" t="s">
        <v>66</v>
      </c>
      <c r="AQ17" s="6">
        <f>IF($E17="SCE",VLOOKUP($AZ17,'ESAF_&amp;_PDAF_Summary'!$B$4:$D$18,2,0),1)</f>
        <v>1</v>
      </c>
      <c r="AR17" s="6">
        <f>IF($E17="SCE",VLOOKUP($AZ17,'ESAF_&amp;_PDAF_Summary'!$B$4:$D$18,3,0),1)</f>
        <v>1</v>
      </c>
      <c r="AS17" s="6">
        <f>IF($E17="SCE",VLOOKUP($AZ17,'ESAF_&amp;_PDAF_Summary'!$B$4:$E$18,4,0),1)</f>
        <v>1</v>
      </c>
      <c r="AT17" s="3" t="str">
        <f t="shared" si="1"/>
        <v>N/A</v>
      </c>
      <c r="AU17" s="3" t="str">
        <f t="shared" si="2"/>
        <v>N/A</v>
      </c>
      <c r="AV17" s="3">
        <v>0</v>
      </c>
      <c r="AW17" s="3">
        <f t="shared" si="4"/>
        <v>1936.0237499999998</v>
      </c>
      <c r="AX17" s="3">
        <f t="shared" si="3"/>
        <v>105.12465944936343</v>
      </c>
      <c r="AY17" s="22">
        <f>IF($E17="PGE",($AY$4*$L17)+'Water Costs'!I$16-AW17,IF($E17="SCE",$AY$4+'Water Costs'!$I$9,"N/A"))</f>
        <v>105.12465944936343</v>
      </c>
      <c r="AZ17" s="3">
        <f t="shared" si="0"/>
        <v>3</v>
      </c>
    </row>
    <row r="18" spans="1:54" x14ac:dyDescent="0.25">
      <c r="A18" s="3" t="s">
        <v>11</v>
      </c>
      <c r="B18" s="3" t="s">
        <v>53</v>
      </c>
      <c r="C18" s="3" t="s">
        <v>54</v>
      </c>
      <c r="D18" s="4">
        <v>40944</v>
      </c>
      <c r="E18" s="3" t="s">
        <v>55</v>
      </c>
      <c r="F18" s="3" t="s">
        <v>83</v>
      </c>
      <c r="G18" s="3" t="s">
        <v>57</v>
      </c>
      <c r="H18" s="3" t="s">
        <v>58</v>
      </c>
      <c r="I18" s="3" t="s">
        <v>71</v>
      </c>
      <c r="J18" s="62" t="str">
        <f t="shared" si="5"/>
        <v>MFmCZ04</v>
      </c>
      <c r="K18" s="3" t="s">
        <v>60</v>
      </c>
      <c r="L18" s="3">
        <v>0.96099999999999997</v>
      </c>
      <c r="M18" s="3">
        <v>961</v>
      </c>
      <c r="N18" s="3" t="s">
        <v>61</v>
      </c>
      <c r="O18" s="3">
        <v>0</v>
      </c>
      <c r="P18" s="3">
        <v>0</v>
      </c>
      <c r="Q18" s="3">
        <v>0</v>
      </c>
      <c r="R18" s="3">
        <v>285</v>
      </c>
      <c r="S18" s="3">
        <v>0.77300000000000002</v>
      </c>
      <c r="T18" s="3">
        <v>-11.9</v>
      </c>
      <c r="U18" s="3">
        <v>0</v>
      </c>
      <c r="V18" s="3">
        <v>0</v>
      </c>
      <c r="W18" s="3">
        <v>0</v>
      </c>
      <c r="X18" s="3">
        <v>138</v>
      </c>
      <c r="Y18" s="3">
        <v>0.51</v>
      </c>
      <c r="Z18" s="3">
        <v>-12.4</v>
      </c>
      <c r="AC18" s="3">
        <v>2</v>
      </c>
      <c r="AD18" s="3" t="s">
        <v>5</v>
      </c>
      <c r="AE18" s="3" t="s">
        <v>63</v>
      </c>
      <c r="AF18" s="3" t="s">
        <v>72</v>
      </c>
      <c r="AG18" s="3" t="s">
        <v>10</v>
      </c>
      <c r="AH18" s="3" t="s">
        <v>11</v>
      </c>
      <c r="AI18" s="3" t="s">
        <v>61</v>
      </c>
      <c r="AJ18" s="3" t="s">
        <v>12</v>
      </c>
      <c r="AK18" s="3" t="s">
        <v>65</v>
      </c>
      <c r="AM18" s="3" t="s">
        <v>12</v>
      </c>
      <c r="AN18" s="3" t="s">
        <v>1</v>
      </c>
      <c r="AO18" s="3" t="s">
        <v>3</v>
      </c>
      <c r="AP18" s="3" t="s">
        <v>66</v>
      </c>
      <c r="AQ18" s="6">
        <f>IF($E18="SCE",VLOOKUP($AZ18,'ESAF_&amp;_PDAF_Summary'!$B$4:$D$18,2,0),1)</f>
        <v>1</v>
      </c>
      <c r="AR18" s="6">
        <f>IF($E18="SCE",VLOOKUP($AZ18,'ESAF_&amp;_PDAF_Summary'!$B$4:$D$18,3,0),1)</f>
        <v>1</v>
      </c>
      <c r="AS18" s="6">
        <f>IF($E18="SCE",VLOOKUP($AZ18,'ESAF_&amp;_PDAF_Summary'!$B$4:$E$18,4,0),1)</f>
        <v>1</v>
      </c>
      <c r="AT18" s="3" t="str">
        <f t="shared" si="1"/>
        <v>N/A</v>
      </c>
      <c r="AU18" s="3" t="str">
        <f t="shared" si="2"/>
        <v>N/A</v>
      </c>
      <c r="AV18" s="3">
        <v>0</v>
      </c>
      <c r="AW18" s="3">
        <f t="shared" si="4"/>
        <v>1948.1872499999999</v>
      </c>
      <c r="AX18" s="3">
        <f t="shared" si="3"/>
        <v>105.37863944936362</v>
      </c>
      <c r="AY18" s="22">
        <f>IF($E18="PGE",($AY$4*$L18)+'Water Costs'!I$16-AW18,IF($E18="SCE",$AY$4+'Water Costs'!$I$9,"N/A"))</f>
        <v>105.37863944936362</v>
      </c>
      <c r="AZ18" s="3">
        <f t="shared" si="0"/>
        <v>4</v>
      </c>
    </row>
    <row r="19" spans="1:54" x14ac:dyDescent="0.25">
      <c r="A19" s="3" t="s">
        <v>11</v>
      </c>
      <c r="B19" s="3" t="s">
        <v>53</v>
      </c>
      <c r="C19" s="3" t="s">
        <v>54</v>
      </c>
      <c r="D19" s="4">
        <v>40944</v>
      </c>
      <c r="E19" s="3" t="s">
        <v>55</v>
      </c>
      <c r="F19" s="3" t="s">
        <v>83</v>
      </c>
      <c r="G19" s="3" t="s">
        <v>57</v>
      </c>
      <c r="H19" s="3" t="s">
        <v>58</v>
      </c>
      <c r="I19" s="3" t="s">
        <v>73</v>
      </c>
      <c r="J19" s="62" t="str">
        <f t="shared" si="5"/>
        <v>MFmCZ05</v>
      </c>
      <c r="K19" s="3" t="s">
        <v>60</v>
      </c>
      <c r="L19" s="3">
        <v>0.93500000000000005</v>
      </c>
      <c r="M19" s="3">
        <v>935</v>
      </c>
      <c r="N19" s="3" t="s">
        <v>61</v>
      </c>
      <c r="O19" s="3">
        <v>0</v>
      </c>
      <c r="P19" s="3">
        <v>0</v>
      </c>
      <c r="Q19" s="3">
        <v>0</v>
      </c>
      <c r="R19" s="3">
        <v>135</v>
      </c>
      <c r="S19" s="3">
        <v>1.08</v>
      </c>
      <c r="T19" s="3">
        <v>-10.199999999999999</v>
      </c>
      <c r="U19" s="3">
        <v>0</v>
      </c>
      <c r="V19" s="3">
        <v>0</v>
      </c>
      <c r="W19" s="3">
        <v>0</v>
      </c>
      <c r="X19" s="3">
        <v>71.900000000000006</v>
      </c>
      <c r="Y19" s="3">
        <v>0.68799999999999994</v>
      </c>
      <c r="Z19" s="3">
        <v>-10.7</v>
      </c>
      <c r="AC19" s="3">
        <v>2</v>
      </c>
      <c r="AD19" s="3" t="s">
        <v>5</v>
      </c>
      <c r="AE19" s="3" t="s">
        <v>63</v>
      </c>
      <c r="AF19" s="3" t="s">
        <v>74</v>
      </c>
      <c r="AG19" s="3" t="s">
        <v>10</v>
      </c>
      <c r="AH19" s="3" t="s">
        <v>11</v>
      </c>
      <c r="AI19" s="3" t="s">
        <v>61</v>
      </c>
      <c r="AJ19" s="3" t="s">
        <v>12</v>
      </c>
      <c r="AK19" s="3" t="s">
        <v>65</v>
      </c>
      <c r="AM19" s="3" t="s">
        <v>12</v>
      </c>
      <c r="AN19" s="3" t="s">
        <v>1</v>
      </c>
      <c r="AO19" s="3" t="s">
        <v>3</v>
      </c>
      <c r="AP19" s="3" t="s">
        <v>66</v>
      </c>
      <c r="AQ19" s="6">
        <f>IF($E19="SCE",VLOOKUP($AZ19,'ESAF_&amp;_PDAF_Summary'!$B$4:$D$18,2,0),1)</f>
        <v>1</v>
      </c>
      <c r="AR19" s="6">
        <f>IF($E19="SCE",VLOOKUP($AZ19,'ESAF_&amp;_PDAF_Summary'!$B$4:$D$18,3,0),1)</f>
        <v>1</v>
      </c>
      <c r="AS19" s="6">
        <f>IF($E19="SCE",VLOOKUP($AZ19,'ESAF_&amp;_PDAF_Summary'!$B$4:$E$18,4,0),1)</f>
        <v>1</v>
      </c>
      <c r="AT19" s="3" t="str">
        <f>IF(AND($E19="PGE",$F19="MFm",OR($I19="CZ11",$I19="CZ12",$I19="CZ13")),X19*$AQ19*$AS19*$L19,IF($E19="SCE",R19*$AQ19*$AS19,"N/A"))</f>
        <v>N/A</v>
      </c>
      <c r="AU19" s="3" t="str">
        <f t="shared" si="2"/>
        <v>N/A</v>
      </c>
      <c r="AV19" s="3">
        <v>0</v>
      </c>
      <c r="AW19" s="3">
        <f t="shared" si="4"/>
        <v>1895.4787500000002</v>
      </c>
      <c r="AX19" s="3">
        <f t="shared" si="3"/>
        <v>104.27805944936313</v>
      </c>
      <c r="AY19" s="22">
        <f>IF($E19="PGE",($AY$4*$L19)+'Water Costs'!I$16-AW19,IF($E19="SCE",$AY$4+'Water Costs'!$I$9,"N/A"))</f>
        <v>104.27805944936313</v>
      </c>
      <c r="AZ19" s="3">
        <f t="shared" si="0"/>
        <v>5</v>
      </c>
      <c r="BB19" s="60"/>
    </row>
    <row r="20" spans="1:54" x14ac:dyDescent="0.25">
      <c r="A20" s="3" t="s">
        <v>11</v>
      </c>
      <c r="B20" s="3" t="s">
        <v>53</v>
      </c>
      <c r="C20" s="3" t="s">
        <v>54</v>
      </c>
      <c r="D20" s="4">
        <v>40944</v>
      </c>
      <c r="E20" s="3" t="s">
        <v>55</v>
      </c>
      <c r="F20" s="3" t="s">
        <v>83</v>
      </c>
      <c r="G20" s="3" t="s">
        <v>57</v>
      </c>
      <c r="H20" s="3" t="s">
        <v>58</v>
      </c>
      <c r="I20" s="3" t="s">
        <v>75</v>
      </c>
      <c r="J20" s="62" t="str">
        <f t="shared" si="5"/>
        <v>MFmCZ11</v>
      </c>
      <c r="K20" s="3" t="s">
        <v>60</v>
      </c>
      <c r="L20" s="3">
        <v>0.998</v>
      </c>
      <c r="M20" s="3">
        <v>998</v>
      </c>
      <c r="N20" s="3" t="s">
        <v>61</v>
      </c>
      <c r="O20" s="3">
        <v>0</v>
      </c>
      <c r="P20" s="3">
        <v>0</v>
      </c>
      <c r="Q20" s="3">
        <v>0</v>
      </c>
      <c r="R20" s="3">
        <v>771</v>
      </c>
      <c r="S20" s="3">
        <v>1.32</v>
      </c>
      <c r="T20" s="3">
        <v>-16.899999999999999</v>
      </c>
      <c r="U20" s="3">
        <v>0</v>
      </c>
      <c r="V20" s="3">
        <v>0</v>
      </c>
      <c r="W20" s="3">
        <v>0</v>
      </c>
      <c r="X20" s="3">
        <v>458</v>
      </c>
      <c r="Y20" s="3">
        <v>0.84099999999999997</v>
      </c>
      <c r="Z20" s="3">
        <v>-17.399999999999999</v>
      </c>
      <c r="AC20" s="3">
        <v>2</v>
      </c>
      <c r="AD20" s="3" t="s">
        <v>5</v>
      </c>
      <c r="AE20" s="3" t="s">
        <v>63</v>
      </c>
      <c r="AF20" s="3" t="s">
        <v>76</v>
      </c>
      <c r="AG20" s="3" t="s">
        <v>10</v>
      </c>
      <c r="AH20" s="3" t="s">
        <v>11</v>
      </c>
      <c r="AI20" s="3" t="s">
        <v>61</v>
      </c>
      <c r="AJ20" s="3" t="s">
        <v>12</v>
      </c>
      <c r="AK20" s="3" t="s">
        <v>65</v>
      </c>
      <c r="AM20" s="3" t="s">
        <v>12</v>
      </c>
      <c r="AN20" s="3" t="s">
        <v>1</v>
      </c>
      <c r="AO20" s="3" t="s">
        <v>3</v>
      </c>
      <c r="AP20" s="3" t="s">
        <v>66</v>
      </c>
      <c r="AQ20" s="6">
        <f>IF($E20="SCE",VLOOKUP($AZ20,'ESAF_&amp;_PDAF_Summary'!$B$4:$D$18,2,0),1)</f>
        <v>1</v>
      </c>
      <c r="AR20" s="6">
        <f>IF($E20="SCE",VLOOKUP($AZ20,'ESAF_&amp;_PDAF_Summary'!$B$4:$D$18,3,0),1)</f>
        <v>1</v>
      </c>
      <c r="AS20" s="6">
        <f>IF($E20="SCE",VLOOKUP($AZ20,'ESAF_&amp;_PDAF_Summary'!$B$4:$E$18,4,0),1)</f>
        <v>1</v>
      </c>
      <c r="AT20" s="3">
        <f t="shared" si="1"/>
        <v>457.084</v>
      </c>
      <c r="AU20" s="3">
        <f t="shared" si="2"/>
        <v>0.83931800000000001</v>
      </c>
      <c r="AV20" s="3">
        <v>0</v>
      </c>
      <c r="AW20" s="3">
        <f t="shared" si="4"/>
        <v>2023.1955</v>
      </c>
      <c r="AX20" s="3">
        <f t="shared" si="3"/>
        <v>106.94484944936335</v>
      </c>
      <c r="AY20" s="22">
        <f>IF($E20="PGE",($AY$4*$L20)+'Water Costs'!I$16-AW20,IF($E20="SCE",$AY$4+'Water Costs'!$I$9,"N/A"))</f>
        <v>106.94484944936335</v>
      </c>
      <c r="AZ20" s="3">
        <f t="shared" si="0"/>
        <v>11</v>
      </c>
      <c r="BB20" s="60"/>
    </row>
    <row r="21" spans="1:54" x14ac:dyDescent="0.25">
      <c r="A21" s="3" t="s">
        <v>11</v>
      </c>
      <c r="B21" s="3" t="s">
        <v>53</v>
      </c>
      <c r="C21" s="3" t="s">
        <v>54</v>
      </c>
      <c r="D21" s="4">
        <v>40944</v>
      </c>
      <c r="E21" s="3" t="s">
        <v>55</v>
      </c>
      <c r="F21" s="3" t="s">
        <v>83</v>
      </c>
      <c r="G21" s="3" t="s">
        <v>57</v>
      </c>
      <c r="H21" s="3" t="s">
        <v>58</v>
      </c>
      <c r="I21" s="3" t="s">
        <v>77</v>
      </c>
      <c r="J21" s="62" t="str">
        <f t="shared" si="5"/>
        <v>MFmCZ12</v>
      </c>
      <c r="K21" s="3" t="s">
        <v>60</v>
      </c>
      <c r="L21" s="3">
        <v>0.99199999999999999</v>
      </c>
      <c r="M21" s="3">
        <v>992</v>
      </c>
      <c r="N21" s="3" t="s">
        <v>61</v>
      </c>
      <c r="O21" s="3">
        <v>0</v>
      </c>
      <c r="P21" s="3">
        <v>0</v>
      </c>
      <c r="Q21" s="3">
        <v>0</v>
      </c>
      <c r="R21" s="3">
        <v>538</v>
      </c>
      <c r="S21" s="3">
        <v>1.0900000000000001</v>
      </c>
      <c r="T21" s="3">
        <v>-13.7</v>
      </c>
      <c r="U21" s="3">
        <v>0</v>
      </c>
      <c r="V21" s="3">
        <v>0</v>
      </c>
      <c r="W21" s="3">
        <v>0</v>
      </c>
      <c r="X21" s="3">
        <v>304</v>
      </c>
      <c r="Y21" s="3">
        <v>0.73099999999999998</v>
      </c>
      <c r="Z21" s="3">
        <v>-14.1</v>
      </c>
      <c r="AC21" s="3">
        <v>2</v>
      </c>
      <c r="AD21" s="3" t="s">
        <v>5</v>
      </c>
      <c r="AE21" s="3" t="s">
        <v>63</v>
      </c>
      <c r="AF21" s="3" t="s">
        <v>78</v>
      </c>
      <c r="AG21" s="3" t="s">
        <v>10</v>
      </c>
      <c r="AH21" s="3" t="s">
        <v>11</v>
      </c>
      <c r="AI21" s="3" t="s">
        <v>61</v>
      </c>
      <c r="AJ21" s="3" t="s">
        <v>12</v>
      </c>
      <c r="AK21" s="3" t="s">
        <v>65</v>
      </c>
      <c r="AM21" s="3" t="s">
        <v>12</v>
      </c>
      <c r="AN21" s="3" t="s">
        <v>1</v>
      </c>
      <c r="AO21" s="3" t="s">
        <v>3</v>
      </c>
      <c r="AP21" s="3" t="s">
        <v>66</v>
      </c>
      <c r="AQ21" s="6">
        <f>IF($E21="SCE",VLOOKUP($AZ21,'ESAF_&amp;_PDAF_Summary'!$B$4:$D$18,2,0),1)</f>
        <v>1</v>
      </c>
      <c r="AR21" s="6">
        <f>IF($E21="SCE",VLOOKUP($AZ21,'ESAF_&amp;_PDAF_Summary'!$B$4:$D$18,3,0),1)</f>
        <v>1</v>
      </c>
      <c r="AS21" s="6">
        <f>IF($E21="SCE",VLOOKUP($AZ21,'ESAF_&amp;_PDAF_Summary'!$B$4:$E$18,4,0),1)</f>
        <v>1</v>
      </c>
      <c r="AT21" s="3">
        <f t="shared" si="1"/>
        <v>301.56799999999998</v>
      </c>
      <c r="AU21" s="3">
        <f t="shared" si="2"/>
        <v>0.72515200000000002</v>
      </c>
      <c r="AV21" s="3">
        <v>0</v>
      </c>
      <c r="AW21" s="3">
        <f t="shared" si="4"/>
        <v>2011.0319999999999</v>
      </c>
      <c r="AX21" s="3">
        <f t="shared" si="3"/>
        <v>106.69086944936384</v>
      </c>
      <c r="AY21" s="22">
        <f>IF($E21="PGE",($AY$4*$L21)+'Water Costs'!I$16-AW21,IF($E21="SCE",$AY$4+'Water Costs'!$I$9,"N/A"))</f>
        <v>106.69086944936384</v>
      </c>
      <c r="AZ21" s="3">
        <f t="shared" si="0"/>
        <v>12</v>
      </c>
      <c r="BB21" s="60"/>
    </row>
    <row r="22" spans="1:54" x14ac:dyDescent="0.25">
      <c r="A22" s="3" t="s">
        <v>11</v>
      </c>
      <c r="B22" s="3" t="s">
        <v>53</v>
      </c>
      <c r="C22" s="3" t="s">
        <v>54</v>
      </c>
      <c r="D22" s="4">
        <v>40944</v>
      </c>
      <c r="E22" s="3" t="s">
        <v>55</v>
      </c>
      <c r="F22" s="3" t="s">
        <v>83</v>
      </c>
      <c r="G22" s="3" t="s">
        <v>57</v>
      </c>
      <c r="H22" s="3" t="s">
        <v>58</v>
      </c>
      <c r="I22" s="3" t="s">
        <v>79</v>
      </c>
      <c r="J22" s="62" t="str">
        <f t="shared" si="5"/>
        <v>MFmCZ13</v>
      </c>
      <c r="K22" s="3" t="s">
        <v>60</v>
      </c>
      <c r="L22" s="3">
        <v>0.98599999999999999</v>
      </c>
      <c r="M22" s="3">
        <v>986</v>
      </c>
      <c r="N22" s="3" t="s">
        <v>61</v>
      </c>
      <c r="O22" s="3">
        <v>0</v>
      </c>
      <c r="P22" s="3">
        <v>0</v>
      </c>
      <c r="Q22" s="3">
        <v>0</v>
      </c>
      <c r="R22" s="3">
        <v>1050</v>
      </c>
      <c r="S22" s="3">
        <v>1.22</v>
      </c>
      <c r="T22" s="3">
        <v>-17.100000000000001</v>
      </c>
      <c r="U22" s="3">
        <v>0</v>
      </c>
      <c r="V22" s="3">
        <v>0</v>
      </c>
      <c r="W22" s="3">
        <v>0</v>
      </c>
      <c r="X22" s="3">
        <v>591</v>
      </c>
      <c r="Y22" s="3">
        <v>0.78300000000000003</v>
      </c>
      <c r="Z22" s="3">
        <v>-17.600000000000001</v>
      </c>
      <c r="AC22" s="3">
        <v>2</v>
      </c>
      <c r="AD22" s="3" t="s">
        <v>5</v>
      </c>
      <c r="AE22" s="3" t="s">
        <v>63</v>
      </c>
      <c r="AF22" s="3" t="s">
        <v>80</v>
      </c>
      <c r="AG22" s="3" t="s">
        <v>10</v>
      </c>
      <c r="AH22" s="3" t="s">
        <v>11</v>
      </c>
      <c r="AI22" s="3" t="s">
        <v>61</v>
      </c>
      <c r="AJ22" s="3" t="s">
        <v>12</v>
      </c>
      <c r="AK22" s="3" t="s">
        <v>65</v>
      </c>
      <c r="AM22" s="3" t="s">
        <v>12</v>
      </c>
      <c r="AN22" s="3" t="s">
        <v>1</v>
      </c>
      <c r="AO22" s="3" t="s">
        <v>3</v>
      </c>
      <c r="AP22" s="3" t="s">
        <v>66</v>
      </c>
      <c r="AQ22" s="6">
        <f>IF($E22="SCE",VLOOKUP($AZ22,'ESAF_&amp;_PDAF_Summary'!$B$4:$D$18,2,0),1)</f>
        <v>1</v>
      </c>
      <c r="AR22" s="6">
        <f>IF($E22="SCE",VLOOKUP($AZ22,'ESAF_&amp;_PDAF_Summary'!$B$4:$D$18,3,0),1)</f>
        <v>1</v>
      </c>
      <c r="AS22" s="6">
        <f>IF($E22="SCE",VLOOKUP($AZ22,'ESAF_&amp;_PDAF_Summary'!$B$4:$E$18,4,0),1)</f>
        <v>1</v>
      </c>
      <c r="AT22" s="3">
        <f t="shared" si="1"/>
        <v>582.726</v>
      </c>
      <c r="AU22" s="3">
        <f t="shared" si="2"/>
        <v>0.772038</v>
      </c>
      <c r="AV22" s="3">
        <v>0</v>
      </c>
      <c r="AW22" s="3">
        <f t="shared" si="4"/>
        <v>1998.8685</v>
      </c>
      <c r="AX22" s="3">
        <f t="shared" si="3"/>
        <v>106.43688944936321</v>
      </c>
      <c r="AY22" s="22">
        <f>IF($E22="PGE",($AY$4*$L22)+'Water Costs'!I$16-AW22,IF($E22="SCE",$AY$4+'Water Costs'!$I$9,"N/A"))</f>
        <v>106.43688944936321</v>
      </c>
      <c r="AZ22" s="3">
        <f t="shared" si="0"/>
        <v>13</v>
      </c>
    </row>
    <row r="23" spans="1:54" x14ac:dyDescent="0.25">
      <c r="A23" s="3" t="s">
        <v>11</v>
      </c>
      <c r="B23" s="3" t="s">
        <v>53</v>
      </c>
      <c r="C23" s="3" t="s">
        <v>54</v>
      </c>
      <c r="D23" s="4">
        <v>40944</v>
      </c>
      <c r="E23" s="3" t="s">
        <v>55</v>
      </c>
      <c r="F23" s="3" t="s">
        <v>83</v>
      </c>
      <c r="G23" s="3" t="s">
        <v>57</v>
      </c>
      <c r="H23" s="3" t="s">
        <v>58</v>
      </c>
      <c r="I23" s="3" t="s">
        <v>81</v>
      </c>
      <c r="J23" s="62" t="str">
        <f t="shared" si="5"/>
        <v>MFmCZ16</v>
      </c>
      <c r="K23" s="3" t="s">
        <v>60</v>
      </c>
      <c r="L23" s="3">
        <v>1</v>
      </c>
      <c r="M23" s="3">
        <v>1000</v>
      </c>
      <c r="N23" s="3" t="s">
        <v>61</v>
      </c>
      <c r="O23" s="3">
        <v>0</v>
      </c>
      <c r="P23" s="3">
        <v>0</v>
      </c>
      <c r="Q23" s="3">
        <v>0</v>
      </c>
      <c r="R23" s="3">
        <v>258</v>
      </c>
      <c r="S23" s="3">
        <v>1.1299999999999999</v>
      </c>
      <c r="T23" s="3">
        <v>-35.700000000000003</v>
      </c>
      <c r="U23" s="3">
        <v>0</v>
      </c>
      <c r="V23" s="3">
        <v>0</v>
      </c>
      <c r="W23" s="3">
        <v>0</v>
      </c>
      <c r="X23" s="3">
        <v>139</v>
      </c>
      <c r="Y23" s="3">
        <v>0.71599999999999997</v>
      </c>
      <c r="Z23" s="3">
        <v>-36.700000000000003</v>
      </c>
      <c r="AC23" s="3">
        <v>2</v>
      </c>
      <c r="AD23" s="3" t="s">
        <v>5</v>
      </c>
      <c r="AE23" s="3" t="s">
        <v>63</v>
      </c>
      <c r="AF23" s="3" t="s">
        <v>82</v>
      </c>
      <c r="AG23" s="3" t="s">
        <v>10</v>
      </c>
      <c r="AH23" s="3" t="s">
        <v>11</v>
      </c>
      <c r="AI23" s="3" t="s">
        <v>61</v>
      </c>
      <c r="AJ23" s="3" t="s">
        <v>12</v>
      </c>
      <c r="AK23" s="3" t="s">
        <v>65</v>
      </c>
      <c r="AM23" s="3" t="s">
        <v>12</v>
      </c>
      <c r="AN23" s="3" t="s">
        <v>1</v>
      </c>
      <c r="AO23" s="3" t="s">
        <v>3</v>
      </c>
      <c r="AP23" s="3" t="s">
        <v>66</v>
      </c>
      <c r="AQ23" s="6">
        <f>IF($E23="SCE",VLOOKUP($AZ23,'ESAF_&amp;_PDAF_Summary'!$B$4:$D$18,2,0),1)</f>
        <v>1</v>
      </c>
      <c r="AR23" s="6">
        <f>IF($E23="SCE",VLOOKUP($AZ23,'ESAF_&amp;_PDAF_Summary'!$B$4:$D$18,3,0),1)</f>
        <v>1</v>
      </c>
      <c r="AS23" s="6">
        <f>IF($E23="SCE",VLOOKUP($AZ23,'ESAF_&amp;_PDAF_Summary'!$B$4:$E$18,4,0),1)</f>
        <v>1</v>
      </c>
      <c r="AT23" s="3" t="str">
        <f t="shared" si="1"/>
        <v>N/A</v>
      </c>
      <c r="AU23" s="3" t="str">
        <f t="shared" si="2"/>
        <v>N/A</v>
      </c>
      <c r="AV23" s="3">
        <v>0</v>
      </c>
      <c r="AW23" s="3">
        <f t="shared" si="4"/>
        <v>2027.25</v>
      </c>
      <c r="AX23" s="3">
        <f t="shared" si="3"/>
        <v>107.02950944936356</v>
      </c>
      <c r="AY23" s="22">
        <f>IF($E23="PGE",($AY$4*$L23)+'Water Costs'!I$16-AW23,IF($E23="SCE",$AY$4+'Water Costs'!$I$9,"N/A"))</f>
        <v>107.02950944936356</v>
      </c>
      <c r="AZ23" s="3">
        <f t="shared" si="0"/>
        <v>16</v>
      </c>
    </row>
    <row r="24" spans="1:54" x14ac:dyDescent="0.25">
      <c r="A24" s="3" t="s">
        <v>11</v>
      </c>
      <c r="B24" s="3" t="s">
        <v>53</v>
      </c>
      <c r="C24" s="3" t="s">
        <v>54</v>
      </c>
      <c r="D24" s="4">
        <v>40944</v>
      </c>
      <c r="E24" s="3" t="s">
        <v>55</v>
      </c>
      <c r="F24" s="3" t="s">
        <v>84</v>
      </c>
      <c r="G24" s="3" t="s">
        <v>57</v>
      </c>
      <c r="H24" s="3" t="s">
        <v>58</v>
      </c>
      <c r="I24" s="3" t="s">
        <v>59</v>
      </c>
      <c r="J24" s="62" t="str">
        <f t="shared" si="5"/>
        <v>SFmCZ01</v>
      </c>
      <c r="K24" s="3" t="s">
        <v>60</v>
      </c>
      <c r="L24" s="3">
        <v>1.93</v>
      </c>
      <c r="M24" s="3">
        <v>1930</v>
      </c>
      <c r="N24" s="3" t="s">
        <v>61</v>
      </c>
      <c r="O24" s="3">
        <v>0</v>
      </c>
      <c r="P24" s="3">
        <v>0</v>
      </c>
      <c r="Q24" s="3">
        <v>0</v>
      </c>
      <c r="R24" s="3">
        <v>-21.1</v>
      </c>
      <c r="S24" s="3">
        <v>0.72499999999999998</v>
      </c>
      <c r="T24" s="3">
        <v>-54.4</v>
      </c>
      <c r="U24" s="3">
        <v>0</v>
      </c>
      <c r="V24" s="3">
        <v>0</v>
      </c>
      <c r="W24" s="3">
        <v>0</v>
      </c>
      <c r="X24" s="3">
        <v>-27.7</v>
      </c>
      <c r="Y24" s="3">
        <v>0.46200000000000002</v>
      </c>
      <c r="Z24" s="3">
        <v>-55.5</v>
      </c>
      <c r="AC24" s="3">
        <v>2</v>
      </c>
      <c r="AD24" s="3" t="s">
        <v>2</v>
      </c>
      <c r="AE24" s="3" t="s">
        <v>63</v>
      </c>
      <c r="AF24" s="3" t="s">
        <v>64</v>
      </c>
      <c r="AG24" s="3" t="s">
        <v>10</v>
      </c>
      <c r="AH24" s="3" t="s">
        <v>11</v>
      </c>
      <c r="AI24" s="3" t="s">
        <v>61</v>
      </c>
      <c r="AJ24" s="3" t="s">
        <v>12</v>
      </c>
      <c r="AK24" s="3" t="s">
        <v>65</v>
      </c>
      <c r="AM24" s="3" t="s">
        <v>12</v>
      </c>
      <c r="AN24" s="3" t="s">
        <v>1</v>
      </c>
      <c r="AO24" s="3" t="s">
        <v>3</v>
      </c>
      <c r="AP24" s="3" t="s">
        <v>66</v>
      </c>
      <c r="AQ24" s="6">
        <f>IF($E24="SCE",VLOOKUP($AZ24,'ESAF_&amp;_PDAF_Summary'!$B$4:$D$18,2,0),1)</f>
        <v>1</v>
      </c>
      <c r="AR24" s="6">
        <f>IF($E24="SCE",VLOOKUP($AZ24,'ESAF_&amp;_PDAF_Summary'!$B$4:$D$18,3,0),1)</f>
        <v>1</v>
      </c>
      <c r="AS24" s="6">
        <f>IF($E24="SCE",VLOOKUP($AZ24,'ESAF_&amp;_PDAF_Summary'!$B$4:$E$18,4,0),1)</f>
        <v>1</v>
      </c>
      <c r="AT24" s="3" t="str">
        <f t="shared" si="1"/>
        <v>N/A</v>
      </c>
      <c r="AU24" s="3" t="str">
        <f t="shared" si="2"/>
        <v>N/A</v>
      </c>
      <c r="AV24" s="3">
        <v>0</v>
      </c>
      <c r="AW24" s="3">
        <f t="shared" si="4"/>
        <v>3912.5924999999997</v>
      </c>
      <c r="AX24" s="3">
        <f t="shared" si="3"/>
        <v>146.39640944936355</v>
      </c>
      <c r="AY24" s="22">
        <f>IF($E24="PGE",($AY$4*$L24)+'Water Costs'!I$16-AW24,IF($E24="SCE",$AY$4+'Water Costs'!$I$9,"N/A"))</f>
        <v>146.39640944936355</v>
      </c>
      <c r="AZ24" s="3">
        <f t="shared" si="0"/>
        <v>1</v>
      </c>
    </row>
    <row r="25" spans="1:54" x14ac:dyDescent="0.25">
      <c r="A25" s="3" t="s">
        <v>11</v>
      </c>
      <c r="B25" s="3" t="s">
        <v>53</v>
      </c>
      <c r="C25" s="3" t="s">
        <v>54</v>
      </c>
      <c r="D25" s="4">
        <v>40944</v>
      </c>
      <c r="E25" s="3" t="s">
        <v>55</v>
      </c>
      <c r="F25" s="3" t="s">
        <v>84</v>
      </c>
      <c r="G25" s="3" t="s">
        <v>57</v>
      </c>
      <c r="H25" s="3" t="s">
        <v>58</v>
      </c>
      <c r="I25" s="3" t="s">
        <v>67</v>
      </c>
      <c r="J25" s="62" t="str">
        <f t="shared" si="5"/>
        <v>SFmCZ02</v>
      </c>
      <c r="K25" s="3" t="s">
        <v>60</v>
      </c>
      <c r="L25" s="3">
        <v>1.73</v>
      </c>
      <c r="M25" s="3">
        <v>1730</v>
      </c>
      <c r="N25" s="3" t="s">
        <v>61</v>
      </c>
      <c r="O25" s="3">
        <v>0</v>
      </c>
      <c r="P25" s="3">
        <v>0</v>
      </c>
      <c r="Q25" s="3">
        <v>0</v>
      </c>
      <c r="R25" s="3">
        <v>575</v>
      </c>
      <c r="S25" s="3">
        <v>1.44</v>
      </c>
      <c r="T25" s="3">
        <v>-63</v>
      </c>
      <c r="U25" s="3">
        <v>0</v>
      </c>
      <c r="V25" s="3">
        <v>0</v>
      </c>
      <c r="W25" s="3">
        <v>0</v>
      </c>
      <c r="X25" s="3">
        <v>308</v>
      </c>
      <c r="Y25" s="3">
        <v>0.86899999999999999</v>
      </c>
      <c r="Z25" s="3">
        <v>-63.7</v>
      </c>
      <c r="AC25" s="3">
        <v>2</v>
      </c>
      <c r="AD25" s="3" t="s">
        <v>2</v>
      </c>
      <c r="AE25" s="3" t="s">
        <v>63</v>
      </c>
      <c r="AF25" s="3" t="s">
        <v>68</v>
      </c>
      <c r="AG25" s="3" t="s">
        <v>10</v>
      </c>
      <c r="AH25" s="3" t="s">
        <v>11</v>
      </c>
      <c r="AI25" s="3" t="s">
        <v>61</v>
      </c>
      <c r="AJ25" s="3" t="s">
        <v>12</v>
      </c>
      <c r="AK25" s="3" t="s">
        <v>65</v>
      </c>
      <c r="AM25" s="3" t="s">
        <v>12</v>
      </c>
      <c r="AN25" s="3" t="s">
        <v>1</v>
      </c>
      <c r="AO25" s="3" t="s">
        <v>3</v>
      </c>
      <c r="AP25" s="3" t="s">
        <v>66</v>
      </c>
      <c r="AQ25" s="6">
        <f>IF($E25="SCE",VLOOKUP($AZ25,'ESAF_&amp;_PDAF_Summary'!$B$4:$D$18,2,0),1)</f>
        <v>1</v>
      </c>
      <c r="AR25" s="6">
        <f>IF($E25="SCE",VLOOKUP($AZ25,'ESAF_&amp;_PDAF_Summary'!$B$4:$D$18,3,0),1)</f>
        <v>1</v>
      </c>
      <c r="AS25" s="6">
        <f>IF($E25="SCE",VLOOKUP($AZ25,'ESAF_&amp;_PDAF_Summary'!$B$4:$E$18,4,0),1)</f>
        <v>1</v>
      </c>
      <c r="AT25" s="3" t="str">
        <f t="shared" si="1"/>
        <v>N/A</v>
      </c>
      <c r="AU25" s="3" t="str">
        <f t="shared" si="2"/>
        <v>N/A</v>
      </c>
      <c r="AV25" s="3">
        <v>0</v>
      </c>
      <c r="AW25" s="3">
        <f t="shared" si="4"/>
        <v>3507.1424999999999</v>
      </c>
      <c r="AX25" s="3">
        <f t="shared" si="3"/>
        <v>137.93040944936365</v>
      </c>
      <c r="AY25" s="22">
        <f>IF($E25="PGE",($AY$4*$L25)+'Water Costs'!I$16-AW25,IF($E25="SCE",$AY$4+'Water Costs'!$I$9,"N/A"))</f>
        <v>137.93040944936365</v>
      </c>
      <c r="AZ25" s="3">
        <f t="shared" si="0"/>
        <v>2</v>
      </c>
    </row>
    <row r="26" spans="1:54" x14ac:dyDescent="0.25">
      <c r="A26" s="3" t="s">
        <v>11</v>
      </c>
      <c r="B26" s="3" t="s">
        <v>53</v>
      </c>
      <c r="C26" s="3" t="s">
        <v>54</v>
      </c>
      <c r="D26" s="4">
        <v>40944</v>
      </c>
      <c r="E26" s="3" t="s">
        <v>55</v>
      </c>
      <c r="F26" s="3" t="s">
        <v>84</v>
      </c>
      <c r="G26" s="3" t="s">
        <v>57</v>
      </c>
      <c r="H26" s="3" t="s">
        <v>58</v>
      </c>
      <c r="I26" s="3" t="s">
        <v>69</v>
      </c>
      <c r="J26" s="62" t="str">
        <f t="shared" si="5"/>
        <v>SFmCZ03</v>
      </c>
      <c r="K26" s="3" t="s">
        <v>60</v>
      </c>
      <c r="L26" s="3">
        <v>1.71</v>
      </c>
      <c r="M26" s="3">
        <v>1710</v>
      </c>
      <c r="N26" s="3" t="s">
        <v>61</v>
      </c>
      <c r="O26" s="3">
        <v>0</v>
      </c>
      <c r="P26" s="3">
        <v>0</v>
      </c>
      <c r="Q26" s="3">
        <v>0</v>
      </c>
      <c r="R26" s="3">
        <v>143</v>
      </c>
      <c r="S26" s="3">
        <v>1.19</v>
      </c>
      <c r="T26" s="3">
        <v>-47.2</v>
      </c>
      <c r="U26" s="3">
        <v>0</v>
      </c>
      <c r="V26" s="3">
        <v>0</v>
      </c>
      <c r="W26" s="3">
        <v>0</v>
      </c>
      <c r="X26" s="3">
        <v>60.7</v>
      </c>
      <c r="Y26" s="3">
        <v>0.66900000000000004</v>
      </c>
      <c r="Z26" s="3">
        <v>-47.8</v>
      </c>
      <c r="AC26" s="3">
        <v>2</v>
      </c>
      <c r="AD26" s="3" t="s">
        <v>2</v>
      </c>
      <c r="AE26" s="3" t="s">
        <v>63</v>
      </c>
      <c r="AF26" s="3" t="s">
        <v>70</v>
      </c>
      <c r="AG26" s="3" t="s">
        <v>10</v>
      </c>
      <c r="AH26" s="3" t="s">
        <v>11</v>
      </c>
      <c r="AI26" s="3" t="s">
        <v>61</v>
      </c>
      <c r="AJ26" s="3" t="s">
        <v>12</v>
      </c>
      <c r="AK26" s="3" t="s">
        <v>65</v>
      </c>
      <c r="AM26" s="3" t="s">
        <v>12</v>
      </c>
      <c r="AN26" s="3" t="s">
        <v>1</v>
      </c>
      <c r="AO26" s="3" t="s">
        <v>3</v>
      </c>
      <c r="AP26" s="3" t="s">
        <v>66</v>
      </c>
      <c r="AQ26" s="6">
        <f>IF($E26="SCE",VLOOKUP($AZ26,'ESAF_&amp;_PDAF_Summary'!$B$4:$D$18,2,0),1)</f>
        <v>1</v>
      </c>
      <c r="AR26" s="6">
        <f>IF($E26="SCE",VLOOKUP($AZ26,'ESAF_&amp;_PDAF_Summary'!$B$4:$D$18,3,0),1)</f>
        <v>1</v>
      </c>
      <c r="AS26" s="6">
        <f>IF($E26="SCE",VLOOKUP($AZ26,'ESAF_&amp;_PDAF_Summary'!$B$4:$E$18,4,0),1)</f>
        <v>1</v>
      </c>
      <c r="AT26" s="3" t="str">
        <f t="shared" si="1"/>
        <v>N/A</v>
      </c>
      <c r="AU26" s="3" t="str">
        <f t="shared" si="2"/>
        <v>N/A</v>
      </c>
      <c r="AV26" s="3">
        <v>0</v>
      </c>
      <c r="AW26" s="3">
        <f t="shared" si="4"/>
        <v>3466.5974999999999</v>
      </c>
      <c r="AX26" s="3">
        <f t="shared" si="3"/>
        <v>137.0838094493638</v>
      </c>
      <c r="AY26" s="22">
        <f>IF($E26="PGE",($AY$4*$L26)+'Water Costs'!I$16-AW26,IF($E26="SCE",$AY$4+'Water Costs'!$I$9,"N/A"))</f>
        <v>137.0838094493638</v>
      </c>
      <c r="AZ26" s="3">
        <f t="shared" si="0"/>
        <v>3</v>
      </c>
    </row>
    <row r="27" spans="1:54" x14ac:dyDescent="0.25">
      <c r="A27" s="3" t="s">
        <v>11</v>
      </c>
      <c r="B27" s="3" t="s">
        <v>53</v>
      </c>
      <c r="C27" s="3" t="s">
        <v>54</v>
      </c>
      <c r="D27" s="4">
        <v>40944</v>
      </c>
      <c r="E27" s="3" t="s">
        <v>55</v>
      </c>
      <c r="F27" s="3" t="s">
        <v>84</v>
      </c>
      <c r="G27" s="3" t="s">
        <v>57</v>
      </c>
      <c r="H27" s="3" t="s">
        <v>58</v>
      </c>
      <c r="I27" s="3" t="s">
        <v>71</v>
      </c>
      <c r="J27" s="62" t="str">
        <f t="shared" si="5"/>
        <v>SFmCZ04</v>
      </c>
      <c r="K27" s="3" t="s">
        <v>60</v>
      </c>
      <c r="L27" s="3">
        <v>1.71</v>
      </c>
      <c r="M27" s="3">
        <v>1710</v>
      </c>
      <c r="N27" s="3" t="s">
        <v>61</v>
      </c>
      <c r="O27" s="3">
        <v>0</v>
      </c>
      <c r="P27" s="3">
        <v>0</v>
      </c>
      <c r="Q27" s="3">
        <v>0</v>
      </c>
      <c r="R27" s="3">
        <v>424</v>
      </c>
      <c r="S27" s="3">
        <v>0.97299999999999998</v>
      </c>
      <c r="T27" s="3">
        <v>-47.4</v>
      </c>
      <c r="U27" s="3">
        <v>0</v>
      </c>
      <c r="V27" s="3">
        <v>0</v>
      </c>
      <c r="W27" s="3">
        <v>0</v>
      </c>
      <c r="X27" s="3">
        <v>195</v>
      </c>
      <c r="Y27" s="3">
        <v>0.621</v>
      </c>
      <c r="Z27" s="3">
        <v>-48</v>
      </c>
      <c r="AC27" s="3">
        <v>2</v>
      </c>
      <c r="AD27" s="3" t="s">
        <v>2</v>
      </c>
      <c r="AE27" s="3" t="s">
        <v>63</v>
      </c>
      <c r="AF27" s="3" t="s">
        <v>72</v>
      </c>
      <c r="AG27" s="3" t="s">
        <v>10</v>
      </c>
      <c r="AH27" s="3" t="s">
        <v>11</v>
      </c>
      <c r="AI27" s="3" t="s">
        <v>61</v>
      </c>
      <c r="AJ27" s="3" t="s">
        <v>12</v>
      </c>
      <c r="AK27" s="3" t="s">
        <v>65</v>
      </c>
      <c r="AM27" s="3" t="s">
        <v>12</v>
      </c>
      <c r="AN27" s="3" t="s">
        <v>1</v>
      </c>
      <c r="AO27" s="3" t="s">
        <v>3</v>
      </c>
      <c r="AP27" s="3" t="s">
        <v>66</v>
      </c>
      <c r="AQ27" s="6">
        <f>IF($E27="SCE",VLOOKUP($AZ27,'ESAF_&amp;_PDAF_Summary'!$B$4:$D$18,2,0),1)</f>
        <v>1</v>
      </c>
      <c r="AR27" s="6">
        <f>IF($E27="SCE",VLOOKUP($AZ27,'ESAF_&amp;_PDAF_Summary'!$B$4:$D$18,3,0),1)</f>
        <v>1</v>
      </c>
      <c r="AS27" s="6">
        <f>IF($E27="SCE",VLOOKUP($AZ27,'ESAF_&amp;_PDAF_Summary'!$B$4:$E$18,4,0),1)</f>
        <v>1</v>
      </c>
      <c r="AT27" s="3" t="str">
        <f t="shared" si="1"/>
        <v>N/A</v>
      </c>
      <c r="AU27" s="3" t="str">
        <f t="shared" si="2"/>
        <v>N/A</v>
      </c>
      <c r="AV27" s="3">
        <v>0</v>
      </c>
      <c r="AW27" s="3">
        <f t="shared" si="4"/>
        <v>3466.5974999999999</v>
      </c>
      <c r="AX27" s="3">
        <f t="shared" si="3"/>
        <v>137.0838094493638</v>
      </c>
      <c r="AY27" s="22">
        <f>IF($E27="PGE",($AY$4*$L27)+'Water Costs'!I$16-AW27,IF($E27="SCE",$AY$4+'Water Costs'!$I$9,"N/A"))</f>
        <v>137.0838094493638</v>
      </c>
      <c r="AZ27" s="3">
        <f t="shared" si="0"/>
        <v>4</v>
      </c>
    </row>
    <row r="28" spans="1:54" x14ac:dyDescent="0.25">
      <c r="A28" s="3" t="s">
        <v>11</v>
      </c>
      <c r="B28" s="3" t="s">
        <v>53</v>
      </c>
      <c r="C28" s="3" t="s">
        <v>54</v>
      </c>
      <c r="D28" s="4">
        <v>40944</v>
      </c>
      <c r="E28" s="3" t="s">
        <v>55</v>
      </c>
      <c r="F28" s="3" t="s">
        <v>84</v>
      </c>
      <c r="G28" s="3" t="s">
        <v>57</v>
      </c>
      <c r="H28" s="3" t="s">
        <v>58</v>
      </c>
      <c r="I28" s="3" t="s">
        <v>73</v>
      </c>
      <c r="J28" s="62" t="str">
        <f t="shared" si="5"/>
        <v>SFmCZ05</v>
      </c>
      <c r="K28" s="3" t="s">
        <v>60</v>
      </c>
      <c r="L28" s="3">
        <v>1.76</v>
      </c>
      <c r="M28" s="3">
        <v>1760</v>
      </c>
      <c r="N28" s="3" t="s">
        <v>61</v>
      </c>
      <c r="O28" s="3">
        <v>0</v>
      </c>
      <c r="P28" s="3">
        <v>0</v>
      </c>
      <c r="Q28" s="3">
        <v>0</v>
      </c>
      <c r="R28" s="3">
        <v>198</v>
      </c>
      <c r="S28" s="3">
        <v>1.38</v>
      </c>
      <c r="T28" s="3">
        <v>-42.2</v>
      </c>
      <c r="U28" s="3">
        <v>0</v>
      </c>
      <c r="V28" s="3">
        <v>0</v>
      </c>
      <c r="W28" s="3">
        <v>0</v>
      </c>
      <c r="X28" s="3">
        <v>97.4</v>
      </c>
      <c r="Y28" s="3">
        <v>0.876</v>
      </c>
      <c r="Z28" s="3">
        <v>-42.7</v>
      </c>
      <c r="AC28" s="3">
        <v>2</v>
      </c>
      <c r="AD28" s="3" t="s">
        <v>2</v>
      </c>
      <c r="AE28" s="3" t="s">
        <v>63</v>
      </c>
      <c r="AF28" s="3" t="s">
        <v>74</v>
      </c>
      <c r="AG28" s="3" t="s">
        <v>10</v>
      </c>
      <c r="AH28" s="3" t="s">
        <v>11</v>
      </c>
      <c r="AI28" s="3" t="s">
        <v>61</v>
      </c>
      <c r="AJ28" s="3" t="s">
        <v>12</v>
      </c>
      <c r="AK28" s="3" t="s">
        <v>65</v>
      </c>
      <c r="AM28" s="3" t="s">
        <v>12</v>
      </c>
      <c r="AN28" s="3" t="s">
        <v>1</v>
      </c>
      <c r="AO28" s="3" t="s">
        <v>3</v>
      </c>
      <c r="AP28" s="3" t="s">
        <v>66</v>
      </c>
      <c r="AQ28" s="6">
        <f>IF($E28="SCE",VLOOKUP($AZ28,'ESAF_&amp;_PDAF_Summary'!$B$4:$D$18,2,0),1)</f>
        <v>1</v>
      </c>
      <c r="AR28" s="6">
        <f>IF($E28="SCE",VLOOKUP($AZ28,'ESAF_&amp;_PDAF_Summary'!$B$4:$D$18,3,0),1)</f>
        <v>1</v>
      </c>
      <c r="AS28" s="6">
        <f>IF($E28="SCE",VLOOKUP($AZ28,'ESAF_&amp;_PDAF_Summary'!$B$4:$E$18,4,0),1)</f>
        <v>1</v>
      </c>
      <c r="AT28" s="3" t="str">
        <f t="shared" si="1"/>
        <v>N/A</v>
      </c>
      <c r="AU28" s="3" t="str">
        <f t="shared" si="2"/>
        <v>N/A</v>
      </c>
      <c r="AV28" s="3">
        <v>0</v>
      </c>
      <c r="AW28" s="3">
        <f t="shared" si="4"/>
        <v>3567.96</v>
      </c>
      <c r="AX28" s="3">
        <f t="shared" si="3"/>
        <v>139.20030944936343</v>
      </c>
      <c r="AY28" s="22">
        <f>IF($E28="PGE",($AY$4*$L28)+'Water Costs'!I$16-AW28,IF($E28="SCE",$AY$4+'Water Costs'!$I$9,"N/A"))</f>
        <v>139.20030944936343</v>
      </c>
      <c r="AZ28" s="3">
        <f t="shared" si="0"/>
        <v>5</v>
      </c>
    </row>
    <row r="29" spans="1:54" x14ac:dyDescent="0.25">
      <c r="A29" s="3" t="s">
        <v>11</v>
      </c>
      <c r="B29" s="3" t="s">
        <v>53</v>
      </c>
      <c r="C29" s="3" t="s">
        <v>54</v>
      </c>
      <c r="D29" s="4">
        <v>40944</v>
      </c>
      <c r="E29" s="3" t="s">
        <v>55</v>
      </c>
      <c r="F29" s="3" t="s">
        <v>84</v>
      </c>
      <c r="G29" s="3" t="s">
        <v>57</v>
      </c>
      <c r="H29" s="3" t="s">
        <v>58</v>
      </c>
      <c r="I29" s="3" t="s">
        <v>75</v>
      </c>
      <c r="J29" s="62" t="str">
        <f t="shared" si="5"/>
        <v>SFmCZ11</v>
      </c>
      <c r="K29" s="3" t="s">
        <v>60</v>
      </c>
      <c r="L29" s="3">
        <v>1.71</v>
      </c>
      <c r="M29" s="3">
        <v>1710</v>
      </c>
      <c r="N29" s="3" t="s">
        <v>61</v>
      </c>
      <c r="O29" s="3">
        <v>0</v>
      </c>
      <c r="P29" s="3">
        <v>0</v>
      </c>
      <c r="Q29" s="3">
        <v>0</v>
      </c>
      <c r="R29" s="3">
        <v>906</v>
      </c>
      <c r="S29" s="3">
        <v>1.52</v>
      </c>
      <c r="T29" s="3">
        <v>-53.9</v>
      </c>
      <c r="U29" s="3">
        <v>0</v>
      </c>
      <c r="V29" s="3">
        <v>0</v>
      </c>
      <c r="W29" s="3">
        <v>0</v>
      </c>
      <c r="X29" s="3">
        <v>538</v>
      </c>
      <c r="Y29" s="3">
        <v>0.98499999999999999</v>
      </c>
      <c r="Z29" s="3">
        <v>-54.4</v>
      </c>
      <c r="AC29" s="3">
        <v>2</v>
      </c>
      <c r="AD29" s="3" t="s">
        <v>2</v>
      </c>
      <c r="AE29" s="3" t="s">
        <v>63</v>
      </c>
      <c r="AF29" s="3" t="s">
        <v>76</v>
      </c>
      <c r="AG29" s="3" t="s">
        <v>10</v>
      </c>
      <c r="AH29" s="3" t="s">
        <v>11</v>
      </c>
      <c r="AI29" s="3" t="s">
        <v>61</v>
      </c>
      <c r="AJ29" s="3" t="s">
        <v>12</v>
      </c>
      <c r="AK29" s="3" t="s">
        <v>65</v>
      </c>
      <c r="AM29" s="3" t="s">
        <v>12</v>
      </c>
      <c r="AN29" s="3" t="s">
        <v>1</v>
      </c>
      <c r="AO29" s="3" t="s">
        <v>3</v>
      </c>
      <c r="AP29" s="3" t="s">
        <v>66</v>
      </c>
      <c r="AQ29" s="6">
        <f>IF($E29="SCE",VLOOKUP($AZ29,'ESAF_&amp;_PDAF_Summary'!$B$4:$D$18,2,0),1)</f>
        <v>1</v>
      </c>
      <c r="AR29" s="6">
        <f>IF($E29="SCE",VLOOKUP($AZ29,'ESAF_&amp;_PDAF_Summary'!$B$4:$D$18,3,0),1)</f>
        <v>1</v>
      </c>
      <c r="AS29" s="6">
        <f>IF($E29="SCE",VLOOKUP($AZ29,'ESAF_&amp;_PDAF_Summary'!$B$4:$E$18,4,0),1)</f>
        <v>1</v>
      </c>
      <c r="AT29" s="3" t="str">
        <f t="shared" si="1"/>
        <v>N/A</v>
      </c>
      <c r="AU29" s="3" t="str">
        <f t="shared" si="2"/>
        <v>N/A</v>
      </c>
      <c r="AV29" s="3">
        <v>0</v>
      </c>
      <c r="AW29" s="3">
        <f t="shared" si="4"/>
        <v>3466.5974999999999</v>
      </c>
      <c r="AX29" s="3">
        <f t="shared" si="3"/>
        <v>137.0838094493638</v>
      </c>
      <c r="AY29" s="22">
        <f>IF($E29="PGE",($AY$4*$L29)+'Water Costs'!I$16-AW29,IF($E29="SCE",$AY$4+'Water Costs'!$I$9,"N/A"))</f>
        <v>137.0838094493638</v>
      </c>
      <c r="AZ29" s="3">
        <f t="shared" si="0"/>
        <v>11</v>
      </c>
    </row>
    <row r="30" spans="1:54" x14ac:dyDescent="0.25">
      <c r="A30" s="3" t="s">
        <v>11</v>
      </c>
      <c r="B30" s="3" t="s">
        <v>53</v>
      </c>
      <c r="C30" s="3" t="s">
        <v>54</v>
      </c>
      <c r="D30" s="4">
        <v>40944</v>
      </c>
      <c r="E30" s="3" t="s">
        <v>55</v>
      </c>
      <c r="F30" s="3" t="s">
        <v>84</v>
      </c>
      <c r="G30" s="3" t="s">
        <v>57</v>
      </c>
      <c r="H30" s="3" t="s">
        <v>58</v>
      </c>
      <c r="I30" s="3" t="s">
        <v>77</v>
      </c>
      <c r="J30" s="62" t="str">
        <f t="shared" si="5"/>
        <v>SFmCZ12</v>
      </c>
      <c r="K30" s="3" t="s">
        <v>60</v>
      </c>
      <c r="L30" s="3">
        <v>1.68</v>
      </c>
      <c r="M30" s="3">
        <v>1680</v>
      </c>
      <c r="N30" s="3" t="s">
        <v>61</v>
      </c>
      <c r="O30" s="3">
        <v>0</v>
      </c>
      <c r="P30" s="3">
        <v>0</v>
      </c>
      <c r="Q30" s="3">
        <v>0</v>
      </c>
      <c r="R30" s="3">
        <v>712</v>
      </c>
      <c r="S30" s="3">
        <v>1.41</v>
      </c>
      <c r="T30" s="3">
        <v>-52.2</v>
      </c>
      <c r="U30" s="3">
        <v>0</v>
      </c>
      <c r="V30" s="3">
        <v>0</v>
      </c>
      <c r="W30" s="3">
        <v>0</v>
      </c>
      <c r="X30" s="3">
        <v>384</v>
      </c>
      <c r="Y30" s="3">
        <v>0.90300000000000002</v>
      </c>
      <c r="Z30" s="3">
        <v>-52.7</v>
      </c>
      <c r="AC30" s="3">
        <v>2</v>
      </c>
      <c r="AD30" s="3" t="s">
        <v>2</v>
      </c>
      <c r="AE30" s="3" t="s">
        <v>63</v>
      </c>
      <c r="AF30" s="3" t="s">
        <v>78</v>
      </c>
      <c r="AG30" s="3" t="s">
        <v>10</v>
      </c>
      <c r="AH30" s="3" t="s">
        <v>11</v>
      </c>
      <c r="AI30" s="3" t="s">
        <v>61</v>
      </c>
      <c r="AJ30" s="3" t="s">
        <v>12</v>
      </c>
      <c r="AK30" s="3" t="s">
        <v>65</v>
      </c>
      <c r="AM30" s="3" t="s">
        <v>12</v>
      </c>
      <c r="AN30" s="3" t="s">
        <v>1</v>
      </c>
      <c r="AO30" s="3" t="s">
        <v>3</v>
      </c>
      <c r="AP30" s="3" t="s">
        <v>66</v>
      </c>
      <c r="AQ30" s="6">
        <f>IF($E30="SCE",VLOOKUP($AZ30,'ESAF_&amp;_PDAF_Summary'!$B$4:$D$18,2,0),1)</f>
        <v>1</v>
      </c>
      <c r="AR30" s="6">
        <f>IF($E30="SCE",VLOOKUP($AZ30,'ESAF_&amp;_PDAF_Summary'!$B$4:$D$18,3,0),1)</f>
        <v>1</v>
      </c>
      <c r="AS30" s="6">
        <f>IF($E30="SCE",VLOOKUP($AZ30,'ESAF_&amp;_PDAF_Summary'!$B$4:$E$18,4,0),1)</f>
        <v>1</v>
      </c>
      <c r="AT30" s="3" t="str">
        <f t="shared" si="1"/>
        <v>N/A</v>
      </c>
      <c r="AU30" s="3" t="str">
        <f t="shared" si="2"/>
        <v>N/A</v>
      </c>
      <c r="AV30" s="3">
        <v>0</v>
      </c>
      <c r="AW30" s="3">
        <f t="shared" si="4"/>
        <v>3405.7799999999997</v>
      </c>
      <c r="AX30" s="3">
        <f t="shared" si="3"/>
        <v>135.81390944936356</v>
      </c>
      <c r="AY30" s="22">
        <f>IF($E30="PGE",($AY$4*$L30)+'Water Costs'!I$16-AW30,IF($E30="SCE",$AY$4+'Water Costs'!$I$9,"N/A"))</f>
        <v>135.81390944936356</v>
      </c>
      <c r="AZ30" s="3">
        <f t="shared" si="0"/>
        <v>12</v>
      </c>
    </row>
    <row r="31" spans="1:54" x14ac:dyDescent="0.25">
      <c r="A31" s="3" t="s">
        <v>11</v>
      </c>
      <c r="B31" s="3" t="s">
        <v>53</v>
      </c>
      <c r="C31" s="3" t="s">
        <v>54</v>
      </c>
      <c r="D31" s="4">
        <v>40944</v>
      </c>
      <c r="E31" s="3" t="s">
        <v>55</v>
      </c>
      <c r="F31" s="3" t="s">
        <v>84</v>
      </c>
      <c r="G31" s="3" t="s">
        <v>57</v>
      </c>
      <c r="H31" s="3" t="s">
        <v>58</v>
      </c>
      <c r="I31" s="3" t="s">
        <v>79</v>
      </c>
      <c r="J31" s="62" t="str">
        <f t="shared" si="5"/>
        <v>SFmCZ13</v>
      </c>
      <c r="K31" s="3" t="s">
        <v>60</v>
      </c>
      <c r="L31" s="3">
        <v>1.69</v>
      </c>
      <c r="M31" s="3">
        <v>1690</v>
      </c>
      <c r="N31" s="3" t="s">
        <v>61</v>
      </c>
      <c r="O31" s="3">
        <v>0</v>
      </c>
      <c r="P31" s="3">
        <v>0</v>
      </c>
      <c r="Q31" s="3">
        <v>0</v>
      </c>
      <c r="R31" s="3">
        <v>1250</v>
      </c>
      <c r="S31" s="3">
        <v>1.47</v>
      </c>
      <c r="T31" s="3">
        <v>-39</v>
      </c>
      <c r="U31" s="3">
        <v>0</v>
      </c>
      <c r="V31" s="3">
        <v>0</v>
      </c>
      <c r="W31" s="3">
        <v>0</v>
      </c>
      <c r="X31" s="3">
        <v>713</v>
      </c>
      <c r="Y31" s="3">
        <v>0.94</v>
      </c>
      <c r="Z31" s="3">
        <v>-39.4</v>
      </c>
      <c r="AC31" s="3">
        <v>2</v>
      </c>
      <c r="AD31" s="3" t="s">
        <v>2</v>
      </c>
      <c r="AE31" s="3" t="s">
        <v>63</v>
      </c>
      <c r="AF31" s="3" t="s">
        <v>80</v>
      </c>
      <c r="AG31" s="3" t="s">
        <v>10</v>
      </c>
      <c r="AH31" s="3" t="s">
        <v>11</v>
      </c>
      <c r="AI31" s="3" t="s">
        <v>61</v>
      </c>
      <c r="AJ31" s="3" t="s">
        <v>12</v>
      </c>
      <c r="AK31" s="3" t="s">
        <v>65</v>
      </c>
      <c r="AM31" s="3" t="s">
        <v>12</v>
      </c>
      <c r="AN31" s="3" t="s">
        <v>1</v>
      </c>
      <c r="AO31" s="3" t="s">
        <v>3</v>
      </c>
      <c r="AP31" s="3" t="s">
        <v>66</v>
      </c>
      <c r="AQ31" s="6">
        <f>IF($E31="SCE",VLOOKUP($AZ31,'ESAF_&amp;_PDAF_Summary'!$B$4:$D$18,2,0),1)</f>
        <v>1</v>
      </c>
      <c r="AR31" s="6">
        <f>IF($E31="SCE",VLOOKUP($AZ31,'ESAF_&amp;_PDAF_Summary'!$B$4:$D$18,3,0),1)</f>
        <v>1</v>
      </c>
      <c r="AS31" s="6">
        <f>IF($E31="SCE",VLOOKUP($AZ31,'ESAF_&amp;_PDAF_Summary'!$B$4:$E$18,4,0),1)</f>
        <v>1</v>
      </c>
      <c r="AT31" s="3" t="str">
        <f t="shared" si="1"/>
        <v>N/A</v>
      </c>
      <c r="AU31" s="3" t="str">
        <f t="shared" si="2"/>
        <v>N/A</v>
      </c>
      <c r="AV31" s="3">
        <v>0</v>
      </c>
      <c r="AW31" s="3">
        <f t="shared" si="4"/>
        <v>3426.0524999999998</v>
      </c>
      <c r="AX31" s="3">
        <f t="shared" si="3"/>
        <v>136.23720944936349</v>
      </c>
      <c r="AY31" s="22">
        <f>IF($E31="PGE",($AY$4*$L31)+'Water Costs'!I$16-AW31,IF($E31="SCE",$AY$4+'Water Costs'!$I$9,"N/A"))</f>
        <v>136.23720944936349</v>
      </c>
      <c r="AZ31" s="3">
        <f t="shared" si="0"/>
        <v>13</v>
      </c>
    </row>
    <row r="32" spans="1:54" x14ac:dyDescent="0.25">
      <c r="A32" s="3" t="s">
        <v>11</v>
      </c>
      <c r="B32" s="3" t="s">
        <v>53</v>
      </c>
      <c r="C32" s="3" t="s">
        <v>54</v>
      </c>
      <c r="D32" s="4">
        <v>40944</v>
      </c>
      <c r="E32" s="3" t="s">
        <v>55</v>
      </c>
      <c r="F32" s="3" t="s">
        <v>84</v>
      </c>
      <c r="G32" s="3" t="s">
        <v>57</v>
      </c>
      <c r="H32" s="3" t="s">
        <v>58</v>
      </c>
      <c r="I32" s="3" t="s">
        <v>81</v>
      </c>
      <c r="J32" s="62" t="str">
        <f t="shared" si="5"/>
        <v>SFmCZ16</v>
      </c>
      <c r="K32" s="3" t="s">
        <v>60</v>
      </c>
      <c r="L32" s="3">
        <v>1.79</v>
      </c>
      <c r="M32" s="3">
        <v>1790</v>
      </c>
      <c r="N32" s="3" t="s">
        <v>61</v>
      </c>
      <c r="O32" s="3">
        <v>0</v>
      </c>
      <c r="P32" s="3">
        <v>0</v>
      </c>
      <c r="Q32" s="3">
        <v>0</v>
      </c>
      <c r="R32" s="3">
        <v>256</v>
      </c>
      <c r="S32" s="3">
        <v>1.39</v>
      </c>
      <c r="T32" s="3">
        <v>-110</v>
      </c>
      <c r="U32" s="3">
        <v>0</v>
      </c>
      <c r="V32" s="3">
        <v>0</v>
      </c>
      <c r="W32" s="3">
        <v>0</v>
      </c>
      <c r="X32" s="3">
        <v>115</v>
      </c>
      <c r="Y32" s="3">
        <v>0.90100000000000002</v>
      </c>
      <c r="Z32" s="3">
        <v>-112</v>
      </c>
      <c r="AC32" s="3">
        <v>2</v>
      </c>
      <c r="AD32" s="3" t="s">
        <v>2</v>
      </c>
      <c r="AE32" s="3" t="s">
        <v>63</v>
      </c>
      <c r="AF32" s="3" t="s">
        <v>82</v>
      </c>
      <c r="AG32" s="3" t="s">
        <v>10</v>
      </c>
      <c r="AH32" s="3" t="s">
        <v>11</v>
      </c>
      <c r="AI32" s="3" t="s">
        <v>61</v>
      </c>
      <c r="AJ32" s="3" t="s">
        <v>12</v>
      </c>
      <c r="AK32" s="3" t="s">
        <v>65</v>
      </c>
      <c r="AM32" s="3" t="s">
        <v>12</v>
      </c>
      <c r="AN32" s="3" t="s">
        <v>1</v>
      </c>
      <c r="AO32" s="3" t="s">
        <v>3</v>
      </c>
      <c r="AP32" s="3" t="s">
        <v>66</v>
      </c>
      <c r="AQ32" s="6">
        <f>IF($E32="SCE",VLOOKUP($AZ32,'ESAF_&amp;_PDAF_Summary'!$B$4:$D$18,2,0),1)</f>
        <v>1</v>
      </c>
      <c r="AR32" s="6">
        <f>IF($E32="SCE",VLOOKUP($AZ32,'ESAF_&amp;_PDAF_Summary'!$B$4:$D$18,3,0),1)</f>
        <v>1</v>
      </c>
      <c r="AS32" s="6">
        <f>IF($E32="SCE",VLOOKUP($AZ32,'ESAF_&amp;_PDAF_Summary'!$B$4:$E$18,4,0),1)</f>
        <v>1</v>
      </c>
      <c r="AT32" s="3" t="str">
        <f t="shared" si="1"/>
        <v>N/A</v>
      </c>
      <c r="AU32" s="3" t="str">
        <f t="shared" si="2"/>
        <v>N/A</v>
      </c>
      <c r="AV32" s="3">
        <v>0</v>
      </c>
      <c r="AW32" s="3">
        <f t="shared" si="4"/>
        <v>3628.7775000000001</v>
      </c>
      <c r="AX32" s="3">
        <f t="shared" si="3"/>
        <v>140.47020944936321</v>
      </c>
      <c r="AY32" s="22">
        <f>IF($E32="PGE",($AY$4*$L32)+'Water Costs'!I$16-AW32,IF($E32="SCE",$AY$4+'Water Costs'!$I$9,"N/A"))</f>
        <v>140.47020944936321</v>
      </c>
      <c r="AZ32" s="3">
        <f t="shared" si="0"/>
        <v>16</v>
      </c>
    </row>
    <row r="33" spans="1:55" hidden="1" x14ac:dyDescent="0.25">
      <c r="A33" s="3" t="s">
        <v>11</v>
      </c>
      <c r="B33" s="3" t="s">
        <v>53</v>
      </c>
      <c r="C33" s="3" t="s">
        <v>54</v>
      </c>
      <c r="D33" s="4">
        <v>40944</v>
      </c>
      <c r="E33" s="3" t="s">
        <v>9</v>
      </c>
      <c r="F33" s="3" t="s">
        <v>56</v>
      </c>
      <c r="G33" s="3" t="s">
        <v>57</v>
      </c>
      <c r="H33" s="3" t="s">
        <v>58</v>
      </c>
      <c r="I33" s="3" t="s">
        <v>85</v>
      </c>
      <c r="J33" s="62" t="str">
        <f t="shared" si="5"/>
        <v>DMoCZ06</v>
      </c>
      <c r="K33" s="3" t="s">
        <v>60</v>
      </c>
      <c r="L33" s="3">
        <v>1.24</v>
      </c>
      <c r="M33" s="3">
        <v>1240</v>
      </c>
      <c r="N33" s="3" t="s">
        <v>61</v>
      </c>
      <c r="O33" s="3">
        <v>0</v>
      </c>
      <c r="P33" s="3">
        <v>0</v>
      </c>
      <c r="Q33" s="3">
        <v>0</v>
      </c>
      <c r="R33" s="3">
        <v>87</v>
      </c>
      <c r="S33" s="3">
        <v>1.93</v>
      </c>
      <c r="T33" s="3">
        <v>-35.299999999999997</v>
      </c>
      <c r="U33" s="3">
        <v>0</v>
      </c>
      <c r="V33" s="3">
        <v>0</v>
      </c>
      <c r="W33" s="3">
        <v>0</v>
      </c>
      <c r="X33" s="3">
        <v>23.7</v>
      </c>
      <c r="Y33" s="3">
        <v>1.01</v>
      </c>
      <c r="Z33" s="3">
        <v>-35.6</v>
      </c>
      <c r="AC33" s="3">
        <v>2</v>
      </c>
      <c r="AD33" s="3" t="s">
        <v>62</v>
      </c>
      <c r="AE33" s="3" t="s">
        <v>63</v>
      </c>
      <c r="AF33" s="3" t="s">
        <v>86</v>
      </c>
      <c r="AG33" s="3" t="s">
        <v>9</v>
      </c>
      <c r="AH33" s="3" t="s">
        <v>11</v>
      </c>
      <c r="AI33" s="3" t="s">
        <v>61</v>
      </c>
      <c r="AJ33" s="3" t="s">
        <v>12</v>
      </c>
      <c r="AK33" s="3" t="s">
        <v>65</v>
      </c>
      <c r="AM33" s="3" t="s">
        <v>12</v>
      </c>
      <c r="AN33" s="3" t="s">
        <v>1</v>
      </c>
      <c r="AO33" s="3" t="s">
        <v>3</v>
      </c>
      <c r="AP33" s="3" t="s">
        <v>66</v>
      </c>
      <c r="AQ33" s="6">
        <f>IF($E33="SCE",VLOOKUP($AZ33,'ESAF_&amp;_PDAF_Summary'!$B$4:$D$18,2,0),1)</f>
        <v>0.56081081081081086</v>
      </c>
      <c r="AR33" s="6">
        <f>IF($E33="SCE",VLOOKUP($AZ33,'ESAF_&amp;_PDAF_Summary'!$B$4:$D$18,3,0),1)</f>
        <v>0.33333333333333331</v>
      </c>
      <c r="AS33" s="6">
        <f>IF($E33="SCE",VLOOKUP($AZ33,'ESAF_&amp;_PDAF_Summary'!$B$4:$E$18,4,0),1)</f>
        <v>0.75</v>
      </c>
      <c r="AT33" s="3">
        <f>IF(AND($E33="PGE",$F33="MFm",OR($I33="CZ11",$I33="CZ12",$I33="CZ13")),X33*$AQ33*$AS33*$L33,IF($E33="SCE",R33*$AQ33*$AS33,"N/A"))</f>
        <v>36.592905405405411</v>
      </c>
      <c r="AU33" s="3">
        <f t="shared" si="2"/>
        <v>0.48249999999999998</v>
      </c>
      <c r="AV33" s="3">
        <v>0</v>
      </c>
      <c r="AW33" s="3">
        <f t="shared" si="4"/>
        <v>2027.25</v>
      </c>
      <c r="AX33" s="3">
        <f t="shared" si="3"/>
        <v>2244.7045789456215</v>
      </c>
      <c r="AY33" s="22">
        <f>IF($E33="PGE",($AY$4*$L33)+'Water Costs'!I$16-AW33,IF($E33="SCE",$AY$4+'Water Costs'!$I$9,"N/A"))</f>
        <v>2244.7045789456215</v>
      </c>
      <c r="AZ33" s="3">
        <f t="shared" si="0"/>
        <v>6</v>
      </c>
      <c r="BB33" s="3">
        <f>X33*$AQ33*$AS33</f>
        <v>9.9684121621621635</v>
      </c>
      <c r="BC33" s="3">
        <f>Y33*$AR33*$AS33</f>
        <v>0.2525</v>
      </c>
    </row>
    <row r="34" spans="1:55" hidden="1" x14ac:dyDescent="0.25">
      <c r="A34" s="3" t="s">
        <v>11</v>
      </c>
      <c r="B34" s="3" t="s">
        <v>53</v>
      </c>
      <c r="C34" s="3" t="s">
        <v>54</v>
      </c>
      <c r="D34" s="4">
        <v>40944</v>
      </c>
      <c r="E34" s="3" t="s">
        <v>9</v>
      </c>
      <c r="F34" s="3" t="s">
        <v>56</v>
      </c>
      <c r="G34" s="3" t="s">
        <v>57</v>
      </c>
      <c r="H34" s="3" t="s">
        <v>58</v>
      </c>
      <c r="I34" s="3" t="s">
        <v>87</v>
      </c>
      <c r="J34" s="62" t="str">
        <f t="shared" si="5"/>
        <v>DMoCZ08</v>
      </c>
      <c r="K34" s="3" t="s">
        <v>60</v>
      </c>
      <c r="L34" s="3">
        <v>1.24</v>
      </c>
      <c r="M34" s="3">
        <v>1240</v>
      </c>
      <c r="N34" s="3" t="s">
        <v>61</v>
      </c>
      <c r="O34" s="3">
        <v>0</v>
      </c>
      <c r="P34" s="3">
        <v>0</v>
      </c>
      <c r="Q34" s="3">
        <v>0</v>
      </c>
      <c r="R34" s="3">
        <v>527</v>
      </c>
      <c r="S34" s="3">
        <v>2.8</v>
      </c>
      <c r="T34" s="3">
        <v>-36.700000000000003</v>
      </c>
      <c r="U34" s="3">
        <v>0</v>
      </c>
      <c r="V34" s="3">
        <v>0</v>
      </c>
      <c r="W34" s="3">
        <v>0</v>
      </c>
      <c r="X34" s="3">
        <v>181</v>
      </c>
      <c r="Y34" s="3">
        <v>1.44</v>
      </c>
      <c r="Z34" s="3">
        <v>-37</v>
      </c>
      <c r="AC34" s="3">
        <v>2</v>
      </c>
      <c r="AD34" s="3" t="s">
        <v>62</v>
      </c>
      <c r="AE34" s="3" t="s">
        <v>63</v>
      </c>
      <c r="AF34" s="3" t="s">
        <v>88</v>
      </c>
      <c r="AG34" s="3" t="s">
        <v>9</v>
      </c>
      <c r="AH34" s="3" t="s">
        <v>11</v>
      </c>
      <c r="AI34" s="3" t="s">
        <v>61</v>
      </c>
      <c r="AJ34" s="3" t="s">
        <v>12</v>
      </c>
      <c r="AK34" s="3" t="s">
        <v>65</v>
      </c>
      <c r="AM34" s="3" t="s">
        <v>12</v>
      </c>
      <c r="AN34" s="3" t="s">
        <v>1</v>
      </c>
      <c r="AO34" s="3" t="s">
        <v>3</v>
      </c>
      <c r="AP34" s="3" t="s">
        <v>66</v>
      </c>
      <c r="AQ34" s="6">
        <f>IF($E34="SCE",VLOOKUP($AZ34,'ESAF_&amp;_PDAF_Summary'!$B$4:$D$18,2,0),1)</f>
        <v>0.32517482517482516</v>
      </c>
      <c r="AR34" s="6">
        <f>IF($E34="SCE",VLOOKUP($AZ34,'ESAF_&amp;_PDAF_Summary'!$B$4:$D$18,3,0),1)</f>
        <v>0.33333333333333331</v>
      </c>
      <c r="AS34" s="6">
        <f>IF($E34="SCE",VLOOKUP($AZ34,'ESAF_&amp;_PDAF_Summary'!$B$4:$E$18,4,0),1)</f>
        <v>0.75</v>
      </c>
      <c r="AT34" s="3">
        <f>IF(AND($E34="PGE",$F34="MFm",OR($I34="CZ11",$I34="CZ12",$I34="CZ13")),X34*$AQ34*$AS34*$L34,IF($E34="SCE",R34*$AQ34*$AS34,"N/A"))</f>
        <v>128.52534965034965</v>
      </c>
      <c r="AU34" s="56">
        <f t="shared" si="2"/>
        <v>0.7</v>
      </c>
      <c r="AV34" s="3">
        <v>0</v>
      </c>
      <c r="AW34" s="3">
        <f t="shared" si="4"/>
        <v>2027.25</v>
      </c>
      <c r="AX34" s="3">
        <f t="shared" si="3"/>
        <v>2244.7045789456215</v>
      </c>
      <c r="AY34" s="22">
        <f>IF($E34="PGE",($AY$4*$L34)+'Water Costs'!I$16-AW34,IF($E34="SCE",$AY$4+'Water Costs'!$I$9,"N/A"))</f>
        <v>2244.7045789456215</v>
      </c>
      <c r="AZ34" s="3">
        <f t="shared" si="0"/>
        <v>8</v>
      </c>
      <c r="BB34" s="3">
        <f t="shared" ref="BB34:BB56" si="6">X34*$AQ34*$AS34</f>
        <v>44.142482517482513</v>
      </c>
      <c r="BC34" s="3">
        <f t="shared" ref="BC34:BC56" si="7">Y34*$AR34*$AS34</f>
        <v>0.36</v>
      </c>
    </row>
    <row r="35" spans="1:55" hidden="1" x14ac:dyDescent="0.25">
      <c r="A35" s="3" t="s">
        <v>11</v>
      </c>
      <c r="B35" s="3" t="s">
        <v>53</v>
      </c>
      <c r="C35" s="3" t="s">
        <v>54</v>
      </c>
      <c r="D35" s="4">
        <v>40944</v>
      </c>
      <c r="E35" s="3" t="s">
        <v>9</v>
      </c>
      <c r="F35" s="3" t="s">
        <v>56</v>
      </c>
      <c r="G35" s="3" t="s">
        <v>57</v>
      </c>
      <c r="H35" s="3" t="s">
        <v>58</v>
      </c>
      <c r="I35" s="3" t="s">
        <v>89</v>
      </c>
      <c r="J35" s="62" t="str">
        <f t="shared" si="5"/>
        <v>DMoCZ09</v>
      </c>
      <c r="K35" s="3" t="s">
        <v>60</v>
      </c>
      <c r="L35" s="3">
        <v>1.24</v>
      </c>
      <c r="M35" s="3">
        <v>1240</v>
      </c>
      <c r="N35" s="3" t="s">
        <v>61</v>
      </c>
      <c r="O35" s="3">
        <v>0</v>
      </c>
      <c r="P35" s="3">
        <v>0</v>
      </c>
      <c r="Q35" s="3">
        <v>0</v>
      </c>
      <c r="R35" s="3">
        <v>661</v>
      </c>
      <c r="S35" s="3">
        <v>2.0099999999999998</v>
      </c>
      <c r="T35" s="3">
        <v>-38</v>
      </c>
      <c r="U35" s="3">
        <v>0</v>
      </c>
      <c r="V35" s="3">
        <v>0</v>
      </c>
      <c r="W35" s="3">
        <v>0</v>
      </c>
      <c r="X35" s="3">
        <v>247</v>
      </c>
      <c r="Y35" s="3">
        <v>1.08</v>
      </c>
      <c r="Z35" s="3">
        <v>-38.299999999999997</v>
      </c>
      <c r="AC35" s="3">
        <v>2</v>
      </c>
      <c r="AD35" s="3" t="s">
        <v>62</v>
      </c>
      <c r="AE35" s="3" t="s">
        <v>63</v>
      </c>
      <c r="AF35" s="3" t="s">
        <v>90</v>
      </c>
      <c r="AG35" s="3" t="s">
        <v>9</v>
      </c>
      <c r="AH35" s="3" t="s">
        <v>11</v>
      </c>
      <c r="AI35" s="3" t="s">
        <v>61</v>
      </c>
      <c r="AJ35" s="3" t="s">
        <v>12</v>
      </c>
      <c r="AK35" s="3" t="s">
        <v>65</v>
      </c>
      <c r="AM35" s="3" t="s">
        <v>12</v>
      </c>
      <c r="AN35" s="3" t="s">
        <v>1</v>
      </c>
      <c r="AO35" s="3" t="s">
        <v>3</v>
      </c>
      <c r="AP35" s="3" t="s">
        <v>66</v>
      </c>
      <c r="AQ35" s="6">
        <f>IF($E35="SCE",VLOOKUP($AZ35,'ESAF_&amp;_PDAF_Summary'!$B$4:$D$18,2,0),1)</f>
        <v>0.26299376299376298</v>
      </c>
      <c r="AR35" s="6">
        <f>IF($E35="SCE",VLOOKUP($AZ35,'ESAF_&amp;_PDAF_Summary'!$B$4:$D$18,3,0),1)</f>
        <v>0</v>
      </c>
      <c r="AS35" s="6">
        <f>IF($E35="SCE",VLOOKUP($AZ35,'ESAF_&amp;_PDAF_Summary'!$B$4:$E$18,4,0),1)</f>
        <v>0.75</v>
      </c>
      <c r="AT35" s="3">
        <f t="shared" si="1"/>
        <v>130.379158004158</v>
      </c>
      <c r="AU35" s="56">
        <f t="shared" si="2"/>
        <v>0</v>
      </c>
      <c r="AV35" s="3">
        <v>0</v>
      </c>
      <c r="AW35" s="3">
        <f t="shared" si="4"/>
        <v>2027.25</v>
      </c>
      <c r="AX35" s="3">
        <f t="shared" si="3"/>
        <v>2244.7045789456215</v>
      </c>
      <c r="AY35" s="22">
        <f>IF($E35="PGE",($AY$4*$L35)+'Water Costs'!I$16-AW35,IF($E35="SCE",$AY$4+'Water Costs'!$I$9,"N/A"))</f>
        <v>2244.7045789456215</v>
      </c>
      <c r="AZ35" s="3">
        <f t="shared" si="0"/>
        <v>9</v>
      </c>
      <c r="BB35" s="3">
        <f t="shared" si="6"/>
        <v>48.719594594594589</v>
      </c>
      <c r="BC35" s="3">
        <f t="shared" si="7"/>
        <v>0</v>
      </c>
    </row>
    <row r="36" spans="1:55" hidden="1" x14ac:dyDescent="0.25">
      <c r="A36" s="3" t="s">
        <v>11</v>
      </c>
      <c r="B36" s="3" t="s">
        <v>53</v>
      </c>
      <c r="C36" s="3" t="s">
        <v>54</v>
      </c>
      <c r="D36" s="4">
        <v>40944</v>
      </c>
      <c r="E36" s="3" t="s">
        <v>9</v>
      </c>
      <c r="F36" s="3" t="s">
        <v>56</v>
      </c>
      <c r="G36" s="3" t="s">
        <v>57</v>
      </c>
      <c r="H36" s="3" t="s">
        <v>58</v>
      </c>
      <c r="I36" s="3" t="s">
        <v>91</v>
      </c>
      <c r="J36" s="62" t="str">
        <f t="shared" si="5"/>
        <v>DMoCZ10</v>
      </c>
      <c r="K36" s="3" t="s">
        <v>60</v>
      </c>
      <c r="L36" s="3">
        <v>1.24</v>
      </c>
      <c r="M36" s="3">
        <v>1240</v>
      </c>
      <c r="N36" s="3" t="s">
        <v>61</v>
      </c>
      <c r="O36" s="3">
        <v>0</v>
      </c>
      <c r="P36" s="3">
        <v>0</v>
      </c>
      <c r="Q36" s="3">
        <v>0</v>
      </c>
      <c r="R36" s="3">
        <v>1180</v>
      </c>
      <c r="S36" s="3">
        <v>2.5099999999999998</v>
      </c>
      <c r="T36" s="3">
        <v>-53.5</v>
      </c>
      <c r="U36" s="3">
        <v>0</v>
      </c>
      <c r="V36" s="3">
        <v>0</v>
      </c>
      <c r="W36" s="3">
        <v>0</v>
      </c>
      <c r="X36" s="3">
        <v>423</v>
      </c>
      <c r="Y36" s="3">
        <v>1.1499999999999999</v>
      </c>
      <c r="Z36" s="3">
        <v>-53.9</v>
      </c>
      <c r="AC36" s="3">
        <v>2</v>
      </c>
      <c r="AD36" s="3" t="s">
        <v>62</v>
      </c>
      <c r="AE36" s="3" t="s">
        <v>63</v>
      </c>
      <c r="AF36" s="3" t="s">
        <v>4</v>
      </c>
      <c r="AG36" s="3" t="s">
        <v>9</v>
      </c>
      <c r="AH36" s="3" t="s">
        <v>11</v>
      </c>
      <c r="AI36" s="3" t="s">
        <v>61</v>
      </c>
      <c r="AJ36" s="3" t="s">
        <v>12</v>
      </c>
      <c r="AK36" s="3" t="s">
        <v>65</v>
      </c>
      <c r="AM36" s="3" t="s">
        <v>12</v>
      </c>
      <c r="AN36" s="3" t="s">
        <v>1</v>
      </c>
      <c r="AO36" s="3" t="s">
        <v>3</v>
      </c>
      <c r="AP36" s="3" t="s">
        <v>66</v>
      </c>
      <c r="AQ36" s="6">
        <f>IF($E36="SCE",VLOOKUP($AZ36,'ESAF_&amp;_PDAF_Summary'!$B$4:$D$18,2,0),1)</f>
        <v>0.48234410217881291</v>
      </c>
      <c r="AR36" s="6">
        <f>IF($E36="SCE",VLOOKUP($AZ36,'ESAF_&amp;_PDAF_Summary'!$B$4:$D$18,3,0),1)</f>
        <v>0</v>
      </c>
      <c r="AS36" s="6">
        <f>IF($E36="SCE",VLOOKUP($AZ36,'ESAF_&amp;_PDAF_Summary'!$B$4:$E$18,4,0),1)</f>
        <v>0.75</v>
      </c>
      <c r="AT36" s="3">
        <f t="shared" si="1"/>
        <v>426.87453042824944</v>
      </c>
      <c r="AU36" s="56">
        <f t="shared" si="2"/>
        <v>0</v>
      </c>
      <c r="AV36" s="3">
        <v>0</v>
      </c>
      <c r="AW36" s="3">
        <f t="shared" si="4"/>
        <v>2027.25</v>
      </c>
      <c r="AX36" s="3">
        <f t="shared" si="3"/>
        <v>2244.7045789456215</v>
      </c>
      <c r="AY36" s="22">
        <f>IF($E36="PGE",($AY$4*$L36)+'Water Costs'!I$16-AW36,IF($E36="SCE",$AY$4+'Water Costs'!$I$9,"N/A"))</f>
        <v>2244.7045789456215</v>
      </c>
      <c r="AZ36" s="3">
        <f t="shared" si="0"/>
        <v>10</v>
      </c>
      <c r="BB36" s="3">
        <f t="shared" si="6"/>
        <v>153.02366641622839</v>
      </c>
      <c r="BC36" s="3">
        <f t="shared" si="7"/>
        <v>0</v>
      </c>
    </row>
    <row r="37" spans="1:55" hidden="1" x14ac:dyDescent="0.25">
      <c r="A37" s="3" t="s">
        <v>11</v>
      </c>
      <c r="B37" s="3" t="s">
        <v>53</v>
      </c>
      <c r="C37" s="3" t="s">
        <v>54</v>
      </c>
      <c r="D37" s="4">
        <v>40944</v>
      </c>
      <c r="E37" s="3" t="s">
        <v>9</v>
      </c>
      <c r="F37" s="3" t="s">
        <v>56</v>
      </c>
      <c r="G37" s="3" t="s">
        <v>57</v>
      </c>
      <c r="H37" s="3" t="s">
        <v>58</v>
      </c>
      <c r="I37" s="3" t="s">
        <v>79</v>
      </c>
      <c r="J37" s="62" t="str">
        <f t="shared" si="5"/>
        <v>DMoCZ13</v>
      </c>
      <c r="K37" s="3" t="s">
        <v>60</v>
      </c>
      <c r="L37" s="3">
        <v>1.24</v>
      </c>
      <c r="M37" s="3">
        <v>1240</v>
      </c>
      <c r="N37" s="3" t="s">
        <v>61</v>
      </c>
      <c r="O37" s="3">
        <v>0</v>
      </c>
      <c r="P37" s="3">
        <v>0</v>
      </c>
      <c r="Q37" s="3">
        <v>0</v>
      </c>
      <c r="R37" s="3">
        <v>1620</v>
      </c>
      <c r="S37" s="3">
        <v>2.86</v>
      </c>
      <c r="T37" s="3">
        <v>-61.6</v>
      </c>
      <c r="U37" s="3">
        <v>0</v>
      </c>
      <c r="V37" s="3">
        <v>0</v>
      </c>
      <c r="W37" s="3">
        <v>0</v>
      </c>
      <c r="X37" s="3">
        <v>557</v>
      </c>
      <c r="Y37" s="3">
        <v>1.21</v>
      </c>
      <c r="Z37" s="3">
        <v>-62.1</v>
      </c>
      <c r="AC37" s="3">
        <v>2</v>
      </c>
      <c r="AD37" s="3" t="s">
        <v>62</v>
      </c>
      <c r="AE37" s="3" t="s">
        <v>63</v>
      </c>
      <c r="AF37" s="3" t="s">
        <v>80</v>
      </c>
      <c r="AG37" s="3" t="s">
        <v>9</v>
      </c>
      <c r="AH37" s="3" t="s">
        <v>11</v>
      </c>
      <c r="AI37" s="3" t="s">
        <v>61</v>
      </c>
      <c r="AJ37" s="3" t="s">
        <v>12</v>
      </c>
      <c r="AK37" s="3" t="s">
        <v>65</v>
      </c>
      <c r="AM37" s="3" t="s">
        <v>12</v>
      </c>
      <c r="AN37" s="3" t="s">
        <v>1</v>
      </c>
      <c r="AO37" s="3" t="s">
        <v>3</v>
      </c>
      <c r="AP37" s="3" t="s">
        <v>66</v>
      </c>
      <c r="AQ37" s="6">
        <f>IF($E37="SCE",VLOOKUP($AZ37,'ESAF_&amp;_PDAF_Summary'!$B$4:$D$18,2,0),1)</f>
        <v>0.65</v>
      </c>
      <c r="AR37" s="6">
        <f>IF($E37="SCE",VLOOKUP($AZ37,'ESAF_&amp;_PDAF_Summary'!$B$4:$D$18,3,0),1)</f>
        <v>0</v>
      </c>
      <c r="AS37" s="6">
        <f>IF($E37="SCE",VLOOKUP($AZ37,'ESAF_&amp;_PDAF_Summary'!$B$4:$E$18,4,0),1)</f>
        <v>0.75</v>
      </c>
      <c r="AT37" s="3">
        <f t="shared" si="1"/>
        <v>789.75</v>
      </c>
      <c r="AU37" s="3">
        <f t="shared" si="2"/>
        <v>0</v>
      </c>
      <c r="AV37" s="3">
        <v>0</v>
      </c>
      <c r="AW37" s="3">
        <f t="shared" si="4"/>
        <v>2027.25</v>
      </c>
      <c r="AX37" s="3">
        <f t="shared" si="3"/>
        <v>2244.7045789456215</v>
      </c>
      <c r="AY37" s="22">
        <f>IF($E37="PGE",($AY$4*$L37)+'Water Costs'!I$16-AW37,IF($E37="SCE",$AY$4+'Water Costs'!$I$9,"N/A"))</f>
        <v>2244.7045789456215</v>
      </c>
      <c r="AZ37" s="3">
        <f t="shared" si="0"/>
        <v>13</v>
      </c>
      <c r="BB37" s="3">
        <f t="shared" si="6"/>
        <v>271.53750000000002</v>
      </c>
      <c r="BC37" s="3">
        <f t="shared" si="7"/>
        <v>0</v>
      </c>
    </row>
    <row r="38" spans="1:55" hidden="1" x14ac:dyDescent="0.25">
      <c r="A38" s="3" t="s">
        <v>11</v>
      </c>
      <c r="B38" s="3" t="s">
        <v>53</v>
      </c>
      <c r="C38" s="3" t="s">
        <v>54</v>
      </c>
      <c r="D38" s="4">
        <v>40944</v>
      </c>
      <c r="E38" s="3" t="s">
        <v>9</v>
      </c>
      <c r="F38" s="3" t="s">
        <v>56</v>
      </c>
      <c r="G38" s="3" t="s">
        <v>57</v>
      </c>
      <c r="H38" s="3" t="s">
        <v>58</v>
      </c>
      <c r="I38" s="3" t="s">
        <v>92</v>
      </c>
      <c r="J38" s="62" t="str">
        <f t="shared" si="5"/>
        <v>DMoCZ14</v>
      </c>
      <c r="K38" s="3" t="s">
        <v>60</v>
      </c>
      <c r="L38" s="3">
        <v>1.24</v>
      </c>
      <c r="M38" s="3">
        <v>1240</v>
      </c>
      <c r="N38" s="3" t="s">
        <v>61</v>
      </c>
      <c r="O38" s="3">
        <v>0</v>
      </c>
      <c r="P38" s="3">
        <v>0</v>
      </c>
      <c r="Q38" s="3">
        <v>0</v>
      </c>
      <c r="R38" s="3">
        <v>1530</v>
      </c>
      <c r="S38" s="3">
        <v>3.23</v>
      </c>
      <c r="T38" s="3">
        <v>-82.2</v>
      </c>
      <c r="U38" s="3">
        <v>0</v>
      </c>
      <c r="V38" s="3">
        <v>0</v>
      </c>
      <c r="W38" s="3">
        <v>0</v>
      </c>
      <c r="X38" s="3">
        <v>670</v>
      </c>
      <c r="Y38" s="3">
        <v>1.58</v>
      </c>
      <c r="Z38" s="3">
        <v>-82.7</v>
      </c>
      <c r="AC38" s="3">
        <v>2</v>
      </c>
      <c r="AD38" s="3" t="s">
        <v>62</v>
      </c>
      <c r="AE38" s="3" t="s">
        <v>63</v>
      </c>
      <c r="AF38" s="3" t="s">
        <v>93</v>
      </c>
      <c r="AG38" s="3" t="s">
        <v>9</v>
      </c>
      <c r="AH38" s="3" t="s">
        <v>11</v>
      </c>
      <c r="AI38" s="3" t="s">
        <v>61</v>
      </c>
      <c r="AJ38" s="3" t="s">
        <v>12</v>
      </c>
      <c r="AK38" s="3" t="s">
        <v>65</v>
      </c>
      <c r="AM38" s="3" t="s">
        <v>12</v>
      </c>
      <c r="AN38" s="3" t="s">
        <v>1</v>
      </c>
      <c r="AO38" s="3" t="s">
        <v>3</v>
      </c>
      <c r="AP38" s="3" t="s">
        <v>66</v>
      </c>
      <c r="AQ38" s="6">
        <f>IF($E38="SCE",VLOOKUP($AZ38,'ESAF_&amp;_PDAF_Summary'!$B$4:$D$18,2,0),1)</f>
        <v>0.88084874863982587</v>
      </c>
      <c r="AR38" s="6">
        <f>IF($E38="SCE",VLOOKUP($AZ38,'ESAF_&amp;_PDAF_Summary'!$B$4:$D$18,3,0),1)</f>
        <v>1</v>
      </c>
      <c r="AS38" s="6">
        <f>IF($E38="SCE",VLOOKUP($AZ38,'ESAF_&amp;_PDAF_Summary'!$B$4:$E$18,4,0),1)</f>
        <v>0.75</v>
      </c>
      <c r="AT38" s="3">
        <f t="shared" si="1"/>
        <v>1010.7739390642002</v>
      </c>
      <c r="AU38" s="3">
        <f t="shared" si="2"/>
        <v>2.4224999999999999</v>
      </c>
      <c r="AV38" s="3">
        <v>0</v>
      </c>
      <c r="AW38" s="3">
        <f t="shared" si="4"/>
        <v>2027.25</v>
      </c>
      <c r="AX38" s="3">
        <f t="shared" si="3"/>
        <v>2244.7045789456215</v>
      </c>
      <c r="AY38" s="22">
        <f>IF($E38="PGE",($AY$4*$L38)+'Water Costs'!I$16-AW38,IF($E38="SCE",$AY$4+'Water Costs'!$I$9,"N/A"))</f>
        <v>2244.7045789456215</v>
      </c>
      <c r="AZ38" s="3">
        <f t="shared" si="0"/>
        <v>14</v>
      </c>
      <c r="BB38" s="3">
        <f t="shared" si="6"/>
        <v>442.6264961915125</v>
      </c>
      <c r="BC38" s="3">
        <f t="shared" si="7"/>
        <v>1.1850000000000001</v>
      </c>
    </row>
    <row r="39" spans="1:55" hidden="1" x14ac:dyDescent="0.25">
      <c r="A39" s="3" t="s">
        <v>11</v>
      </c>
      <c r="B39" s="3" t="s">
        <v>53</v>
      </c>
      <c r="C39" s="3" t="s">
        <v>54</v>
      </c>
      <c r="D39" s="4">
        <v>40944</v>
      </c>
      <c r="E39" s="3" t="s">
        <v>9</v>
      </c>
      <c r="F39" s="3" t="s">
        <v>56</v>
      </c>
      <c r="G39" s="3" t="s">
        <v>57</v>
      </c>
      <c r="H39" s="3" t="s">
        <v>58</v>
      </c>
      <c r="I39" s="3" t="s">
        <v>94</v>
      </c>
      <c r="J39" s="62" t="str">
        <f t="shared" si="5"/>
        <v>DMoCZ15</v>
      </c>
      <c r="K39" s="3" t="s">
        <v>60</v>
      </c>
      <c r="L39" s="3">
        <v>1.24</v>
      </c>
      <c r="M39" s="3">
        <v>1240</v>
      </c>
      <c r="N39" s="3" t="s">
        <v>61</v>
      </c>
      <c r="O39" s="3">
        <v>0</v>
      </c>
      <c r="P39" s="3">
        <v>0</v>
      </c>
      <c r="Q39" s="3">
        <v>0</v>
      </c>
      <c r="R39" s="3">
        <v>2450</v>
      </c>
      <c r="S39" s="3">
        <v>2.5499999999999998</v>
      </c>
      <c r="T39" s="3">
        <v>-29.4</v>
      </c>
      <c r="U39" s="3">
        <v>0</v>
      </c>
      <c r="V39" s="3">
        <v>0</v>
      </c>
      <c r="W39" s="3">
        <v>0</v>
      </c>
      <c r="X39" s="3">
        <v>1120</v>
      </c>
      <c r="Y39" s="3">
        <v>1.4</v>
      </c>
      <c r="Z39" s="3">
        <v>-29.6</v>
      </c>
      <c r="AC39" s="3">
        <v>2</v>
      </c>
      <c r="AD39" s="3" t="s">
        <v>62</v>
      </c>
      <c r="AE39" s="3" t="s">
        <v>63</v>
      </c>
      <c r="AF39" s="3" t="s">
        <v>95</v>
      </c>
      <c r="AG39" s="3" t="s">
        <v>9</v>
      </c>
      <c r="AH39" s="3" t="s">
        <v>11</v>
      </c>
      <c r="AI39" s="3" t="s">
        <v>61</v>
      </c>
      <c r="AJ39" s="3" t="s">
        <v>12</v>
      </c>
      <c r="AK39" s="3" t="s">
        <v>65</v>
      </c>
      <c r="AM39" s="3" t="s">
        <v>12</v>
      </c>
      <c r="AN39" s="3" t="s">
        <v>1</v>
      </c>
      <c r="AO39" s="3" t="s">
        <v>3</v>
      </c>
      <c r="AP39" s="3" t="s">
        <v>66</v>
      </c>
      <c r="AQ39" s="6">
        <f>IF($E39="SCE",VLOOKUP($AZ39,'ESAF_&amp;_PDAF_Summary'!$B$4:$D$18,2,0),1)</f>
        <v>0.57460585585585588</v>
      </c>
      <c r="AR39" s="6">
        <f>IF($E39="SCE",VLOOKUP($AZ39,'ESAF_&amp;_PDAF_Summary'!$B$4:$D$18,3,0),1)</f>
        <v>0.1111111111111111</v>
      </c>
      <c r="AS39" s="6">
        <f>IF($E39="SCE",VLOOKUP($AZ39,'ESAF_&amp;_PDAF_Summary'!$B$4:$E$18,4,0),1)</f>
        <v>0.75</v>
      </c>
      <c r="AT39" s="3">
        <f t="shared" si="1"/>
        <v>1055.8382601351352</v>
      </c>
      <c r="AU39" s="3">
        <f t="shared" si="2"/>
        <v>0.21249999999999997</v>
      </c>
      <c r="AV39" s="3">
        <v>0</v>
      </c>
      <c r="AW39" s="3">
        <f t="shared" si="4"/>
        <v>2027.25</v>
      </c>
      <c r="AX39" s="3">
        <f t="shared" si="3"/>
        <v>2244.7045789456215</v>
      </c>
      <c r="AY39" s="22">
        <f>IF($E39="PGE",($AY$4*$L39)+'Water Costs'!I$16-AW39,IF($E39="SCE",$AY$4+'Water Costs'!$I$9,"N/A"))</f>
        <v>2244.7045789456215</v>
      </c>
      <c r="AZ39" s="3">
        <f t="shared" si="0"/>
        <v>15</v>
      </c>
      <c r="BB39" s="3">
        <f t="shared" si="6"/>
        <v>482.66891891891896</v>
      </c>
      <c r="BC39" s="3">
        <f t="shared" si="7"/>
        <v>0.11666666666666664</v>
      </c>
    </row>
    <row r="40" spans="1:55" hidden="1" x14ac:dyDescent="0.25">
      <c r="A40" s="3" t="s">
        <v>11</v>
      </c>
      <c r="B40" s="3" t="s">
        <v>53</v>
      </c>
      <c r="C40" s="3" t="s">
        <v>54</v>
      </c>
      <c r="D40" s="4">
        <v>40944</v>
      </c>
      <c r="E40" s="3" t="s">
        <v>9</v>
      </c>
      <c r="F40" s="3" t="s">
        <v>56</v>
      </c>
      <c r="G40" s="3" t="s">
        <v>57</v>
      </c>
      <c r="H40" s="3" t="s">
        <v>58</v>
      </c>
      <c r="I40" s="3" t="s">
        <v>81</v>
      </c>
      <c r="J40" s="62" t="str">
        <f t="shared" si="5"/>
        <v>DMoCZ16</v>
      </c>
      <c r="K40" s="3" t="s">
        <v>60</v>
      </c>
      <c r="L40" s="3">
        <v>1.24</v>
      </c>
      <c r="M40" s="3">
        <v>1240</v>
      </c>
      <c r="N40" s="3" t="s">
        <v>61</v>
      </c>
      <c r="O40" s="3">
        <v>0</v>
      </c>
      <c r="P40" s="3">
        <v>0</v>
      </c>
      <c r="Q40" s="3">
        <v>0</v>
      </c>
      <c r="R40" s="3">
        <v>260</v>
      </c>
      <c r="S40" s="3">
        <v>3.08</v>
      </c>
      <c r="T40" s="3">
        <v>-167</v>
      </c>
      <c r="U40" s="3">
        <v>0</v>
      </c>
      <c r="V40" s="3">
        <v>0</v>
      </c>
      <c r="W40" s="3">
        <v>0</v>
      </c>
      <c r="X40" s="3">
        <v>3.01</v>
      </c>
      <c r="Y40" s="3">
        <v>1.41</v>
      </c>
      <c r="Z40" s="3">
        <v>-168</v>
      </c>
      <c r="AC40" s="3">
        <v>2</v>
      </c>
      <c r="AD40" s="3" t="s">
        <v>62</v>
      </c>
      <c r="AE40" s="3" t="s">
        <v>63</v>
      </c>
      <c r="AF40" s="3" t="s">
        <v>82</v>
      </c>
      <c r="AG40" s="3" t="s">
        <v>9</v>
      </c>
      <c r="AH40" s="3" t="s">
        <v>11</v>
      </c>
      <c r="AI40" s="3" t="s">
        <v>61</v>
      </c>
      <c r="AJ40" s="3" t="s">
        <v>12</v>
      </c>
      <c r="AK40" s="3" t="s">
        <v>65</v>
      </c>
      <c r="AM40" s="3" t="s">
        <v>12</v>
      </c>
      <c r="AN40" s="3" t="s">
        <v>1</v>
      </c>
      <c r="AO40" s="3" t="s">
        <v>3</v>
      </c>
      <c r="AP40" s="3" t="s">
        <v>66</v>
      </c>
      <c r="AQ40" s="6">
        <f>IF($E40="SCE",VLOOKUP($AZ40,'ESAF_&amp;_PDAF_Summary'!$B$4:$D$18,2,0),1)</f>
        <v>0.95238095238095233</v>
      </c>
      <c r="AR40" s="6">
        <f>IF($E40="SCE",VLOOKUP($AZ40,'ESAF_&amp;_PDAF_Summary'!$B$4:$D$18,3,0),1)</f>
        <v>0.88888888888888884</v>
      </c>
      <c r="AS40" s="6">
        <f>IF($E40="SCE",VLOOKUP($AZ40,'ESAF_&amp;_PDAF_Summary'!$B$4:$E$18,4,0),1)</f>
        <v>0.75</v>
      </c>
      <c r="AT40" s="3">
        <f t="shared" si="1"/>
        <v>185.71428571428569</v>
      </c>
      <c r="AU40" s="3">
        <f t="shared" si="2"/>
        <v>2.0533333333333332</v>
      </c>
      <c r="AV40" s="3">
        <v>0</v>
      </c>
      <c r="AW40" s="3">
        <f t="shared" si="4"/>
        <v>2027.25</v>
      </c>
      <c r="AX40" s="3">
        <f t="shared" si="3"/>
        <v>2244.7045789456215</v>
      </c>
      <c r="AY40" s="22">
        <f>IF($E40="PGE",($AY$4*$L40)+'Water Costs'!I$16-AW40,IF($E40="SCE",$AY$4+'Water Costs'!$I$9,"N/A"))</f>
        <v>2244.7045789456215</v>
      </c>
      <c r="AZ40" s="3">
        <f t="shared" si="0"/>
        <v>16</v>
      </c>
      <c r="BB40" s="3">
        <f t="shared" si="6"/>
        <v>2.1499999999999995</v>
      </c>
      <c r="BC40" s="3">
        <f t="shared" si="7"/>
        <v>0.94</v>
      </c>
    </row>
    <row r="41" spans="1:55" hidden="1" x14ac:dyDescent="0.25">
      <c r="A41" s="3" t="s">
        <v>11</v>
      </c>
      <c r="B41" s="3" t="s">
        <v>53</v>
      </c>
      <c r="C41" s="3" t="s">
        <v>54</v>
      </c>
      <c r="D41" s="4">
        <v>40944</v>
      </c>
      <c r="E41" s="3" t="s">
        <v>9</v>
      </c>
      <c r="F41" s="3" t="s">
        <v>83</v>
      </c>
      <c r="G41" s="3" t="s">
        <v>57</v>
      </c>
      <c r="H41" s="3" t="s">
        <v>58</v>
      </c>
      <c r="I41" s="3" t="s">
        <v>85</v>
      </c>
      <c r="J41" s="62" t="str">
        <f t="shared" si="5"/>
        <v>MFmCZ06</v>
      </c>
      <c r="K41" s="3" t="s">
        <v>60</v>
      </c>
      <c r="L41" s="3">
        <v>1</v>
      </c>
      <c r="M41" s="3">
        <v>1000</v>
      </c>
      <c r="N41" s="3" t="s">
        <v>61</v>
      </c>
      <c r="O41" s="3">
        <v>0</v>
      </c>
      <c r="P41" s="3">
        <v>0</v>
      </c>
      <c r="Q41" s="3">
        <v>0</v>
      </c>
      <c r="R41" s="3">
        <v>187</v>
      </c>
      <c r="S41" s="3">
        <v>1.02</v>
      </c>
      <c r="T41" s="3">
        <v>-5.52</v>
      </c>
      <c r="U41" s="3">
        <v>0</v>
      </c>
      <c r="V41" s="3">
        <v>0</v>
      </c>
      <c r="W41" s="3">
        <v>0</v>
      </c>
      <c r="X41" s="3">
        <v>100</v>
      </c>
      <c r="Y41" s="3">
        <v>0.57499999999999996</v>
      </c>
      <c r="Z41" s="3">
        <v>-5.82</v>
      </c>
      <c r="AC41" s="3">
        <v>2</v>
      </c>
      <c r="AD41" s="3" t="s">
        <v>5</v>
      </c>
      <c r="AE41" s="3" t="s">
        <v>63</v>
      </c>
      <c r="AF41" s="3" t="s">
        <v>86</v>
      </c>
      <c r="AG41" s="3" t="s">
        <v>9</v>
      </c>
      <c r="AH41" s="3" t="s">
        <v>11</v>
      </c>
      <c r="AI41" s="3" t="s">
        <v>61</v>
      </c>
      <c r="AJ41" s="3" t="s">
        <v>12</v>
      </c>
      <c r="AK41" s="3" t="s">
        <v>65</v>
      </c>
      <c r="AM41" s="3" t="s">
        <v>12</v>
      </c>
      <c r="AN41" s="3" t="s">
        <v>1</v>
      </c>
      <c r="AO41" s="3" t="s">
        <v>3</v>
      </c>
      <c r="AP41" s="3" t="s">
        <v>66</v>
      </c>
      <c r="AQ41" s="6">
        <f>IF($E41="SCE",VLOOKUP($AZ41,'ESAF_&amp;_PDAF_Summary'!$B$4:$D$18,2,0),1)</f>
        <v>0.56081081081081086</v>
      </c>
      <c r="AR41" s="6">
        <f>IF($E41="SCE",VLOOKUP($AZ41,'ESAF_&amp;_PDAF_Summary'!$B$4:$D$18,3,0),1)</f>
        <v>0.33333333333333331</v>
      </c>
      <c r="AS41" s="6">
        <f>IF($E41="SCE",VLOOKUP($AZ41,'ESAF_&amp;_PDAF_Summary'!$B$4:$E$18,4,0),1)</f>
        <v>0.75</v>
      </c>
      <c r="AT41" s="3">
        <f t="shared" si="1"/>
        <v>78.653716216216225</v>
      </c>
      <c r="AU41" s="3">
        <f t="shared" si="2"/>
        <v>0.255</v>
      </c>
      <c r="AV41" s="3">
        <v>0</v>
      </c>
      <c r="AW41" s="3">
        <f t="shared" si="4"/>
        <v>2027.25</v>
      </c>
      <c r="AX41" s="3">
        <f t="shared" si="3"/>
        <v>2244.7045789456215</v>
      </c>
      <c r="AY41" s="22">
        <f>IF($E41="PGE",($AY$4*$L41)+'Water Costs'!I$16-AW41,IF($E41="SCE",$AY$4+'Water Costs'!$I$9,"N/A"))</f>
        <v>2244.7045789456215</v>
      </c>
      <c r="AZ41" s="3">
        <f t="shared" si="0"/>
        <v>6</v>
      </c>
      <c r="BB41" s="3">
        <f t="shared" si="6"/>
        <v>42.060810810810814</v>
      </c>
      <c r="BC41" s="3">
        <f t="shared" si="7"/>
        <v>0.14374999999999999</v>
      </c>
    </row>
    <row r="42" spans="1:55" hidden="1" x14ac:dyDescent="0.25">
      <c r="A42" s="3" t="s">
        <v>11</v>
      </c>
      <c r="B42" s="3" t="s">
        <v>53</v>
      </c>
      <c r="C42" s="3" t="s">
        <v>54</v>
      </c>
      <c r="D42" s="4">
        <v>40944</v>
      </c>
      <c r="E42" s="3" t="s">
        <v>9</v>
      </c>
      <c r="F42" s="3" t="s">
        <v>83</v>
      </c>
      <c r="G42" s="3" t="s">
        <v>57</v>
      </c>
      <c r="H42" s="3" t="s">
        <v>58</v>
      </c>
      <c r="I42" s="3" t="s">
        <v>87</v>
      </c>
      <c r="J42" s="62" t="str">
        <f t="shared" si="5"/>
        <v>MFmCZ08</v>
      </c>
      <c r="K42" s="3" t="s">
        <v>60</v>
      </c>
      <c r="L42" s="3">
        <v>1.02</v>
      </c>
      <c r="M42" s="3">
        <v>1020</v>
      </c>
      <c r="N42" s="3" t="s">
        <v>61</v>
      </c>
      <c r="O42" s="3">
        <v>0</v>
      </c>
      <c r="P42" s="3">
        <v>0</v>
      </c>
      <c r="Q42" s="3">
        <v>0</v>
      </c>
      <c r="R42" s="3">
        <v>426</v>
      </c>
      <c r="S42" s="3">
        <v>1.06</v>
      </c>
      <c r="T42" s="3">
        <v>-4.97</v>
      </c>
      <c r="U42" s="3">
        <v>0</v>
      </c>
      <c r="V42" s="3">
        <v>0</v>
      </c>
      <c r="W42" s="3">
        <v>0</v>
      </c>
      <c r="X42" s="3">
        <v>229</v>
      </c>
      <c r="Y42" s="3">
        <v>0.69</v>
      </c>
      <c r="Z42" s="3">
        <v>-5.21</v>
      </c>
      <c r="AC42" s="3">
        <v>2</v>
      </c>
      <c r="AD42" s="3" t="s">
        <v>5</v>
      </c>
      <c r="AE42" s="3" t="s">
        <v>63</v>
      </c>
      <c r="AF42" s="3" t="s">
        <v>88</v>
      </c>
      <c r="AG42" s="3" t="s">
        <v>9</v>
      </c>
      <c r="AH42" s="3" t="s">
        <v>11</v>
      </c>
      <c r="AI42" s="3" t="s">
        <v>61</v>
      </c>
      <c r="AJ42" s="3" t="s">
        <v>12</v>
      </c>
      <c r="AK42" s="3" t="s">
        <v>65</v>
      </c>
      <c r="AM42" s="3" t="s">
        <v>12</v>
      </c>
      <c r="AN42" s="3" t="s">
        <v>1</v>
      </c>
      <c r="AO42" s="3" t="s">
        <v>3</v>
      </c>
      <c r="AP42" s="3" t="s">
        <v>66</v>
      </c>
      <c r="AQ42" s="6">
        <f>IF($E42="SCE",VLOOKUP($AZ42,'ESAF_&amp;_PDAF_Summary'!$B$4:$D$18,2,0),1)</f>
        <v>0.32517482517482516</v>
      </c>
      <c r="AR42" s="6">
        <f>IF($E42="SCE",VLOOKUP($AZ42,'ESAF_&amp;_PDAF_Summary'!$B$4:$D$18,3,0),1)</f>
        <v>0.33333333333333331</v>
      </c>
      <c r="AS42" s="6">
        <f>IF($E42="SCE",VLOOKUP($AZ42,'ESAF_&amp;_PDAF_Summary'!$B$4:$E$18,4,0),1)</f>
        <v>0.75</v>
      </c>
      <c r="AT42" s="3">
        <f t="shared" si="1"/>
        <v>103.89335664335664</v>
      </c>
      <c r="AU42" s="3">
        <f t="shared" si="2"/>
        <v>0.26500000000000001</v>
      </c>
      <c r="AV42" s="3">
        <v>0</v>
      </c>
      <c r="AW42" s="3">
        <f t="shared" si="4"/>
        <v>2027.25</v>
      </c>
      <c r="AX42" s="3">
        <f t="shared" si="3"/>
        <v>2244.7045789456215</v>
      </c>
      <c r="AY42" s="22">
        <f>IF($E42="PGE",($AY$4*$L42)+'Water Costs'!I$16-AW42,IF($E42="SCE",$AY$4+'Water Costs'!$I$9,"N/A"))</f>
        <v>2244.7045789456215</v>
      </c>
      <c r="AZ42" s="3">
        <f t="shared" si="0"/>
        <v>8</v>
      </c>
      <c r="BB42" s="3">
        <f t="shared" si="6"/>
        <v>55.84877622377622</v>
      </c>
      <c r="BC42" s="3">
        <f t="shared" si="7"/>
        <v>0.17249999999999999</v>
      </c>
    </row>
    <row r="43" spans="1:55" hidden="1" x14ac:dyDescent="0.25">
      <c r="A43" s="3" t="s">
        <v>11</v>
      </c>
      <c r="B43" s="3" t="s">
        <v>53</v>
      </c>
      <c r="C43" s="3" t="s">
        <v>54</v>
      </c>
      <c r="D43" s="4">
        <v>40944</v>
      </c>
      <c r="E43" s="3" t="s">
        <v>9</v>
      </c>
      <c r="F43" s="3" t="s">
        <v>83</v>
      </c>
      <c r="G43" s="3" t="s">
        <v>57</v>
      </c>
      <c r="H43" s="3" t="s">
        <v>58</v>
      </c>
      <c r="I43" s="3" t="s">
        <v>89</v>
      </c>
      <c r="J43" s="62" t="str">
        <f t="shared" si="5"/>
        <v>MFmCZ09</v>
      </c>
      <c r="K43" s="3" t="s">
        <v>60</v>
      </c>
      <c r="L43" s="3">
        <v>1.1499999999999999</v>
      </c>
      <c r="M43" s="3">
        <v>1150</v>
      </c>
      <c r="N43" s="3" t="s">
        <v>61</v>
      </c>
      <c r="O43" s="3">
        <v>0</v>
      </c>
      <c r="P43" s="3">
        <v>0</v>
      </c>
      <c r="Q43" s="3">
        <v>0</v>
      </c>
      <c r="R43" s="3">
        <v>581</v>
      </c>
      <c r="S43" s="3">
        <v>1.02</v>
      </c>
      <c r="T43" s="3">
        <v>-5.0999999999999996</v>
      </c>
      <c r="U43" s="3">
        <v>0</v>
      </c>
      <c r="V43" s="3">
        <v>0</v>
      </c>
      <c r="W43" s="3">
        <v>0</v>
      </c>
      <c r="X43" s="3">
        <v>308</v>
      </c>
      <c r="Y43" s="3">
        <v>0.65100000000000002</v>
      </c>
      <c r="Z43" s="3">
        <v>-5.34</v>
      </c>
      <c r="AC43" s="3">
        <v>2</v>
      </c>
      <c r="AD43" s="3" t="s">
        <v>5</v>
      </c>
      <c r="AE43" s="3" t="s">
        <v>63</v>
      </c>
      <c r="AF43" s="3" t="s">
        <v>90</v>
      </c>
      <c r="AG43" s="3" t="s">
        <v>9</v>
      </c>
      <c r="AH43" s="3" t="s">
        <v>11</v>
      </c>
      <c r="AI43" s="3" t="s">
        <v>61</v>
      </c>
      <c r="AJ43" s="3" t="s">
        <v>12</v>
      </c>
      <c r="AK43" s="3" t="s">
        <v>65</v>
      </c>
      <c r="AM43" s="3" t="s">
        <v>12</v>
      </c>
      <c r="AN43" s="3" t="s">
        <v>1</v>
      </c>
      <c r="AO43" s="3" t="s">
        <v>3</v>
      </c>
      <c r="AP43" s="3" t="s">
        <v>66</v>
      </c>
      <c r="AQ43" s="6">
        <f>IF($E43="SCE",VLOOKUP($AZ43,'ESAF_&amp;_PDAF_Summary'!$B$4:$D$18,2,0),1)</f>
        <v>0.26299376299376298</v>
      </c>
      <c r="AR43" s="6">
        <f>IF($E43="SCE",VLOOKUP($AZ43,'ESAF_&amp;_PDAF_Summary'!$B$4:$D$18,3,0),1)</f>
        <v>0</v>
      </c>
      <c r="AS43" s="6">
        <f>IF($E43="SCE",VLOOKUP($AZ43,'ESAF_&amp;_PDAF_Summary'!$B$4:$E$18,4,0),1)</f>
        <v>0.75</v>
      </c>
      <c r="AT43" s="3">
        <f t="shared" si="1"/>
        <v>114.59953222453223</v>
      </c>
      <c r="AU43" s="3">
        <f t="shared" si="2"/>
        <v>0</v>
      </c>
      <c r="AV43" s="3">
        <v>0</v>
      </c>
      <c r="AW43" s="3">
        <f t="shared" si="4"/>
        <v>2027.25</v>
      </c>
      <c r="AX43" s="3">
        <f t="shared" si="3"/>
        <v>2244.7045789456215</v>
      </c>
      <c r="AY43" s="22">
        <f>IF($E43="PGE",($AY$4*$L43)+'Water Costs'!I$16-AW43,IF($E43="SCE",$AY$4+'Water Costs'!$I$9,"N/A"))</f>
        <v>2244.7045789456215</v>
      </c>
      <c r="AZ43" s="3">
        <f t="shared" si="0"/>
        <v>9</v>
      </c>
      <c r="BB43" s="3">
        <f t="shared" si="6"/>
        <v>60.75155925155925</v>
      </c>
      <c r="BC43" s="3">
        <f t="shared" si="7"/>
        <v>0</v>
      </c>
    </row>
    <row r="44" spans="1:55" hidden="1" x14ac:dyDescent="0.25">
      <c r="A44" s="3" t="s">
        <v>11</v>
      </c>
      <c r="B44" s="3" t="s">
        <v>53</v>
      </c>
      <c r="C44" s="3" t="s">
        <v>54</v>
      </c>
      <c r="D44" s="4">
        <v>40944</v>
      </c>
      <c r="E44" s="3" t="s">
        <v>9</v>
      </c>
      <c r="F44" s="3" t="s">
        <v>83</v>
      </c>
      <c r="G44" s="3" t="s">
        <v>57</v>
      </c>
      <c r="H44" s="3" t="s">
        <v>58</v>
      </c>
      <c r="I44" s="3" t="s">
        <v>91</v>
      </c>
      <c r="J44" s="62" t="str">
        <f t="shared" si="5"/>
        <v>MFmCZ10</v>
      </c>
      <c r="K44" s="3" t="s">
        <v>60</v>
      </c>
      <c r="L44" s="3">
        <v>1.17</v>
      </c>
      <c r="M44" s="3">
        <v>1170</v>
      </c>
      <c r="N44" s="3" t="s">
        <v>61</v>
      </c>
      <c r="O44" s="3">
        <v>0</v>
      </c>
      <c r="P44" s="3">
        <v>0</v>
      </c>
      <c r="Q44" s="3">
        <v>0</v>
      </c>
      <c r="R44" s="3">
        <v>818</v>
      </c>
      <c r="S44" s="3">
        <v>1.19</v>
      </c>
      <c r="T44" s="3">
        <v>-7.56</v>
      </c>
      <c r="U44" s="3">
        <v>0</v>
      </c>
      <c r="V44" s="3">
        <v>0</v>
      </c>
      <c r="W44" s="3">
        <v>0</v>
      </c>
      <c r="X44" s="3">
        <v>450</v>
      </c>
      <c r="Y44" s="3">
        <v>0.75</v>
      </c>
      <c r="Z44" s="3">
        <v>-7.86</v>
      </c>
      <c r="AC44" s="3">
        <v>2</v>
      </c>
      <c r="AD44" s="3" t="s">
        <v>5</v>
      </c>
      <c r="AE44" s="3" t="s">
        <v>63</v>
      </c>
      <c r="AF44" s="3" t="s">
        <v>4</v>
      </c>
      <c r="AG44" s="3" t="s">
        <v>9</v>
      </c>
      <c r="AH44" s="3" t="s">
        <v>11</v>
      </c>
      <c r="AI44" s="3" t="s">
        <v>61</v>
      </c>
      <c r="AJ44" s="3" t="s">
        <v>12</v>
      </c>
      <c r="AK44" s="3" t="s">
        <v>65</v>
      </c>
      <c r="AM44" s="3" t="s">
        <v>12</v>
      </c>
      <c r="AN44" s="3" t="s">
        <v>1</v>
      </c>
      <c r="AO44" s="3" t="s">
        <v>3</v>
      </c>
      <c r="AP44" s="3" t="s">
        <v>66</v>
      </c>
      <c r="AQ44" s="6">
        <f>IF($E44="SCE",VLOOKUP($AZ44,'ESAF_&amp;_PDAF_Summary'!$B$4:$D$18,2,0),1)</f>
        <v>0.48234410217881291</v>
      </c>
      <c r="AR44" s="6">
        <f>IF($E44="SCE",VLOOKUP($AZ44,'ESAF_&amp;_PDAF_Summary'!$B$4:$D$18,3,0),1)</f>
        <v>0</v>
      </c>
      <c r="AS44" s="6">
        <f>IF($E44="SCE",VLOOKUP($AZ44,'ESAF_&amp;_PDAF_Summary'!$B$4:$E$18,4,0),1)</f>
        <v>0.75</v>
      </c>
      <c r="AT44" s="3">
        <f t="shared" si="1"/>
        <v>295.91810668670172</v>
      </c>
      <c r="AU44" s="3">
        <f t="shared" si="2"/>
        <v>0</v>
      </c>
      <c r="AV44" s="3">
        <v>0</v>
      </c>
      <c r="AW44" s="3">
        <f t="shared" si="4"/>
        <v>2027.25</v>
      </c>
      <c r="AX44" s="3">
        <f t="shared" si="3"/>
        <v>2244.7045789456215</v>
      </c>
      <c r="AY44" s="22">
        <f>IF($E44="PGE",($AY$4*$L44)+'Water Costs'!I$16-AW44,IF($E44="SCE",$AY$4+'Water Costs'!$I$9,"N/A"))</f>
        <v>2244.7045789456215</v>
      </c>
      <c r="AZ44" s="3">
        <f t="shared" si="0"/>
        <v>10</v>
      </c>
      <c r="BB44" s="3">
        <f t="shared" si="6"/>
        <v>162.79113448534935</v>
      </c>
      <c r="BC44" s="3">
        <f t="shared" si="7"/>
        <v>0</v>
      </c>
    </row>
    <row r="45" spans="1:55" hidden="1" x14ac:dyDescent="0.25">
      <c r="A45" s="3" t="s">
        <v>11</v>
      </c>
      <c r="B45" s="3" t="s">
        <v>53</v>
      </c>
      <c r="C45" s="3" t="s">
        <v>54</v>
      </c>
      <c r="D45" s="4">
        <v>40944</v>
      </c>
      <c r="E45" s="3" t="s">
        <v>9</v>
      </c>
      <c r="F45" s="3" t="s">
        <v>83</v>
      </c>
      <c r="G45" s="3" t="s">
        <v>57</v>
      </c>
      <c r="H45" s="3" t="s">
        <v>58</v>
      </c>
      <c r="I45" s="3" t="s">
        <v>79</v>
      </c>
      <c r="J45" s="62" t="str">
        <f t="shared" si="5"/>
        <v>MFmCZ13</v>
      </c>
      <c r="K45" s="3" t="s">
        <v>60</v>
      </c>
      <c r="L45" s="3">
        <v>0.98</v>
      </c>
      <c r="M45" s="3">
        <v>980</v>
      </c>
      <c r="N45" s="3" t="s">
        <v>61</v>
      </c>
      <c r="O45" s="3">
        <v>0</v>
      </c>
      <c r="P45" s="3">
        <v>0</v>
      </c>
      <c r="Q45" s="3">
        <v>0</v>
      </c>
      <c r="R45" s="3">
        <v>1010</v>
      </c>
      <c r="S45" s="3">
        <v>1.19</v>
      </c>
      <c r="T45" s="3">
        <v>-16.7</v>
      </c>
      <c r="U45" s="3">
        <v>0</v>
      </c>
      <c r="V45" s="3">
        <v>0</v>
      </c>
      <c r="W45" s="3">
        <v>0</v>
      </c>
      <c r="X45" s="3">
        <v>575</v>
      </c>
      <c r="Y45" s="3">
        <v>0.76400000000000001</v>
      </c>
      <c r="Z45" s="3">
        <v>-17.2</v>
      </c>
      <c r="AC45" s="3">
        <v>2</v>
      </c>
      <c r="AD45" s="3" t="s">
        <v>5</v>
      </c>
      <c r="AE45" s="3" t="s">
        <v>63</v>
      </c>
      <c r="AF45" s="3" t="s">
        <v>80</v>
      </c>
      <c r="AG45" s="3" t="s">
        <v>9</v>
      </c>
      <c r="AH45" s="3" t="s">
        <v>11</v>
      </c>
      <c r="AI45" s="3" t="s">
        <v>61</v>
      </c>
      <c r="AJ45" s="3" t="s">
        <v>12</v>
      </c>
      <c r="AK45" s="3" t="s">
        <v>65</v>
      </c>
      <c r="AM45" s="3" t="s">
        <v>12</v>
      </c>
      <c r="AN45" s="3" t="s">
        <v>1</v>
      </c>
      <c r="AO45" s="3" t="s">
        <v>3</v>
      </c>
      <c r="AP45" s="3" t="s">
        <v>66</v>
      </c>
      <c r="AQ45" s="6">
        <f>IF($E45="SCE",VLOOKUP($AZ45,'ESAF_&amp;_PDAF_Summary'!$B$4:$D$18,2,0),1)</f>
        <v>0.65</v>
      </c>
      <c r="AR45" s="6">
        <f>IF($E45="SCE",VLOOKUP($AZ45,'ESAF_&amp;_PDAF_Summary'!$B$4:$D$18,3,0),1)</f>
        <v>0</v>
      </c>
      <c r="AS45" s="6">
        <f>IF($E45="SCE",VLOOKUP($AZ45,'ESAF_&amp;_PDAF_Summary'!$B$4:$E$18,4,0),1)</f>
        <v>0.75</v>
      </c>
      <c r="AT45" s="3">
        <f t="shared" si="1"/>
        <v>492.375</v>
      </c>
      <c r="AU45" s="3">
        <f t="shared" si="2"/>
        <v>0</v>
      </c>
      <c r="AV45" s="3">
        <v>0</v>
      </c>
      <c r="AW45" s="3">
        <f t="shared" si="4"/>
        <v>2027.25</v>
      </c>
      <c r="AX45" s="3">
        <f t="shared" si="3"/>
        <v>2244.7045789456215</v>
      </c>
      <c r="AY45" s="22">
        <f>IF($E45="PGE",($AY$4*$L45)+'Water Costs'!I$16-AW45,IF($E45="SCE",$AY$4+'Water Costs'!$I$9,"N/A"))</f>
        <v>2244.7045789456215</v>
      </c>
      <c r="AZ45" s="3">
        <f t="shared" si="0"/>
        <v>13</v>
      </c>
      <c r="BB45" s="3">
        <f t="shared" si="6"/>
        <v>280.3125</v>
      </c>
      <c r="BC45" s="3">
        <f t="shared" si="7"/>
        <v>0</v>
      </c>
    </row>
    <row r="46" spans="1:55" hidden="1" x14ac:dyDescent="0.25">
      <c r="A46" s="3" t="s">
        <v>11</v>
      </c>
      <c r="B46" s="3" t="s">
        <v>53</v>
      </c>
      <c r="C46" s="3" t="s">
        <v>54</v>
      </c>
      <c r="D46" s="4">
        <v>40944</v>
      </c>
      <c r="E46" s="3" t="s">
        <v>9</v>
      </c>
      <c r="F46" s="3" t="s">
        <v>83</v>
      </c>
      <c r="G46" s="3" t="s">
        <v>57</v>
      </c>
      <c r="H46" s="3" t="s">
        <v>58</v>
      </c>
      <c r="I46" s="3" t="s">
        <v>92</v>
      </c>
      <c r="J46" s="62" t="str">
        <f t="shared" si="5"/>
        <v>MFmCZ14</v>
      </c>
      <c r="K46" s="3" t="s">
        <v>60</v>
      </c>
      <c r="L46" s="3">
        <v>1.25</v>
      </c>
      <c r="M46" s="3">
        <v>1250</v>
      </c>
      <c r="N46" s="3" t="s">
        <v>61</v>
      </c>
      <c r="O46" s="3">
        <v>0</v>
      </c>
      <c r="P46" s="3">
        <v>0</v>
      </c>
      <c r="Q46" s="3">
        <v>0</v>
      </c>
      <c r="R46" s="3">
        <v>973</v>
      </c>
      <c r="S46" s="3">
        <v>1.46</v>
      </c>
      <c r="T46" s="3">
        <v>-15</v>
      </c>
      <c r="U46" s="3">
        <v>0</v>
      </c>
      <c r="V46" s="3">
        <v>0</v>
      </c>
      <c r="W46" s="3">
        <v>0</v>
      </c>
      <c r="X46" s="3">
        <v>631</v>
      </c>
      <c r="Y46" s="3">
        <v>0.996</v>
      </c>
      <c r="Z46" s="3">
        <v>-15.4</v>
      </c>
      <c r="AC46" s="3">
        <v>2</v>
      </c>
      <c r="AD46" s="3" t="s">
        <v>5</v>
      </c>
      <c r="AE46" s="3" t="s">
        <v>63</v>
      </c>
      <c r="AF46" s="3" t="s">
        <v>93</v>
      </c>
      <c r="AG46" s="3" t="s">
        <v>9</v>
      </c>
      <c r="AH46" s="3" t="s">
        <v>11</v>
      </c>
      <c r="AI46" s="3" t="s">
        <v>61</v>
      </c>
      <c r="AJ46" s="3" t="s">
        <v>12</v>
      </c>
      <c r="AK46" s="3" t="s">
        <v>65</v>
      </c>
      <c r="AM46" s="3" t="s">
        <v>12</v>
      </c>
      <c r="AN46" s="3" t="s">
        <v>1</v>
      </c>
      <c r="AO46" s="3" t="s">
        <v>3</v>
      </c>
      <c r="AP46" s="3" t="s">
        <v>66</v>
      </c>
      <c r="AQ46" s="58">
        <f>IF($E46="SCE",VLOOKUP($AZ46,'ESAF_&amp;_PDAF_Summary'!$B$4:$D$18,2,0),1)</f>
        <v>0.88084874863982587</v>
      </c>
      <c r="AR46" s="6">
        <f>IF($E46="SCE",VLOOKUP($AZ46,'ESAF_&amp;_PDAF_Summary'!$B$4:$D$18,3,0),1)</f>
        <v>1</v>
      </c>
      <c r="AS46" s="6">
        <f>IF($E46="SCE",VLOOKUP($AZ46,'ESAF_&amp;_PDAF_Summary'!$B$4:$E$18,4,0),1)</f>
        <v>0.75</v>
      </c>
      <c r="AT46" s="3">
        <f t="shared" si="1"/>
        <v>642.799374319913</v>
      </c>
      <c r="AU46" s="56">
        <f t="shared" si="2"/>
        <v>1.095</v>
      </c>
      <c r="AV46" s="3">
        <v>0</v>
      </c>
      <c r="AW46" s="3">
        <f t="shared" si="4"/>
        <v>2027.25</v>
      </c>
      <c r="AX46" s="3">
        <f t="shared" si="3"/>
        <v>2244.7045789456215</v>
      </c>
      <c r="AY46" s="22">
        <f>IF($E46="PGE",($AY$4*$L46)+'Water Costs'!I$16-AW46,IF($E46="SCE",$AY$4+'Water Costs'!$I$9,"N/A"))</f>
        <v>2244.7045789456215</v>
      </c>
      <c r="AZ46" s="3">
        <f t="shared" si="0"/>
        <v>14</v>
      </c>
      <c r="BB46" s="3">
        <f t="shared" si="6"/>
        <v>416.8616702937976</v>
      </c>
      <c r="BC46" s="3">
        <f t="shared" si="7"/>
        <v>0.747</v>
      </c>
    </row>
    <row r="47" spans="1:55" hidden="1" x14ac:dyDescent="0.25">
      <c r="A47" s="3" t="s">
        <v>11</v>
      </c>
      <c r="B47" s="3" t="s">
        <v>53</v>
      </c>
      <c r="C47" s="3" t="s">
        <v>54</v>
      </c>
      <c r="D47" s="4">
        <v>40944</v>
      </c>
      <c r="E47" s="3" t="s">
        <v>9</v>
      </c>
      <c r="F47" s="3" t="s">
        <v>83</v>
      </c>
      <c r="G47" s="3" t="s">
        <v>57</v>
      </c>
      <c r="H47" s="3" t="s">
        <v>58</v>
      </c>
      <c r="I47" s="3" t="s">
        <v>94</v>
      </c>
      <c r="J47" s="62" t="str">
        <f t="shared" si="5"/>
        <v>MFmCZ15</v>
      </c>
      <c r="K47" s="3" t="s">
        <v>60</v>
      </c>
      <c r="L47" s="3">
        <v>1.24</v>
      </c>
      <c r="M47" s="3">
        <v>1240</v>
      </c>
      <c r="N47" s="3" t="s">
        <v>61</v>
      </c>
      <c r="O47" s="3">
        <v>0</v>
      </c>
      <c r="P47" s="3">
        <v>0</v>
      </c>
      <c r="Q47" s="3">
        <v>0</v>
      </c>
      <c r="R47" s="3">
        <v>1840</v>
      </c>
      <c r="S47" s="3">
        <v>1.47</v>
      </c>
      <c r="T47" s="3">
        <v>-3.71</v>
      </c>
      <c r="U47" s="3">
        <v>0</v>
      </c>
      <c r="V47" s="3">
        <v>0</v>
      </c>
      <c r="W47" s="3">
        <v>0</v>
      </c>
      <c r="X47" s="3">
        <v>1090</v>
      </c>
      <c r="Y47" s="3">
        <v>0.99</v>
      </c>
      <c r="Z47" s="3">
        <v>-3.86</v>
      </c>
      <c r="AC47" s="3">
        <v>2</v>
      </c>
      <c r="AD47" s="3" t="s">
        <v>5</v>
      </c>
      <c r="AE47" s="3" t="s">
        <v>63</v>
      </c>
      <c r="AF47" s="3" t="s">
        <v>95</v>
      </c>
      <c r="AG47" s="3" t="s">
        <v>9</v>
      </c>
      <c r="AH47" s="3" t="s">
        <v>11</v>
      </c>
      <c r="AI47" s="3" t="s">
        <v>61</v>
      </c>
      <c r="AJ47" s="3" t="s">
        <v>12</v>
      </c>
      <c r="AK47" s="3" t="s">
        <v>65</v>
      </c>
      <c r="AM47" s="3" t="s">
        <v>12</v>
      </c>
      <c r="AN47" s="3" t="s">
        <v>1</v>
      </c>
      <c r="AO47" s="3" t="s">
        <v>3</v>
      </c>
      <c r="AP47" s="3" t="s">
        <v>66</v>
      </c>
      <c r="AQ47" s="6">
        <f>IF($E47="SCE",VLOOKUP($AZ47,'ESAF_&amp;_PDAF_Summary'!$B$4:$D$18,2,0),1)</f>
        <v>0.57460585585585588</v>
      </c>
      <c r="AR47" s="6">
        <f>IF($E47="SCE",VLOOKUP($AZ47,'ESAF_&amp;_PDAF_Summary'!$B$4:$D$18,3,0),1)</f>
        <v>0.1111111111111111</v>
      </c>
      <c r="AS47" s="6">
        <f>IF($E47="SCE",VLOOKUP($AZ47,'ESAF_&amp;_PDAF_Summary'!$B$4:$E$18,4,0),1)</f>
        <v>0.75</v>
      </c>
      <c r="AT47" s="3">
        <f t="shared" si="1"/>
        <v>792.95608108108115</v>
      </c>
      <c r="AU47" s="56">
        <f t="shared" si="2"/>
        <v>0.1225</v>
      </c>
      <c r="AV47" s="3">
        <v>0</v>
      </c>
      <c r="AW47" s="3">
        <f t="shared" si="4"/>
        <v>2027.25</v>
      </c>
      <c r="AX47" s="3">
        <f t="shared" si="3"/>
        <v>2244.7045789456215</v>
      </c>
      <c r="AY47" s="22">
        <f>IF($E47="PGE",($AY$4*$L47)+'Water Costs'!I$16-AW47,IF($E47="SCE",$AY$4+'Water Costs'!$I$9,"N/A"))</f>
        <v>2244.7045789456215</v>
      </c>
      <c r="AZ47" s="3">
        <f t="shared" si="0"/>
        <v>15</v>
      </c>
      <c r="BB47" s="3">
        <f t="shared" si="6"/>
        <v>469.74028716216219</v>
      </c>
      <c r="BC47" s="3">
        <f t="shared" si="7"/>
        <v>8.249999999999999E-2</v>
      </c>
    </row>
    <row r="48" spans="1:55" hidden="1" x14ac:dyDescent="0.25">
      <c r="A48" s="3" t="s">
        <v>11</v>
      </c>
      <c r="B48" s="3" t="s">
        <v>53</v>
      </c>
      <c r="C48" s="3" t="s">
        <v>54</v>
      </c>
      <c r="D48" s="4">
        <v>40944</v>
      </c>
      <c r="E48" s="3" t="s">
        <v>9</v>
      </c>
      <c r="F48" s="3" t="s">
        <v>83</v>
      </c>
      <c r="G48" s="3" t="s">
        <v>57</v>
      </c>
      <c r="H48" s="3" t="s">
        <v>58</v>
      </c>
      <c r="I48" s="3" t="s">
        <v>81</v>
      </c>
      <c r="J48" s="62" t="str">
        <f t="shared" si="5"/>
        <v>MFmCZ16</v>
      </c>
      <c r="K48" s="3" t="s">
        <v>60</v>
      </c>
      <c r="L48" s="3">
        <v>0.98199999999999998</v>
      </c>
      <c r="M48" s="3">
        <v>982</v>
      </c>
      <c r="N48" s="3" t="s">
        <v>61</v>
      </c>
      <c r="O48" s="3">
        <v>0</v>
      </c>
      <c r="P48" s="3">
        <v>0</v>
      </c>
      <c r="Q48" s="3">
        <v>0</v>
      </c>
      <c r="R48" s="3">
        <v>264</v>
      </c>
      <c r="S48" s="3">
        <v>1.1200000000000001</v>
      </c>
      <c r="T48" s="3">
        <v>-36.5</v>
      </c>
      <c r="U48" s="3">
        <v>0</v>
      </c>
      <c r="V48" s="3">
        <v>0</v>
      </c>
      <c r="W48" s="3">
        <v>0</v>
      </c>
      <c r="X48" s="3">
        <v>141</v>
      </c>
      <c r="Y48" s="3">
        <v>0.70399999999999996</v>
      </c>
      <c r="Z48" s="3">
        <v>-37.6</v>
      </c>
      <c r="AC48" s="3">
        <v>2</v>
      </c>
      <c r="AD48" s="3" t="s">
        <v>5</v>
      </c>
      <c r="AE48" s="3" t="s">
        <v>63</v>
      </c>
      <c r="AF48" s="3" t="s">
        <v>82</v>
      </c>
      <c r="AG48" s="3" t="s">
        <v>9</v>
      </c>
      <c r="AH48" s="3" t="s">
        <v>11</v>
      </c>
      <c r="AI48" s="3" t="s">
        <v>61</v>
      </c>
      <c r="AJ48" s="3" t="s">
        <v>12</v>
      </c>
      <c r="AK48" s="3" t="s">
        <v>65</v>
      </c>
      <c r="AM48" s="3" t="s">
        <v>12</v>
      </c>
      <c r="AN48" s="3" t="s">
        <v>1</v>
      </c>
      <c r="AO48" s="3" t="s">
        <v>3</v>
      </c>
      <c r="AP48" s="3" t="s">
        <v>66</v>
      </c>
      <c r="AQ48" s="6">
        <f>IF($E48="SCE",VLOOKUP($AZ48,'ESAF_&amp;_PDAF_Summary'!$B$4:$D$18,2,0),1)</f>
        <v>0.95238095238095233</v>
      </c>
      <c r="AR48" s="6">
        <f>IF($E48="SCE",VLOOKUP($AZ48,'ESAF_&amp;_PDAF_Summary'!$B$4:$D$18,3,0),1)</f>
        <v>0.88888888888888884</v>
      </c>
      <c r="AS48" s="6">
        <f>IF($E48="SCE",VLOOKUP($AZ48,'ESAF_&amp;_PDAF_Summary'!$B$4:$E$18,4,0),1)</f>
        <v>0.75</v>
      </c>
      <c r="AT48" s="3">
        <f t="shared" si="1"/>
        <v>188.57142857142856</v>
      </c>
      <c r="AU48" s="56">
        <f t="shared" si="2"/>
        <v>0.7466666666666667</v>
      </c>
      <c r="AV48" s="3">
        <v>0</v>
      </c>
      <c r="AW48" s="3">
        <f t="shared" si="4"/>
        <v>2027.25</v>
      </c>
      <c r="AX48" s="3">
        <f t="shared" si="3"/>
        <v>2244.7045789456215</v>
      </c>
      <c r="AY48" s="22">
        <f>IF($E48="PGE",($AY$4*$L48)+'Water Costs'!I$16-AW48,IF($E48="SCE",$AY$4+'Water Costs'!$I$9,"N/A"))</f>
        <v>2244.7045789456215</v>
      </c>
      <c r="AZ48" s="3">
        <f t="shared" si="0"/>
        <v>16</v>
      </c>
      <c r="BB48" s="3">
        <f t="shared" si="6"/>
        <v>100.71428571428571</v>
      </c>
      <c r="BC48" s="3">
        <f t="shared" si="7"/>
        <v>0.46933333333333327</v>
      </c>
    </row>
    <row r="49" spans="1:55" hidden="1" x14ac:dyDescent="0.25">
      <c r="A49" s="3" t="s">
        <v>11</v>
      </c>
      <c r="B49" s="3" t="s">
        <v>53</v>
      </c>
      <c r="C49" s="3" t="s">
        <v>54</v>
      </c>
      <c r="D49" s="4">
        <v>40944</v>
      </c>
      <c r="E49" s="3" t="s">
        <v>9</v>
      </c>
      <c r="F49" s="3" t="s">
        <v>84</v>
      </c>
      <c r="G49" s="3" t="s">
        <v>57</v>
      </c>
      <c r="H49" s="3" t="s">
        <v>58</v>
      </c>
      <c r="I49" s="3" t="s">
        <v>85</v>
      </c>
      <c r="J49" s="62" t="str">
        <f t="shared" si="5"/>
        <v>SFmCZ06</v>
      </c>
      <c r="K49" s="3" t="s">
        <v>60</v>
      </c>
      <c r="L49" s="3">
        <v>1.71</v>
      </c>
      <c r="M49" s="3">
        <v>1710</v>
      </c>
      <c r="N49" s="3" t="s">
        <v>61</v>
      </c>
      <c r="O49" s="3">
        <v>0</v>
      </c>
      <c r="P49" s="3">
        <v>0</v>
      </c>
      <c r="Q49" s="3">
        <v>0</v>
      </c>
      <c r="R49" s="3">
        <v>343</v>
      </c>
      <c r="S49" s="3">
        <v>1.33</v>
      </c>
      <c r="T49" s="3">
        <v>-28</v>
      </c>
      <c r="U49" s="3">
        <v>0</v>
      </c>
      <c r="V49" s="3">
        <v>0</v>
      </c>
      <c r="W49" s="3">
        <v>0</v>
      </c>
      <c r="X49" s="3">
        <v>182</v>
      </c>
      <c r="Y49" s="3">
        <v>0.77300000000000002</v>
      </c>
      <c r="Z49" s="3">
        <v>-28.3</v>
      </c>
      <c r="AC49" s="3">
        <v>2</v>
      </c>
      <c r="AD49" s="3" t="s">
        <v>2</v>
      </c>
      <c r="AE49" s="3" t="s">
        <v>63</v>
      </c>
      <c r="AF49" s="3" t="s">
        <v>86</v>
      </c>
      <c r="AG49" s="3" t="s">
        <v>9</v>
      </c>
      <c r="AH49" s="3" t="s">
        <v>11</v>
      </c>
      <c r="AI49" s="3" t="s">
        <v>61</v>
      </c>
      <c r="AJ49" s="3" t="s">
        <v>12</v>
      </c>
      <c r="AK49" s="3" t="s">
        <v>65</v>
      </c>
      <c r="AM49" s="3" t="s">
        <v>12</v>
      </c>
      <c r="AN49" s="3" t="s">
        <v>1</v>
      </c>
      <c r="AO49" s="3" t="s">
        <v>3</v>
      </c>
      <c r="AP49" s="3" t="s">
        <v>66</v>
      </c>
      <c r="AQ49" s="6">
        <f>IF($E49="SCE",VLOOKUP($AZ49,'ESAF_&amp;_PDAF_Summary'!$B$4:$D$18,2,0),1)</f>
        <v>0.56081081081081086</v>
      </c>
      <c r="AR49" s="6">
        <f>IF($E49="SCE",VLOOKUP($AZ49,'ESAF_&amp;_PDAF_Summary'!$B$4:$D$18,3,0),1)</f>
        <v>0.33333333333333331</v>
      </c>
      <c r="AS49" s="6">
        <f>IF($E49="SCE",VLOOKUP($AZ49,'ESAF_&amp;_PDAF_Summary'!$B$4:$E$18,4,0),1)</f>
        <v>0.75</v>
      </c>
      <c r="AT49" s="3">
        <f t="shared" si="1"/>
        <v>144.26858108108109</v>
      </c>
      <c r="AU49" s="3">
        <f t="shared" si="2"/>
        <v>0.33250000000000002</v>
      </c>
      <c r="AV49" s="3">
        <v>0</v>
      </c>
      <c r="AW49" s="3">
        <f t="shared" si="4"/>
        <v>2027.25</v>
      </c>
      <c r="AX49" s="3">
        <f t="shared" si="3"/>
        <v>2244.7045789456215</v>
      </c>
      <c r="AY49" s="22">
        <f>IF($E49="PGE",($AY$4*$L49)+'Water Costs'!I$16-AW49,IF($E49="SCE",$AY$4+'Water Costs'!$I$9,"N/A"))</f>
        <v>2244.7045789456215</v>
      </c>
      <c r="AZ49" s="3">
        <f t="shared" si="0"/>
        <v>6</v>
      </c>
      <c r="BB49" s="3">
        <f t="shared" si="6"/>
        <v>76.550675675675677</v>
      </c>
      <c r="BC49" s="3">
        <f t="shared" si="7"/>
        <v>0.19324999999999998</v>
      </c>
    </row>
    <row r="50" spans="1:55" hidden="1" x14ac:dyDescent="0.25">
      <c r="A50" s="3" t="s">
        <v>11</v>
      </c>
      <c r="B50" s="3" t="s">
        <v>53</v>
      </c>
      <c r="C50" s="3" t="s">
        <v>54</v>
      </c>
      <c r="D50" s="4">
        <v>40944</v>
      </c>
      <c r="E50" s="3" t="s">
        <v>9</v>
      </c>
      <c r="F50" s="3" t="s">
        <v>84</v>
      </c>
      <c r="G50" s="3" t="s">
        <v>57</v>
      </c>
      <c r="H50" s="3" t="s">
        <v>58</v>
      </c>
      <c r="I50" s="3" t="s">
        <v>87</v>
      </c>
      <c r="J50" s="62" t="str">
        <f t="shared" si="5"/>
        <v>SFmCZ08</v>
      </c>
      <c r="K50" s="3" t="s">
        <v>60</v>
      </c>
      <c r="L50" s="3">
        <v>1.65</v>
      </c>
      <c r="M50" s="3">
        <v>1650</v>
      </c>
      <c r="N50" s="3" t="s">
        <v>61</v>
      </c>
      <c r="O50" s="3">
        <v>0</v>
      </c>
      <c r="P50" s="3">
        <v>0</v>
      </c>
      <c r="Q50" s="3">
        <v>0</v>
      </c>
      <c r="R50" s="3">
        <v>771</v>
      </c>
      <c r="S50" s="3">
        <v>1.45</v>
      </c>
      <c r="T50" s="3">
        <v>-27.9</v>
      </c>
      <c r="U50" s="3">
        <v>0</v>
      </c>
      <c r="V50" s="3">
        <v>0</v>
      </c>
      <c r="W50" s="3">
        <v>0</v>
      </c>
      <c r="X50" s="3">
        <v>405</v>
      </c>
      <c r="Y50" s="3">
        <v>0.95299999999999996</v>
      </c>
      <c r="Z50" s="3">
        <v>-28.2</v>
      </c>
      <c r="AC50" s="3">
        <v>2</v>
      </c>
      <c r="AD50" s="3" t="s">
        <v>2</v>
      </c>
      <c r="AE50" s="3" t="s">
        <v>63</v>
      </c>
      <c r="AF50" s="3" t="s">
        <v>88</v>
      </c>
      <c r="AG50" s="3" t="s">
        <v>9</v>
      </c>
      <c r="AH50" s="3" t="s">
        <v>11</v>
      </c>
      <c r="AI50" s="3" t="s">
        <v>61</v>
      </c>
      <c r="AJ50" s="3" t="s">
        <v>12</v>
      </c>
      <c r="AK50" s="3" t="s">
        <v>65</v>
      </c>
      <c r="AM50" s="3" t="s">
        <v>12</v>
      </c>
      <c r="AN50" s="3" t="s">
        <v>1</v>
      </c>
      <c r="AO50" s="3" t="s">
        <v>3</v>
      </c>
      <c r="AP50" s="3" t="s">
        <v>66</v>
      </c>
      <c r="AQ50" s="6">
        <f>IF($E50="SCE",VLOOKUP($AZ50,'ESAF_&amp;_PDAF_Summary'!$B$4:$D$18,2,0),1)</f>
        <v>0.32517482517482516</v>
      </c>
      <c r="AR50" s="6">
        <f>IF($E50="SCE",VLOOKUP($AZ50,'ESAF_&amp;_PDAF_Summary'!$B$4:$D$18,3,0),1)</f>
        <v>0.33333333333333331</v>
      </c>
      <c r="AS50" s="6">
        <f>IF($E50="SCE",VLOOKUP($AZ50,'ESAF_&amp;_PDAF_Summary'!$B$4:$E$18,4,0),1)</f>
        <v>0.75</v>
      </c>
      <c r="AT50" s="3">
        <f t="shared" si="1"/>
        <v>188.03234265734264</v>
      </c>
      <c r="AU50" s="3">
        <f t="shared" si="2"/>
        <v>0.36249999999999993</v>
      </c>
      <c r="AV50" s="3">
        <v>0</v>
      </c>
      <c r="AW50" s="3">
        <f t="shared" si="4"/>
        <v>2027.25</v>
      </c>
      <c r="AX50" s="3">
        <f t="shared" si="3"/>
        <v>2244.7045789456215</v>
      </c>
      <c r="AY50" s="22">
        <f>IF($E50="PGE",($AY$4*$L50)+'Water Costs'!I$16-AW50,IF($E50="SCE",$AY$4+'Water Costs'!$I$9,"N/A"))</f>
        <v>2244.7045789456215</v>
      </c>
      <c r="AZ50" s="3">
        <f t="shared" si="0"/>
        <v>8</v>
      </c>
      <c r="BB50" s="3">
        <f t="shared" si="6"/>
        <v>98.771853146853147</v>
      </c>
      <c r="BC50" s="3">
        <f t="shared" si="7"/>
        <v>0.23824999999999999</v>
      </c>
    </row>
    <row r="51" spans="1:55" hidden="1" x14ac:dyDescent="0.25">
      <c r="A51" s="3" t="s">
        <v>11</v>
      </c>
      <c r="B51" s="3" t="s">
        <v>53</v>
      </c>
      <c r="C51" s="3" t="s">
        <v>54</v>
      </c>
      <c r="D51" s="4">
        <v>40944</v>
      </c>
      <c r="E51" s="3" t="s">
        <v>9</v>
      </c>
      <c r="F51" s="3" t="s">
        <v>84</v>
      </c>
      <c r="G51" s="3" t="s">
        <v>57</v>
      </c>
      <c r="H51" s="3" t="s">
        <v>58</v>
      </c>
      <c r="I51" s="3" t="s">
        <v>89</v>
      </c>
      <c r="J51" s="62" t="str">
        <f t="shared" si="5"/>
        <v>SFmCZ09</v>
      </c>
      <c r="K51" s="3" t="s">
        <v>60</v>
      </c>
      <c r="L51" s="3">
        <v>1.72</v>
      </c>
      <c r="M51" s="3">
        <v>1720</v>
      </c>
      <c r="N51" s="3" t="s">
        <v>61</v>
      </c>
      <c r="O51" s="3">
        <v>0</v>
      </c>
      <c r="P51" s="3">
        <v>0</v>
      </c>
      <c r="Q51" s="3">
        <v>0</v>
      </c>
      <c r="R51" s="3">
        <v>898</v>
      </c>
      <c r="S51" s="3">
        <v>1.4</v>
      </c>
      <c r="T51" s="3">
        <v>-29.6</v>
      </c>
      <c r="U51" s="3">
        <v>0</v>
      </c>
      <c r="V51" s="3">
        <v>0</v>
      </c>
      <c r="W51" s="3">
        <v>0</v>
      </c>
      <c r="X51" s="3">
        <v>467</v>
      </c>
      <c r="Y51" s="3">
        <v>0.84099999999999997</v>
      </c>
      <c r="Z51" s="3">
        <v>-30</v>
      </c>
      <c r="AC51" s="3">
        <v>2</v>
      </c>
      <c r="AD51" s="3" t="s">
        <v>2</v>
      </c>
      <c r="AE51" s="3" t="s">
        <v>63</v>
      </c>
      <c r="AF51" s="3" t="s">
        <v>90</v>
      </c>
      <c r="AG51" s="3" t="s">
        <v>9</v>
      </c>
      <c r="AH51" s="3" t="s">
        <v>11</v>
      </c>
      <c r="AI51" s="3" t="s">
        <v>61</v>
      </c>
      <c r="AJ51" s="3" t="s">
        <v>12</v>
      </c>
      <c r="AK51" s="3" t="s">
        <v>65</v>
      </c>
      <c r="AM51" s="3" t="s">
        <v>12</v>
      </c>
      <c r="AN51" s="3" t="s">
        <v>1</v>
      </c>
      <c r="AO51" s="3" t="s">
        <v>3</v>
      </c>
      <c r="AP51" s="3" t="s">
        <v>66</v>
      </c>
      <c r="AQ51" s="6">
        <f>IF($E51="SCE",VLOOKUP($AZ51,'ESAF_&amp;_PDAF_Summary'!$B$4:$D$18,2,0),1)</f>
        <v>0.26299376299376298</v>
      </c>
      <c r="AR51" s="6">
        <f>IF($E51="SCE",VLOOKUP($AZ51,'ESAF_&amp;_PDAF_Summary'!$B$4:$D$18,3,0),1)</f>
        <v>0</v>
      </c>
      <c r="AS51" s="6">
        <f>IF($E51="SCE",VLOOKUP($AZ51,'ESAF_&amp;_PDAF_Summary'!$B$4:$E$18,4,0),1)</f>
        <v>0.75</v>
      </c>
      <c r="AT51" s="3">
        <f t="shared" si="1"/>
        <v>177.12629937629936</v>
      </c>
      <c r="AU51" s="56">
        <f t="shared" si="2"/>
        <v>0</v>
      </c>
      <c r="AV51" s="3">
        <v>0</v>
      </c>
      <c r="AW51" s="3">
        <f t="shared" si="4"/>
        <v>2027.25</v>
      </c>
      <c r="AX51" s="3">
        <f t="shared" si="3"/>
        <v>2244.7045789456215</v>
      </c>
      <c r="AY51" s="22">
        <f>IF($E51="PGE",($AY$4*$L51)+'Water Costs'!I$16-AW51,IF($E51="SCE",$AY$4+'Water Costs'!$I$9,"N/A"))</f>
        <v>2244.7045789456215</v>
      </c>
      <c r="AZ51" s="3">
        <f t="shared" si="0"/>
        <v>9</v>
      </c>
      <c r="BB51" s="3">
        <f t="shared" si="6"/>
        <v>92.113565488565484</v>
      </c>
      <c r="BC51" s="3">
        <f t="shared" si="7"/>
        <v>0</v>
      </c>
    </row>
    <row r="52" spans="1:55" hidden="1" x14ac:dyDescent="0.25">
      <c r="A52" s="3" t="s">
        <v>11</v>
      </c>
      <c r="B52" s="3" t="s">
        <v>53</v>
      </c>
      <c r="C52" s="3" t="s">
        <v>54</v>
      </c>
      <c r="D52" s="4">
        <v>40944</v>
      </c>
      <c r="E52" s="3" t="s">
        <v>9</v>
      </c>
      <c r="F52" s="3" t="s">
        <v>84</v>
      </c>
      <c r="G52" s="3" t="s">
        <v>57</v>
      </c>
      <c r="H52" s="3" t="s">
        <v>58</v>
      </c>
      <c r="I52" s="3" t="s">
        <v>91</v>
      </c>
      <c r="J52" s="62" t="str">
        <f t="shared" si="5"/>
        <v>SFmCZ10</v>
      </c>
      <c r="K52" s="3" t="s">
        <v>60</v>
      </c>
      <c r="L52" s="3">
        <v>1.84</v>
      </c>
      <c r="M52" s="3">
        <v>1840</v>
      </c>
      <c r="N52" s="3" t="s">
        <v>61</v>
      </c>
      <c r="O52" s="3">
        <v>0</v>
      </c>
      <c r="P52" s="3">
        <v>0</v>
      </c>
      <c r="Q52" s="3">
        <v>0</v>
      </c>
      <c r="R52" s="3">
        <v>904</v>
      </c>
      <c r="S52" s="3">
        <v>1.33</v>
      </c>
      <c r="T52" s="3">
        <v>-28.5</v>
      </c>
      <c r="U52" s="3">
        <v>0</v>
      </c>
      <c r="V52" s="3">
        <v>0</v>
      </c>
      <c r="W52" s="3">
        <v>0</v>
      </c>
      <c r="X52" s="3">
        <v>517</v>
      </c>
      <c r="Y52" s="3">
        <v>0.85499999999999998</v>
      </c>
      <c r="Z52" s="3">
        <v>-28.8</v>
      </c>
      <c r="AC52" s="3">
        <v>2</v>
      </c>
      <c r="AD52" s="3" t="s">
        <v>2</v>
      </c>
      <c r="AE52" s="3" t="s">
        <v>63</v>
      </c>
      <c r="AF52" s="3" t="s">
        <v>4</v>
      </c>
      <c r="AG52" s="3" t="s">
        <v>9</v>
      </c>
      <c r="AH52" s="3" t="s">
        <v>11</v>
      </c>
      <c r="AI52" s="3" t="s">
        <v>61</v>
      </c>
      <c r="AJ52" s="3" t="s">
        <v>12</v>
      </c>
      <c r="AK52" s="3" t="s">
        <v>65</v>
      </c>
      <c r="AM52" s="3" t="s">
        <v>12</v>
      </c>
      <c r="AN52" s="3" t="s">
        <v>1</v>
      </c>
      <c r="AO52" s="3" t="s">
        <v>3</v>
      </c>
      <c r="AP52" s="3" t="s">
        <v>66</v>
      </c>
      <c r="AQ52" s="6">
        <f>IF($E52="SCE",VLOOKUP($AZ52,'ESAF_&amp;_PDAF_Summary'!$B$4:$D$18,2,0),1)</f>
        <v>0.48234410217881291</v>
      </c>
      <c r="AR52" s="6">
        <f>IF($E52="SCE",VLOOKUP($AZ52,'ESAF_&amp;_PDAF_Summary'!$B$4:$D$18,3,0),1)</f>
        <v>0</v>
      </c>
      <c r="AS52" s="6">
        <f>IF($E52="SCE",VLOOKUP($AZ52,'ESAF_&amp;_PDAF_Summary'!$B$4:$E$18,4,0),1)</f>
        <v>0.75</v>
      </c>
      <c r="AT52" s="3">
        <f t="shared" si="1"/>
        <v>327.02930127723516</v>
      </c>
      <c r="AU52" s="56">
        <f t="shared" si="2"/>
        <v>0</v>
      </c>
      <c r="AV52" s="3">
        <v>0</v>
      </c>
      <c r="AW52" s="3">
        <f t="shared" si="4"/>
        <v>2027.25</v>
      </c>
      <c r="AX52" s="3">
        <f t="shared" si="3"/>
        <v>2244.7045789456215</v>
      </c>
      <c r="AY52" s="22">
        <f>IF($E52="PGE",($AY$4*$L52)+'Water Costs'!I$16-AW52,IF($E52="SCE",$AY$4+'Water Costs'!$I$9,"N/A"))</f>
        <v>2244.7045789456215</v>
      </c>
      <c r="AZ52" s="3">
        <f t="shared" si="0"/>
        <v>10</v>
      </c>
      <c r="BB52" s="3">
        <f t="shared" si="6"/>
        <v>187.02892561983469</v>
      </c>
      <c r="BC52" s="3">
        <f t="shared" si="7"/>
        <v>0</v>
      </c>
    </row>
    <row r="53" spans="1:55" hidden="1" x14ac:dyDescent="0.25">
      <c r="A53" s="3" t="s">
        <v>11</v>
      </c>
      <c r="B53" s="3" t="s">
        <v>53</v>
      </c>
      <c r="C53" s="3" t="s">
        <v>54</v>
      </c>
      <c r="D53" s="4">
        <v>40944</v>
      </c>
      <c r="E53" s="3" t="s">
        <v>9</v>
      </c>
      <c r="F53" s="3" t="s">
        <v>84</v>
      </c>
      <c r="G53" s="3" t="s">
        <v>57</v>
      </c>
      <c r="H53" s="3" t="s">
        <v>58</v>
      </c>
      <c r="I53" s="3" t="s">
        <v>79</v>
      </c>
      <c r="J53" s="62" t="str">
        <f t="shared" si="5"/>
        <v>SFmCZ13</v>
      </c>
      <c r="K53" s="3" t="s">
        <v>60</v>
      </c>
      <c r="L53" s="3">
        <v>1.72</v>
      </c>
      <c r="M53" s="3">
        <v>1720</v>
      </c>
      <c r="N53" s="3" t="s">
        <v>61</v>
      </c>
      <c r="O53" s="3">
        <v>0</v>
      </c>
      <c r="P53" s="3">
        <v>0</v>
      </c>
      <c r="Q53" s="3">
        <v>0</v>
      </c>
      <c r="R53" s="3">
        <v>1190</v>
      </c>
      <c r="S53" s="3">
        <v>1.41</v>
      </c>
      <c r="T53" s="3">
        <v>-37.4</v>
      </c>
      <c r="U53" s="3">
        <v>0</v>
      </c>
      <c r="V53" s="3">
        <v>0</v>
      </c>
      <c r="W53" s="3">
        <v>0</v>
      </c>
      <c r="X53" s="3">
        <v>682</v>
      </c>
      <c r="Y53" s="3">
        <v>0.91100000000000003</v>
      </c>
      <c r="Z53" s="3">
        <v>-37.700000000000003</v>
      </c>
      <c r="AC53" s="3">
        <v>2</v>
      </c>
      <c r="AD53" s="3" t="s">
        <v>2</v>
      </c>
      <c r="AE53" s="3" t="s">
        <v>63</v>
      </c>
      <c r="AF53" s="3" t="s">
        <v>80</v>
      </c>
      <c r="AG53" s="3" t="s">
        <v>9</v>
      </c>
      <c r="AH53" s="3" t="s">
        <v>11</v>
      </c>
      <c r="AI53" s="3" t="s">
        <v>61</v>
      </c>
      <c r="AJ53" s="3" t="s">
        <v>12</v>
      </c>
      <c r="AK53" s="3" t="s">
        <v>65</v>
      </c>
      <c r="AM53" s="3" t="s">
        <v>12</v>
      </c>
      <c r="AN53" s="3" t="s">
        <v>1</v>
      </c>
      <c r="AO53" s="3" t="s">
        <v>3</v>
      </c>
      <c r="AP53" s="3" t="s">
        <v>66</v>
      </c>
      <c r="AQ53" s="6">
        <f>IF($E53="SCE",VLOOKUP($AZ53,'ESAF_&amp;_PDAF_Summary'!$B$4:$D$18,2,0),1)</f>
        <v>0.65</v>
      </c>
      <c r="AR53" s="6">
        <f>IF($E53="SCE",VLOOKUP($AZ53,'ESAF_&amp;_PDAF_Summary'!$B$4:$D$18,3,0),1)</f>
        <v>0</v>
      </c>
      <c r="AS53" s="6">
        <f>IF($E53="SCE",VLOOKUP($AZ53,'ESAF_&amp;_PDAF_Summary'!$B$4:$E$18,4,0),1)</f>
        <v>0.75</v>
      </c>
      <c r="AT53" s="3">
        <f t="shared" si="1"/>
        <v>580.125</v>
      </c>
      <c r="AU53" s="56">
        <f t="shared" si="2"/>
        <v>0</v>
      </c>
      <c r="AV53" s="3">
        <v>0</v>
      </c>
      <c r="AW53" s="3">
        <f t="shared" si="4"/>
        <v>2027.25</v>
      </c>
      <c r="AX53" s="3">
        <f t="shared" si="3"/>
        <v>2244.7045789456215</v>
      </c>
      <c r="AY53" s="22">
        <f>IF($E53="PGE",($AY$4*$L53)+'Water Costs'!I$16-AW53,IF($E53="SCE",$AY$4+'Water Costs'!$I$9,"N/A"))</f>
        <v>2244.7045789456215</v>
      </c>
      <c r="AZ53" s="3">
        <f t="shared" si="0"/>
        <v>13</v>
      </c>
      <c r="BB53" s="3">
        <f t="shared" si="6"/>
        <v>332.47500000000002</v>
      </c>
      <c r="BC53" s="3">
        <f t="shared" si="7"/>
        <v>0</v>
      </c>
    </row>
    <row r="54" spans="1:55" hidden="1" x14ac:dyDescent="0.25">
      <c r="A54" s="3" t="s">
        <v>11</v>
      </c>
      <c r="B54" s="3" t="s">
        <v>53</v>
      </c>
      <c r="C54" s="3" t="s">
        <v>54</v>
      </c>
      <c r="D54" s="4">
        <v>40944</v>
      </c>
      <c r="E54" s="3" t="s">
        <v>9</v>
      </c>
      <c r="F54" s="3" t="s">
        <v>84</v>
      </c>
      <c r="G54" s="3" t="s">
        <v>57</v>
      </c>
      <c r="H54" s="3" t="s">
        <v>58</v>
      </c>
      <c r="I54" s="3" t="s">
        <v>92</v>
      </c>
      <c r="J54" s="62" t="str">
        <f t="shared" si="5"/>
        <v>SFmCZ14</v>
      </c>
      <c r="K54" s="3" t="s">
        <v>60</v>
      </c>
      <c r="L54" s="3">
        <v>1.72</v>
      </c>
      <c r="M54" s="3">
        <v>1720</v>
      </c>
      <c r="N54" s="3" t="s">
        <v>61</v>
      </c>
      <c r="O54" s="3">
        <v>0</v>
      </c>
      <c r="P54" s="3">
        <v>0</v>
      </c>
      <c r="Q54" s="3">
        <v>0</v>
      </c>
      <c r="R54" s="3">
        <v>1160</v>
      </c>
      <c r="S54" s="3">
        <v>1.99</v>
      </c>
      <c r="T54" s="3">
        <v>-46.9</v>
      </c>
      <c r="U54" s="3">
        <v>0</v>
      </c>
      <c r="V54" s="3">
        <v>0</v>
      </c>
      <c r="W54" s="3">
        <v>0</v>
      </c>
      <c r="X54" s="3">
        <v>755</v>
      </c>
      <c r="Y54" s="3">
        <v>1.39</v>
      </c>
      <c r="Z54" s="3">
        <v>-47.3</v>
      </c>
      <c r="AC54" s="3">
        <v>2</v>
      </c>
      <c r="AD54" s="3" t="s">
        <v>2</v>
      </c>
      <c r="AE54" s="3" t="s">
        <v>63</v>
      </c>
      <c r="AF54" s="3" t="s">
        <v>93</v>
      </c>
      <c r="AG54" s="3" t="s">
        <v>9</v>
      </c>
      <c r="AH54" s="3" t="s">
        <v>11</v>
      </c>
      <c r="AI54" s="3" t="s">
        <v>61</v>
      </c>
      <c r="AJ54" s="3" t="s">
        <v>12</v>
      </c>
      <c r="AK54" s="3" t="s">
        <v>65</v>
      </c>
      <c r="AM54" s="3" t="s">
        <v>12</v>
      </c>
      <c r="AN54" s="3" t="s">
        <v>1</v>
      </c>
      <c r="AO54" s="3" t="s">
        <v>3</v>
      </c>
      <c r="AP54" s="3" t="s">
        <v>66</v>
      </c>
      <c r="AQ54" s="6">
        <f>IF($E54="SCE",VLOOKUP($AZ54,'ESAF_&amp;_PDAF_Summary'!$B$4:$D$18,2,0),1)</f>
        <v>0.88084874863982587</v>
      </c>
      <c r="AR54" s="6">
        <f>IF($E54="SCE",VLOOKUP($AZ54,'ESAF_&amp;_PDAF_Summary'!$B$4:$D$18,3,0),1)</f>
        <v>1</v>
      </c>
      <c r="AS54" s="6">
        <f>IF($E54="SCE",VLOOKUP($AZ54,'ESAF_&amp;_PDAF_Summary'!$B$4:$E$18,4,0),1)</f>
        <v>0.75</v>
      </c>
      <c r="AT54" s="3">
        <f t="shared" si="1"/>
        <v>766.33841131664849</v>
      </c>
      <c r="AU54" s="3">
        <f t="shared" si="2"/>
        <v>1.4924999999999999</v>
      </c>
      <c r="AV54" s="3">
        <v>0</v>
      </c>
      <c r="AW54" s="3">
        <f t="shared" si="4"/>
        <v>2027.25</v>
      </c>
      <c r="AX54" s="3">
        <f t="shared" si="3"/>
        <v>2244.7045789456215</v>
      </c>
      <c r="AY54" s="22">
        <f>IF($E54="PGE",($AY$4*$L54)+'Water Costs'!I$16-AW54,IF($E54="SCE",$AY$4+'Water Costs'!$I$9,"N/A"))</f>
        <v>2244.7045789456215</v>
      </c>
      <c r="AZ54" s="3">
        <f t="shared" si="0"/>
        <v>14</v>
      </c>
      <c r="BB54" s="3">
        <f t="shared" si="6"/>
        <v>498.78060391730139</v>
      </c>
      <c r="BC54" s="3">
        <f t="shared" si="7"/>
        <v>1.0425</v>
      </c>
    </row>
    <row r="55" spans="1:55" hidden="1" x14ac:dyDescent="0.25">
      <c r="A55" s="3" t="s">
        <v>11</v>
      </c>
      <c r="B55" s="3" t="s">
        <v>53</v>
      </c>
      <c r="C55" s="3" t="s">
        <v>54</v>
      </c>
      <c r="D55" s="4">
        <v>40944</v>
      </c>
      <c r="E55" s="3" t="s">
        <v>9</v>
      </c>
      <c r="F55" s="3" t="s">
        <v>84</v>
      </c>
      <c r="G55" s="3" t="s">
        <v>57</v>
      </c>
      <c r="H55" s="3" t="s">
        <v>58</v>
      </c>
      <c r="I55" s="3" t="s">
        <v>94</v>
      </c>
      <c r="J55" s="62" t="str">
        <f t="shared" si="5"/>
        <v>SFmCZ15</v>
      </c>
      <c r="K55" s="3" t="s">
        <v>60</v>
      </c>
      <c r="L55" s="3">
        <v>1.7</v>
      </c>
      <c r="M55" s="3">
        <v>1700</v>
      </c>
      <c r="N55" s="3" t="s">
        <v>61</v>
      </c>
      <c r="O55" s="3">
        <v>0</v>
      </c>
      <c r="P55" s="3">
        <v>0</v>
      </c>
      <c r="Q55" s="3">
        <v>0</v>
      </c>
      <c r="R55" s="3">
        <v>2370</v>
      </c>
      <c r="S55" s="3">
        <v>2.06</v>
      </c>
      <c r="T55" s="3">
        <v>-11.7</v>
      </c>
      <c r="U55" s="3">
        <v>0</v>
      </c>
      <c r="V55" s="3">
        <v>0</v>
      </c>
      <c r="W55" s="3">
        <v>0</v>
      </c>
      <c r="X55" s="3">
        <v>1400</v>
      </c>
      <c r="Y55" s="3">
        <v>1.4</v>
      </c>
      <c r="Z55" s="3">
        <v>-11.8</v>
      </c>
      <c r="AC55" s="3">
        <v>2</v>
      </c>
      <c r="AD55" s="3" t="s">
        <v>2</v>
      </c>
      <c r="AE55" s="3" t="s">
        <v>63</v>
      </c>
      <c r="AF55" s="3" t="s">
        <v>95</v>
      </c>
      <c r="AG55" s="3" t="s">
        <v>9</v>
      </c>
      <c r="AH55" s="3" t="s">
        <v>11</v>
      </c>
      <c r="AI55" s="3" t="s">
        <v>61</v>
      </c>
      <c r="AJ55" s="3" t="s">
        <v>12</v>
      </c>
      <c r="AK55" s="3" t="s">
        <v>65</v>
      </c>
      <c r="AM55" s="3" t="s">
        <v>12</v>
      </c>
      <c r="AN55" s="3" t="s">
        <v>1</v>
      </c>
      <c r="AO55" s="3" t="s">
        <v>3</v>
      </c>
      <c r="AP55" s="3" t="s">
        <v>66</v>
      </c>
      <c r="AQ55" s="6">
        <f>IF($E55="SCE",VLOOKUP($AZ55,'ESAF_&amp;_PDAF_Summary'!$B$4:$D$18,2,0),1)</f>
        <v>0.57460585585585588</v>
      </c>
      <c r="AR55" s="6">
        <f>IF($E55="SCE",VLOOKUP($AZ55,'ESAF_&amp;_PDAF_Summary'!$B$4:$D$18,3,0),1)</f>
        <v>0.1111111111111111</v>
      </c>
      <c r="AS55" s="6">
        <f>IF($E55="SCE",VLOOKUP($AZ55,'ESAF_&amp;_PDAF_Summary'!$B$4:$E$18,4,0),1)</f>
        <v>0.75</v>
      </c>
      <c r="AT55" s="3">
        <f t="shared" si="1"/>
        <v>1021.361908783784</v>
      </c>
      <c r="AU55" s="3">
        <f t="shared" si="2"/>
        <v>0.17166666666666666</v>
      </c>
      <c r="AV55" s="3">
        <v>0</v>
      </c>
      <c r="AW55" s="3">
        <f t="shared" si="4"/>
        <v>2027.25</v>
      </c>
      <c r="AX55" s="3">
        <f t="shared" si="3"/>
        <v>2244.7045789456215</v>
      </c>
      <c r="AY55" s="22">
        <f>IF($E55="PGE",($AY$4*$L55)+'Water Costs'!I$16-AW55,IF($E55="SCE",$AY$4+'Water Costs'!$I$9,"N/A"))</f>
        <v>2244.7045789456215</v>
      </c>
      <c r="AZ55" s="3">
        <f t="shared" si="0"/>
        <v>15</v>
      </c>
      <c r="BB55" s="3">
        <f t="shared" si="6"/>
        <v>603.33614864864876</v>
      </c>
      <c r="BC55" s="3">
        <f t="shared" si="7"/>
        <v>0.11666666666666664</v>
      </c>
    </row>
    <row r="56" spans="1:55" hidden="1" x14ac:dyDescent="0.25">
      <c r="A56" s="3" t="s">
        <v>11</v>
      </c>
      <c r="B56" s="3" t="s">
        <v>53</v>
      </c>
      <c r="C56" s="3" t="s">
        <v>54</v>
      </c>
      <c r="D56" s="4">
        <v>40944</v>
      </c>
      <c r="E56" s="3" t="s">
        <v>9</v>
      </c>
      <c r="F56" s="3" t="s">
        <v>84</v>
      </c>
      <c r="G56" s="3" t="s">
        <v>57</v>
      </c>
      <c r="H56" s="3" t="s">
        <v>58</v>
      </c>
      <c r="I56" s="3" t="s">
        <v>81</v>
      </c>
      <c r="J56" s="62" t="str">
        <f t="shared" si="5"/>
        <v>SFmCZ16</v>
      </c>
      <c r="K56" s="3" t="s">
        <v>60</v>
      </c>
      <c r="L56" s="3">
        <v>1.72</v>
      </c>
      <c r="M56" s="3">
        <v>1720</v>
      </c>
      <c r="N56" s="3" t="s">
        <v>61</v>
      </c>
      <c r="O56" s="3">
        <v>0</v>
      </c>
      <c r="P56" s="3">
        <v>0</v>
      </c>
      <c r="Q56" s="3">
        <v>0</v>
      </c>
      <c r="R56" s="3">
        <v>299</v>
      </c>
      <c r="S56" s="3">
        <v>1.53</v>
      </c>
      <c r="T56" s="3">
        <v>-128</v>
      </c>
      <c r="U56" s="3">
        <v>0</v>
      </c>
      <c r="V56" s="3">
        <v>0</v>
      </c>
      <c r="W56" s="3">
        <v>0</v>
      </c>
      <c r="X56" s="3">
        <v>131</v>
      </c>
      <c r="Y56" s="3">
        <v>0.97599999999999998</v>
      </c>
      <c r="Z56" s="3">
        <v>-130</v>
      </c>
      <c r="AC56" s="3">
        <v>2</v>
      </c>
      <c r="AD56" s="3" t="s">
        <v>2</v>
      </c>
      <c r="AE56" s="3" t="s">
        <v>63</v>
      </c>
      <c r="AF56" s="3" t="s">
        <v>82</v>
      </c>
      <c r="AG56" s="3" t="s">
        <v>9</v>
      </c>
      <c r="AH56" s="3" t="s">
        <v>11</v>
      </c>
      <c r="AI56" s="3" t="s">
        <v>61</v>
      </c>
      <c r="AJ56" s="3" t="s">
        <v>12</v>
      </c>
      <c r="AK56" s="3" t="s">
        <v>65</v>
      </c>
      <c r="AM56" s="3" t="s">
        <v>12</v>
      </c>
      <c r="AN56" s="3" t="s">
        <v>1</v>
      </c>
      <c r="AO56" s="3" t="s">
        <v>3</v>
      </c>
      <c r="AP56" s="3" t="s">
        <v>66</v>
      </c>
      <c r="AQ56" s="6">
        <f>IF($E56="SCE",VLOOKUP($AZ56,'ESAF_&amp;_PDAF_Summary'!$B$4:$D$18,2,0),1)</f>
        <v>0.95238095238095233</v>
      </c>
      <c r="AR56" s="6">
        <f>IF($E56="SCE",VLOOKUP($AZ56,'ESAF_&amp;_PDAF_Summary'!$B$4:$D$18,3,0),1)</f>
        <v>0.88888888888888884</v>
      </c>
      <c r="AS56" s="6">
        <f>IF($E56="SCE",VLOOKUP($AZ56,'ESAF_&amp;_PDAF_Summary'!$B$4:$E$18,4,0),1)</f>
        <v>0.75</v>
      </c>
      <c r="AT56" s="3">
        <f t="shared" si="1"/>
        <v>213.57142857142856</v>
      </c>
      <c r="AU56" s="3">
        <f t="shared" si="2"/>
        <v>1.02</v>
      </c>
      <c r="AV56" s="3">
        <v>0</v>
      </c>
      <c r="AW56" s="3">
        <f t="shared" si="4"/>
        <v>2027.25</v>
      </c>
      <c r="AX56" s="3">
        <f t="shared" si="3"/>
        <v>2244.7045789456215</v>
      </c>
      <c r="AY56" s="22">
        <f>IF($E56="PGE",($AY$4*$L56)+'Water Costs'!I$16-AW56,IF($E56="SCE",$AY$4+'Water Costs'!$I$9,"N/A"))</f>
        <v>2244.7045789456215</v>
      </c>
      <c r="AZ56" s="3">
        <f t="shared" si="0"/>
        <v>16</v>
      </c>
      <c r="BB56" s="3">
        <f t="shared" si="6"/>
        <v>93.571428571428569</v>
      </c>
      <c r="BC56" s="3">
        <f t="shared" si="7"/>
        <v>0.65066666666666662</v>
      </c>
    </row>
    <row r="57" spans="1:55" hidden="1" x14ac:dyDescent="0.25">
      <c r="A57" s="3" t="s">
        <v>11</v>
      </c>
      <c r="B57" s="3" t="s">
        <v>53</v>
      </c>
      <c r="C57" s="3" t="s">
        <v>54</v>
      </c>
      <c r="D57" s="4">
        <v>40944</v>
      </c>
      <c r="E57" s="3" t="s">
        <v>96</v>
      </c>
      <c r="F57" s="3" t="s">
        <v>56</v>
      </c>
      <c r="G57" s="3" t="s">
        <v>57</v>
      </c>
      <c r="H57" s="3" t="s">
        <v>58</v>
      </c>
      <c r="I57" s="3" t="s">
        <v>73</v>
      </c>
      <c r="J57" s="62" t="str">
        <f t="shared" si="5"/>
        <v>DMoCZ05</v>
      </c>
      <c r="K57" s="3" t="s">
        <v>60</v>
      </c>
      <c r="L57" s="3">
        <v>1.24</v>
      </c>
      <c r="M57" s="3">
        <v>1240</v>
      </c>
      <c r="N57" s="3" t="s">
        <v>61</v>
      </c>
      <c r="O57" s="3">
        <v>0</v>
      </c>
      <c r="P57" s="3">
        <v>0</v>
      </c>
      <c r="Q57" s="3">
        <v>0</v>
      </c>
      <c r="R57" s="3">
        <v>104</v>
      </c>
      <c r="S57" s="3">
        <v>2.73</v>
      </c>
      <c r="T57" s="3">
        <v>-52.9</v>
      </c>
      <c r="U57" s="3">
        <v>0</v>
      </c>
      <c r="V57" s="3">
        <v>0</v>
      </c>
      <c r="W57" s="3">
        <v>0</v>
      </c>
      <c r="X57" s="3">
        <v>7.4</v>
      </c>
      <c r="Y57" s="3">
        <v>1.34</v>
      </c>
      <c r="Z57" s="3">
        <v>-53.4</v>
      </c>
      <c r="AC57" s="3">
        <v>2</v>
      </c>
      <c r="AD57" s="3" t="s">
        <v>62</v>
      </c>
      <c r="AE57" s="3" t="s">
        <v>63</v>
      </c>
      <c r="AF57" s="3" t="s">
        <v>74</v>
      </c>
      <c r="AG57" s="3" t="s">
        <v>96</v>
      </c>
      <c r="AH57" s="3" t="s">
        <v>11</v>
      </c>
      <c r="AI57" s="3" t="s">
        <v>61</v>
      </c>
      <c r="AJ57" s="3" t="s">
        <v>12</v>
      </c>
      <c r="AK57" s="3" t="s">
        <v>65</v>
      </c>
      <c r="AM57" s="3" t="s">
        <v>12</v>
      </c>
      <c r="AN57" s="3" t="s">
        <v>1</v>
      </c>
      <c r="AO57" s="3" t="s">
        <v>3</v>
      </c>
      <c r="AP57" s="3" t="s">
        <v>66</v>
      </c>
      <c r="AQ57" s="6">
        <f>IF($E57="SCE",VLOOKUP($AZ57,'ESAF_&amp;_PDAF_Summary'!$B$4:$D$18,2,0),1)</f>
        <v>1</v>
      </c>
      <c r="AR57" s="6">
        <f>IF($E57="SCE",VLOOKUP($AZ57,'ESAF_&amp;_PDAF_Summary'!$B$4:$D$18,3,0),1)</f>
        <v>1</v>
      </c>
      <c r="AS57" s="6">
        <f>IF($E57="SCE",VLOOKUP($AZ57,'ESAF_&amp;_PDAF_Summary'!$B$4:$E$18,4,0),1)</f>
        <v>1</v>
      </c>
      <c r="AT57" s="3" t="str">
        <f t="shared" si="1"/>
        <v>N/A</v>
      </c>
      <c r="AU57" s="56" t="str">
        <f t="shared" si="2"/>
        <v>N/A</v>
      </c>
      <c r="AV57" s="3">
        <v>0</v>
      </c>
      <c r="AW57" s="3" t="str">
        <f t="shared" si="4"/>
        <v>N/A</v>
      </c>
      <c r="AX57" s="3" t="str">
        <f t="shared" si="3"/>
        <v>N/A</v>
      </c>
      <c r="AY57" s="22" t="str">
        <f>IF($E57="PGE",($AY$4*$L57)+'Water Costs'!I$16-AW57,IF($E57="SCE",$AY$4+'Water Costs'!$I$9,"N/A"))</f>
        <v>N/A</v>
      </c>
      <c r="AZ57" s="3">
        <f t="shared" si="0"/>
        <v>5</v>
      </c>
      <c r="BB57" s="3">
        <f t="shared" ref="BB57:BB58" si="8">X57*$AQ57*$AS57</f>
        <v>7.4</v>
      </c>
      <c r="BC57" s="3">
        <f t="shared" ref="BC57:BC58" si="9">Y57*$AR57*$AS57</f>
        <v>1.34</v>
      </c>
    </row>
    <row r="58" spans="1:55" hidden="1" x14ac:dyDescent="0.25">
      <c r="A58" s="3" t="s">
        <v>11</v>
      </c>
      <c r="B58" s="3" t="s">
        <v>53</v>
      </c>
      <c r="C58" s="3" t="s">
        <v>54</v>
      </c>
      <c r="D58" s="4">
        <v>40944</v>
      </c>
      <c r="E58" s="3" t="s">
        <v>96</v>
      </c>
      <c r="F58" s="3" t="s">
        <v>56</v>
      </c>
      <c r="G58" s="3" t="s">
        <v>57</v>
      </c>
      <c r="H58" s="3" t="s">
        <v>58</v>
      </c>
      <c r="I58" s="3" t="s">
        <v>85</v>
      </c>
      <c r="J58" s="62" t="str">
        <f t="shared" si="5"/>
        <v>DMoCZ06</v>
      </c>
      <c r="K58" s="3" t="s">
        <v>60</v>
      </c>
      <c r="L58" s="3">
        <v>1.24</v>
      </c>
      <c r="M58" s="3">
        <v>1240</v>
      </c>
      <c r="N58" s="3" t="s">
        <v>61</v>
      </c>
      <c r="O58" s="3">
        <v>0</v>
      </c>
      <c r="P58" s="3">
        <v>0</v>
      </c>
      <c r="Q58" s="3">
        <v>0</v>
      </c>
      <c r="R58" s="3">
        <v>61.4</v>
      </c>
      <c r="S58" s="3">
        <v>1.66</v>
      </c>
      <c r="T58" s="3">
        <v>-34.299999999999997</v>
      </c>
      <c r="U58" s="3">
        <v>0</v>
      </c>
      <c r="V58" s="3">
        <v>0</v>
      </c>
      <c r="W58" s="3">
        <v>0</v>
      </c>
      <c r="X58" s="3">
        <v>19.3</v>
      </c>
      <c r="Y58" s="3">
        <v>1</v>
      </c>
      <c r="Z58" s="3">
        <v>-34.5</v>
      </c>
      <c r="AC58" s="3">
        <v>2</v>
      </c>
      <c r="AD58" s="3" t="s">
        <v>62</v>
      </c>
      <c r="AE58" s="3" t="s">
        <v>63</v>
      </c>
      <c r="AF58" s="3" t="s">
        <v>86</v>
      </c>
      <c r="AG58" s="3" t="s">
        <v>96</v>
      </c>
      <c r="AH58" s="3" t="s">
        <v>11</v>
      </c>
      <c r="AI58" s="3" t="s">
        <v>61</v>
      </c>
      <c r="AJ58" s="3" t="s">
        <v>12</v>
      </c>
      <c r="AK58" s="3" t="s">
        <v>65</v>
      </c>
      <c r="AM58" s="3" t="s">
        <v>12</v>
      </c>
      <c r="AN58" s="3" t="s">
        <v>1</v>
      </c>
      <c r="AO58" s="3" t="s">
        <v>3</v>
      </c>
      <c r="AP58" s="3" t="s">
        <v>66</v>
      </c>
      <c r="AQ58" s="6">
        <f>IF($E58="SCE",VLOOKUP($AZ58,'ESAF_&amp;_PDAF_Summary'!$B$4:$D$18,2,0),1)</f>
        <v>1</v>
      </c>
      <c r="AR58" s="6">
        <f>IF($E58="SCE",VLOOKUP($AZ58,'ESAF_&amp;_PDAF_Summary'!$B$4:$D$18,3,0),1)</f>
        <v>1</v>
      </c>
      <c r="AS58" s="6">
        <f>IF($E58="SCE",VLOOKUP($AZ58,'ESAF_&amp;_PDAF_Summary'!$B$4:$E$18,4,0),1)</f>
        <v>1</v>
      </c>
      <c r="AT58" s="3" t="str">
        <f t="shared" si="1"/>
        <v>N/A</v>
      </c>
      <c r="AU58" s="56" t="str">
        <f t="shared" si="2"/>
        <v>N/A</v>
      </c>
      <c r="AV58" s="3">
        <v>0</v>
      </c>
      <c r="AW58" s="3" t="str">
        <f t="shared" si="4"/>
        <v>N/A</v>
      </c>
      <c r="AX58" s="3" t="str">
        <f t="shared" si="3"/>
        <v>N/A</v>
      </c>
      <c r="AY58" s="22" t="str">
        <f>IF($E58="PGE",($AY$4*$L58)+'Water Costs'!I$16-AW58,IF($E58="SCE",$AY$4+'Water Costs'!$I$9,"N/A"))</f>
        <v>N/A</v>
      </c>
      <c r="AZ58" s="3">
        <f t="shared" si="0"/>
        <v>6</v>
      </c>
      <c r="BB58" s="3">
        <f t="shared" si="8"/>
        <v>19.3</v>
      </c>
      <c r="BC58" s="3">
        <f t="shared" si="9"/>
        <v>1</v>
      </c>
    </row>
    <row r="59" spans="1:55" hidden="1" x14ac:dyDescent="0.25">
      <c r="A59" s="3" t="s">
        <v>11</v>
      </c>
      <c r="B59" s="3" t="s">
        <v>53</v>
      </c>
      <c r="C59" s="3" t="s">
        <v>54</v>
      </c>
      <c r="D59" s="4">
        <v>40944</v>
      </c>
      <c r="E59" s="3" t="s">
        <v>96</v>
      </c>
      <c r="F59" s="3" t="s">
        <v>56</v>
      </c>
      <c r="G59" s="3" t="s">
        <v>57</v>
      </c>
      <c r="H59" s="3" t="s">
        <v>58</v>
      </c>
      <c r="I59" s="3" t="s">
        <v>87</v>
      </c>
      <c r="J59" s="62" t="str">
        <f t="shared" si="5"/>
        <v>DMoCZ08</v>
      </c>
      <c r="K59" s="3" t="s">
        <v>60</v>
      </c>
      <c r="L59" s="3">
        <v>1.24</v>
      </c>
      <c r="M59" s="3">
        <v>1240</v>
      </c>
      <c r="N59" s="3" t="s">
        <v>61</v>
      </c>
      <c r="O59" s="3">
        <v>0</v>
      </c>
      <c r="P59" s="3">
        <v>0</v>
      </c>
      <c r="Q59" s="3">
        <v>0</v>
      </c>
      <c r="R59" s="3">
        <v>529</v>
      </c>
      <c r="S59" s="3">
        <v>2.81</v>
      </c>
      <c r="T59" s="3">
        <v>-36.799999999999997</v>
      </c>
      <c r="U59" s="3">
        <v>0</v>
      </c>
      <c r="V59" s="3">
        <v>0</v>
      </c>
      <c r="W59" s="3">
        <v>0</v>
      </c>
      <c r="X59" s="3">
        <v>182</v>
      </c>
      <c r="Y59" s="3">
        <v>1.44</v>
      </c>
      <c r="Z59" s="3">
        <v>-37.1</v>
      </c>
      <c r="AC59" s="3">
        <v>2</v>
      </c>
      <c r="AD59" s="3" t="s">
        <v>62</v>
      </c>
      <c r="AE59" s="3" t="s">
        <v>63</v>
      </c>
      <c r="AF59" s="3" t="s">
        <v>88</v>
      </c>
      <c r="AG59" s="3" t="s">
        <v>96</v>
      </c>
      <c r="AH59" s="3" t="s">
        <v>11</v>
      </c>
      <c r="AI59" s="3" t="s">
        <v>61</v>
      </c>
      <c r="AJ59" s="3" t="s">
        <v>12</v>
      </c>
      <c r="AK59" s="3" t="s">
        <v>65</v>
      </c>
      <c r="AM59" s="3" t="s">
        <v>12</v>
      </c>
      <c r="AN59" s="3" t="s">
        <v>1</v>
      </c>
      <c r="AO59" s="3" t="s">
        <v>3</v>
      </c>
      <c r="AP59" s="3" t="s">
        <v>66</v>
      </c>
      <c r="AQ59" s="6">
        <f>IF($E59="SCE",VLOOKUP($AZ59,'ESAF_&amp;_PDAF_Summary'!$B$4:$D$18,2,0),1)</f>
        <v>1</v>
      </c>
      <c r="AR59" s="6">
        <f>IF($E59="SCE",VLOOKUP($AZ59,'ESAF_&amp;_PDAF_Summary'!$B$4:$D$18,3,0),1)</f>
        <v>1</v>
      </c>
      <c r="AS59" s="6">
        <f>IF($E59="SCE",VLOOKUP($AZ59,'ESAF_&amp;_PDAF_Summary'!$B$4:$E$18,4,0),1)</f>
        <v>1</v>
      </c>
      <c r="AT59" s="3" t="str">
        <f t="shared" si="1"/>
        <v>N/A</v>
      </c>
      <c r="AU59" s="3" t="str">
        <f t="shared" si="2"/>
        <v>N/A</v>
      </c>
      <c r="AV59" s="3">
        <v>0</v>
      </c>
      <c r="AW59" s="3" t="str">
        <f t="shared" si="4"/>
        <v>N/A</v>
      </c>
      <c r="AX59" s="3" t="str">
        <f t="shared" si="3"/>
        <v>N/A</v>
      </c>
      <c r="AY59" s="22" t="str">
        <f>IF($E59="PGE",($AY$4*$L59)+'Water Costs'!I$16-AW59,IF($E59="SCE",$AY$4+'Water Costs'!$I$9,"N/A"))</f>
        <v>N/A</v>
      </c>
      <c r="AZ59" s="3">
        <f t="shared" si="0"/>
        <v>8</v>
      </c>
    </row>
    <row r="60" spans="1:55" hidden="1" x14ac:dyDescent="0.25">
      <c r="A60" s="3" t="s">
        <v>11</v>
      </c>
      <c r="B60" s="3" t="s">
        <v>53</v>
      </c>
      <c r="C60" s="3" t="s">
        <v>54</v>
      </c>
      <c r="D60" s="4">
        <v>40944</v>
      </c>
      <c r="E60" s="3" t="s">
        <v>96</v>
      </c>
      <c r="F60" s="3" t="s">
        <v>56</v>
      </c>
      <c r="G60" s="3" t="s">
        <v>57</v>
      </c>
      <c r="H60" s="3" t="s">
        <v>58</v>
      </c>
      <c r="I60" s="3" t="s">
        <v>89</v>
      </c>
      <c r="J60" s="62" t="str">
        <f t="shared" si="5"/>
        <v>DMoCZ09</v>
      </c>
      <c r="K60" s="3" t="s">
        <v>60</v>
      </c>
      <c r="L60" s="3">
        <v>1.24</v>
      </c>
      <c r="M60" s="3">
        <v>1240</v>
      </c>
      <c r="N60" s="3" t="s">
        <v>61</v>
      </c>
      <c r="O60" s="3">
        <v>0</v>
      </c>
      <c r="P60" s="3">
        <v>0</v>
      </c>
      <c r="Q60" s="3">
        <v>0</v>
      </c>
      <c r="R60" s="3">
        <v>775</v>
      </c>
      <c r="S60" s="3">
        <v>2.2400000000000002</v>
      </c>
      <c r="T60" s="3">
        <v>-39.200000000000003</v>
      </c>
      <c r="U60" s="3">
        <v>0</v>
      </c>
      <c r="V60" s="3">
        <v>0</v>
      </c>
      <c r="W60" s="3">
        <v>0</v>
      </c>
      <c r="X60" s="3">
        <v>261</v>
      </c>
      <c r="Y60" s="3">
        <v>1.08</v>
      </c>
      <c r="Z60" s="3">
        <v>-39.5</v>
      </c>
      <c r="AC60" s="3">
        <v>2</v>
      </c>
      <c r="AD60" s="3" t="s">
        <v>62</v>
      </c>
      <c r="AE60" s="3" t="s">
        <v>63</v>
      </c>
      <c r="AF60" s="3" t="s">
        <v>90</v>
      </c>
      <c r="AG60" s="3" t="s">
        <v>96</v>
      </c>
      <c r="AH60" s="3" t="s">
        <v>11</v>
      </c>
      <c r="AI60" s="3" t="s">
        <v>61</v>
      </c>
      <c r="AJ60" s="3" t="s">
        <v>12</v>
      </c>
      <c r="AK60" s="3" t="s">
        <v>65</v>
      </c>
      <c r="AM60" s="3" t="s">
        <v>12</v>
      </c>
      <c r="AN60" s="3" t="s">
        <v>1</v>
      </c>
      <c r="AO60" s="3" t="s">
        <v>3</v>
      </c>
      <c r="AP60" s="3" t="s">
        <v>66</v>
      </c>
      <c r="AQ60" s="6">
        <f>IF($E60="SCE",VLOOKUP($AZ60,'ESAF_&amp;_PDAF_Summary'!$B$4:$D$18,2,0),1)</f>
        <v>1</v>
      </c>
      <c r="AR60" s="6">
        <f>IF($E60="SCE",VLOOKUP($AZ60,'ESAF_&amp;_PDAF_Summary'!$B$4:$D$18,3,0),1)</f>
        <v>1</v>
      </c>
      <c r="AS60" s="6">
        <f>IF($E60="SCE",VLOOKUP($AZ60,'ESAF_&amp;_PDAF_Summary'!$B$4:$E$18,4,0),1)</f>
        <v>1</v>
      </c>
      <c r="AT60" s="3" t="str">
        <f t="shared" si="1"/>
        <v>N/A</v>
      </c>
      <c r="AU60" s="3" t="str">
        <f t="shared" si="2"/>
        <v>N/A</v>
      </c>
      <c r="AV60" s="3">
        <v>0</v>
      </c>
      <c r="AW60" s="3" t="str">
        <f t="shared" si="4"/>
        <v>N/A</v>
      </c>
      <c r="AX60" s="3" t="str">
        <f t="shared" si="3"/>
        <v>N/A</v>
      </c>
      <c r="AY60" s="22" t="str">
        <f>IF($E60="PGE",($AY$4*$L60)+'Water Costs'!I$16-AW60,IF($E60="SCE",$AY$4+'Water Costs'!$I$9,"N/A"))</f>
        <v>N/A</v>
      </c>
      <c r="AZ60" s="3">
        <f t="shared" si="0"/>
        <v>9</v>
      </c>
    </row>
    <row r="61" spans="1:55" hidden="1" x14ac:dyDescent="0.25">
      <c r="A61" s="3" t="s">
        <v>11</v>
      </c>
      <c r="B61" s="3" t="s">
        <v>53</v>
      </c>
      <c r="C61" s="3" t="s">
        <v>54</v>
      </c>
      <c r="D61" s="4">
        <v>40944</v>
      </c>
      <c r="E61" s="3" t="s">
        <v>96</v>
      </c>
      <c r="F61" s="3" t="s">
        <v>56</v>
      </c>
      <c r="G61" s="3" t="s">
        <v>57</v>
      </c>
      <c r="H61" s="3" t="s">
        <v>58</v>
      </c>
      <c r="I61" s="3" t="s">
        <v>91</v>
      </c>
      <c r="J61" s="62" t="str">
        <f t="shared" si="5"/>
        <v>DMoCZ10</v>
      </c>
      <c r="K61" s="3" t="s">
        <v>60</v>
      </c>
      <c r="L61" s="3">
        <v>1.24</v>
      </c>
      <c r="M61" s="3">
        <v>1240</v>
      </c>
      <c r="N61" s="3" t="s">
        <v>61</v>
      </c>
      <c r="O61" s="3">
        <v>0</v>
      </c>
      <c r="P61" s="3">
        <v>0</v>
      </c>
      <c r="Q61" s="3">
        <v>0</v>
      </c>
      <c r="R61" s="3">
        <v>1190</v>
      </c>
      <c r="S61" s="3">
        <v>2.5299999999999998</v>
      </c>
      <c r="T61" s="3">
        <v>-53.7</v>
      </c>
      <c r="U61" s="3">
        <v>0</v>
      </c>
      <c r="V61" s="3">
        <v>0</v>
      </c>
      <c r="W61" s="3">
        <v>0</v>
      </c>
      <c r="X61" s="3">
        <v>425</v>
      </c>
      <c r="Y61" s="3">
        <v>1.1599999999999999</v>
      </c>
      <c r="Z61" s="3">
        <v>-54</v>
      </c>
      <c r="AC61" s="3">
        <v>2</v>
      </c>
      <c r="AD61" s="3" t="s">
        <v>62</v>
      </c>
      <c r="AE61" s="3" t="s">
        <v>63</v>
      </c>
      <c r="AF61" s="3" t="s">
        <v>4</v>
      </c>
      <c r="AG61" s="3" t="s">
        <v>96</v>
      </c>
      <c r="AH61" s="3" t="s">
        <v>11</v>
      </c>
      <c r="AI61" s="3" t="s">
        <v>61</v>
      </c>
      <c r="AJ61" s="3" t="s">
        <v>12</v>
      </c>
      <c r="AK61" s="3" t="s">
        <v>65</v>
      </c>
      <c r="AM61" s="3" t="s">
        <v>12</v>
      </c>
      <c r="AN61" s="3" t="s">
        <v>1</v>
      </c>
      <c r="AO61" s="3" t="s">
        <v>3</v>
      </c>
      <c r="AP61" s="3" t="s">
        <v>66</v>
      </c>
      <c r="AQ61" s="6">
        <f>IF($E61="SCE",VLOOKUP($AZ61,'ESAF_&amp;_PDAF_Summary'!$B$4:$D$18,2,0),1)</f>
        <v>1</v>
      </c>
      <c r="AR61" s="6">
        <f>IF($E61="SCE",VLOOKUP($AZ61,'ESAF_&amp;_PDAF_Summary'!$B$4:$D$18,3,0),1)</f>
        <v>1</v>
      </c>
      <c r="AS61" s="6">
        <f>IF($E61="SCE",VLOOKUP($AZ61,'ESAF_&amp;_PDAF_Summary'!$B$4:$E$18,4,0),1)</f>
        <v>1</v>
      </c>
      <c r="AT61" s="3" t="str">
        <f t="shared" si="1"/>
        <v>N/A</v>
      </c>
      <c r="AU61" s="3" t="str">
        <f t="shared" si="2"/>
        <v>N/A</v>
      </c>
      <c r="AV61" s="3">
        <v>0</v>
      </c>
      <c r="AW61" s="3" t="str">
        <f t="shared" si="4"/>
        <v>N/A</v>
      </c>
      <c r="AX61" s="3" t="str">
        <f t="shared" si="3"/>
        <v>N/A</v>
      </c>
      <c r="AY61" s="22" t="str">
        <f>IF($E61="PGE",($AY$4*$L61)+'Water Costs'!I$16-AW61,IF($E61="SCE",$AY$4+'Water Costs'!$I$9,"N/A"))</f>
        <v>N/A</v>
      </c>
      <c r="AZ61" s="3">
        <f t="shared" ref="AZ61:AZ85" si="10">VALUE(RIGHT(I61,2))</f>
        <v>10</v>
      </c>
    </row>
    <row r="62" spans="1:55" hidden="1" x14ac:dyDescent="0.25">
      <c r="A62" s="3" t="s">
        <v>11</v>
      </c>
      <c r="B62" s="3" t="s">
        <v>53</v>
      </c>
      <c r="C62" s="3" t="s">
        <v>54</v>
      </c>
      <c r="D62" s="4">
        <v>40944</v>
      </c>
      <c r="E62" s="3" t="s">
        <v>96</v>
      </c>
      <c r="F62" s="3" t="s">
        <v>56</v>
      </c>
      <c r="G62" s="3" t="s">
        <v>57</v>
      </c>
      <c r="H62" s="3" t="s">
        <v>58</v>
      </c>
      <c r="I62" s="3" t="s">
        <v>79</v>
      </c>
      <c r="J62" s="62" t="str">
        <f t="shared" si="5"/>
        <v>DMoCZ13</v>
      </c>
      <c r="K62" s="3" t="s">
        <v>60</v>
      </c>
      <c r="L62" s="3">
        <v>1.24</v>
      </c>
      <c r="M62" s="3">
        <v>1240</v>
      </c>
      <c r="N62" s="3" t="s">
        <v>61</v>
      </c>
      <c r="O62" s="3">
        <v>0</v>
      </c>
      <c r="P62" s="3">
        <v>0</v>
      </c>
      <c r="Q62" s="3">
        <v>0</v>
      </c>
      <c r="R62" s="3">
        <v>1620</v>
      </c>
      <c r="S62" s="3">
        <v>2.86</v>
      </c>
      <c r="T62" s="3">
        <v>-61.6</v>
      </c>
      <c r="U62" s="3">
        <v>0</v>
      </c>
      <c r="V62" s="3">
        <v>0</v>
      </c>
      <c r="W62" s="3">
        <v>0</v>
      </c>
      <c r="X62" s="3">
        <v>557</v>
      </c>
      <c r="Y62" s="3">
        <v>1.21</v>
      </c>
      <c r="Z62" s="3">
        <v>-62.1</v>
      </c>
      <c r="AC62" s="3">
        <v>2</v>
      </c>
      <c r="AD62" s="3" t="s">
        <v>62</v>
      </c>
      <c r="AE62" s="3" t="s">
        <v>63</v>
      </c>
      <c r="AF62" s="3" t="s">
        <v>80</v>
      </c>
      <c r="AG62" s="3" t="s">
        <v>96</v>
      </c>
      <c r="AH62" s="3" t="s">
        <v>11</v>
      </c>
      <c r="AI62" s="3" t="s">
        <v>61</v>
      </c>
      <c r="AJ62" s="3" t="s">
        <v>12</v>
      </c>
      <c r="AK62" s="3" t="s">
        <v>65</v>
      </c>
      <c r="AM62" s="3" t="s">
        <v>12</v>
      </c>
      <c r="AN62" s="3" t="s">
        <v>1</v>
      </c>
      <c r="AO62" s="3" t="s">
        <v>3</v>
      </c>
      <c r="AP62" s="3" t="s">
        <v>66</v>
      </c>
      <c r="AQ62" s="6">
        <f>IF($E62="SCE",VLOOKUP($AZ62,'ESAF_&amp;_PDAF_Summary'!$B$4:$D$18,2,0),1)</f>
        <v>1</v>
      </c>
      <c r="AR62" s="6">
        <f>IF($E62="SCE",VLOOKUP($AZ62,'ESAF_&amp;_PDAF_Summary'!$B$4:$D$18,3,0),1)</f>
        <v>1</v>
      </c>
      <c r="AS62" s="6">
        <f>IF($E62="SCE",VLOOKUP($AZ62,'ESAF_&amp;_PDAF_Summary'!$B$4:$E$18,4,0),1)</f>
        <v>1</v>
      </c>
      <c r="AT62" s="3" t="str">
        <f t="shared" ref="AT62:AT85" si="11">IF(AND($E62="PGE",$F62="MFm",OR($I62="CZ11",$I62="CZ12",$I62="CZ13")),X62*$AQ62*$AS62*$L62,IF($E62="SCE",R62*$AQ62*$AS62,"N/A"))</f>
        <v>N/A</v>
      </c>
      <c r="AU62" s="3" t="str">
        <f t="shared" ref="AU62:AU85" si="12">IF(AND($E62="PGE",$F62="MFm",OR($I62="CZ11",$I62="CZ12",$I62="CZ13")),Y62*$AR62*$AS62*$L62,IF($E62="SCE",S62*$AR62*$AS62,"N/A"))</f>
        <v>N/A</v>
      </c>
      <c r="AV62" s="3">
        <v>0</v>
      </c>
      <c r="AW62" s="3" t="str">
        <f t="shared" ref="AW62:AW100" si="13">IF($E62="PGE",$AW$4*$L62,IF($E62="SCE",$AW$4,"N/A"))</f>
        <v>N/A</v>
      </c>
      <c r="AX62" s="3" t="str">
        <f t="shared" ref="AX62:AX85" si="14">IF($E62="PGE",AY62,IF($E62="SCE",AY62,"N/A"))</f>
        <v>N/A</v>
      </c>
      <c r="AY62" s="22" t="str">
        <f>IF($E62="PGE",($AY$4*$L62)+'Water Costs'!I$16-AW62,IF($E62="SCE",$AY$4+'Water Costs'!$I$9,"N/A"))</f>
        <v>N/A</v>
      </c>
      <c r="AZ62" s="3">
        <f t="shared" si="10"/>
        <v>13</v>
      </c>
    </row>
    <row r="63" spans="1:55" hidden="1" x14ac:dyDescent="0.25">
      <c r="A63" s="3" t="s">
        <v>11</v>
      </c>
      <c r="B63" s="3" t="s">
        <v>53</v>
      </c>
      <c r="C63" s="3" t="s">
        <v>54</v>
      </c>
      <c r="D63" s="4">
        <v>40944</v>
      </c>
      <c r="E63" s="3" t="s">
        <v>96</v>
      </c>
      <c r="F63" s="3" t="s">
        <v>56</v>
      </c>
      <c r="G63" s="3" t="s">
        <v>57</v>
      </c>
      <c r="H63" s="3" t="s">
        <v>58</v>
      </c>
      <c r="I63" s="3" t="s">
        <v>92</v>
      </c>
      <c r="J63" s="62" t="str">
        <f t="shared" si="5"/>
        <v>DMoCZ14</v>
      </c>
      <c r="K63" s="3" t="s">
        <v>60</v>
      </c>
      <c r="L63" s="3">
        <v>1.24</v>
      </c>
      <c r="M63" s="3">
        <v>1240</v>
      </c>
      <c r="N63" s="3" t="s">
        <v>61</v>
      </c>
      <c r="O63" s="3">
        <v>0</v>
      </c>
      <c r="P63" s="3">
        <v>0</v>
      </c>
      <c r="Q63" s="3">
        <v>0</v>
      </c>
      <c r="R63" s="3">
        <v>1590</v>
      </c>
      <c r="S63" s="3">
        <v>3.33</v>
      </c>
      <c r="T63" s="3">
        <v>-82.9</v>
      </c>
      <c r="U63" s="3">
        <v>0</v>
      </c>
      <c r="V63" s="3">
        <v>0</v>
      </c>
      <c r="W63" s="3">
        <v>0</v>
      </c>
      <c r="X63" s="3">
        <v>678</v>
      </c>
      <c r="Y63" s="3">
        <v>1.58</v>
      </c>
      <c r="Z63" s="3">
        <v>-83.4</v>
      </c>
      <c r="AC63" s="3">
        <v>2</v>
      </c>
      <c r="AD63" s="3" t="s">
        <v>62</v>
      </c>
      <c r="AE63" s="3" t="s">
        <v>63</v>
      </c>
      <c r="AF63" s="3" t="s">
        <v>93</v>
      </c>
      <c r="AG63" s="3" t="s">
        <v>96</v>
      </c>
      <c r="AH63" s="3" t="s">
        <v>11</v>
      </c>
      <c r="AI63" s="3" t="s">
        <v>61</v>
      </c>
      <c r="AJ63" s="3" t="s">
        <v>12</v>
      </c>
      <c r="AK63" s="3" t="s">
        <v>65</v>
      </c>
      <c r="AM63" s="3" t="s">
        <v>12</v>
      </c>
      <c r="AN63" s="3" t="s">
        <v>1</v>
      </c>
      <c r="AO63" s="3" t="s">
        <v>3</v>
      </c>
      <c r="AP63" s="3" t="s">
        <v>66</v>
      </c>
      <c r="AQ63" s="6">
        <f>IF($E63="SCE",VLOOKUP($AZ63,'ESAF_&amp;_PDAF_Summary'!$B$4:$D$18,2,0),1)</f>
        <v>1</v>
      </c>
      <c r="AR63" s="6">
        <f>IF($E63="SCE",VLOOKUP($AZ63,'ESAF_&amp;_PDAF_Summary'!$B$4:$D$18,3,0),1)</f>
        <v>1</v>
      </c>
      <c r="AS63" s="6">
        <f>IF($E63="SCE",VLOOKUP($AZ63,'ESAF_&amp;_PDAF_Summary'!$B$4:$E$18,4,0),1)</f>
        <v>1</v>
      </c>
      <c r="AT63" s="3" t="str">
        <f t="shared" si="11"/>
        <v>N/A</v>
      </c>
      <c r="AU63" s="3" t="str">
        <f t="shared" si="12"/>
        <v>N/A</v>
      </c>
      <c r="AV63" s="3">
        <v>0</v>
      </c>
      <c r="AW63" s="3" t="str">
        <f t="shared" si="13"/>
        <v>N/A</v>
      </c>
      <c r="AX63" s="3" t="str">
        <f t="shared" si="14"/>
        <v>N/A</v>
      </c>
      <c r="AY63" s="22" t="str">
        <f>IF($E63="PGE",($AY$4*$L63)+'Water Costs'!I$16-AW63,IF($E63="SCE",$AY$4+'Water Costs'!$I$9,"N/A"))</f>
        <v>N/A</v>
      </c>
      <c r="AZ63" s="3">
        <f t="shared" si="10"/>
        <v>14</v>
      </c>
    </row>
    <row r="64" spans="1:55" hidden="1" x14ac:dyDescent="0.25">
      <c r="A64" s="3" t="s">
        <v>11</v>
      </c>
      <c r="B64" s="3" t="s">
        <v>53</v>
      </c>
      <c r="C64" s="3" t="s">
        <v>54</v>
      </c>
      <c r="D64" s="4">
        <v>40944</v>
      </c>
      <c r="E64" s="3" t="s">
        <v>96</v>
      </c>
      <c r="F64" s="3" t="s">
        <v>56</v>
      </c>
      <c r="G64" s="3" t="s">
        <v>57</v>
      </c>
      <c r="H64" s="3" t="s">
        <v>58</v>
      </c>
      <c r="I64" s="3" t="s">
        <v>94</v>
      </c>
      <c r="J64" s="62" t="str">
        <f t="shared" si="5"/>
        <v>DMoCZ15</v>
      </c>
      <c r="K64" s="3" t="s">
        <v>60</v>
      </c>
      <c r="L64" s="3">
        <v>1.24</v>
      </c>
      <c r="M64" s="3">
        <v>1240</v>
      </c>
      <c r="N64" s="3" t="s">
        <v>61</v>
      </c>
      <c r="O64" s="3">
        <v>0</v>
      </c>
      <c r="P64" s="3">
        <v>0</v>
      </c>
      <c r="Q64" s="3">
        <v>0</v>
      </c>
      <c r="R64" s="3">
        <v>2890</v>
      </c>
      <c r="S64" s="3">
        <v>2.89</v>
      </c>
      <c r="T64" s="3">
        <v>-30.5</v>
      </c>
      <c r="U64" s="3">
        <v>0</v>
      </c>
      <c r="V64" s="3">
        <v>0</v>
      </c>
      <c r="W64" s="3">
        <v>0</v>
      </c>
      <c r="X64" s="3">
        <v>1170</v>
      </c>
      <c r="Y64" s="3">
        <v>1.4</v>
      </c>
      <c r="Z64" s="3">
        <v>-30.7</v>
      </c>
      <c r="AC64" s="3">
        <v>2</v>
      </c>
      <c r="AD64" s="3" t="s">
        <v>62</v>
      </c>
      <c r="AE64" s="3" t="s">
        <v>63</v>
      </c>
      <c r="AF64" s="3" t="s">
        <v>95</v>
      </c>
      <c r="AG64" s="3" t="s">
        <v>96</v>
      </c>
      <c r="AH64" s="3" t="s">
        <v>11</v>
      </c>
      <c r="AI64" s="3" t="s">
        <v>61</v>
      </c>
      <c r="AJ64" s="3" t="s">
        <v>12</v>
      </c>
      <c r="AK64" s="3" t="s">
        <v>65</v>
      </c>
      <c r="AM64" s="3" t="s">
        <v>12</v>
      </c>
      <c r="AN64" s="3" t="s">
        <v>1</v>
      </c>
      <c r="AO64" s="3" t="s">
        <v>3</v>
      </c>
      <c r="AP64" s="3" t="s">
        <v>66</v>
      </c>
      <c r="AQ64" s="6">
        <f>IF($E64="SCE",VLOOKUP($AZ64,'ESAF_&amp;_PDAF_Summary'!$B$4:$D$18,2,0),1)</f>
        <v>1</v>
      </c>
      <c r="AR64" s="6">
        <f>IF($E64="SCE",VLOOKUP($AZ64,'ESAF_&amp;_PDAF_Summary'!$B$4:$D$18,3,0),1)</f>
        <v>1</v>
      </c>
      <c r="AS64" s="6">
        <f>IF($E64="SCE",VLOOKUP($AZ64,'ESAF_&amp;_PDAF_Summary'!$B$4:$E$18,4,0),1)</f>
        <v>1</v>
      </c>
      <c r="AT64" s="3" t="str">
        <f t="shared" si="11"/>
        <v>N/A</v>
      </c>
      <c r="AU64" s="3" t="str">
        <f t="shared" si="12"/>
        <v>N/A</v>
      </c>
      <c r="AV64" s="3">
        <v>0</v>
      </c>
      <c r="AW64" s="3" t="str">
        <f t="shared" si="13"/>
        <v>N/A</v>
      </c>
      <c r="AX64" s="3" t="str">
        <f t="shared" si="14"/>
        <v>N/A</v>
      </c>
      <c r="AY64" s="22" t="str">
        <f>IF($E64="PGE",($AY$4*$L64)+'Water Costs'!I$16-AW64,IF($E64="SCE",$AY$4+'Water Costs'!$I$9,"N/A"))</f>
        <v>N/A</v>
      </c>
      <c r="AZ64" s="3">
        <f t="shared" si="10"/>
        <v>15</v>
      </c>
    </row>
    <row r="65" spans="1:52" hidden="1" x14ac:dyDescent="0.25">
      <c r="A65" s="3" t="s">
        <v>11</v>
      </c>
      <c r="B65" s="3" t="s">
        <v>53</v>
      </c>
      <c r="C65" s="3" t="s">
        <v>54</v>
      </c>
      <c r="D65" s="4">
        <v>40944</v>
      </c>
      <c r="E65" s="3" t="s">
        <v>96</v>
      </c>
      <c r="F65" s="3" t="s">
        <v>56</v>
      </c>
      <c r="G65" s="3" t="s">
        <v>57</v>
      </c>
      <c r="H65" s="3" t="s">
        <v>58</v>
      </c>
      <c r="I65" s="3" t="s">
        <v>81</v>
      </c>
      <c r="J65" s="62" t="str">
        <f t="shared" si="5"/>
        <v>DMoCZ16</v>
      </c>
      <c r="K65" s="3" t="s">
        <v>60</v>
      </c>
      <c r="L65" s="3">
        <v>1.24</v>
      </c>
      <c r="M65" s="3">
        <v>1240</v>
      </c>
      <c r="N65" s="3" t="s">
        <v>61</v>
      </c>
      <c r="O65" s="3">
        <v>0</v>
      </c>
      <c r="P65" s="3">
        <v>0</v>
      </c>
      <c r="Q65" s="3">
        <v>0</v>
      </c>
      <c r="R65" s="3">
        <v>58.7</v>
      </c>
      <c r="S65" s="3">
        <v>1.97</v>
      </c>
      <c r="T65" s="3">
        <v>-151</v>
      </c>
      <c r="U65" s="3">
        <v>0</v>
      </c>
      <c r="V65" s="3">
        <v>0</v>
      </c>
      <c r="W65" s="3">
        <v>0</v>
      </c>
      <c r="X65" s="3">
        <v>-15.8</v>
      </c>
      <c r="Y65" s="3">
        <v>1.42</v>
      </c>
      <c r="Z65" s="3">
        <v>-151</v>
      </c>
      <c r="AC65" s="3">
        <v>2</v>
      </c>
      <c r="AD65" s="3" t="s">
        <v>62</v>
      </c>
      <c r="AE65" s="3" t="s">
        <v>63</v>
      </c>
      <c r="AF65" s="3" t="s">
        <v>82</v>
      </c>
      <c r="AG65" s="3" t="s">
        <v>96</v>
      </c>
      <c r="AH65" s="3" t="s">
        <v>11</v>
      </c>
      <c r="AI65" s="3" t="s">
        <v>61</v>
      </c>
      <c r="AJ65" s="3" t="s">
        <v>12</v>
      </c>
      <c r="AK65" s="3" t="s">
        <v>65</v>
      </c>
      <c r="AM65" s="3" t="s">
        <v>12</v>
      </c>
      <c r="AN65" s="3" t="s">
        <v>1</v>
      </c>
      <c r="AO65" s="3" t="s">
        <v>3</v>
      </c>
      <c r="AP65" s="3" t="s">
        <v>66</v>
      </c>
      <c r="AQ65" s="6">
        <f>IF($E65="SCE",VLOOKUP($AZ65,'ESAF_&amp;_PDAF_Summary'!$B$4:$D$18,2,0),1)</f>
        <v>1</v>
      </c>
      <c r="AR65" s="6">
        <f>IF($E65="SCE",VLOOKUP($AZ65,'ESAF_&amp;_PDAF_Summary'!$B$4:$D$18,3,0),1)</f>
        <v>1</v>
      </c>
      <c r="AS65" s="6">
        <f>IF($E65="SCE",VLOOKUP($AZ65,'ESAF_&amp;_PDAF_Summary'!$B$4:$E$18,4,0),1)</f>
        <v>1</v>
      </c>
      <c r="AT65" s="3" t="str">
        <f t="shared" si="11"/>
        <v>N/A</v>
      </c>
      <c r="AU65" s="56" t="str">
        <f t="shared" si="12"/>
        <v>N/A</v>
      </c>
      <c r="AV65" s="3">
        <v>0</v>
      </c>
      <c r="AW65" s="3" t="str">
        <f t="shared" si="13"/>
        <v>N/A</v>
      </c>
      <c r="AX65" s="3" t="str">
        <f t="shared" si="14"/>
        <v>N/A</v>
      </c>
      <c r="AY65" s="22" t="str">
        <f>IF($E65="PGE",($AY$4*$L65)+'Water Costs'!I$16-AW65,IF($E65="SCE",$AY$4+'Water Costs'!$I$9,"N/A"))</f>
        <v>N/A</v>
      </c>
      <c r="AZ65" s="3">
        <f t="shared" si="10"/>
        <v>16</v>
      </c>
    </row>
    <row r="66" spans="1:52" hidden="1" x14ac:dyDescent="0.25">
      <c r="A66" s="3" t="s">
        <v>11</v>
      </c>
      <c r="B66" s="3" t="s">
        <v>53</v>
      </c>
      <c r="C66" s="3" t="s">
        <v>54</v>
      </c>
      <c r="D66" s="4">
        <v>40944</v>
      </c>
      <c r="E66" s="3" t="s">
        <v>96</v>
      </c>
      <c r="F66" s="3" t="s">
        <v>83</v>
      </c>
      <c r="G66" s="3" t="s">
        <v>57</v>
      </c>
      <c r="H66" s="3" t="s">
        <v>58</v>
      </c>
      <c r="I66" s="3" t="s">
        <v>71</v>
      </c>
      <c r="J66" s="62" t="str">
        <f t="shared" si="5"/>
        <v>MFmCZ04</v>
      </c>
      <c r="K66" s="3" t="s">
        <v>60</v>
      </c>
      <c r="L66" s="3">
        <v>1.02</v>
      </c>
      <c r="M66" s="3">
        <v>1020</v>
      </c>
      <c r="N66" s="3" t="s">
        <v>61</v>
      </c>
      <c r="O66" s="3">
        <v>0</v>
      </c>
      <c r="P66" s="3">
        <v>0</v>
      </c>
      <c r="Q66" s="3">
        <v>0</v>
      </c>
      <c r="R66" s="3">
        <v>284</v>
      </c>
      <c r="S66" s="3">
        <v>0.79100000000000004</v>
      </c>
      <c r="T66" s="3">
        <v>-9.65</v>
      </c>
      <c r="U66" s="3">
        <v>0</v>
      </c>
      <c r="V66" s="3">
        <v>0</v>
      </c>
      <c r="W66" s="3">
        <v>0</v>
      </c>
      <c r="X66" s="3">
        <v>138</v>
      </c>
      <c r="Y66" s="3">
        <v>0.53700000000000003</v>
      </c>
      <c r="Z66" s="3">
        <v>-10.199999999999999</v>
      </c>
      <c r="AC66" s="3">
        <v>2</v>
      </c>
      <c r="AD66" s="3" t="s">
        <v>5</v>
      </c>
      <c r="AE66" s="3" t="s">
        <v>63</v>
      </c>
      <c r="AF66" s="3" t="s">
        <v>72</v>
      </c>
      <c r="AG66" s="3" t="s">
        <v>96</v>
      </c>
      <c r="AH66" s="3" t="s">
        <v>11</v>
      </c>
      <c r="AI66" s="3" t="s">
        <v>61</v>
      </c>
      <c r="AJ66" s="3" t="s">
        <v>12</v>
      </c>
      <c r="AK66" s="3" t="s">
        <v>65</v>
      </c>
      <c r="AM66" s="3" t="s">
        <v>12</v>
      </c>
      <c r="AN66" s="3" t="s">
        <v>1</v>
      </c>
      <c r="AO66" s="3" t="s">
        <v>3</v>
      </c>
      <c r="AP66" s="3" t="s">
        <v>66</v>
      </c>
      <c r="AQ66" s="6">
        <f>IF($E66="SCE",VLOOKUP($AZ66,'ESAF_&amp;_PDAF_Summary'!$B$4:$D$18,2,0),1)</f>
        <v>1</v>
      </c>
      <c r="AR66" s="6">
        <f>IF($E66="SCE",VLOOKUP($AZ66,'ESAF_&amp;_PDAF_Summary'!$B$4:$D$18,3,0),1)</f>
        <v>1</v>
      </c>
      <c r="AS66" s="6">
        <f>IF($E66="SCE",VLOOKUP($AZ66,'ESAF_&amp;_PDAF_Summary'!$B$4:$E$18,4,0),1)</f>
        <v>1</v>
      </c>
      <c r="AT66" s="3" t="str">
        <f t="shared" si="11"/>
        <v>N/A</v>
      </c>
      <c r="AU66" s="56" t="str">
        <f t="shared" si="12"/>
        <v>N/A</v>
      </c>
      <c r="AV66" s="3">
        <v>0</v>
      </c>
      <c r="AW66" s="3" t="str">
        <f t="shared" si="13"/>
        <v>N/A</v>
      </c>
      <c r="AX66" s="3" t="str">
        <f t="shared" si="14"/>
        <v>N/A</v>
      </c>
      <c r="AY66" s="22" t="str">
        <f>IF($E66="PGE",($AY$4*$L66)+'Water Costs'!I$16-AW66,IF($E66="SCE",$AY$4+'Water Costs'!$I$9,"N/A"))</f>
        <v>N/A</v>
      </c>
      <c r="AZ66" s="3">
        <f t="shared" si="10"/>
        <v>4</v>
      </c>
    </row>
    <row r="67" spans="1:52" hidden="1" x14ac:dyDescent="0.25">
      <c r="A67" s="3" t="s">
        <v>11</v>
      </c>
      <c r="B67" s="3" t="s">
        <v>53</v>
      </c>
      <c r="C67" s="3" t="s">
        <v>54</v>
      </c>
      <c r="D67" s="4">
        <v>40944</v>
      </c>
      <c r="E67" s="3" t="s">
        <v>96</v>
      </c>
      <c r="F67" s="3" t="s">
        <v>83</v>
      </c>
      <c r="G67" s="3" t="s">
        <v>57</v>
      </c>
      <c r="H67" s="3" t="s">
        <v>58</v>
      </c>
      <c r="I67" s="3" t="s">
        <v>73</v>
      </c>
      <c r="J67" s="62" t="str">
        <f t="shared" si="5"/>
        <v>MFmCZ05</v>
      </c>
      <c r="K67" s="3" t="s">
        <v>60</v>
      </c>
      <c r="L67" s="3">
        <v>0.92700000000000005</v>
      </c>
      <c r="M67" s="3">
        <v>927</v>
      </c>
      <c r="N67" s="3" t="s">
        <v>61</v>
      </c>
      <c r="O67" s="3">
        <v>0</v>
      </c>
      <c r="P67" s="3">
        <v>0</v>
      </c>
      <c r="Q67" s="3">
        <v>0</v>
      </c>
      <c r="R67" s="3">
        <v>128</v>
      </c>
      <c r="S67" s="3">
        <v>1.04</v>
      </c>
      <c r="T67" s="3">
        <v>-9.1199999999999992</v>
      </c>
      <c r="U67" s="3">
        <v>0</v>
      </c>
      <c r="V67" s="3">
        <v>0</v>
      </c>
      <c r="W67" s="3">
        <v>0</v>
      </c>
      <c r="X67" s="3">
        <v>69.8</v>
      </c>
      <c r="Y67" s="3">
        <v>0.67200000000000004</v>
      </c>
      <c r="Z67" s="3">
        <v>-9.58</v>
      </c>
      <c r="AC67" s="3">
        <v>2</v>
      </c>
      <c r="AD67" s="3" t="s">
        <v>5</v>
      </c>
      <c r="AE67" s="3" t="s">
        <v>63</v>
      </c>
      <c r="AF67" s="3" t="s">
        <v>74</v>
      </c>
      <c r="AG67" s="3" t="s">
        <v>96</v>
      </c>
      <c r="AH67" s="3" t="s">
        <v>11</v>
      </c>
      <c r="AI67" s="3" t="s">
        <v>61</v>
      </c>
      <c r="AJ67" s="3" t="s">
        <v>12</v>
      </c>
      <c r="AK67" s="3" t="s">
        <v>65</v>
      </c>
      <c r="AM67" s="3" t="s">
        <v>12</v>
      </c>
      <c r="AN67" s="3" t="s">
        <v>1</v>
      </c>
      <c r="AO67" s="3" t="s">
        <v>3</v>
      </c>
      <c r="AP67" s="3" t="s">
        <v>66</v>
      </c>
      <c r="AQ67" s="6">
        <f>IF($E67="SCE",VLOOKUP($AZ67,'ESAF_&amp;_PDAF_Summary'!$B$4:$D$18,2,0),1)</f>
        <v>1</v>
      </c>
      <c r="AR67" s="6">
        <f>IF($E67="SCE",VLOOKUP($AZ67,'ESAF_&amp;_PDAF_Summary'!$B$4:$D$18,3,0),1)</f>
        <v>1</v>
      </c>
      <c r="AS67" s="6">
        <f>IF($E67="SCE",VLOOKUP($AZ67,'ESAF_&amp;_PDAF_Summary'!$B$4:$E$18,4,0),1)</f>
        <v>1</v>
      </c>
      <c r="AT67" s="3" t="str">
        <f t="shared" si="11"/>
        <v>N/A</v>
      </c>
      <c r="AU67" s="3" t="str">
        <f t="shared" si="12"/>
        <v>N/A</v>
      </c>
      <c r="AV67" s="3">
        <v>0</v>
      </c>
      <c r="AW67" s="3" t="str">
        <f t="shared" si="13"/>
        <v>N/A</v>
      </c>
      <c r="AX67" s="3" t="str">
        <f t="shared" si="14"/>
        <v>N/A</v>
      </c>
      <c r="AY67" s="22" t="str">
        <f>IF($E67="PGE",($AY$4*$L67)+'Water Costs'!I$16-AW67,IF($E67="SCE",$AY$4+'Water Costs'!$I$9,"N/A"))</f>
        <v>N/A</v>
      </c>
      <c r="AZ67" s="3">
        <f t="shared" si="10"/>
        <v>5</v>
      </c>
    </row>
    <row r="68" spans="1:52" hidden="1" x14ac:dyDescent="0.25">
      <c r="A68" s="3" t="s">
        <v>11</v>
      </c>
      <c r="B68" s="3" t="s">
        <v>53</v>
      </c>
      <c r="C68" s="3" t="s">
        <v>54</v>
      </c>
      <c r="D68" s="4">
        <v>40944</v>
      </c>
      <c r="E68" s="3" t="s">
        <v>96</v>
      </c>
      <c r="F68" s="3" t="s">
        <v>83</v>
      </c>
      <c r="G68" s="3" t="s">
        <v>57</v>
      </c>
      <c r="H68" s="3" t="s">
        <v>58</v>
      </c>
      <c r="I68" s="3" t="s">
        <v>85</v>
      </c>
      <c r="J68" s="62" t="str">
        <f t="shared" si="5"/>
        <v>MFmCZ06</v>
      </c>
      <c r="K68" s="3" t="s">
        <v>60</v>
      </c>
      <c r="L68" s="3">
        <v>1.02</v>
      </c>
      <c r="M68" s="3">
        <v>1020</v>
      </c>
      <c r="N68" s="3" t="s">
        <v>61</v>
      </c>
      <c r="O68" s="3">
        <v>0</v>
      </c>
      <c r="P68" s="3">
        <v>0</v>
      </c>
      <c r="Q68" s="3">
        <v>0</v>
      </c>
      <c r="R68" s="3">
        <v>175</v>
      </c>
      <c r="S68" s="3">
        <v>0.97099999999999997</v>
      </c>
      <c r="T68" s="3">
        <v>-4.8600000000000003</v>
      </c>
      <c r="U68" s="3">
        <v>0</v>
      </c>
      <c r="V68" s="3">
        <v>0</v>
      </c>
      <c r="W68" s="3">
        <v>0</v>
      </c>
      <c r="X68" s="3">
        <v>95.5</v>
      </c>
      <c r="Y68" s="3">
        <v>0.55900000000000005</v>
      </c>
      <c r="Z68" s="3">
        <v>-5.13</v>
      </c>
      <c r="AC68" s="3">
        <v>2</v>
      </c>
      <c r="AD68" s="3" t="s">
        <v>5</v>
      </c>
      <c r="AE68" s="3" t="s">
        <v>63</v>
      </c>
      <c r="AF68" s="3" t="s">
        <v>86</v>
      </c>
      <c r="AG68" s="3" t="s">
        <v>96</v>
      </c>
      <c r="AH68" s="3" t="s">
        <v>11</v>
      </c>
      <c r="AI68" s="3" t="s">
        <v>61</v>
      </c>
      <c r="AJ68" s="3" t="s">
        <v>12</v>
      </c>
      <c r="AK68" s="3" t="s">
        <v>65</v>
      </c>
      <c r="AM68" s="3" t="s">
        <v>12</v>
      </c>
      <c r="AN68" s="3" t="s">
        <v>1</v>
      </c>
      <c r="AO68" s="3" t="s">
        <v>3</v>
      </c>
      <c r="AP68" s="3" t="s">
        <v>66</v>
      </c>
      <c r="AQ68" s="6">
        <f>IF($E68="SCE",VLOOKUP($AZ68,'ESAF_&amp;_PDAF_Summary'!$B$4:$D$18,2,0),1)</f>
        <v>1</v>
      </c>
      <c r="AR68" s="6">
        <f>IF($E68="SCE",VLOOKUP($AZ68,'ESAF_&amp;_PDAF_Summary'!$B$4:$D$18,3,0),1)</f>
        <v>1</v>
      </c>
      <c r="AS68" s="6">
        <f>IF($E68="SCE",VLOOKUP($AZ68,'ESAF_&amp;_PDAF_Summary'!$B$4:$E$18,4,0),1)</f>
        <v>1</v>
      </c>
      <c r="AT68" s="3" t="str">
        <f t="shared" si="11"/>
        <v>N/A</v>
      </c>
      <c r="AU68" s="3" t="str">
        <f t="shared" si="12"/>
        <v>N/A</v>
      </c>
      <c r="AV68" s="3">
        <v>0</v>
      </c>
      <c r="AW68" s="3" t="str">
        <f t="shared" si="13"/>
        <v>N/A</v>
      </c>
      <c r="AX68" s="3" t="str">
        <f t="shared" si="14"/>
        <v>N/A</v>
      </c>
      <c r="AY68" s="22" t="str">
        <f>IF($E68="PGE",($AY$4*$L68)+'Water Costs'!I$16-AW68,IF($E68="SCE",$AY$4+'Water Costs'!$I$9,"N/A"))</f>
        <v>N/A</v>
      </c>
      <c r="AZ68" s="3">
        <f t="shared" si="10"/>
        <v>6</v>
      </c>
    </row>
    <row r="69" spans="1:52" hidden="1" x14ac:dyDescent="0.25">
      <c r="A69" s="3" t="s">
        <v>11</v>
      </c>
      <c r="B69" s="3" t="s">
        <v>53</v>
      </c>
      <c r="C69" s="3" t="s">
        <v>54</v>
      </c>
      <c r="D69" s="4">
        <v>40944</v>
      </c>
      <c r="E69" s="3" t="s">
        <v>96</v>
      </c>
      <c r="F69" s="3" t="s">
        <v>83</v>
      </c>
      <c r="G69" s="3" t="s">
        <v>57</v>
      </c>
      <c r="H69" s="3" t="s">
        <v>58</v>
      </c>
      <c r="I69" s="3" t="s">
        <v>97</v>
      </c>
      <c r="J69" s="62" t="str">
        <f t="shared" si="5"/>
        <v>MFmCZ07</v>
      </c>
      <c r="K69" s="3" t="s">
        <v>60</v>
      </c>
      <c r="L69" s="3">
        <v>1.04</v>
      </c>
      <c r="M69" s="3">
        <v>1040</v>
      </c>
      <c r="N69" s="3" t="s">
        <v>61</v>
      </c>
      <c r="O69" s="3">
        <v>0</v>
      </c>
      <c r="P69" s="3">
        <v>0</v>
      </c>
      <c r="Q69" s="3">
        <v>0</v>
      </c>
      <c r="R69" s="3">
        <v>227</v>
      </c>
      <c r="S69" s="3">
        <v>0.82299999999999995</v>
      </c>
      <c r="T69" s="3">
        <v>-3.61</v>
      </c>
      <c r="U69" s="3">
        <v>0</v>
      </c>
      <c r="V69" s="3">
        <v>0</v>
      </c>
      <c r="W69" s="3">
        <v>0</v>
      </c>
      <c r="X69" s="3">
        <v>119</v>
      </c>
      <c r="Y69" s="3">
        <v>0.48399999999999999</v>
      </c>
      <c r="Z69" s="3">
        <v>-3.88</v>
      </c>
      <c r="AC69" s="3">
        <v>2</v>
      </c>
      <c r="AD69" s="3" t="s">
        <v>5</v>
      </c>
      <c r="AE69" s="3" t="s">
        <v>63</v>
      </c>
      <c r="AF69" s="3" t="s">
        <v>98</v>
      </c>
      <c r="AG69" s="3" t="s">
        <v>96</v>
      </c>
      <c r="AH69" s="3" t="s">
        <v>11</v>
      </c>
      <c r="AI69" s="3" t="s">
        <v>61</v>
      </c>
      <c r="AJ69" s="3" t="s">
        <v>12</v>
      </c>
      <c r="AK69" s="3" t="s">
        <v>65</v>
      </c>
      <c r="AM69" s="3" t="s">
        <v>12</v>
      </c>
      <c r="AN69" s="3" t="s">
        <v>1</v>
      </c>
      <c r="AO69" s="3" t="s">
        <v>3</v>
      </c>
      <c r="AP69" s="3" t="s">
        <v>66</v>
      </c>
      <c r="AQ69" s="6">
        <f>IF($E69="SCE",VLOOKUP($AZ69,'ESAF_&amp;_PDAF_Summary'!$B$4:$D$18,2,0),1)</f>
        <v>1</v>
      </c>
      <c r="AR69" s="6">
        <f>IF($E69="SCE",VLOOKUP($AZ69,'ESAF_&amp;_PDAF_Summary'!$B$4:$D$18,3,0),1)</f>
        <v>1</v>
      </c>
      <c r="AS69" s="6">
        <f>IF($E69="SCE",VLOOKUP($AZ69,'ESAF_&amp;_PDAF_Summary'!$B$4:$E$18,4,0),1)</f>
        <v>1</v>
      </c>
      <c r="AT69" s="3" t="str">
        <f t="shared" si="11"/>
        <v>N/A</v>
      </c>
      <c r="AU69" s="3" t="str">
        <f t="shared" si="12"/>
        <v>N/A</v>
      </c>
      <c r="AV69" s="3">
        <v>0</v>
      </c>
      <c r="AW69" s="3" t="str">
        <f t="shared" si="13"/>
        <v>N/A</v>
      </c>
      <c r="AX69" s="3" t="str">
        <f t="shared" si="14"/>
        <v>N/A</v>
      </c>
      <c r="AY69" s="22" t="str">
        <f>IF($E69="PGE",($AY$4*$L69)+'Water Costs'!I$16-AW69,IF($E69="SCE",$AY$4+'Water Costs'!$I$9,"N/A"))</f>
        <v>N/A</v>
      </c>
      <c r="AZ69" s="3">
        <f t="shared" si="10"/>
        <v>7</v>
      </c>
    </row>
    <row r="70" spans="1:52" hidden="1" x14ac:dyDescent="0.25">
      <c r="A70" s="3" t="s">
        <v>11</v>
      </c>
      <c r="B70" s="3" t="s">
        <v>53</v>
      </c>
      <c r="C70" s="3" t="s">
        <v>54</v>
      </c>
      <c r="D70" s="4">
        <v>40944</v>
      </c>
      <c r="E70" s="3" t="s">
        <v>96</v>
      </c>
      <c r="F70" s="3" t="s">
        <v>83</v>
      </c>
      <c r="G70" s="3" t="s">
        <v>57</v>
      </c>
      <c r="H70" s="3" t="s">
        <v>58</v>
      </c>
      <c r="I70" s="3" t="s">
        <v>87</v>
      </c>
      <c r="J70" s="62" t="str">
        <f t="shared" si="5"/>
        <v>MFmCZ08</v>
      </c>
      <c r="K70" s="3" t="s">
        <v>60</v>
      </c>
      <c r="L70" s="3">
        <v>1.01</v>
      </c>
      <c r="M70" s="3">
        <v>1010</v>
      </c>
      <c r="N70" s="3" t="s">
        <v>61</v>
      </c>
      <c r="O70" s="3">
        <v>0</v>
      </c>
      <c r="P70" s="3">
        <v>0</v>
      </c>
      <c r="Q70" s="3">
        <v>0</v>
      </c>
      <c r="R70" s="3">
        <v>440</v>
      </c>
      <c r="S70" s="3">
        <v>1.08</v>
      </c>
      <c r="T70" s="3">
        <v>-5.24</v>
      </c>
      <c r="U70" s="3">
        <v>0</v>
      </c>
      <c r="V70" s="3">
        <v>0</v>
      </c>
      <c r="W70" s="3">
        <v>0</v>
      </c>
      <c r="X70" s="3">
        <v>235</v>
      </c>
      <c r="Y70" s="3">
        <v>0.69899999999999995</v>
      </c>
      <c r="Z70" s="3">
        <v>-5.49</v>
      </c>
      <c r="AC70" s="3">
        <v>2</v>
      </c>
      <c r="AD70" s="3" t="s">
        <v>5</v>
      </c>
      <c r="AE70" s="3" t="s">
        <v>63</v>
      </c>
      <c r="AF70" s="3" t="s">
        <v>88</v>
      </c>
      <c r="AG70" s="3" t="s">
        <v>96</v>
      </c>
      <c r="AH70" s="3" t="s">
        <v>11</v>
      </c>
      <c r="AI70" s="3" t="s">
        <v>61</v>
      </c>
      <c r="AJ70" s="3" t="s">
        <v>12</v>
      </c>
      <c r="AK70" s="3" t="s">
        <v>65</v>
      </c>
      <c r="AM70" s="3" t="s">
        <v>12</v>
      </c>
      <c r="AN70" s="3" t="s">
        <v>1</v>
      </c>
      <c r="AO70" s="3" t="s">
        <v>3</v>
      </c>
      <c r="AP70" s="3" t="s">
        <v>66</v>
      </c>
      <c r="AQ70" s="6">
        <f>IF($E70="SCE",VLOOKUP($AZ70,'ESAF_&amp;_PDAF_Summary'!$B$4:$D$18,2,0),1)</f>
        <v>1</v>
      </c>
      <c r="AR70" s="6">
        <f>IF($E70="SCE",VLOOKUP($AZ70,'ESAF_&amp;_PDAF_Summary'!$B$4:$D$18,3,0),1)</f>
        <v>1</v>
      </c>
      <c r="AS70" s="6">
        <f>IF($E70="SCE",VLOOKUP($AZ70,'ESAF_&amp;_PDAF_Summary'!$B$4:$E$18,4,0),1)</f>
        <v>1</v>
      </c>
      <c r="AT70" s="3" t="str">
        <f t="shared" si="11"/>
        <v>N/A</v>
      </c>
      <c r="AU70" s="56" t="str">
        <f t="shared" si="12"/>
        <v>N/A</v>
      </c>
      <c r="AV70" s="3">
        <v>0</v>
      </c>
      <c r="AW70" s="3" t="str">
        <f t="shared" si="13"/>
        <v>N/A</v>
      </c>
      <c r="AX70" s="3" t="str">
        <f t="shared" si="14"/>
        <v>N/A</v>
      </c>
      <c r="AY70" s="22" t="str">
        <f>IF($E70="PGE",($AY$4*$L70)+'Water Costs'!I$16-AW70,IF($E70="SCE",$AY$4+'Water Costs'!$I$9,"N/A"))</f>
        <v>N/A</v>
      </c>
      <c r="AZ70" s="3">
        <f t="shared" si="10"/>
        <v>8</v>
      </c>
    </row>
    <row r="71" spans="1:52" hidden="1" x14ac:dyDescent="0.25">
      <c r="A71" s="3" t="s">
        <v>11</v>
      </c>
      <c r="B71" s="3" t="s">
        <v>53</v>
      </c>
      <c r="C71" s="3" t="s">
        <v>54</v>
      </c>
      <c r="D71" s="4">
        <v>40944</v>
      </c>
      <c r="E71" s="3" t="s">
        <v>96</v>
      </c>
      <c r="F71" s="3" t="s">
        <v>83</v>
      </c>
      <c r="G71" s="3" t="s">
        <v>57</v>
      </c>
      <c r="H71" s="3" t="s">
        <v>58</v>
      </c>
      <c r="I71" s="3" t="s">
        <v>89</v>
      </c>
      <c r="J71" s="62" t="str">
        <f t="shared" ref="J71:J100" si="15">CONCATENATE(F71,I71)</f>
        <v>MFmCZ09</v>
      </c>
      <c r="K71" s="3" t="s">
        <v>60</v>
      </c>
      <c r="L71" s="3">
        <v>1.1200000000000001</v>
      </c>
      <c r="M71" s="3">
        <v>1120</v>
      </c>
      <c r="N71" s="3" t="s">
        <v>61</v>
      </c>
      <c r="O71" s="3">
        <v>0</v>
      </c>
      <c r="P71" s="3">
        <v>0</v>
      </c>
      <c r="Q71" s="3">
        <v>0</v>
      </c>
      <c r="R71" s="3">
        <v>640</v>
      </c>
      <c r="S71" s="3">
        <v>1.08</v>
      </c>
      <c r="T71" s="3">
        <v>-6.13</v>
      </c>
      <c r="U71" s="3">
        <v>0</v>
      </c>
      <c r="V71" s="3">
        <v>0</v>
      </c>
      <c r="W71" s="3">
        <v>0</v>
      </c>
      <c r="X71" s="3">
        <v>336</v>
      </c>
      <c r="Y71" s="3">
        <v>0.68</v>
      </c>
      <c r="Z71" s="3">
        <v>-6.41</v>
      </c>
      <c r="AC71" s="3">
        <v>2</v>
      </c>
      <c r="AD71" s="3" t="s">
        <v>5</v>
      </c>
      <c r="AE71" s="3" t="s">
        <v>63</v>
      </c>
      <c r="AF71" s="3" t="s">
        <v>90</v>
      </c>
      <c r="AG71" s="3" t="s">
        <v>96</v>
      </c>
      <c r="AH71" s="3" t="s">
        <v>11</v>
      </c>
      <c r="AI71" s="3" t="s">
        <v>61</v>
      </c>
      <c r="AJ71" s="3" t="s">
        <v>12</v>
      </c>
      <c r="AK71" s="3" t="s">
        <v>65</v>
      </c>
      <c r="AM71" s="3" t="s">
        <v>12</v>
      </c>
      <c r="AN71" s="3" t="s">
        <v>1</v>
      </c>
      <c r="AO71" s="3" t="s">
        <v>3</v>
      </c>
      <c r="AP71" s="3" t="s">
        <v>66</v>
      </c>
      <c r="AQ71" s="6">
        <f>IF($E71="SCE",VLOOKUP($AZ71,'ESAF_&amp;_PDAF_Summary'!$B$4:$D$18,2,0),1)</f>
        <v>1</v>
      </c>
      <c r="AR71" s="6">
        <f>IF($E71="SCE",VLOOKUP($AZ71,'ESAF_&amp;_PDAF_Summary'!$B$4:$D$18,3,0),1)</f>
        <v>1</v>
      </c>
      <c r="AS71" s="6">
        <f>IF($E71="SCE",VLOOKUP($AZ71,'ESAF_&amp;_PDAF_Summary'!$B$4:$E$18,4,0),1)</f>
        <v>1</v>
      </c>
      <c r="AT71" s="3" t="str">
        <f t="shared" si="11"/>
        <v>N/A</v>
      </c>
      <c r="AU71" s="56" t="str">
        <f t="shared" si="12"/>
        <v>N/A</v>
      </c>
      <c r="AV71" s="3">
        <v>0</v>
      </c>
      <c r="AW71" s="3" t="str">
        <f t="shared" si="13"/>
        <v>N/A</v>
      </c>
      <c r="AX71" s="3" t="str">
        <f t="shared" si="14"/>
        <v>N/A</v>
      </c>
      <c r="AY71" s="22" t="str">
        <f>IF($E71="PGE",($AY$4*$L71)+'Water Costs'!I$16-AW71,IF($E71="SCE",$AY$4+'Water Costs'!$I$9,"N/A"))</f>
        <v>N/A</v>
      </c>
      <c r="AZ71" s="3">
        <f t="shared" si="10"/>
        <v>9</v>
      </c>
    </row>
    <row r="72" spans="1:52" hidden="1" x14ac:dyDescent="0.25">
      <c r="A72" s="3" t="s">
        <v>11</v>
      </c>
      <c r="B72" s="3" t="s">
        <v>53</v>
      </c>
      <c r="C72" s="3" t="s">
        <v>54</v>
      </c>
      <c r="D72" s="4">
        <v>40944</v>
      </c>
      <c r="E72" s="3" t="s">
        <v>96</v>
      </c>
      <c r="F72" s="3" t="s">
        <v>83</v>
      </c>
      <c r="G72" s="3" t="s">
        <v>57</v>
      </c>
      <c r="H72" s="3" t="s">
        <v>58</v>
      </c>
      <c r="I72" s="3" t="s">
        <v>91</v>
      </c>
      <c r="J72" s="62" t="str">
        <f t="shared" si="15"/>
        <v>MFmCZ10</v>
      </c>
      <c r="K72" s="3" t="s">
        <v>60</v>
      </c>
      <c r="L72" s="3">
        <v>1.18</v>
      </c>
      <c r="M72" s="3">
        <v>1180</v>
      </c>
      <c r="N72" s="3" t="s">
        <v>61</v>
      </c>
      <c r="O72" s="3">
        <v>0</v>
      </c>
      <c r="P72" s="3">
        <v>0</v>
      </c>
      <c r="Q72" s="3">
        <v>0</v>
      </c>
      <c r="R72" s="3">
        <v>802</v>
      </c>
      <c r="S72" s="3">
        <v>1.17</v>
      </c>
      <c r="T72" s="3">
        <v>-7.3</v>
      </c>
      <c r="U72" s="3">
        <v>0</v>
      </c>
      <c r="V72" s="3">
        <v>0</v>
      </c>
      <c r="W72" s="3">
        <v>0</v>
      </c>
      <c r="X72" s="3">
        <v>442</v>
      </c>
      <c r="Y72" s="3">
        <v>0.74299999999999999</v>
      </c>
      <c r="Z72" s="3">
        <v>-7.59</v>
      </c>
      <c r="AC72" s="3">
        <v>2</v>
      </c>
      <c r="AD72" s="3" t="s">
        <v>5</v>
      </c>
      <c r="AE72" s="3" t="s">
        <v>63</v>
      </c>
      <c r="AF72" s="3" t="s">
        <v>4</v>
      </c>
      <c r="AG72" s="3" t="s">
        <v>96</v>
      </c>
      <c r="AH72" s="3" t="s">
        <v>11</v>
      </c>
      <c r="AI72" s="3" t="s">
        <v>61</v>
      </c>
      <c r="AJ72" s="3" t="s">
        <v>12</v>
      </c>
      <c r="AK72" s="3" t="s">
        <v>65</v>
      </c>
      <c r="AM72" s="3" t="s">
        <v>12</v>
      </c>
      <c r="AN72" s="3" t="s">
        <v>1</v>
      </c>
      <c r="AO72" s="3" t="s">
        <v>3</v>
      </c>
      <c r="AP72" s="3" t="s">
        <v>66</v>
      </c>
      <c r="AQ72" s="6">
        <f>IF($E72="SCE",VLOOKUP($AZ72,'ESAF_&amp;_PDAF_Summary'!$B$4:$D$18,2,0),1)</f>
        <v>1</v>
      </c>
      <c r="AR72" s="6">
        <f>IF($E72="SCE",VLOOKUP($AZ72,'ESAF_&amp;_PDAF_Summary'!$B$4:$D$18,3,0),1)</f>
        <v>1</v>
      </c>
      <c r="AS72" s="6">
        <f>IF($E72="SCE",VLOOKUP($AZ72,'ESAF_&amp;_PDAF_Summary'!$B$4:$E$18,4,0),1)</f>
        <v>1</v>
      </c>
      <c r="AT72" s="3" t="str">
        <f t="shared" si="11"/>
        <v>N/A</v>
      </c>
      <c r="AU72" s="56" t="str">
        <f t="shared" si="12"/>
        <v>N/A</v>
      </c>
      <c r="AV72" s="3">
        <v>0</v>
      </c>
      <c r="AW72" s="3" t="str">
        <f t="shared" si="13"/>
        <v>N/A</v>
      </c>
      <c r="AX72" s="3" t="str">
        <f t="shared" si="14"/>
        <v>N/A</v>
      </c>
      <c r="AY72" s="22" t="str">
        <f>IF($E72="PGE",($AY$4*$L72)+'Water Costs'!I$16-AW72,IF($E72="SCE",$AY$4+'Water Costs'!$I$9,"N/A"))</f>
        <v>N/A</v>
      </c>
      <c r="AZ72" s="3">
        <f t="shared" si="10"/>
        <v>10</v>
      </c>
    </row>
    <row r="73" spans="1:52" hidden="1" x14ac:dyDescent="0.25">
      <c r="A73" s="3" t="s">
        <v>11</v>
      </c>
      <c r="B73" s="3" t="s">
        <v>53</v>
      </c>
      <c r="C73" s="3" t="s">
        <v>54</v>
      </c>
      <c r="D73" s="4">
        <v>40944</v>
      </c>
      <c r="E73" s="3" t="s">
        <v>96</v>
      </c>
      <c r="F73" s="3" t="s">
        <v>83</v>
      </c>
      <c r="G73" s="3" t="s">
        <v>57</v>
      </c>
      <c r="H73" s="3" t="s">
        <v>58</v>
      </c>
      <c r="I73" s="3" t="s">
        <v>79</v>
      </c>
      <c r="J73" s="62" t="str">
        <f t="shared" si="15"/>
        <v>MFmCZ13</v>
      </c>
      <c r="K73" s="3" t="s">
        <v>60</v>
      </c>
      <c r="L73" s="3">
        <v>0.97599999999999998</v>
      </c>
      <c r="M73" s="3">
        <v>976</v>
      </c>
      <c r="N73" s="3" t="s">
        <v>61</v>
      </c>
      <c r="O73" s="3">
        <v>0</v>
      </c>
      <c r="P73" s="3">
        <v>0</v>
      </c>
      <c r="Q73" s="3">
        <v>0</v>
      </c>
      <c r="R73" s="3">
        <v>1120</v>
      </c>
      <c r="S73" s="3">
        <v>1.27</v>
      </c>
      <c r="T73" s="3">
        <v>-19.100000000000001</v>
      </c>
      <c r="U73" s="3">
        <v>0</v>
      </c>
      <c r="V73" s="3">
        <v>0</v>
      </c>
      <c r="W73" s="3">
        <v>0</v>
      </c>
      <c r="X73" s="3">
        <v>618</v>
      </c>
      <c r="Y73" s="3">
        <v>0.79800000000000004</v>
      </c>
      <c r="Z73" s="3">
        <v>-19.7</v>
      </c>
      <c r="AC73" s="3">
        <v>2</v>
      </c>
      <c r="AD73" s="3" t="s">
        <v>5</v>
      </c>
      <c r="AE73" s="3" t="s">
        <v>63</v>
      </c>
      <c r="AF73" s="3" t="s">
        <v>80</v>
      </c>
      <c r="AG73" s="3" t="s">
        <v>96</v>
      </c>
      <c r="AH73" s="3" t="s">
        <v>11</v>
      </c>
      <c r="AI73" s="3" t="s">
        <v>61</v>
      </c>
      <c r="AJ73" s="3" t="s">
        <v>12</v>
      </c>
      <c r="AK73" s="3" t="s">
        <v>65</v>
      </c>
      <c r="AM73" s="3" t="s">
        <v>12</v>
      </c>
      <c r="AN73" s="3" t="s">
        <v>1</v>
      </c>
      <c r="AO73" s="3" t="s">
        <v>3</v>
      </c>
      <c r="AP73" s="3" t="s">
        <v>66</v>
      </c>
      <c r="AQ73" s="6">
        <f>IF($E73="SCE",VLOOKUP($AZ73,'ESAF_&amp;_PDAF_Summary'!$B$4:$D$18,2,0),1)</f>
        <v>1</v>
      </c>
      <c r="AR73" s="6">
        <f>IF($E73="SCE",VLOOKUP($AZ73,'ESAF_&amp;_PDAF_Summary'!$B$4:$D$18,3,0),1)</f>
        <v>1</v>
      </c>
      <c r="AS73" s="6">
        <f>IF($E73="SCE",VLOOKUP($AZ73,'ESAF_&amp;_PDAF_Summary'!$B$4:$E$18,4,0),1)</f>
        <v>1</v>
      </c>
      <c r="AT73" s="3" t="str">
        <f t="shared" si="11"/>
        <v>N/A</v>
      </c>
      <c r="AU73" s="3" t="str">
        <f t="shared" si="12"/>
        <v>N/A</v>
      </c>
      <c r="AV73" s="3">
        <v>0</v>
      </c>
      <c r="AW73" s="3" t="str">
        <f t="shared" si="13"/>
        <v>N/A</v>
      </c>
      <c r="AX73" s="3" t="str">
        <f t="shared" si="14"/>
        <v>N/A</v>
      </c>
      <c r="AY73" s="22" t="str">
        <f>IF($E73="PGE",($AY$4*$L73)+'Water Costs'!I$16-AW73,IF($E73="SCE",$AY$4+'Water Costs'!$I$9,"N/A"))</f>
        <v>N/A</v>
      </c>
      <c r="AZ73" s="3">
        <f t="shared" si="10"/>
        <v>13</v>
      </c>
    </row>
    <row r="74" spans="1:52" hidden="1" x14ac:dyDescent="0.25">
      <c r="A74" s="3" t="s">
        <v>11</v>
      </c>
      <c r="B74" s="3" t="s">
        <v>53</v>
      </c>
      <c r="C74" s="3" t="s">
        <v>54</v>
      </c>
      <c r="D74" s="4">
        <v>40944</v>
      </c>
      <c r="E74" s="3" t="s">
        <v>96</v>
      </c>
      <c r="F74" s="3" t="s">
        <v>83</v>
      </c>
      <c r="G74" s="3" t="s">
        <v>57</v>
      </c>
      <c r="H74" s="3" t="s">
        <v>58</v>
      </c>
      <c r="I74" s="3" t="s">
        <v>92</v>
      </c>
      <c r="J74" s="62" t="str">
        <f t="shared" si="15"/>
        <v>MFmCZ14</v>
      </c>
      <c r="K74" s="3" t="s">
        <v>60</v>
      </c>
      <c r="L74" s="3">
        <v>1.25</v>
      </c>
      <c r="M74" s="3">
        <v>1250</v>
      </c>
      <c r="N74" s="3" t="s">
        <v>61</v>
      </c>
      <c r="O74" s="3">
        <v>0</v>
      </c>
      <c r="P74" s="3">
        <v>0</v>
      </c>
      <c r="Q74" s="3">
        <v>0</v>
      </c>
      <c r="R74" s="3">
        <v>989</v>
      </c>
      <c r="S74" s="3">
        <v>1.47</v>
      </c>
      <c r="T74" s="3">
        <v>-15.3</v>
      </c>
      <c r="U74" s="3">
        <v>0</v>
      </c>
      <c r="V74" s="3">
        <v>0</v>
      </c>
      <c r="W74" s="3">
        <v>0</v>
      </c>
      <c r="X74" s="3">
        <v>636</v>
      </c>
      <c r="Y74" s="3">
        <v>0.98599999999999999</v>
      </c>
      <c r="Z74" s="3">
        <v>-15.7</v>
      </c>
      <c r="AC74" s="3">
        <v>2</v>
      </c>
      <c r="AD74" s="3" t="s">
        <v>5</v>
      </c>
      <c r="AE74" s="3" t="s">
        <v>63</v>
      </c>
      <c r="AF74" s="3" t="s">
        <v>93</v>
      </c>
      <c r="AG74" s="3" t="s">
        <v>96</v>
      </c>
      <c r="AH74" s="3" t="s">
        <v>11</v>
      </c>
      <c r="AI74" s="3" t="s">
        <v>61</v>
      </c>
      <c r="AJ74" s="3" t="s">
        <v>12</v>
      </c>
      <c r="AK74" s="3" t="s">
        <v>65</v>
      </c>
      <c r="AM74" s="3" t="s">
        <v>12</v>
      </c>
      <c r="AN74" s="3" t="s">
        <v>1</v>
      </c>
      <c r="AO74" s="3" t="s">
        <v>3</v>
      </c>
      <c r="AP74" s="3" t="s">
        <v>66</v>
      </c>
      <c r="AQ74" s="6">
        <f>IF($E74="SCE",VLOOKUP($AZ74,'ESAF_&amp;_PDAF_Summary'!$B$4:$D$18,2,0),1)</f>
        <v>1</v>
      </c>
      <c r="AR74" s="6">
        <f>IF($E74="SCE",VLOOKUP($AZ74,'ESAF_&amp;_PDAF_Summary'!$B$4:$D$18,3,0),1)</f>
        <v>1</v>
      </c>
      <c r="AS74" s="6">
        <f>IF($E74="SCE",VLOOKUP($AZ74,'ESAF_&amp;_PDAF_Summary'!$B$4:$E$18,4,0),1)</f>
        <v>1</v>
      </c>
      <c r="AT74" s="3" t="str">
        <f t="shared" si="11"/>
        <v>N/A</v>
      </c>
      <c r="AU74" s="3" t="str">
        <f t="shared" si="12"/>
        <v>N/A</v>
      </c>
      <c r="AV74" s="3">
        <v>0</v>
      </c>
      <c r="AW74" s="3" t="str">
        <f t="shared" si="13"/>
        <v>N/A</v>
      </c>
      <c r="AX74" s="3" t="str">
        <f t="shared" si="14"/>
        <v>N/A</v>
      </c>
      <c r="AY74" s="22" t="str">
        <f>IF($E74="PGE",($AY$4*$L74)+'Water Costs'!I$16-AW74,IF($E74="SCE",$AY$4+'Water Costs'!$I$9,"N/A"))</f>
        <v>N/A</v>
      </c>
      <c r="AZ74" s="3">
        <f t="shared" si="10"/>
        <v>14</v>
      </c>
    </row>
    <row r="75" spans="1:52" hidden="1" x14ac:dyDescent="0.25">
      <c r="A75" s="3" t="s">
        <v>11</v>
      </c>
      <c r="B75" s="3" t="s">
        <v>53</v>
      </c>
      <c r="C75" s="3" t="s">
        <v>54</v>
      </c>
      <c r="D75" s="4">
        <v>40944</v>
      </c>
      <c r="E75" s="3" t="s">
        <v>96</v>
      </c>
      <c r="F75" s="3" t="s">
        <v>83</v>
      </c>
      <c r="G75" s="3" t="s">
        <v>57</v>
      </c>
      <c r="H75" s="3" t="s">
        <v>58</v>
      </c>
      <c r="I75" s="3" t="s">
        <v>94</v>
      </c>
      <c r="J75" s="62" t="str">
        <f t="shared" si="15"/>
        <v>MFmCZ15</v>
      </c>
      <c r="K75" s="3" t="s">
        <v>60</v>
      </c>
      <c r="L75" s="3">
        <v>1.26</v>
      </c>
      <c r="M75" s="3">
        <v>1260</v>
      </c>
      <c r="N75" s="3" t="s">
        <v>61</v>
      </c>
      <c r="O75" s="3">
        <v>0</v>
      </c>
      <c r="P75" s="3">
        <v>0</v>
      </c>
      <c r="Q75" s="3">
        <v>0</v>
      </c>
      <c r="R75" s="3">
        <v>1930</v>
      </c>
      <c r="S75" s="3">
        <v>1.52</v>
      </c>
      <c r="T75" s="3">
        <v>-4.0999999999999996</v>
      </c>
      <c r="U75" s="3">
        <v>0</v>
      </c>
      <c r="V75" s="3">
        <v>0</v>
      </c>
      <c r="W75" s="3">
        <v>0</v>
      </c>
      <c r="X75" s="3">
        <v>1130</v>
      </c>
      <c r="Y75" s="3">
        <v>1.01</v>
      </c>
      <c r="Z75" s="3">
        <v>-4.2699999999999996</v>
      </c>
      <c r="AC75" s="3">
        <v>2</v>
      </c>
      <c r="AD75" s="3" t="s">
        <v>5</v>
      </c>
      <c r="AE75" s="3" t="s">
        <v>63</v>
      </c>
      <c r="AF75" s="3" t="s">
        <v>95</v>
      </c>
      <c r="AG75" s="3" t="s">
        <v>96</v>
      </c>
      <c r="AH75" s="3" t="s">
        <v>11</v>
      </c>
      <c r="AI75" s="3" t="s">
        <v>61</v>
      </c>
      <c r="AJ75" s="3" t="s">
        <v>12</v>
      </c>
      <c r="AK75" s="3" t="s">
        <v>65</v>
      </c>
      <c r="AM75" s="3" t="s">
        <v>12</v>
      </c>
      <c r="AN75" s="3" t="s">
        <v>1</v>
      </c>
      <c r="AO75" s="3" t="s">
        <v>3</v>
      </c>
      <c r="AP75" s="3" t="s">
        <v>66</v>
      </c>
      <c r="AQ75" s="6">
        <f>IF($E75="SCE",VLOOKUP($AZ75,'ESAF_&amp;_PDAF_Summary'!$B$4:$D$18,2,0),1)</f>
        <v>1</v>
      </c>
      <c r="AR75" s="6">
        <f>IF($E75="SCE",VLOOKUP($AZ75,'ESAF_&amp;_PDAF_Summary'!$B$4:$D$18,3,0),1)</f>
        <v>1</v>
      </c>
      <c r="AS75" s="6">
        <f>IF($E75="SCE",VLOOKUP($AZ75,'ESAF_&amp;_PDAF_Summary'!$B$4:$E$18,4,0),1)</f>
        <v>1</v>
      </c>
      <c r="AT75" s="3" t="str">
        <f t="shared" si="11"/>
        <v>N/A</v>
      </c>
      <c r="AU75" s="3" t="str">
        <f t="shared" si="12"/>
        <v>N/A</v>
      </c>
      <c r="AV75" s="3">
        <v>0</v>
      </c>
      <c r="AW75" s="3" t="str">
        <f t="shared" si="13"/>
        <v>N/A</v>
      </c>
      <c r="AX75" s="3" t="str">
        <f t="shared" si="14"/>
        <v>N/A</v>
      </c>
      <c r="AY75" s="22" t="str">
        <f>IF($E75="PGE",($AY$4*$L75)+'Water Costs'!I$16-AW75,IF($E75="SCE",$AY$4+'Water Costs'!$I$9,"N/A"))</f>
        <v>N/A</v>
      </c>
      <c r="AZ75" s="3">
        <f t="shared" si="10"/>
        <v>15</v>
      </c>
    </row>
    <row r="76" spans="1:52" hidden="1" x14ac:dyDescent="0.25">
      <c r="A76" s="3" t="s">
        <v>11</v>
      </c>
      <c r="B76" s="3" t="s">
        <v>53</v>
      </c>
      <c r="C76" s="3" t="s">
        <v>54</v>
      </c>
      <c r="D76" s="4">
        <v>40944</v>
      </c>
      <c r="E76" s="3" t="s">
        <v>96</v>
      </c>
      <c r="F76" s="3" t="s">
        <v>83</v>
      </c>
      <c r="G76" s="3" t="s">
        <v>57</v>
      </c>
      <c r="H76" s="3" t="s">
        <v>58</v>
      </c>
      <c r="I76" s="3" t="s">
        <v>81</v>
      </c>
      <c r="J76" s="62" t="str">
        <f t="shared" si="15"/>
        <v>MFmCZ16</v>
      </c>
      <c r="K76" s="3" t="s">
        <v>60</v>
      </c>
      <c r="L76" s="3">
        <v>1</v>
      </c>
      <c r="M76" s="3">
        <v>1000</v>
      </c>
      <c r="N76" s="3" t="s">
        <v>61</v>
      </c>
      <c r="O76" s="3">
        <v>0</v>
      </c>
      <c r="P76" s="3">
        <v>0</v>
      </c>
      <c r="Q76" s="3">
        <v>0</v>
      </c>
      <c r="R76" s="3">
        <v>250</v>
      </c>
      <c r="S76" s="3">
        <v>1.1200000000000001</v>
      </c>
      <c r="T76" s="3">
        <v>-34.700000000000003</v>
      </c>
      <c r="U76" s="3">
        <v>0</v>
      </c>
      <c r="V76" s="3">
        <v>0</v>
      </c>
      <c r="W76" s="3">
        <v>0</v>
      </c>
      <c r="X76" s="3">
        <v>135</v>
      </c>
      <c r="Y76" s="3">
        <v>0.71299999999999997</v>
      </c>
      <c r="Z76" s="3">
        <v>-35.700000000000003</v>
      </c>
      <c r="AC76" s="3">
        <v>2</v>
      </c>
      <c r="AD76" s="3" t="s">
        <v>5</v>
      </c>
      <c r="AE76" s="3" t="s">
        <v>63</v>
      </c>
      <c r="AF76" s="3" t="s">
        <v>82</v>
      </c>
      <c r="AG76" s="3" t="s">
        <v>96</v>
      </c>
      <c r="AH76" s="3" t="s">
        <v>11</v>
      </c>
      <c r="AI76" s="3" t="s">
        <v>61</v>
      </c>
      <c r="AJ76" s="3" t="s">
        <v>12</v>
      </c>
      <c r="AK76" s="3" t="s">
        <v>65</v>
      </c>
      <c r="AM76" s="3" t="s">
        <v>12</v>
      </c>
      <c r="AN76" s="3" t="s">
        <v>1</v>
      </c>
      <c r="AO76" s="3" t="s">
        <v>3</v>
      </c>
      <c r="AP76" s="3" t="s">
        <v>66</v>
      </c>
      <c r="AQ76" s="6">
        <f>IF($E76="SCE",VLOOKUP($AZ76,'ESAF_&amp;_PDAF_Summary'!$B$4:$D$18,2,0),1)</f>
        <v>1</v>
      </c>
      <c r="AR76" s="6">
        <f>IF($E76="SCE",VLOOKUP($AZ76,'ESAF_&amp;_PDAF_Summary'!$B$4:$D$18,3,0),1)</f>
        <v>1</v>
      </c>
      <c r="AS76" s="6">
        <f>IF($E76="SCE",VLOOKUP($AZ76,'ESAF_&amp;_PDAF_Summary'!$B$4:$E$18,4,0),1)</f>
        <v>1</v>
      </c>
      <c r="AT76" s="3" t="str">
        <f t="shared" si="11"/>
        <v>N/A</v>
      </c>
      <c r="AU76" s="3" t="str">
        <f t="shared" si="12"/>
        <v>N/A</v>
      </c>
      <c r="AV76" s="3">
        <v>0</v>
      </c>
      <c r="AW76" s="3" t="str">
        <f t="shared" si="13"/>
        <v>N/A</v>
      </c>
      <c r="AX76" s="3" t="str">
        <f t="shared" si="14"/>
        <v>N/A</v>
      </c>
      <c r="AY76" s="22" t="str">
        <f>IF($E76="PGE",($AY$4*$L76)+'Water Costs'!I$16-AW76,IF($E76="SCE",$AY$4+'Water Costs'!$I$9,"N/A"))</f>
        <v>N/A</v>
      </c>
      <c r="AZ76" s="3">
        <f t="shared" si="10"/>
        <v>16</v>
      </c>
    </row>
    <row r="77" spans="1:52" hidden="1" x14ac:dyDescent="0.25">
      <c r="A77" s="3" t="s">
        <v>11</v>
      </c>
      <c r="B77" s="3" t="s">
        <v>53</v>
      </c>
      <c r="C77" s="3" t="s">
        <v>54</v>
      </c>
      <c r="D77" s="4">
        <v>40944</v>
      </c>
      <c r="E77" s="3" t="s">
        <v>96</v>
      </c>
      <c r="F77" s="3" t="s">
        <v>84</v>
      </c>
      <c r="G77" s="3" t="s">
        <v>57</v>
      </c>
      <c r="H77" s="3" t="s">
        <v>58</v>
      </c>
      <c r="I77" s="3" t="s">
        <v>71</v>
      </c>
      <c r="J77" s="62" t="str">
        <f t="shared" si="15"/>
        <v>SFmCZ04</v>
      </c>
      <c r="K77" s="3" t="s">
        <v>60</v>
      </c>
      <c r="L77" s="3">
        <v>1.92</v>
      </c>
      <c r="M77" s="3">
        <v>1920</v>
      </c>
      <c r="N77" s="3" t="s">
        <v>61</v>
      </c>
      <c r="O77" s="3">
        <v>0</v>
      </c>
      <c r="P77" s="3">
        <v>0</v>
      </c>
      <c r="Q77" s="3">
        <v>0</v>
      </c>
      <c r="R77" s="3">
        <v>393</v>
      </c>
      <c r="S77" s="3">
        <v>0.85399999999999998</v>
      </c>
      <c r="T77" s="3">
        <v>-37.5</v>
      </c>
      <c r="U77" s="3">
        <v>0</v>
      </c>
      <c r="V77" s="3">
        <v>0</v>
      </c>
      <c r="W77" s="3">
        <v>0</v>
      </c>
      <c r="X77" s="3">
        <v>206</v>
      </c>
      <c r="Y77" s="3">
        <v>0.58799999999999997</v>
      </c>
      <c r="Z77" s="3">
        <v>-37.9</v>
      </c>
      <c r="AC77" s="3">
        <v>2</v>
      </c>
      <c r="AD77" s="3" t="s">
        <v>2</v>
      </c>
      <c r="AE77" s="3" t="s">
        <v>63</v>
      </c>
      <c r="AF77" s="3" t="s">
        <v>72</v>
      </c>
      <c r="AG77" s="3" t="s">
        <v>96</v>
      </c>
      <c r="AH77" s="3" t="s">
        <v>11</v>
      </c>
      <c r="AI77" s="3" t="s">
        <v>61</v>
      </c>
      <c r="AJ77" s="3" t="s">
        <v>12</v>
      </c>
      <c r="AK77" s="3" t="s">
        <v>65</v>
      </c>
      <c r="AM77" s="3" t="s">
        <v>12</v>
      </c>
      <c r="AN77" s="3" t="s">
        <v>1</v>
      </c>
      <c r="AO77" s="3" t="s">
        <v>3</v>
      </c>
      <c r="AP77" s="3" t="s">
        <v>66</v>
      </c>
      <c r="AQ77" s="6">
        <f>IF($E77="SCE",VLOOKUP($AZ77,'ESAF_&amp;_PDAF_Summary'!$B$4:$D$18,2,0),1)</f>
        <v>1</v>
      </c>
      <c r="AR77" s="6">
        <f>IF($E77="SCE",VLOOKUP($AZ77,'ESAF_&amp;_PDAF_Summary'!$B$4:$D$18,3,0),1)</f>
        <v>1</v>
      </c>
      <c r="AS77" s="6">
        <f>IF($E77="SCE",VLOOKUP($AZ77,'ESAF_&amp;_PDAF_Summary'!$B$4:$E$18,4,0),1)</f>
        <v>1</v>
      </c>
      <c r="AT77" s="3" t="str">
        <f t="shared" si="11"/>
        <v>N/A</v>
      </c>
      <c r="AU77" s="56" t="str">
        <f t="shared" si="12"/>
        <v>N/A</v>
      </c>
      <c r="AV77" s="3">
        <v>0</v>
      </c>
      <c r="AW77" s="3" t="str">
        <f t="shared" si="13"/>
        <v>N/A</v>
      </c>
      <c r="AX77" s="3" t="str">
        <f t="shared" si="14"/>
        <v>N/A</v>
      </c>
      <c r="AY77" s="22" t="str">
        <f>IF($E77="PGE",($AY$4*$L77)+'Water Costs'!I$16-AW77,IF($E77="SCE",$AY$4+'Water Costs'!$I$9,"N/A"))</f>
        <v>N/A</v>
      </c>
      <c r="AZ77" s="3">
        <f t="shared" si="10"/>
        <v>4</v>
      </c>
    </row>
    <row r="78" spans="1:52" hidden="1" x14ac:dyDescent="0.25">
      <c r="A78" s="3" t="s">
        <v>11</v>
      </c>
      <c r="B78" s="3" t="s">
        <v>53</v>
      </c>
      <c r="C78" s="3" t="s">
        <v>54</v>
      </c>
      <c r="D78" s="4">
        <v>40944</v>
      </c>
      <c r="E78" s="3" t="s">
        <v>96</v>
      </c>
      <c r="F78" s="3" t="s">
        <v>84</v>
      </c>
      <c r="G78" s="3" t="s">
        <v>57</v>
      </c>
      <c r="H78" s="3" t="s">
        <v>58</v>
      </c>
      <c r="I78" s="3" t="s">
        <v>73</v>
      </c>
      <c r="J78" s="62" t="str">
        <f t="shared" si="15"/>
        <v>SFmCZ05</v>
      </c>
      <c r="K78" s="3" t="s">
        <v>60</v>
      </c>
      <c r="L78" s="3">
        <v>1.77</v>
      </c>
      <c r="M78" s="3">
        <v>1770</v>
      </c>
      <c r="N78" s="3" t="s">
        <v>61</v>
      </c>
      <c r="O78" s="3">
        <v>0</v>
      </c>
      <c r="P78" s="3">
        <v>0</v>
      </c>
      <c r="Q78" s="3">
        <v>0</v>
      </c>
      <c r="R78" s="3">
        <v>203</v>
      </c>
      <c r="S78" s="3">
        <v>1.38</v>
      </c>
      <c r="T78" s="3">
        <v>-41.7</v>
      </c>
      <c r="U78" s="3">
        <v>0</v>
      </c>
      <c r="V78" s="3">
        <v>0</v>
      </c>
      <c r="W78" s="3">
        <v>0</v>
      </c>
      <c r="X78" s="3">
        <v>102</v>
      </c>
      <c r="Y78" s="3">
        <v>0.876</v>
      </c>
      <c r="Z78" s="3">
        <v>-42.2</v>
      </c>
      <c r="AC78" s="3">
        <v>2</v>
      </c>
      <c r="AD78" s="3" t="s">
        <v>2</v>
      </c>
      <c r="AE78" s="3" t="s">
        <v>63</v>
      </c>
      <c r="AF78" s="3" t="s">
        <v>74</v>
      </c>
      <c r="AG78" s="3" t="s">
        <v>96</v>
      </c>
      <c r="AH78" s="3" t="s">
        <v>11</v>
      </c>
      <c r="AI78" s="3" t="s">
        <v>61</v>
      </c>
      <c r="AJ78" s="3" t="s">
        <v>12</v>
      </c>
      <c r="AK78" s="3" t="s">
        <v>65</v>
      </c>
      <c r="AM78" s="3" t="s">
        <v>12</v>
      </c>
      <c r="AN78" s="3" t="s">
        <v>1</v>
      </c>
      <c r="AO78" s="3" t="s">
        <v>3</v>
      </c>
      <c r="AP78" s="3" t="s">
        <v>66</v>
      </c>
      <c r="AQ78" s="6">
        <f>IF($E78="SCE",VLOOKUP($AZ78,'ESAF_&amp;_PDAF_Summary'!$B$4:$D$18,2,0),1)</f>
        <v>1</v>
      </c>
      <c r="AR78" s="6">
        <f>IF($E78="SCE",VLOOKUP($AZ78,'ESAF_&amp;_PDAF_Summary'!$B$4:$D$18,3,0),1)</f>
        <v>1</v>
      </c>
      <c r="AS78" s="6">
        <f>IF($E78="SCE",VLOOKUP($AZ78,'ESAF_&amp;_PDAF_Summary'!$B$4:$E$18,4,0),1)</f>
        <v>1</v>
      </c>
      <c r="AT78" s="3" t="str">
        <f t="shared" si="11"/>
        <v>N/A</v>
      </c>
      <c r="AU78" s="56" t="str">
        <f t="shared" si="12"/>
        <v>N/A</v>
      </c>
      <c r="AV78" s="3">
        <v>0</v>
      </c>
      <c r="AW78" s="3" t="str">
        <f t="shared" si="13"/>
        <v>N/A</v>
      </c>
      <c r="AX78" s="3" t="str">
        <f t="shared" si="14"/>
        <v>N/A</v>
      </c>
      <c r="AY78" s="22" t="str">
        <f>IF($E78="PGE",($AY$4*$L78)+'Water Costs'!I$16-AW78,IF($E78="SCE",$AY$4+'Water Costs'!$I$9,"N/A"))</f>
        <v>N/A</v>
      </c>
      <c r="AZ78" s="3">
        <f t="shared" si="10"/>
        <v>5</v>
      </c>
    </row>
    <row r="79" spans="1:52" hidden="1" x14ac:dyDescent="0.25">
      <c r="A79" s="3" t="s">
        <v>11</v>
      </c>
      <c r="B79" s="3" t="s">
        <v>53</v>
      </c>
      <c r="C79" s="3" t="s">
        <v>54</v>
      </c>
      <c r="D79" s="4">
        <v>40944</v>
      </c>
      <c r="E79" s="3" t="s">
        <v>96</v>
      </c>
      <c r="F79" s="3" t="s">
        <v>84</v>
      </c>
      <c r="G79" s="3" t="s">
        <v>57</v>
      </c>
      <c r="H79" s="3" t="s">
        <v>58</v>
      </c>
      <c r="I79" s="3" t="s">
        <v>85</v>
      </c>
      <c r="J79" s="62" t="str">
        <f t="shared" si="15"/>
        <v>SFmCZ06</v>
      </c>
      <c r="K79" s="3" t="s">
        <v>60</v>
      </c>
      <c r="L79" s="3">
        <v>1.8</v>
      </c>
      <c r="M79" s="3">
        <v>1800</v>
      </c>
      <c r="N79" s="3" t="s">
        <v>61</v>
      </c>
      <c r="O79" s="3">
        <v>0</v>
      </c>
      <c r="P79" s="3">
        <v>0</v>
      </c>
      <c r="Q79" s="3">
        <v>0</v>
      </c>
      <c r="R79" s="3">
        <v>318</v>
      </c>
      <c r="S79" s="3">
        <v>1.26</v>
      </c>
      <c r="T79" s="3">
        <v>-25.2</v>
      </c>
      <c r="U79" s="3">
        <v>0</v>
      </c>
      <c r="V79" s="3">
        <v>0</v>
      </c>
      <c r="W79" s="3">
        <v>0</v>
      </c>
      <c r="X79" s="3">
        <v>174</v>
      </c>
      <c r="Y79" s="3">
        <v>0.749</v>
      </c>
      <c r="Z79" s="3">
        <v>-25.4</v>
      </c>
      <c r="AC79" s="3">
        <v>2</v>
      </c>
      <c r="AD79" s="3" t="s">
        <v>2</v>
      </c>
      <c r="AE79" s="3" t="s">
        <v>63</v>
      </c>
      <c r="AF79" s="3" t="s">
        <v>86</v>
      </c>
      <c r="AG79" s="3" t="s">
        <v>96</v>
      </c>
      <c r="AH79" s="3" t="s">
        <v>11</v>
      </c>
      <c r="AI79" s="3" t="s">
        <v>61</v>
      </c>
      <c r="AJ79" s="3" t="s">
        <v>12</v>
      </c>
      <c r="AK79" s="3" t="s">
        <v>65</v>
      </c>
      <c r="AM79" s="3" t="s">
        <v>12</v>
      </c>
      <c r="AN79" s="3" t="s">
        <v>1</v>
      </c>
      <c r="AO79" s="3" t="s">
        <v>3</v>
      </c>
      <c r="AP79" s="3" t="s">
        <v>66</v>
      </c>
      <c r="AQ79" s="6">
        <f>IF($E79="SCE",VLOOKUP($AZ79,'ESAF_&amp;_PDAF_Summary'!$B$4:$D$18,2,0),1)</f>
        <v>1</v>
      </c>
      <c r="AR79" s="6">
        <f>IF($E79="SCE",VLOOKUP($AZ79,'ESAF_&amp;_PDAF_Summary'!$B$4:$D$18,3,0),1)</f>
        <v>1</v>
      </c>
      <c r="AS79" s="6">
        <f>IF($E79="SCE",VLOOKUP($AZ79,'ESAF_&amp;_PDAF_Summary'!$B$4:$E$18,4,0),1)</f>
        <v>1</v>
      </c>
      <c r="AT79" s="3" t="str">
        <f t="shared" si="11"/>
        <v>N/A</v>
      </c>
      <c r="AU79" s="3" t="str">
        <f t="shared" si="12"/>
        <v>N/A</v>
      </c>
      <c r="AV79" s="3">
        <v>0</v>
      </c>
      <c r="AW79" s="3" t="str">
        <f t="shared" si="13"/>
        <v>N/A</v>
      </c>
      <c r="AX79" s="3" t="str">
        <f t="shared" si="14"/>
        <v>N/A</v>
      </c>
      <c r="AY79" s="22" t="str">
        <f>IF($E79="PGE",($AY$4*$L79)+'Water Costs'!I$16-AW79,IF($E79="SCE",$AY$4+'Water Costs'!$I$9,"N/A"))</f>
        <v>N/A</v>
      </c>
      <c r="AZ79" s="3">
        <f t="shared" si="10"/>
        <v>6</v>
      </c>
    </row>
    <row r="80" spans="1:52" hidden="1" x14ac:dyDescent="0.25">
      <c r="A80" s="3" t="s">
        <v>11</v>
      </c>
      <c r="B80" s="3" t="s">
        <v>53</v>
      </c>
      <c r="C80" s="3" t="s">
        <v>54</v>
      </c>
      <c r="D80" s="4">
        <v>40944</v>
      </c>
      <c r="E80" s="3" t="s">
        <v>96</v>
      </c>
      <c r="F80" s="3" t="s">
        <v>84</v>
      </c>
      <c r="G80" s="3" t="s">
        <v>57</v>
      </c>
      <c r="H80" s="3" t="s">
        <v>58</v>
      </c>
      <c r="I80" s="3" t="s">
        <v>97</v>
      </c>
      <c r="J80" s="62" t="str">
        <f t="shared" si="15"/>
        <v>SFmCZ07</v>
      </c>
      <c r="K80" s="3" t="s">
        <v>60</v>
      </c>
      <c r="L80" s="3">
        <v>1.66</v>
      </c>
      <c r="M80" s="3">
        <v>1660</v>
      </c>
      <c r="N80" s="3" t="s">
        <v>61</v>
      </c>
      <c r="O80" s="3">
        <v>0</v>
      </c>
      <c r="P80" s="3">
        <v>0</v>
      </c>
      <c r="Q80" s="3">
        <v>0</v>
      </c>
      <c r="R80" s="3">
        <v>446</v>
      </c>
      <c r="S80" s="3">
        <v>0.997</v>
      </c>
      <c r="T80" s="3">
        <v>-22.4</v>
      </c>
      <c r="U80" s="3">
        <v>0</v>
      </c>
      <c r="V80" s="3">
        <v>0</v>
      </c>
      <c r="W80" s="3">
        <v>0</v>
      </c>
      <c r="X80" s="3">
        <v>232</v>
      </c>
      <c r="Y80" s="3">
        <v>0.56200000000000006</v>
      </c>
      <c r="Z80" s="3">
        <v>-22.8</v>
      </c>
      <c r="AC80" s="3">
        <v>2</v>
      </c>
      <c r="AD80" s="3" t="s">
        <v>2</v>
      </c>
      <c r="AE80" s="3" t="s">
        <v>63</v>
      </c>
      <c r="AF80" s="3" t="s">
        <v>98</v>
      </c>
      <c r="AG80" s="3" t="s">
        <v>96</v>
      </c>
      <c r="AH80" s="3" t="s">
        <v>11</v>
      </c>
      <c r="AI80" s="3" t="s">
        <v>61</v>
      </c>
      <c r="AJ80" s="3" t="s">
        <v>12</v>
      </c>
      <c r="AK80" s="3" t="s">
        <v>65</v>
      </c>
      <c r="AM80" s="3" t="s">
        <v>12</v>
      </c>
      <c r="AN80" s="3" t="s">
        <v>1</v>
      </c>
      <c r="AO80" s="3" t="s">
        <v>3</v>
      </c>
      <c r="AP80" s="3" t="s">
        <v>66</v>
      </c>
      <c r="AQ80" s="6">
        <f>IF($E80="SCE",VLOOKUP($AZ80,'ESAF_&amp;_PDAF_Summary'!$B$4:$D$18,2,0),1)</f>
        <v>1</v>
      </c>
      <c r="AR80" s="6">
        <f>IF($E80="SCE",VLOOKUP($AZ80,'ESAF_&amp;_PDAF_Summary'!$B$4:$D$18,3,0),1)</f>
        <v>1</v>
      </c>
      <c r="AS80" s="6">
        <f>IF($E80="SCE",VLOOKUP($AZ80,'ESAF_&amp;_PDAF_Summary'!$B$4:$E$18,4,0),1)</f>
        <v>1</v>
      </c>
      <c r="AT80" s="3" t="str">
        <f t="shared" si="11"/>
        <v>N/A</v>
      </c>
      <c r="AU80" s="3" t="str">
        <f t="shared" si="12"/>
        <v>N/A</v>
      </c>
      <c r="AV80" s="3">
        <v>0</v>
      </c>
      <c r="AW80" s="3" t="str">
        <f t="shared" si="13"/>
        <v>N/A</v>
      </c>
      <c r="AX80" s="3" t="str">
        <f t="shared" si="14"/>
        <v>N/A</v>
      </c>
      <c r="AY80" s="22" t="str">
        <f>IF($E80="PGE",($AY$4*$L80)+'Water Costs'!I$16-AW80,IF($E80="SCE",$AY$4+'Water Costs'!$I$9,"N/A"))</f>
        <v>N/A</v>
      </c>
      <c r="AZ80" s="3">
        <f t="shared" si="10"/>
        <v>7</v>
      </c>
    </row>
    <row r="81" spans="1:52" hidden="1" x14ac:dyDescent="0.25">
      <c r="A81" s="3" t="s">
        <v>11</v>
      </c>
      <c r="B81" s="3" t="s">
        <v>53</v>
      </c>
      <c r="C81" s="3" t="s">
        <v>54</v>
      </c>
      <c r="D81" s="4">
        <v>40944</v>
      </c>
      <c r="E81" s="3" t="s">
        <v>96</v>
      </c>
      <c r="F81" s="3" t="s">
        <v>84</v>
      </c>
      <c r="G81" s="3" t="s">
        <v>57</v>
      </c>
      <c r="H81" s="3" t="s">
        <v>58</v>
      </c>
      <c r="I81" s="3" t="s">
        <v>87</v>
      </c>
      <c r="J81" s="62" t="str">
        <f t="shared" si="15"/>
        <v>SFmCZ08</v>
      </c>
      <c r="K81" s="3" t="s">
        <v>60</v>
      </c>
      <c r="L81" s="3">
        <v>1.65</v>
      </c>
      <c r="M81" s="3">
        <v>1650</v>
      </c>
      <c r="N81" s="3" t="s">
        <v>61</v>
      </c>
      <c r="O81" s="3">
        <v>0</v>
      </c>
      <c r="P81" s="3">
        <v>0</v>
      </c>
      <c r="Q81" s="3">
        <v>0</v>
      </c>
      <c r="R81" s="3">
        <v>775</v>
      </c>
      <c r="S81" s="3">
        <v>1.45</v>
      </c>
      <c r="T81" s="3">
        <v>-28</v>
      </c>
      <c r="U81" s="3">
        <v>0</v>
      </c>
      <c r="V81" s="3">
        <v>0</v>
      </c>
      <c r="W81" s="3">
        <v>0</v>
      </c>
      <c r="X81" s="3">
        <v>407</v>
      </c>
      <c r="Y81" s="3">
        <v>0.95499999999999996</v>
      </c>
      <c r="Z81" s="3">
        <v>-28.3</v>
      </c>
      <c r="AC81" s="3">
        <v>2</v>
      </c>
      <c r="AD81" s="3" t="s">
        <v>2</v>
      </c>
      <c r="AE81" s="3" t="s">
        <v>63</v>
      </c>
      <c r="AF81" s="3" t="s">
        <v>88</v>
      </c>
      <c r="AG81" s="3" t="s">
        <v>96</v>
      </c>
      <c r="AH81" s="3" t="s">
        <v>11</v>
      </c>
      <c r="AI81" s="3" t="s">
        <v>61</v>
      </c>
      <c r="AJ81" s="3" t="s">
        <v>12</v>
      </c>
      <c r="AK81" s="3" t="s">
        <v>65</v>
      </c>
      <c r="AM81" s="3" t="s">
        <v>12</v>
      </c>
      <c r="AN81" s="3" t="s">
        <v>1</v>
      </c>
      <c r="AO81" s="3" t="s">
        <v>3</v>
      </c>
      <c r="AP81" s="3" t="s">
        <v>66</v>
      </c>
      <c r="AQ81" s="6">
        <f>IF($E81="SCE",VLOOKUP($AZ81,'ESAF_&amp;_PDAF_Summary'!$B$4:$D$18,2,0),1)</f>
        <v>1</v>
      </c>
      <c r="AR81" s="6">
        <f>IF($E81="SCE",VLOOKUP($AZ81,'ESAF_&amp;_PDAF_Summary'!$B$4:$D$18,3,0),1)</f>
        <v>1</v>
      </c>
      <c r="AS81" s="6">
        <f>IF($E81="SCE",VLOOKUP($AZ81,'ESAF_&amp;_PDAF_Summary'!$B$4:$E$18,4,0),1)</f>
        <v>1</v>
      </c>
      <c r="AT81" s="3" t="str">
        <f t="shared" si="11"/>
        <v>N/A</v>
      </c>
      <c r="AU81" s="3" t="str">
        <f t="shared" si="12"/>
        <v>N/A</v>
      </c>
      <c r="AV81" s="3">
        <v>0</v>
      </c>
      <c r="AW81" s="3" t="str">
        <f t="shared" si="13"/>
        <v>N/A</v>
      </c>
      <c r="AX81" s="3" t="str">
        <f t="shared" si="14"/>
        <v>N/A</v>
      </c>
      <c r="AY81" s="22" t="str">
        <f>IF($E81="PGE",($AY$4*$L81)+'Water Costs'!I$16-AW81,IF($E81="SCE",$AY$4+'Water Costs'!$I$9,"N/A"))</f>
        <v>N/A</v>
      </c>
      <c r="AZ81" s="3">
        <f t="shared" si="10"/>
        <v>8</v>
      </c>
    </row>
    <row r="82" spans="1:52" hidden="1" x14ac:dyDescent="0.25">
      <c r="A82" s="3" t="s">
        <v>11</v>
      </c>
      <c r="B82" s="3" t="s">
        <v>53</v>
      </c>
      <c r="C82" s="3" t="s">
        <v>54</v>
      </c>
      <c r="D82" s="4">
        <v>40944</v>
      </c>
      <c r="E82" s="3" t="s">
        <v>96</v>
      </c>
      <c r="F82" s="3" t="s">
        <v>84</v>
      </c>
      <c r="G82" s="3" t="s">
        <v>57</v>
      </c>
      <c r="H82" s="3" t="s">
        <v>58</v>
      </c>
      <c r="I82" s="3" t="s">
        <v>89</v>
      </c>
      <c r="J82" s="62" t="str">
        <f t="shared" si="15"/>
        <v>SFmCZ09</v>
      </c>
      <c r="K82" s="3" t="s">
        <v>60</v>
      </c>
      <c r="L82" s="3">
        <v>1.71</v>
      </c>
      <c r="M82" s="3">
        <v>1710</v>
      </c>
      <c r="N82" s="3" t="s">
        <v>61</v>
      </c>
      <c r="O82" s="3">
        <v>0</v>
      </c>
      <c r="P82" s="3">
        <v>0</v>
      </c>
      <c r="Q82" s="3">
        <v>0</v>
      </c>
      <c r="R82" s="3">
        <v>914</v>
      </c>
      <c r="S82" s="3">
        <v>1.42</v>
      </c>
      <c r="T82" s="3">
        <v>-30.4</v>
      </c>
      <c r="U82" s="3">
        <v>0</v>
      </c>
      <c r="V82" s="3">
        <v>0</v>
      </c>
      <c r="W82" s="3">
        <v>0</v>
      </c>
      <c r="X82" s="3">
        <v>475</v>
      </c>
      <c r="Y82" s="3">
        <v>0.84699999999999998</v>
      </c>
      <c r="Z82" s="3">
        <v>-30.7</v>
      </c>
      <c r="AC82" s="3">
        <v>2</v>
      </c>
      <c r="AD82" s="3" t="s">
        <v>2</v>
      </c>
      <c r="AE82" s="3" t="s">
        <v>63</v>
      </c>
      <c r="AF82" s="3" t="s">
        <v>90</v>
      </c>
      <c r="AG82" s="3" t="s">
        <v>96</v>
      </c>
      <c r="AH82" s="3" t="s">
        <v>11</v>
      </c>
      <c r="AI82" s="3" t="s">
        <v>61</v>
      </c>
      <c r="AJ82" s="3" t="s">
        <v>12</v>
      </c>
      <c r="AK82" s="3" t="s">
        <v>65</v>
      </c>
      <c r="AM82" s="3" t="s">
        <v>12</v>
      </c>
      <c r="AN82" s="3" t="s">
        <v>1</v>
      </c>
      <c r="AO82" s="3" t="s">
        <v>3</v>
      </c>
      <c r="AP82" s="3" t="s">
        <v>66</v>
      </c>
      <c r="AQ82" s="6">
        <f>IF($E82="SCE",VLOOKUP($AZ82,'ESAF_&amp;_PDAF_Summary'!$B$4:$D$18,2,0),1)</f>
        <v>1</v>
      </c>
      <c r="AR82" s="6">
        <f>IF($E82="SCE",VLOOKUP($AZ82,'ESAF_&amp;_PDAF_Summary'!$B$4:$D$18,3,0),1)</f>
        <v>1</v>
      </c>
      <c r="AS82" s="6">
        <f>IF($E82="SCE",VLOOKUP($AZ82,'ESAF_&amp;_PDAF_Summary'!$B$4:$E$18,4,0),1)</f>
        <v>1</v>
      </c>
      <c r="AT82" s="3" t="str">
        <f t="shared" si="11"/>
        <v>N/A</v>
      </c>
      <c r="AU82" s="3" t="str">
        <f t="shared" si="12"/>
        <v>N/A</v>
      </c>
      <c r="AV82" s="3">
        <v>0</v>
      </c>
      <c r="AW82" s="3" t="str">
        <f t="shared" si="13"/>
        <v>N/A</v>
      </c>
      <c r="AX82" s="3" t="str">
        <f t="shared" si="14"/>
        <v>N/A</v>
      </c>
      <c r="AY82" s="22" t="str">
        <f>IF($E82="PGE",($AY$4*$L82)+'Water Costs'!I$16-AW82,IF($E82="SCE",$AY$4+'Water Costs'!$I$9,"N/A"))</f>
        <v>N/A</v>
      </c>
      <c r="AZ82" s="3">
        <f t="shared" si="10"/>
        <v>9</v>
      </c>
    </row>
    <row r="83" spans="1:52" hidden="1" x14ac:dyDescent="0.25">
      <c r="A83" s="3" t="s">
        <v>11</v>
      </c>
      <c r="B83" s="3" t="s">
        <v>53</v>
      </c>
      <c r="C83" s="3" t="s">
        <v>54</v>
      </c>
      <c r="D83" s="4">
        <v>40944</v>
      </c>
      <c r="E83" s="3" t="s">
        <v>96</v>
      </c>
      <c r="F83" s="3" t="s">
        <v>84</v>
      </c>
      <c r="G83" s="3" t="s">
        <v>57</v>
      </c>
      <c r="H83" s="3" t="s">
        <v>58</v>
      </c>
      <c r="I83" s="3" t="s">
        <v>91</v>
      </c>
      <c r="J83" s="62" t="str">
        <f t="shared" si="15"/>
        <v>SFmCZ10</v>
      </c>
      <c r="K83" s="3" t="s">
        <v>60</v>
      </c>
      <c r="L83" s="3">
        <v>1.85</v>
      </c>
      <c r="M83" s="3">
        <v>1850</v>
      </c>
      <c r="N83" s="3" t="s">
        <v>61</v>
      </c>
      <c r="O83" s="3">
        <v>0</v>
      </c>
      <c r="P83" s="3">
        <v>0</v>
      </c>
      <c r="Q83" s="3">
        <v>0</v>
      </c>
      <c r="R83" s="3">
        <v>897</v>
      </c>
      <c r="S83" s="3">
        <v>1.32</v>
      </c>
      <c r="T83" s="3">
        <v>-28.5</v>
      </c>
      <c r="U83" s="3">
        <v>0</v>
      </c>
      <c r="V83" s="3">
        <v>0</v>
      </c>
      <c r="W83" s="3">
        <v>0</v>
      </c>
      <c r="X83" s="3">
        <v>514</v>
      </c>
      <c r="Y83" s="3">
        <v>0.85099999999999998</v>
      </c>
      <c r="Z83" s="3">
        <v>-28.7</v>
      </c>
      <c r="AC83" s="3">
        <v>2</v>
      </c>
      <c r="AD83" s="3" t="s">
        <v>2</v>
      </c>
      <c r="AE83" s="3" t="s">
        <v>63</v>
      </c>
      <c r="AF83" s="3" t="s">
        <v>4</v>
      </c>
      <c r="AG83" s="3" t="s">
        <v>96</v>
      </c>
      <c r="AH83" s="3" t="s">
        <v>11</v>
      </c>
      <c r="AI83" s="3" t="s">
        <v>61</v>
      </c>
      <c r="AJ83" s="3" t="s">
        <v>12</v>
      </c>
      <c r="AK83" s="3" t="s">
        <v>65</v>
      </c>
      <c r="AM83" s="3" t="s">
        <v>12</v>
      </c>
      <c r="AN83" s="3" t="s">
        <v>1</v>
      </c>
      <c r="AO83" s="3" t="s">
        <v>3</v>
      </c>
      <c r="AP83" s="3" t="s">
        <v>66</v>
      </c>
      <c r="AQ83" s="6">
        <f>IF($E83="SCE",VLOOKUP($AZ83,'ESAF_&amp;_PDAF_Summary'!$B$4:$D$18,2,0),1)</f>
        <v>1</v>
      </c>
      <c r="AR83" s="6">
        <f>IF($E83="SCE",VLOOKUP($AZ83,'ESAF_&amp;_PDAF_Summary'!$B$4:$D$18,3,0),1)</f>
        <v>1</v>
      </c>
      <c r="AS83" s="6">
        <f>IF($E83="SCE",VLOOKUP($AZ83,'ESAF_&amp;_PDAF_Summary'!$B$4:$E$18,4,0),1)</f>
        <v>1</v>
      </c>
      <c r="AT83" s="3" t="str">
        <f t="shared" si="11"/>
        <v>N/A</v>
      </c>
      <c r="AU83" s="3" t="str">
        <f t="shared" si="12"/>
        <v>N/A</v>
      </c>
      <c r="AV83" s="3">
        <v>0</v>
      </c>
      <c r="AW83" s="3" t="str">
        <f t="shared" si="13"/>
        <v>N/A</v>
      </c>
      <c r="AX83" s="3" t="str">
        <f t="shared" si="14"/>
        <v>N/A</v>
      </c>
      <c r="AY83" s="22" t="str">
        <f>IF($E83="PGE",($AY$4*$L83)+'Water Costs'!I$16-AW83,IF($E83="SCE",$AY$4+'Water Costs'!$I$9,"N/A"))</f>
        <v>N/A</v>
      </c>
      <c r="AZ83" s="3">
        <f t="shared" si="10"/>
        <v>10</v>
      </c>
    </row>
    <row r="84" spans="1:52" hidden="1" x14ac:dyDescent="0.25">
      <c r="A84" s="3" t="s">
        <v>11</v>
      </c>
      <c r="B84" s="3" t="s">
        <v>53</v>
      </c>
      <c r="C84" s="3" t="s">
        <v>54</v>
      </c>
      <c r="D84" s="4">
        <v>40944</v>
      </c>
      <c r="E84" s="3" t="s">
        <v>96</v>
      </c>
      <c r="F84" s="3" t="s">
        <v>84</v>
      </c>
      <c r="G84" s="3" t="s">
        <v>57</v>
      </c>
      <c r="H84" s="3" t="s">
        <v>58</v>
      </c>
      <c r="I84" s="3" t="s">
        <v>79</v>
      </c>
      <c r="J84" s="62" t="str">
        <f t="shared" si="15"/>
        <v>SFmCZ13</v>
      </c>
      <c r="K84" s="3" t="s">
        <v>60</v>
      </c>
      <c r="L84" s="3">
        <v>1.73</v>
      </c>
      <c r="M84" s="3">
        <v>1730</v>
      </c>
      <c r="N84" s="3" t="s">
        <v>61</v>
      </c>
      <c r="O84" s="3">
        <v>0</v>
      </c>
      <c r="P84" s="3">
        <v>0</v>
      </c>
      <c r="Q84" s="3">
        <v>0</v>
      </c>
      <c r="R84" s="3">
        <v>1160</v>
      </c>
      <c r="S84" s="3">
        <v>1.39</v>
      </c>
      <c r="T84" s="3">
        <v>-36.6</v>
      </c>
      <c r="U84" s="3">
        <v>0</v>
      </c>
      <c r="V84" s="3">
        <v>0</v>
      </c>
      <c r="W84" s="3">
        <v>0</v>
      </c>
      <c r="X84" s="3">
        <v>668</v>
      </c>
      <c r="Y84" s="3">
        <v>0.89900000000000002</v>
      </c>
      <c r="Z84" s="3">
        <v>-37</v>
      </c>
      <c r="AC84" s="3">
        <v>2</v>
      </c>
      <c r="AD84" s="3" t="s">
        <v>2</v>
      </c>
      <c r="AE84" s="3" t="s">
        <v>63</v>
      </c>
      <c r="AF84" s="3" t="s">
        <v>80</v>
      </c>
      <c r="AG84" s="3" t="s">
        <v>96</v>
      </c>
      <c r="AH84" s="3" t="s">
        <v>11</v>
      </c>
      <c r="AI84" s="3" t="s">
        <v>61</v>
      </c>
      <c r="AJ84" s="3" t="s">
        <v>12</v>
      </c>
      <c r="AK84" s="3" t="s">
        <v>65</v>
      </c>
      <c r="AM84" s="3" t="s">
        <v>12</v>
      </c>
      <c r="AN84" s="3" t="s">
        <v>1</v>
      </c>
      <c r="AO84" s="3" t="s">
        <v>3</v>
      </c>
      <c r="AP84" s="3" t="s">
        <v>66</v>
      </c>
      <c r="AQ84" s="6">
        <f>IF($E84="SCE",VLOOKUP($AZ84,'ESAF_&amp;_PDAF_Summary'!$B$4:$D$18,2,0),1)</f>
        <v>1</v>
      </c>
      <c r="AR84" s="6">
        <f>IF($E84="SCE",VLOOKUP($AZ84,'ESAF_&amp;_PDAF_Summary'!$B$4:$D$18,3,0),1)</f>
        <v>1</v>
      </c>
      <c r="AS84" s="6">
        <f>IF($E84="SCE",VLOOKUP($AZ84,'ESAF_&amp;_PDAF_Summary'!$B$4:$E$18,4,0),1)</f>
        <v>1</v>
      </c>
      <c r="AT84" s="3" t="str">
        <f t="shared" si="11"/>
        <v>N/A</v>
      </c>
      <c r="AU84" s="3" t="str">
        <f t="shared" si="12"/>
        <v>N/A</v>
      </c>
      <c r="AV84" s="3">
        <v>0</v>
      </c>
      <c r="AW84" s="3" t="str">
        <f t="shared" si="13"/>
        <v>N/A</v>
      </c>
      <c r="AX84" s="3" t="str">
        <f t="shared" si="14"/>
        <v>N/A</v>
      </c>
      <c r="AY84" s="22" t="str">
        <f>IF($E84="PGE",($AY$4*$L84)+'Water Costs'!I$16-AW84,IF($E84="SCE",$AY$4+'Water Costs'!$I$9,"N/A"))</f>
        <v>N/A</v>
      </c>
      <c r="AZ84" s="3">
        <f t="shared" si="10"/>
        <v>13</v>
      </c>
    </row>
    <row r="85" spans="1:52" hidden="1" x14ac:dyDescent="0.25">
      <c r="A85" s="3" t="s">
        <v>11</v>
      </c>
      <c r="B85" s="3" t="s">
        <v>53</v>
      </c>
      <c r="C85" s="3" t="s">
        <v>54</v>
      </c>
      <c r="D85" s="4">
        <v>40944</v>
      </c>
      <c r="E85" s="3" t="s">
        <v>96</v>
      </c>
      <c r="F85" s="3" t="s">
        <v>84</v>
      </c>
      <c r="G85" s="3" t="s">
        <v>57</v>
      </c>
      <c r="H85" s="3" t="s">
        <v>58</v>
      </c>
      <c r="I85" s="3" t="s">
        <v>92</v>
      </c>
      <c r="J85" s="62" t="str">
        <f t="shared" si="15"/>
        <v>SFmCZ14</v>
      </c>
      <c r="K85" s="3" t="s">
        <v>60</v>
      </c>
      <c r="L85" s="3">
        <v>1.73</v>
      </c>
      <c r="M85" s="3">
        <v>1730</v>
      </c>
      <c r="N85" s="3" t="s">
        <v>61</v>
      </c>
      <c r="O85" s="3">
        <v>0</v>
      </c>
      <c r="P85" s="3">
        <v>0</v>
      </c>
      <c r="Q85" s="3">
        <v>0</v>
      </c>
      <c r="R85" s="3">
        <v>1060</v>
      </c>
      <c r="S85" s="3">
        <v>1.83</v>
      </c>
      <c r="T85" s="3">
        <v>-42.3</v>
      </c>
      <c r="U85" s="3">
        <v>0</v>
      </c>
      <c r="V85" s="3">
        <v>0</v>
      </c>
      <c r="W85" s="3">
        <v>0</v>
      </c>
      <c r="X85" s="3">
        <v>704</v>
      </c>
      <c r="Y85" s="3">
        <v>1.3</v>
      </c>
      <c r="Z85" s="3">
        <v>-42.6</v>
      </c>
      <c r="AC85" s="3">
        <v>2</v>
      </c>
      <c r="AD85" s="3" t="s">
        <v>2</v>
      </c>
      <c r="AE85" s="3" t="s">
        <v>63</v>
      </c>
      <c r="AF85" s="3" t="s">
        <v>93</v>
      </c>
      <c r="AG85" s="3" t="s">
        <v>96</v>
      </c>
      <c r="AH85" s="3" t="s">
        <v>11</v>
      </c>
      <c r="AI85" s="3" t="s">
        <v>61</v>
      </c>
      <c r="AJ85" s="3" t="s">
        <v>12</v>
      </c>
      <c r="AK85" s="3" t="s">
        <v>65</v>
      </c>
      <c r="AM85" s="3" t="s">
        <v>12</v>
      </c>
      <c r="AN85" s="3" t="s">
        <v>1</v>
      </c>
      <c r="AO85" s="3" t="s">
        <v>3</v>
      </c>
      <c r="AP85" s="3" t="s">
        <v>66</v>
      </c>
      <c r="AQ85" s="6">
        <f>IF($E85="SCE",VLOOKUP($AZ85,'ESAF_&amp;_PDAF_Summary'!$B$4:$D$18,2,0),1)</f>
        <v>1</v>
      </c>
      <c r="AR85" s="6">
        <f>IF($E85="SCE",VLOOKUP($AZ85,'ESAF_&amp;_PDAF_Summary'!$B$4:$D$18,3,0),1)</f>
        <v>1</v>
      </c>
      <c r="AS85" s="6">
        <f>IF($E85="SCE",VLOOKUP($AZ85,'ESAF_&amp;_PDAF_Summary'!$B$4:$E$18,4,0),1)</f>
        <v>1</v>
      </c>
      <c r="AT85" s="3" t="str">
        <f t="shared" si="11"/>
        <v>N/A</v>
      </c>
      <c r="AU85" s="3" t="str">
        <f t="shared" si="12"/>
        <v>N/A</v>
      </c>
      <c r="AV85" s="3">
        <v>0</v>
      </c>
      <c r="AW85" s="3" t="str">
        <f t="shared" si="13"/>
        <v>N/A</v>
      </c>
      <c r="AX85" s="3" t="str">
        <f t="shared" si="14"/>
        <v>N/A</v>
      </c>
      <c r="AY85" s="22" t="str">
        <f>IF($E85="PGE",($AY$4*$L85)+'Water Costs'!I$16-AW85,IF($E85="SCE",$AY$4+'Water Costs'!$I$9,"N/A"))</f>
        <v>N/A</v>
      </c>
      <c r="AZ85" s="3">
        <f t="shared" si="10"/>
        <v>14</v>
      </c>
    </row>
    <row r="86" spans="1:52" hidden="1" x14ac:dyDescent="0.25">
      <c r="A86" s="3" t="s">
        <v>11</v>
      </c>
      <c r="B86" s="3" t="s">
        <v>53</v>
      </c>
      <c r="C86" s="3" t="s">
        <v>54</v>
      </c>
      <c r="D86" s="4">
        <v>40944</v>
      </c>
      <c r="E86" s="3" t="s">
        <v>96</v>
      </c>
      <c r="F86" s="3" t="s">
        <v>84</v>
      </c>
      <c r="G86" s="3" t="s">
        <v>57</v>
      </c>
      <c r="H86" s="3" t="s">
        <v>58</v>
      </c>
      <c r="I86" s="3" t="s">
        <v>94</v>
      </c>
      <c r="J86" s="62" t="str">
        <f t="shared" si="15"/>
        <v>SFmCZ15</v>
      </c>
      <c r="K86" s="3" t="s">
        <v>60</v>
      </c>
      <c r="L86" s="3">
        <v>1.67</v>
      </c>
      <c r="M86" s="3">
        <v>1670</v>
      </c>
      <c r="N86" s="3" t="s">
        <v>61</v>
      </c>
      <c r="O86" s="3">
        <v>0</v>
      </c>
      <c r="P86" s="3">
        <v>0</v>
      </c>
      <c r="Q86" s="3">
        <v>0</v>
      </c>
      <c r="R86" s="3">
        <v>2730</v>
      </c>
      <c r="S86" s="3">
        <v>2.44</v>
      </c>
      <c r="T86" s="3">
        <v>-16.7</v>
      </c>
      <c r="U86" s="3">
        <v>0</v>
      </c>
      <c r="V86" s="3">
        <v>0</v>
      </c>
      <c r="W86" s="3">
        <v>0</v>
      </c>
      <c r="X86" s="3">
        <v>1550</v>
      </c>
      <c r="Y86" s="3">
        <v>1.6</v>
      </c>
      <c r="Z86" s="3">
        <v>-16.8</v>
      </c>
      <c r="AC86" s="3">
        <v>2</v>
      </c>
      <c r="AD86" s="3" t="s">
        <v>2</v>
      </c>
      <c r="AE86" s="3" t="s">
        <v>63</v>
      </c>
      <c r="AF86" s="3" t="s">
        <v>95</v>
      </c>
      <c r="AG86" s="3" t="s">
        <v>96</v>
      </c>
      <c r="AH86" s="3" t="s">
        <v>11</v>
      </c>
      <c r="AI86" s="3" t="s">
        <v>61</v>
      </c>
      <c r="AJ86" s="3" t="s">
        <v>12</v>
      </c>
      <c r="AK86" s="3" t="s">
        <v>65</v>
      </c>
      <c r="AM86" s="3" t="s">
        <v>12</v>
      </c>
      <c r="AN86" s="3" t="s">
        <v>1</v>
      </c>
      <c r="AO86" s="3" t="s">
        <v>3</v>
      </c>
      <c r="AP86" s="3" t="s">
        <v>66</v>
      </c>
      <c r="AQ86" s="6">
        <f>IF($E86="SCE",VLOOKUP($AZ86,'ESAF_&amp;_PDAF_Summary'!$B$4:$D$18,2,0),1)</f>
        <v>1</v>
      </c>
      <c r="AR86" s="6">
        <f>IF($E86="SCE",VLOOKUP($AZ86,'ESAF_&amp;_PDAF_Summary'!$B$4:$D$18,3,0),1)</f>
        <v>1</v>
      </c>
      <c r="AS86" s="6">
        <f>IF($E86="SCE",VLOOKUP($AZ86,'ESAF_&amp;_PDAF_Summary'!$B$4:$E$18,4,0),1)</f>
        <v>1</v>
      </c>
      <c r="AT86" s="3" t="str">
        <f t="shared" ref="AT86:AT91" si="16">IF(AND($E86="PGE",$F86="MFm",OR($I86="CZ11",$I86="CZ12",$I86="CZ13")),X86*$AQ86*$AS86*$L86,IF($E86="SCE",R86*$AQ86*$AS86,"N/A"))</f>
        <v>N/A</v>
      </c>
      <c r="AU86" s="3" t="str">
        <f t="shared" ref="AU86:AU91" si="17">IF(AND($E86="PGE",$F86="MFm",OR($I86="CZ11",$I86="CZ12",$I86="CZ13")),Y86*$AR86*$AS86*$L86,IF($E86="SCE",S86*$AR86*$AS86,"N/A"))</f>
        <v>N/A</v>
      </c>
      <c r="AV86" s="3">
        <v>1</v>
      </c>
      <c r="AW86" s="3" t="str">
        <f t="shared" si="13"/>
        <v>N/A</v>
      </c>
      <c r="AX86" s="3" t="str">
        <f t="shared" ref="AX86:AX91" si="18">IF($E86="PGE",AY86,IF($E86="SCE",AY86,"N/A"))</f>
        <v>N/A</v>
      </c>
      <c r="AY86" s="22" t="str">
        <f>IF($E86="PGE",($AY$4*$L86)+'Water Costs'!I$16-AW86,IF($E86="SCE",$AY$4+'Water Costs'!$I$9,"N/A"))</f>
        <v>N/A</v>
      </c>
      <c r="AZ86" s="3">
        <f t="shared" ref="AZ86:AZ91" si="19">VALUE(RIGHT(I86,2))</f>
        <v>15</v>
      </c>
    </row>
    <row r="87" spans="1:52" hidden="1" x14ac:dyDescent="0.25">
      <c r="A87" s="3" t="s">
        <v>11</v>
      </c>
      <c r="B87" s="3" t="s">
        <v>53</v>
      </c>
      <c r="C87" s="3" t="s">
        <v>54</v>
      </c>
      <c r="D87" s="4">
        <v>40944</v>
      </c>
      <c r="E87" s="3" t="s">
        <v>96</v>
      </c>
      <c r="F87" s="3" t="s">
        <v>84</v>
      </c>
      <c r="G87" s="3" t="s">
        <v>57</v>
      </c>
      <c r="H87" s="3" t="s">
        <v>58</v>
      </c>
      <c r="I87" s="3" t="s">
        <v>81</v>
      </c>
      <c r="J87" s="62" t="str">
        <f t="shared" si="15"/>
        <v>SFmCZ16</v>
      </c>
      <c r="K87" s="3" t="s">
        <v>60</v>
      </c>
      <c r="L87" s="3">
        <v>1.7</v>
      </c>
      <c r="M87" s="3">
        <v>1700</v>
      </c>
      <c r="N87" s="3" t="s">
        <v>61</v>
      </c>
      <c r="O87" s="3">
        <v>0</v>
      </c>
      <c r="P87" s="3">
        <v>0</v>
      </c>
      <c r="Q87" s="3">
        <v>0</v>
      </c>
      <c r="R87" s="3">
        <v>294</v>
      </c>
      <c r="S87" s="3">
        <v>1.53</v>
      </c>
      <c r="T87" s="3">
        <v>-130</v>
      </c>
      <c r="U87" s="3">
        <v>0</v>
      </c>
      <c r="V87" s="3">
        <v>0</v>
      </c>
      <c r="W87" s="3">
        <v>0</v>
      </c>
      <c r="X87" s="3">
        <v>126</v>
      </c>
      <c r="Y87" s="3">
        <v>0.97299999999999998</v>
      </c>
      <c r="Z87" s="3">
        <v>-131</v>
      </c>
      <c r="AC87" s="3">
        <v>2</v>
      </c>
      <c r="AD87" s="3" t="s">
        <v>2</v>
      </c>
      <c r="AE87" s="3" t="s">
        <v>63</v>
      </c>
      <c r="AF87" s="3" t="s">
        <v>82</v>
      </c>
      <c r="AG87" s="3" t="s">
        <v>96</v>
      </c>
      <c r="AH87" s="3" t="s">
        <v>11</v>
      </c>
      <c r="AI87" s="3" t="s">
        <v>61</v>
      </c>
      <c r="AJ87" s="3" t="s">
        <v>12</v>
      </c>
      <c r="AK87" s="3" t="s">
        <v>65</v>
      </c>
      <c r="AM87" s="3" t="s">
        <v>12</v>
      </c>
      <c r="AN87" s="3" t="s">
        <v>1</v>
      </c>
      <c r="AO87" s="3" t="s">
        <v>3</v>
      </c>
      <c r="AP87" s="3" t="s">
        <v>66</v>
      </c>
      <c r="AQ87" s="6">
        <f>IF($E87="SCE",VLOOKUP($AZ87,'ESAF_&amp;_PDAF_Summary'!$B$4:$D$18,2,0),1)</f>
        <v>1</v>
      </c>
      <c r="AR87" s="6">
        <f>IF($E87="SCE",VLOOKUP($AZ87,'ESAF_&amp;_PDAF_Summary'!$B$4:$D$18,3,0),1)</f>
        <v>1</v>
      </c>
      <c r="AS87" s="6">
        <f>IF($E87="SCE",VLOOKUP($AZ87,'ESAF_&amp;_PDAF_Summary'!$B$4:$E$18,4,0),1)</f>
        <v>1</v>
      </c>
      <c r="AT87" s="3" t="str">
        <f t="shared" si="16"/>
        <v>N/A</v>
      </c>
      <c r="AU87" s="3" t="str">
        <f t="shared" si="17"/>
        <v>N/A</v>
      </c>
      <c r="AV87" s="3">
        <v>2</v>
      </c>
      <c r="AW87" s="3" t="str">
        <f t="shared" si="13"/>
        <v>N/A</v>
      </c>
      <c r="AX87" s="3" t="str">
        <f t="shared" si="18"/>
        <v>N/A</v>
      </c>
      <c r="AY87" s="22" t="str">
        <f>IF($E87="PGE",($AY$4*$L87)+'Water Costs'!I$16-AW87,IF($E87="SCE",$AY$4+'Water Costs'!$I$9,"N/A"))</f>
        <v>N/A</v>
      </c>
      <c r="AZ87" s="3">
        <f t="shared" si="19"/>
        <v>16</v>
      </c>
    </row>
    <row r="88" spans="1:52" hidden="1" x14ac:dyDescent="0.25">
      <c r="A88" s="3" t="s">
        <v>11</v>
      </c>
      <c r="B88" s="3" t="s">
        <v>53</v>
      </c>
      <c r="C88" s="3" t="s">
        <v>54</v>
      </c>
      <c r="D88" s="4">
        <v>40944</v>
      </c>
      <c r="E88" s="3" t="s">
        <v>99</v>
      </c>
      <c r="F88" s="3" t="s">
        <v>56</v>
      </c>
      <c r="G88" s="3" t="s">
        <v>57</v>
      </c>
      <c r="H88" s="3" t="s">
        <v>58</v>
      </c>
      <c r="I88" s="3" t="s">
        <v>97</v>
      </c>
      <c r="J88" s="62" t="str">
        <f t="shared" si="15"/>
        <v>DMoCZ07</v>
      </c>
      <c r="K88" s="3" t="s">
        <v>60</v>
      </c>
      <c r="L88" s="3">
        <v>1.24</v>
      </c>
      <c r="M88" s="3">
        <v>1240</v>
      </c>
      <c r="N88" s="3" t="s">
        <v>61</v>
      </c>
      <c r="O88" s="3">
        <v>0</v>
      </c>
      <c r="P88" s="3">
        <v>0</v>
      </c>
      <c r="Q88" s="3">
        <v>0</v>
      </c>
      <c r="R88" s="3">
        <v>242</v>
      </c>
      <c r="S88" s="3">
        <v>2.35</v>
      </c>
      <c r="T88" s="3">
        <v>-32.9</v>
      </c>
      <c r="U88" s="3">
        <v>0</v>
      </c>
      <c r="V88" s="3">
        <v>0</v>
      </c>
      <c r="W88" s="3">
        <v>0</v>
      </c>
      <c r="X88" s="3">
        <v>67.099999999999994</v>
      </c>
      <c r="Y88" s="3">
        <v>1.02</v>
      </c>
      <c r="Z88" s="3">
        <v>-33.200000000000003</v>
      </c>
      <c r="AC88" s="3">
        <v>2</v>
      </c>
      <c r="AD88" s="3" t="s">
        <v>62</v>
      </c>
      <c r="AE88" s="3" t="s">
        <v>63</v>
      </c>
      <c r="AF88" s="3" t="s">
        <v>98</v>
      </c>
      <c r="AG88" s="3" t="s">
        <v>100</v>
      </c>
      <c r="AH88" s="3" t="s">
        <v>11</v>
      </c>
      <c r="AI88" s="3" t="s">
        <v>61</v>
      </c>
      <c r="AJ88" s="3" t="s">
        <v>12</v>
      </c>
      <c r="AK88" s="3" t="s">
        <v>65</v>
      </c>
      <c r="AM88" s="3" t="s">
        <v>12</v>
      </c>
      <c r="AN88" s="3" t="s">
        <v>1</v>
      </c>
      <c r="AO88" s="3" t="s">
        <v>3</v>
      </c>
      <c r="AP88" s="3" t="s">
        <v>66</v>
      </c>
      <c r="AQ88" s="6">
        <f>IF($E88="SCE",VLOOKUP($AZ88,'ESAF_&amp;_PDAF_Summary'!$B$4:$D$18,2,0),1)</f>
        <v>1</v>
      </c>
      <c r="AR88" s="6">
        <f>IF($E88="SCE",VLOOKUP($AZ88,'ESAF_&amp;_PDAF_Summary'!$B$4:$D$18,3,0),1)</f>
        <v>1</v>
      </c>
      <c r="AS88" s="6">
        <f>IF($E88="SCE",VLOOKUP($AZ88,'ESAF_&amp;_PDAF_Summary'!$B$4:$E$18,4,0),1)</f>
        <v>1</v>
      </c>
      <c r="AT88" s="3" t="str">
        <f t="shared" si="16"/>
        <v>N/A</v>
      </c>
      <c r="AU88" s="3" t="str">
        <f t="shared" si="17"/>
        <v>N/A</v>
      </c>
      <c r="AV88" s="3">
        <v>3</v>
      </c>
      <c r="AW88" s="3" t="str">
        <f t="shared" si="13"/>
        <v>N/A</v>
      </c>
      <c r="AX88" s="3" t="str">
        <f t="shared" si="18"/>
        <v>N/A</v>
      </c>
      <c r="AY88" s="22" t="str">
        <f>IF($E88="PGE",($AY$4*$L88)+'Water Costs'!I$16-AW88,IF($E88="SCE",$AY$4+'Water Costs'!$I$9,"N/A"))</f>
        <v>N/A</v>
      </c>
      <c r="AZ88" s="3">
        <f t="shared" si="19"/>
        <v>7</v>
      </c>
    </row>
    <row r="89" spans="1:52" hidden="1" x14ac:dyDescent="0.25">
      <c r="A89" s="3" t="s">
        <v>11</v>
      </c>
      <c r="B89" s="3" t="s">
        <v>53</v>
      </c>
      <c r="C89" s="3" t="s">
        <v>54</v>
      </c>
      <c r="D89" s="4">
        <v>40944</v>
      </c>
      <c r="E89" s="3" t="s">
        <v>99</v>
      </c>
      <c r="F89" s="3" t="s">
        <v>56</v>
      </c>
      <c r="G89" s="3" t="s">
        <v>57</v>
      </c>
      <c r="H89" s="3" t="s">
        <v>58</v>
      </c>
      <c r="I89" s="3" t="s">
        <v>91</v>
      </c>
      <c r="J89" s="62" t="str">
        <f t="shared" si="15"/>
        <v>DMoCZ10</v>
      </c>
      <c r="K89" s="3" t="s">
        <v>60</v>
      </c>
      <c r="L89" s="3">
        <v>1.24</v>
      </c>
      <c r="M89" s="3">
        <v>1240</v>
      </c>
      <c r="N89" s="3" t="s">
        <v>61</v>
      </c>
      <c r="O89" s="3">
        <v>0</v>
      </c>
      <c r="P89" s="3">
        <v>0</v>
      </c>
      <c r="Q89" s="3">
        <v>0</v>
      </c>
      <c r="R89" s="3">
        <v>954</v>
      </c>
      <c r="S89" s="3">
        <v>2.16</v>
      </c>
      <c r="T89" s="3">
        <v>-51.4</v>
      </c>
      <c r="U89" s="3">
        <v>0</v>
      </c>
      <c r="V89" s="3">
        <v>0</v>
      </c>
      <c r="W89" s="3">
        <v>0</v>
      </c>
      <c r="X89" s="3">
        <v>395</v>
      </c>
      <c r="Y89" s="3">
        <v>1.1499999999999999</v>
      </c>
      <c r="Z89" s="3">
        <v>-51.8</v>
      </c>
      <c r="AC89" s="3">
        <v>2</v>
      </c>
      <c r="AD89" s="3" t="s">
        <v>62</v>
      </c>
      <c r="AE89" s="3" t="s">
        <v>63</v>
      </c>
      <c r="AF89" s="3" t="s">
        <v>4</v>
      </c>
      <c r="AG89" s="3" t="s">
        <v>100</v>
      </c>
      <c r="AH89" s="3" t="s">
        <v>11</v>
      </c>
      <c r="AI89" s="3" t="s">
        <v>61</v>
      </c>
      <c r="AJ89" s="3" t="s">
        <v>12</v>
      </c>
      <c r="AK89" s="3" t="s">
        <v>65</v>
      </c>
      <c r="AM89" s="3" t="s">
        <v>12</v>
      </c>
      <c r="AN89" s="3" t="s">
        <v>1</v>
      </c>
      <c r="AO89" s="3" t="s">
        <v>3</v>
      </c>
      <c r="AP89" s="3" t="s">
        <v>66</v>
      </c>
      <c r="AQ89" s="6">
        <f>IF($E89="SCE",VLOOKUP($AZ89,'ESAF_&amp;_PDAF_Summary'!$B$4:$D$18,2,0),1)</f>
        <v>1</v>
      </c>
      <c r="AR89" s="6">
        <f>IF($E89="SCE",VLOOKUP($AZ89,'ESAF_&amp;_PDAF_Summary'!$B$4:$D$18,3,0),1)</f>
        <v>1</v>
      </c>
      <c r="AS89" s="6">
        <f>IF($E89="SCE",VLOOKUP($AZ89,'ESAF_&amp;_PDAF_Summary'!$B$4:$E$18,4,0),1)</f>
        <v>1</v>
      </c>
      <c r="AT89" s="3" t="str">
        <f t="shared" si="16"/>
        <v>N/A</v>
      </c>
      <c r="AU89" s="3" t="str">
        <f t="shared" si="17"/>
        <v>N/A</v>
      </c>
      <c r="AV89" s="3">
        <v>4</v>
      </c>
      <c r="AW89" s="3" t="str">
        <f t="shared" si="13"/>
        <v>N/A</v>
      </c>
      <c r="AX89" s="3" t="str">
        <f t="shared" si="18"/>
        <v>N/A</v>
      </c>
      <c r="AY89" s="22" t="str">
        <f>IF($E89="PGE",($AY$4*$L89)+'Water Costs'!I$16-AW89,IF($E89="SCE",$AY$4+'Water Costs'!$I$9,"N/A"))</f>
        <v>N/A</v>
      </c>
      <c r="AZ89" s="3">
        <f t="shared" si="19"/>
        <v>10</v>
      </c>
    </row>
    <row r="90" spans="1:52" hidden="1" x14ac:dyDescent="0.25">
      <c r="A90" s="3" t="s">
        <v>11</v>
      </c>
      <c r="B90" s="3" t="s">
        <v>53</v>
      </c>
      <c r="C90" s="3" t="s">
        <v>54</v>
      </c>
      <c r="D90" s="4">
        <v>40944</v>
      </c>
      <c r="E90" s="3" t="s">
        <v>99</v>
      </c>
      <c r="F90" s="3" t="s">
        <v>56</v>
      </c>
      <c r="G90" s="3" t="s">
        <v>57</v>
      </c>
      <c r="H90" s="3" t="s">
        <v>58</v>
      </c>
      <c r="I90" s="3" t="s">
        <v>92</v>
      </c>
      <c r="J90" s="62" t="str">
        <f t="shared" si="15"/>
        <v>DMoCZ14</v>
      </c>
      <c r="K90" s="3" t="s">
        <v>60</v>
      </c>
      <c r="L90" s="3">
        <v>1.24</v>
      </c>
      <c r="M90" s="3">
        <v>1240</v>
      </c>
      <c r="N90" s="3" t="s">
        <v>61</v>
      </c>
      <c r="O90" s="3">
        <v>0</v>
      </c>
      <c r="P90" s="3">
        <v>0</v>
      </c>
      <c r="Q90" s="3">
        <v>0</v>
      </c>
      <c r="R90" s="3">
        <v>1590</v>
      </c>
      <c r="S90" s="3">
        <v>3.33</v>
      </c>
      <c r="T90" s="3">
        <v>-82.9</v>
      </c>
      <c r="U90" s="3">
        <v>0</v>
      </c>
      <c r="V90" s="3">
        <v>0</v>
      </c>
      <c r="W90" s="3">
        <v>0</v>
      </c>
      <c r="X90" s="3">
        <v>678</v>
      </c>
      <c r="Y90" s="3">
        <v>1.58</v>
      </c>
      <c r="Z90" s="3">
        <v>-83.4</v>
      </c>
      <c r="AC90" s="3">
        <v>2</v>
      </c>
      <c r="AD90" s="3" t="s">
        <v>62</v>
      </c>
      <c r="AE90" s="3" t="s">
        <v>63</v>
      </c>
      <c r="AF90" s="3" t="s">
        <v>93</v>
      </c>
      <c r="AG90" s="3" t="s">
        <v>100</v>
      </c>
      <c r="AH90" s="3" t="s">
        <v>11</v>
      </c>
      <c r="AI90" s="3" t="s">
        <v>61</v>
      </c>
      <c r="AJ90" s="3" t="s">
        <v>12</v>
      </c>
      <c r="AK90" s="3" t="s">
        <v>65</v>
      </c>
      <c r="AM90" s="3" t="s">
        <v>12</v>
      </c>
      <c r="AN90" s="3" t="s">
        <v>1</v>
      </c>
      <c r="AO90" s="3" t="s">
        <v>3</v>
      </c>
      <c r="AP90" s="3" t="s">
        <v>66</v>
      </c>
      <c r="AQ90" s="6">
        <f>IF($E90="SCE",VLOOKUP($AZ90,'ESAF_&amp;_PDAF_Summary'!$B$4:$D$18,2,0),1)</f>
        <v>1</v>
      </c>
      <c r="AR90" s="6">
        <f>IF($E90="SCE",VLOOKUP($AZ90,'ESAF_&amp;_PDAF_Summary'!$B$4:$D$18,3,0),1)</f>
        <v>1</v>
      </c>
      <c r="AS90" s="6">
        <f>IF($E90="SCE",VLOOKUP($AZ90,'ESAF_&amp;_PDAF_Summary'!$B$4:$E$18,4,0),1)</f>
        <v>1</v>
      </c>
      <c r="AT90" s="3" t="str">
        <f t="shared" si="16"/>
        <v>N/A</v>
      </c>
      <c r="AU90" s="3" t="str">
        <f t="shared" si="17"/>
        <v>N/A</v>
      </c>
      <c r="AV90" s="3">
        <v>5</v>
      </c>
      <c r="AW90" s="3" t="str">
        <f t="shared" si="13"/>
        <v>N/A</v>
      </c>
      <c r="AX90" s="3" t="str">
        <f t="shared" si="18"/>
        <v>N/A</v>
      </c>
      <c r="AY90" s="22" t="str">
        <f>IF($E90="PGE",($AY$4*$L90)+'Water Costs'!I$16-AW90,IF($E90="SCE",$AY$4+'Water Costs'!$I$9,"N/A"))</f>
        <v>N/A</v>
      </c>
      <c r="AZ90" s="3">
        <f t="shared" si="19"/>
        <v>14</v>
      </c>
    </row>
    <row r="91" spans="1:52" hidden="1" x14ac:dyDescent="0.25">
      <c r="A91" s="3" t="s">
        <v>11</v>
      </c>
      <c r="B91" s="3" t="s">
        <v>53</v>
      </c>
      <c r="C91" s="3" t="s">
        <v>54</v>
      </c>
      <c r="D91" s="4">
        <v>40944</v>
      </c>
      <c r="E91" s="3" t="s">
        <v>99</v>
      </c>
      <c r="F91" s="3" t="s">
        <v>83</v>
      </c>
      <c r="G91" s="3" t="s">
        <v>57</v>
      </c>
      <c r="H91" s="3" t="s">
        <v>58</v>
      </c>
      <c r="I91" s="3" t="s">
        <v>85</v>
      </c>
      <c r="J91" s="62" t="str">
        <f t="shared" si="15"/>
        <v>MFmCZ06</v>
      </c>
      <c r="K91" s="3" t="s">
        <v>60</v>
      </c>
      <c r="L91" s="3">
        <v>1.05</v>
      </c>
      <c r="M91" s="3">
        <v>1050</v>
      </c>
      <c r="N91" s="3" t="s">
        <v>61</v>
      </c>
      <c r="O91" s="3">
        <v>0</v>
      </c>
      <c r="P91" s="3">
        <v>0</v>
      </c>
      <c r="Q91" s="3">
        <v>0</v>
      </c>
      <c r="R91" s="3">
        <v>161</v>
      </c>
      <c r="S91" s="3">
        <v>0.92500000000000004</v>
      </c>
      <c r="T91" s="3">
        <v>-4.1399999999999997</v>
      </c>
      <c r="U91" s="3">
        <v>0</v>
      </c>
      <c r="V91" s="3">
        <v>0</v>
      </c>
      <c r="W91" s="3">
        <v>0</v>
      </c>
      <c r="X91" s="3">
        <v>89</v>
      </c>
      <c r="Y91" s="3">
        <v>0.54300000000000004</v>
      </c>
      <c r="Z91" s="3">
        <v>-4.3899999999999997</v>
      </c>
      <c r="AC91" s="3">
        <v>2</v>
      </c>
      <c r="AD91" s="3" t="s">
        <v>5</v>
      </c>
      <c r="AE91" s="3" t="s">
        <v>63</v>
      </c>
      <c r="AF91" s="3" t="s">
        <v>86</v>
      </c>
      <c r="AG91" s="3" t="s">
        <v>100</v>
      </c>
      <c r="AH91" s="3" t="s">
        <v>11</v>
      </c>
      <c r="AI91" s="3" t="s">
        <v>61</v>
      </c>
      <c r="AJ91" s="3" t="s">
        <v>12</v>
      </c>
      <c r="AK91" s="3" t="s">
        <v>65</v>
      </c>
      <c r="AM91" s="3" t="s">
        <v>12</v>
      </c>
      <c r="AN91" s="3" t="s">
        <v>1</v>
      </c>
      <c r="AO91" s="3" t="s">
        <v>3</v>
      </c>
      <c r="AP91" s="3" t="s">
        <v>66</v>
      </c>
      <c r="AQ91" s="6">
        <f>IF($E91="SCE",VLOOKUP($AZ91,'ESAF_&amp;_PDAF_Summary'!$B$4:$D$18,2,0),1)</f>
        <v>1</v>
      </c>
      <c r="AR91" s="6">
        <f>IF($E91="SCE",VLOOKUP($AZ91,'ESAF_&amp;_PDAF_Summary'!$B$4:$D$18,3,0),1)</f>
        <v>1</v>
      </c>
      <c r="AS91" s="6">
        <f>IF($E91="SCE",VLOOKUP($AZ91,'ESAF_&amp;_PDAF_Summary'!$B$4:$E$18,4,0),1)</f>
        <v>1</v>
      </c>
      <c r="AT91" s="3" t="str">
        <f t="shared" si="16"/>
        <v>N/A</v>
      </c>
      <c r="AU91" s="3" t="str">
        <f t="shared" si="17"/>
        <v>N/A</v>
      </c>
      <c r="AV91" s="3">
        <v>6</v>
      </c>
      <c r="AW91" s="3" t="str">
        <f t="shared" si="13"/>
        <v>N/A</v>
      </c>
      <c r="AX91" s="3" t="str">
        <f t="shared" si="18"/>
        <v>N/A</v>
      </c>
      <c r="AY91" s="22" t="str">
        <f>IF($E91="PGE",($AY$4*$L91)+'Water Costs'!I$16-AW91,IF($E91="SCE",$AY$4+'Water Costs'!$I$9,"N/A"))</f>
        <v>N/A</v>
      </c>
      <c r="AZ91" s="3">
        <f t="shared" si="19"/>
        <v>6</v>
      </c>
    </row>
    <row r="92" spans="1:52" hidden="1" x14ac:dyDescent="0.25">
      <c r="A92" s="3" t="s">
        <v>11</v>
      </c>
      <c r="B92" s="3" t="s">
        <v>53</v>
      </c>
      <c r="C92" s="3" t="s">
        <v>54</v>
      </c>
      <c r="D92" s="4">
        <v>40944</v>
      </c>
      <c r="E92" s="3" t="s">
        <v>99</v>
      </c>
      <c r="F92" s="3" t="s">
        <v>83</v>
      </c>
      <c r="G92" s="3" t="s">
        <v>57</v>
      </c>
      <c r="H92" s="3" t="s">
        <v>58</v>
      </c>
      <c r="I92" s="3" t="s">
        <v>97</v>
      </c>
      <c r="J92" s="62" t="str">
        <f t="shared" si="15"/>
        <v>MFmCZ07</v>
      </c>
      <c r="K92" s="3" t="s">
        <v>60</v>
      </c>
      <c r="L92" s="3">
        <v>1.03</v>
      </c>
      <c r="M92" s="3">
        <v>1030</v>
      </c>
      <c r="N92" s="3" t="s">
        <v>61</v>
      </c>
      <c r="O92" s="3">
        <v>0</v>
      </c>
      <c r="P92" s="3">
        <v>0</v>
      </c>
      <c r="Q92" s="3">
        <v>0</v>
      </c>
      <c r="R92" s="3">
        <v>225</v>
      </c>
      <c r="S92" s="3">
        <v>0.80900000000000005</v>
      </c>
      <c r="T92" s="3">
        <v>-3.55</v>
      </c>
      <c r="U92" s="3">
        <v>0</v>
      </c>
      <c r="V92" s="3">
        <v>0</v>
      </c>
      <c r="W92" s="3">
        <v>0</v>
      </c>
      <c r="X92" s="3">
        <v>119</v>
      </c>
      <c r="Y92" s="3">
        <v>0.47899999999999998</v>
      </c>
      <c r="Z92" s="3">
        <v>-3.8</v>
      </c>
      <c r="AC92" s="3">
        <v>2</v>
      </c>
      <c r="AD92" s="3" t="s">
        <v>5</v>
      </c>
      <c r="AE92" s="3" t="s">
        <v>63</v>
      </c>
      <c r="AF92" s="3" t="s">
        <v>98</v>
      </c>
      <c r="AG92" s="3" t="s">
        <v>100</v>
      </c>
      <c r="AH92" s="3" t="s">
        <v>11</v>
      </c>
      <c r="AI92" s="3" t="s">
        <v>61</v>
      </c>
      <c r="AJ92" s="3" t="s">
        <v>12</v>
      </c>
      <c r="AK92" s="3" t="s">
        <v>65</v>
      </c>
      <c r="AM92" s="3" t="s">
        <v>12</v>
      </c>
      <c r="AN92" s="3" t="s">
        <v>1</v>
      </c>
      <c r="AO92" s="3" t="s">
        <v>3</v>
      </c>
      <c r="AP92" s="3" t="s">
        <v>66</v>
      </c>
      <c r="AQ92" s="6">
        <f>IF($E92="SCE",VLOOKUP($AZ92,'ESAF_&amp;_PDAF_Summary'!$B$4:$D$18,2,0),1)</f>
        <v>1</v>
      </c>
      <c r="AR92" s="6">
        <f>IF($E92="SCE",VLOOKUP($AZ92,'ESAF_&amp;_PDAF_Summary'!$B$4:$D$18,3,0),1)</f>
        <v>1</v>
      </c>
      <c r="AS92" s="6">
        <f>IF($E92="SCE",VLOOKUP($AZ92,'ESAF_&amp;_PDAF_Summary'!$B$4:$E$18,4,0),1)</f>
        <v>1</v>
      </c>
      <c r="AT92" s="3" t="str">
        <f t="shared" ref="AT92:AT100" si="20">IF(AND($E92="PGE",$F92="MFm",OR($I92="CZ11",$I92="CZ12",$I92="CZ13")),X92*$AQ92*$AS92*$L92,IF($E92="SCE",R92*$AQ92*$AS92,"N/A"))</f>
        <v>N/A</v>
      </c>
      <c r="AU92" s="3" t="str">
        <f t="shared" ref="AU92:AU100" si="21">IF(AND($E92="PGE",$F92="MFm",OR($I92="CZ11",$I92="CZ12",$I92="CZ13")),Y92*$AR92*$AS92*$L92,IF($E92="SCE",S92*$AR92*$AS92,"N/A"))</f>
        <v>N/A</v>
      </c>
      <c r="AV92" s="3">
        <v>7</v>
      </c>
      <c r="AW92" s="3" t="str">
        <f t="shared" si="13"/>
        <v>N/A</v>
      </c>
      <c r="AX92" s="3" t="str">
        <f t="shared" ref="AX92:AX100" si="22">IF($E92="PGE",AY92,IF($E92="SCE",AY92,"N/A"))</f>
        <v>N/A</v>
      </c>
      <c r="AY92" s="22" t="str">
        <f>IF($E92="PGE",($AY$4*$L92)+'Water Costs'!I$16-AW92,IF($E92="SCE",$AY$4+'Water Costs'!$I$9,"N/A"))</f>
        <v>N/A</v>
      </c>
      <c r="AZ92" s="3">
        <f t="shared" ref="AZ92:AZ100" si="23">VALUE(RIGHT(I92,2))</f>
        <v>7</v>
      </c>
    </row>
    <row r="93" spans="1:52" hidden="1" x14ac:dyDescent="0.25">
      <c r="A93" s="3" t="s">
        <v>11</v>
      </c>
      <c r="B93" s="3" t="s">
        <v>53</v>
      </c>
      <c r="C93" s="3" t="s">
        <v>54</v>
      </c>
      <c r="D93" s="4">
        <v>40944</v>
      </c>
      <c r="E93" s="3" t="s">
        <v>99</v>
      </c>
      <c r="F93" s="3" t="s">
        <v>83</v>
      </c>
      <c r="G93" s="3" t="s">
        <v>57</v>
      </c>
      <c r="H93" s="3" t="s">
        <v>58</v>
      </c>
      <c r="I93" s="3" t="s">
        <v>87</v>
      </c>
      <c r="J93" s="62" t="str">
        <f t="shared" si="15"/>
        <v>MFmCZ08</v>
      </c>
      <c r="K93" s="3" t="s">
        <v>60</v>
      </c>
      <c r="L93" s="3">
        <v>1.08</v>
      </c>
      <c r="M93" s="3">
        <v>1080</v>
      </c>
      <c r="N93" s="3" t="s">
        <v>61</v>
      </c>
      <c r="O93" s="3">
        <v>0</v>
      </c>
      <c r="P93" s="3">
        <v>0</v>
      </c>
      <c r="Q93" s="3">
        <v>0</v>
      </c>
      <c r="R93" s="3">
        <v>268</v>
      </c>
      <c r="S93" s="3">
        <v>0.77500000000000002</v>
      </c>
      <c r="T93" s="3">
        <v>-1.67</v>
      </c>
      <c r="U93" s="3">
        <v>0</v>
      </c>
      <c r="V93" s="3">
        <v>0</v>
      </c>
      <c r="W93" s="3">
        <v>0</v>
      </c>
      <c r="X93" s="3">
        <v>165</v>
      </c>
      <c r="Y93" s="3">
        <v>0.56999999999999995</v>
      </c>
      <c r="Z93" s="3">
        <v>-1.78</v>
      </c>
      <c r="AC93" s="3">
        <v>2</v>
      </c>
      <c r="AD93" s="3" t="s">
        <v>5</v>
      </c>
      <c r="AE93" s="3" t="s">
        <v>63</v>
      </c>
      <c r="AF93" s="3" t="s">
        <v>88</v>
      </c>
      <c r="AG93" s="3" t="s">
        <v>100</v>
      </c>
      <c r="AH93" s="3" t="s">
        <v>11</v>
      </c>
      <c r="AI93" s="3" t="s">
        <v>61</v>
      </c>
      <c r="AJ93" s="3" t="s">
        <v>12</v>
      </c>
      <c r="AK93" s="3" t="s">
        <v>65</v>
      </c>
      <c r="AM93" s="3" t="s">
        <v>12</v>
      </c>
      <c r="AN93" s="3" t="s">
        <v>1</v>
      </c>
      <c r="AO93" s="3" t="s">
        <v>3</v>
      </c>
      <c r="AP93" s="3" t="s">
        <v>66</v>
      </c>
      <c r="AQ93" s="6">
        <f>IF($E93="SCE",VLOOKUP($AZ93,'ESAF_&amp;_PDAF_Summary'!$B$4:$D$18,2,0),1)</f>
        <v>1</v>
      </c>
      <c r="AR93" s="6">
        <f>IF($E93="SCE",VLOOKUP($AZ93,'ESAF_&amp;_PDAF_Summary'!$B$4:$D$18,3,0),1)</f>
        <v>1</v>
      </c>
      <c r="AS93" s="6">
        <f>IF($E93="SCE",VLOOKUP($AZ93,'ESAF_&amp;_PDAF_Summary'!$B$4:$E$18,4,0),1)</f>
        <v>1</v>
      </c>
      <c r="AT93" s="3" t="str">
        <f t="shared" si="20"/>
        <v>N/A</v>
      </c>
      <c r="AU93" s="3" t="str">
        <f t="shared" si="21"/>
        <v>N/A</v>
      </c>
      <c r="AV93" s="3">
        <v>8</v>
      </c>
      <c r="AW93" s="3" t="str">
        <f t="shared" si="13"/>
        <v>N/A</v>
      </c>
      <c r="AX93" s="3" t="str">
        <f t="shared" si="22"/>
        <v>N/A</v>
      </c>
      <c r="AY93" s="22" t="str">
        <f>IF($E93="PGE",($AY$4*$L93)+'Water Costs'!I$16-AW93,IF($E93="SCE",$AY$4+'Water Costs'!$I$9,"N/A"))</f>
        <v>N/A</v>
      </c>
      <c r="AZ93" s="3">
        <f t="shared" si="23"/>
        <v>8</v>
      </c>
    </row>
    <row r="94" spans="1:52" hidden="1" x14ac:dyDescent="0.25">
      <c r="A94" s="3" t="s">
        <v>11</v>
      </c>
      <c r="B94" s="3" t="s">
        <v>53</v>
      </c>
      <c r="C94" s="3" t="s">
        <v>54</v>
      </c>
      <c r="D94" s="4">
        <v>40944</v>
      </c>
      <c r="E94" s="3" t="s">
        <v>99</v>
      </c>
      <c r="F94" s="3" t="s">
        <v>83</v>
      </c>
      <c r="G94" s="3" t="s">
        <v>57</v>
      </c>
      <c r="H94" s="3" t="s">
        <v>58</v>
      </c>
      <c r="I94" s="3" t="s">
        <v>91</v>
      </c>
      <c r="J94" s="62" t="str">
        <f t="shared" si="15"/>
        <v>MFmCZ10</v>
      </c>
      <c r="K94" s="3" t="s">
        <v>60</v>
      </c>
      <c r="L94" s="3">
        <v>1.17</v>
      </c>
      <c r="M94" s="3">
        <v>1170</v>
      </c>
      <c r="N94" s="3" t="s">
        <v>61</v>
      </c>
      <c r="O94" s="3">
        <v>0</v>
      </c>
      <c r="P94" s="3">
        <v>0</v>
      </c>
      <c r="Q94" s="3">
        <v>0</v>
      </c>
      <c r="R94" s="3">
        <v>749</v>
      </c>
      <c r="S94" s="3">
        <v>1.1200000000000001</v>
      </c>
      <c r="T94" s="3">
        <v>-6.64</v>
      </c>
      <c r="U94" s="3">
        <v>0</v>
      </c>
      <c r="V94" s="3">
        <v>0</v>
      </c>
      <c r="W94" s="3">
        <v>0</v>
      </c>
      <c r="X94" s="3">
        <v>416</v>
      </c>
      <c r="Y94" s="3">
        <v>0.71599999999999997</v>
      </c>
      <c r="Z94" s="3">
        <v>-6.92</v>
      </c>
      <c r="AC94" s="3">
        <v>2</v>
      </c>
      <c r="AD94" s="3" t="s">
        <v>5</v>
      </c>
      <c r="AE94" s="3" t="s">
        <v>63</v>
      </c>
      <c r="AF94" s="3" t="s">
        <v>4</v>
      </c>
      <c r="AG94" s="3" t="s">
        <v>100</v>
      </c>
      <c r="AH94" s="3" t="s">
        <v>11</v>
      </c>
      <c r="AI94" s="3" t="s">
        <v>61</v>
      </c>
      <c r="AJ94" s="3" t="s">
        <v>12</v>
      </c>
      <c r="AK94" s="3" t="s">
        <v>65</v>
      </c>
      <c r="AM94" s="3" t="s">
        <v>12</v>
      </c>
      <c r="AN94" s="3" t="s">
        <v>1</v>
      </c>
      <c r="AO94" s="3" t="s">
        <v>3</v>
      </c>
      <c r="AP94" s="3" t="s">
        <v>66</v>
      </c>
      <c r="AQ94" s="6">
        <f>IF($E94="SCE",VLOOKUP($AZ94,'ESAF_&amp;_PDAF_Summary'!$B$4:$D$18,2,0),1)</f>
        <v>1</v>
      </c>
      <c r="AR94" s="6">
        <f>IF($E94="SCE",VLOOKUP($AZ94,'ESAF_&amp;_PDAF_Summary'!$B$4:$D$18,3,0),1)</f>
        <v>1</v>
      </c>
      <c r="AS94" s="6">
        <f>IF($E94="SCE",VLOOKUP($AZ94,'ESAF_&amp;_PDAF_Summary'!$B$4:$E$18,4,0),1)</f>
        <v>1</v>
      </c>
      <c r="AT94" s="3" t="str">
        <f t="shared" si="20"/>
        <v>N/A</v>
      </c>
      <c r="AU94" s="3" t="str">
        <f t="shared" si="21"/>
        <v>N/A</v>
      </c>
      <c r="AV94" s="3">
        <v>9</v>
      </c>
      <c r="AW94" s="3" t="str">
        <f t="shared" si="13"/>
        <v>N/A</v>
      </c>
      <c r="AX94" s="3" t="str">
        <f t="shared" si="22"/>
        <v>N/A</v>
      </c>
      <c r="AY94" s="22" t="str">
        <f>IF($E94="PGE",($AY$4*$L94)+'Water Costs'!I$16-AW94,IF($E94="SCE",$AY$4+'Water Costs'!$I$9,"N/A"))</f>
        <v>N/A</v>
      </c>
      <c r="AZ94" s="3">
        <f t="shared" si="23"/>
        <v>10</v>
      </c>
    </row>
    <row r="95" spans="1:52" hidden="1" x14ac:dyDescent="0.25">
      <c r="A95" s="3" t="s">
        <v>11</v>
      </c>
      <c r="B95" s="3" t="s">
        <v>53</v>
      </c>
      <c r="C95" s="3" t="s">
        <v>54</v>
      </c>
      <c r="D95" s="4">
        <v>40944</v>
      </c>
      <c r="E95" s="3" t="s">
        <v>99</v>
      </c>
      <c r="F95" s="3" t="s">
        <v>84</v>
      </c>
      <c r="G95" s="3" t="s">
        <v>57</v>
      </c>
      <c r="H95" s="3" t="s">
        <v>58</v>
      </c>
      <c r="I95" s="3" t="s">
        <v>85</v>
      </c>
      <c r="J95" s="62" t="str">
        <f t="shared" si="15"/>
        <v>SFmCZ06</v>
      </c>
      <c r="K95" s="3" t="s">
        <v>60</v>
      </c>
      <c r="L95" s="3">
        <v>2.15</v>
      </c>
      <c r="M95" s="3">
        <v>2150</v>
      </c>
      <c r="N95" s="3" t="s">
        <v>61</v>
      </c>
      <c r="O95" s="3">
        <v>0</v>
      </c>
      <c r="P95" s="3">
        <v>0</v>
      </c>
      <c r="Q95" s="3">
        <v>0</v>
      </c>
      <c r="R95" s="3">
        <v>224</v>
      </c>
      <c r="S95" s="3">
        <v>0.97699999999999998</v>
      </c>
      <c r="T95" s="3">
        <v>-14.1</v>
      </c>
      <c r="U95" s="3">
        <v>0</v>
      </c>
      <c r="V95" s="3">
        <v>0</v>
      </c>
      <c r="W95" s="3">
        <v>0</v>
      </c>
      <c r="X95" s="3">
        <v>143</v>
      </c>
      <c r="Y95" s="3">
        <v>0.65200000000000002</v>
      </c>
      <c r="Z95" s="3">
        <v>-14.2</v>
      </c>
      <c r="AC95" s="3">
        <v>2</v>
      </c>
      <c r="AD95" s="3" t="s">
        <v>2</v>
      </c>
      <c r="AE95" s="3" t="s">
        <v>63</v>
      </c>
      <c r="AF95" s="3" t="s">
        <v>86</v>
      </c>
      <c r="AG95" s="3" t="s">
        <v>100</v>
      </c>
      <c r="AH95" s="3" t="s">
        <v>11</v>
      </c>
      <c r="AI95" s="3" t="s">
        <v>61</v>
      </c>
      <c r="AJ95" s="3" t="s">
        <v>12</v>
      </c>
      <c r="AK95" s="3" t="s">
        <v>65</v>
      </c>
      <c r="AM95" s="3" t="s">
        <v>12</v>
      </c>
      <c r="AN95" s="3" t="s">
        <v>1</v>
      </c>
      <c r="AO95" s="3" t="s">
        <v>3</v>
      </c>
      <c r="AP95" s="3" t="s">
        <v>66</v>
      </c>
      <c r="AQ95" s="6">
        <f>IF($E95="SCE",VLOOKUP($AZ95,'ESAF_&amp;_PDAF_Summary'!$B$4:$D$18,2,0),1)</f>
        <v>1</v>
      </c>
      <c r="AR95" s="6">
        <f>IF($E95="SCE",VLOOKUP($AZ95,'ESAF_&amp;_PDAF_Summary'!$B$4:$D$18,3,0),1)</f>
        <v>1</v>
      </c>
      <c r="AS95" s="6">
        <f>IF($E95="SCE",VLOOKUP($AZ95,'ESAF_&amp;_PDAF_Summary'!$B$4:$E$18,4,0),1)</f>
        <v>1</v>
      </c>
      <c r="AT95" s="3" t="str">
        <f t="shared" si="20"/>
        <v>N/A</v>
      </c>
      <c r="AU95" s="3" t="str">
        <f t="shared" si="21"/>
        <v>N/A</v>
      </c>
      <c r="AV95" s="3">
        <v>10</v>
      </c>
      <c r="AW95" s="3" t="str">
        <f t="shared" si="13"/>
        <v>N/A</v>
      </c>
      <c r="AX95" s="3" t="str">
        <f t="shared" si="22"/>
        <v>N/A</v>
      </c>
      <c r="AY95" s="22" t="str">
        <f>IF($E95="PGE",($AY$4*$L95)+'Water Costs'!I$16-AW95,IF($E95="SCE",$AY$4+'Water Costs'!$I$9,"N/A"))</f>
        <v>N/A</v>
      </c>
      <c r="AZ95" s="3">
        <f t="shared" si="23"/>
        <v>6</v>
      </c>
    </row>
    <row r="96" spans="1:52" hidden="1" x14ac:dyDescent="0.25">
      <c r="A96" s="3" t="s">
        <v>11</v>
      </c>
      <c r="B96" s="3" t="s">
        <v>53</v>
      </c>
      <c r="C96" s="3" t="s">
        <v>54</v>
      </c>
      <c r="D96" s="4">
        <v>40944</v>
      </c>
      <c r="E96" s="3" t="s">
        <v>99</v>
      </c>
      <c r="F96" s="3" t="s">
        <v>84</v>
      </c>
      <c r="G96" s="3" t="s">
        <v>57</v>
      </c>
      <c r="H96" s="3" t="s">
        <v>58</v>
      </c>
      <c r="I96" s="3" t="s">
        <v>97</v>
      </c>
      <c r="J96" s="62" t="str">
        <f t="shared" si="15"/>
        <v>SFmCZ07</v>
      </c>
      <c r="K96" s="3" t="s">
        <v>60</v>
      </c>
      <c r="L96" s="3">
        <v>1.84</v>
      </c>
      <c r="M96" s="3">
        <v>1840</v>
      </c>
      <c r="N96" s="3" t="s">
        <v>61</v>
      </c>
      <c r="O96" s="3">
        <v>0</v>
      </c>
      <c r="P96" s="3">
        <v>0</v>
      </c>
      <c r="Q96" s="3">
        <v>0</v>
      </c>
      <c r="R96" s="3">
        <v>379</v>
      </c>
      <c r="S96" s="3">
        <v>0.90200000000000002</v>
      </c>
      <c r="T96" s="3">
        <v>-17.8</v>
      </c>
      <c r="U96" s="3">
        <v>0</v>
      </c>
      <c r="V96" s="3">
        <v>0</v>
      </c>
      <c r="W96" s="3">
        <v>0</v>
      </c>
      <c r="X96" s="3">
        <v>208</v>
      </c>
      <c r="Y96" s="3">
        <v>0.53800000000000003</v>
      </c>
      <c r="Z96" s="3">
        <v>-18.100000000000001</v>
      </c>
      <c r="AC96" s="3">
        <v>2</v>
      </c>
      <c r="AD96" s="3" t="s">
        <v>2</v>
      </c>
      <c r="AE96" s="3" t="s">
        <v>63</v>
      </c>
      <c r="AF96" s="3" t="s">
        <v>98</v>
      </c>
      <c r="AG96" s="3" t="s">
        <v>100</v>
      </c>
      <c r="AH96" s="3" t="s">
        <v>11</v>
      </c>
      <c r="AI96" s="3" t="s">
        <v>61</v>
      </c>
      <c r="AJ96" s="3" t="s">
        <v>12</v>
      </c>
      <c r="AK96" s="3" t="s">
        <v>65</v>
      </c>
      <c r="AM96" s="3" t="s">
        <v>12</v>
      </c>
      <c r="AN96" s="3" t="s">
        <v>1</v>
      </c>
      <c r="AO96" s="3" t="s">
        <v>3</v>
      </c>
      <c r="AP96" s="3" t="s">
        <v>66</v>
      </c>
      <c r="AQ96" s="6">
        <f>IF($E96="SCE",VLOOKUP($AZ96,'ESAF_&amp;_PDAF_Summary'!$B$4:$D$18,2,0),1)</f>
        <v>1</v>
      </c>
      <c r="AR96" s="6">
        <f>IF($E96="SCE",VLOOKUP($AZ96,'ESAF_&amp;_PDAF_Summary'!$B$4:$D$18,3,0),1)</f>
        <v>1</v>
      </c>
      <c r="AS96" s="6">
        <f>IF($E96="SCE",VLOOKUP($AZ96,'ESAF_&amp;_PDAF_Summary'!$B$4:$E$18,4,0),1)</f>
        <v>1</v>
      </c>
      <c r="AT96" s="3" t="str">
        <f t="shared" si="20"/>
        <v>N/A</v>
      </c>
      <c r="AU96" s="3" t="str">
        <f t="shared" si="21"/>
        <v>N/A</v>
      </c>
      <c r="AV96" s="3">
        <v>11</v>
      </c>
      <c r="AW96" s="3" t="str">
        <f t="shared" si="13"/>
        <v>N/A</v>
      </c>
      <c r="AX96" s="3" t="str">
        <f t="shared" si="22"/>
        <v>N/A</v>
      </c>
      <c r="AY96" s="22" t="str">
        <f>IF($E96="PGE",($AY$4*$L96)+'Water Costs'!I$16-AW96,IF($E96="SCE",$AY$4+'Water Costs'!$I$9,"N/A"))</f>
        <v>N/A</v>
      </c>
      <c r="AZ96" s="3">
        <f t="shared" si="23"/>
        <v>7</v>
      </c>
    </row>
    <row r="97" spans="1:52" hidden="1" x14ac:dyDescent="0.25">
      <c r="A97" s="3" t="s">
        <v>11</v>
      </c>
      <c r="B97" s="3" t="s">
        <v>53</v>
      </c>
      <c r="C97" s="3" t="s">
        <v>54</v>
      </c>
      <c r="D97" s="4">
        <v>40944</v>
      </c>
      <c r="E97" s="3" t="s">
        <v>99</v>
      </c>
      <c r="F97" s="3" t="s">
        <v>84</v>
      </c>
      <c r="G97" s="3" t="s">
        <v>57</v>
      </c>
      <c r="H97" s="3" t="s">
        <v>58</v>
      </c>
      <c r="I97" s="3" t="s">
        <v>87</v>
      </c>
      <c r="J97" s="62" t="str">
        <f t="shared" si="15"/>
        <v>SFmCZ08</v>
      </c>
      <c r="K97" s="3" t="s">
        <v>60</v>
      </c>
      <c r="L97" s="3">
        <v>2.0499999999999998</v>
      </c>
      <c r="M97" s="3">
        <v>2050</v>
      </c>
      <c r="N97" s="3" t="s">
        <v>61</v>
      </c>
      <c r="O97" s="3">
        <v>0</v>
      </c>
      <c r="P97" s="3">
        <v>0</v>
      </c>
      <c r="Q97" s="3">
        <v>0</v>
      </c>
      <c r="R97" s="3">
        <v>577</v>
      </c>
      <c r="S97" s="3">
        <v>1.17</v>
      </c>
      <c r="T97" s="3">
        <v>-16.2</v>
      </c>
      <c r="U97" s="3">
        <v>0</v>
      </c>
      <c r="V97" s="3">
        <v>0</v>
      </c>
      <c r="W97" s="3">
        <v>0</v>
      </c>
      <c r="X97" s="3">
        <v>342</v>
      </c>
      <c r="Y97" s="3">
        <v>0.84499999999999997</v>
      </c>
      <c r="Z97" s="3">
        <v>-16.3</v>
      </c>
      <c r="AC97" s="3">
        <v>2</v>
      </c>
      <c r="AD97" s="3" t="s">
        <v>2</v>
      </c>
      <c r="AE97" s="3" t="s">
        <v>63</v>
      </c>
      <c r="AF97" s="3" t="s">
        <v>88</v>
      </c>
      <c r="AG97" s="3" t="s">
        <v>100</v>
      </c>
      <c r="AH97" s="3" t="s">
        <v>11</v>
      </c>
      <c r="AI97" s="3" t="s">
        <v>61</v>
      </c>
      <c r="AJ97" s="3" t="s">
        <v>12</v>
      </c>
      <c r="AK97" s="3" t="s">
        <v>65</v>
      </c>
      <c r="AM97" s="3" t="s">
        <v>12</v>
      </c>
      <c r="AN97" s="3" t="s">
        <v>1</v>
      </c>
      <c r="AO97" s="3" t="s">
        <v>3</v>
      </c>
      <c r="AP97" s="3" t="s">
        <v>66</v>
      </c>
      <c r="AQ97" s="6">
        <f>IF($E97="SCE",VLOOKUP($AZ97,'ESAF_&amp;_PDAF_Summary'!$B$4:$D$18,2,0),1)</f>
        <v>1</v>
      </c>
      <c r="AR97" s="6">
        <f>IF($E97="SCE",VLOOKUP($AZ97,'ESAF_&amp;_PDAF_Summary'!$B$4:$D$18,3,0),1)</f>
        <v>1</v>
      </c>
      <c r="AS97" s="6">
        <f>IF($E97="SCE",VLOOKUP($AZ97,'ESAF_&amp;_PDAF_Summary'!$B$4:$E$18,4,0),1)</f>
        <v>1</v>
      </c>
      <c r="AT97" s="3" t="str">
        <f t="shared" si="20"/>
        <v>N/A</v>
      </c>
      <c r="AU97" s="3" t="str">
        <f t="shared" si="21"/>
        <v>N/A</v>
      </c>
      <c r="AV97" s="3">
        <v>12</v>
      </c>
      <c r="AW97" s="3" t="str">
        <f t="shared" si="13"/>
        <v>N/A</v>
      </c>
      <c r="AX97" s="3" t="str">
        <f t="shared" si="22"/>
        <v>N/A</v>
      </c>
      <c r="AY97" s="22" t="str">
        <f>IF($E97="PGE",($AY$4*$L97)+'Water Costs'!I$16-AW97,IF($E97="SCE",$AY$4+'Water Costs'!$I$9,"N/A"))</f>
        <v>N/A</v>
      </c>
      <c r="AZ97" s="3">
        <f t="shared" si="23"/>
        <v>8</v>
      </c>
    </row>
    <row r="98" spans="1:52" hidden="1" x14ac:dyDescent="0.25">
      <c r="A98" s="3" t="s">
        <v>11</v>
      </c>
      <c r="B98" s="3" t="s">
        <v>53</v>
      </c>
      <c r="C98" s="3" t="s">
        <v>54</v>
      </c>
      <c r="D98" s="4">
        <v>40944</v>
      </c>
      <c r="E98" s="3" t="s">
        <v>99</v>
      </c>
      <c r="F98" s="3" t="s">
        <v>84</v>
      </c>
      <c r="G98" s="3" t="s">
        <v>57</v>
      </c>
      <c r="H98" s="3" t="s">
        <v>58</v>
      </c>
      <c r="I98" s="3" t="s">
        <v>91</v>
      </c>
      <c r="J98" s="62" t="str">
        <f t="shared" si="15"/>
        <v>SFmCZ10</v>
      </c>
      <c r="K98" s="3" t="s">
        <v>60</v>
      </c>
      <c r="L98" s="3">
        <v>1.8</v>
      </c>
      <c r="M98" s="3">
        <v>1800</v>
      </c>
      <c r="N98" s="3" t="s">
        <v>61</v>
      </c>
      <c r="O98" s="3">
        <v>0</v>
      </c>
      <c r="P98" s="3">
        <v>0</v>
      </c>
      <c r="Q98" s="3">
        <v>0</v>
      </c>
      <c r="R98" s="3">
        <v>984</v>
      </c>
      <c r="S98" s="3">
        <v>1.4</v>
      </c>
      <c r="T98" s="3">
        <v>-32.200000000000003</v>
      </c>
      <c r="U98" s="3">
        <v>0</v>
      </c>
      <c r="V98" s="3">
        <v>0</v>
      </c>
      <c r="W98" s="3">
        <v>0</v>
      </c>
      <c r="X98" s="3">
        <v>553</v>
      </c>
      <c r="Y98" s="3">
        <v>0.88600000000000001</v>
      </c>
      <c r="Z98" s="3">
        <v>-32.5</v>
      </c>
      <c r="AC98" s="3">
        <v>2</v>
      </c>
      <c r="AD98" s="3" t="s">
        <v>2</v>
      </c>
      <c r="AE98" s="3" t="s">
        <v>63</v>
      </c>
      <c r="AF98" s="3" t="s">
        <v>4</v>
      </c>
      <c r="AG98" s="3" t="s">
        <v>100</v>
      </c>
      <c r="AH98" s="3" t="s">
        <v>11</v>
      </c>
      <c r="AI98" s="3" t="s">
        <v>61</v>
      </c>
      <c r="AJ98" s="3" t="s">
        <v>12</v>
      </c>
      <c r="AK98" s="3" t="s">
        <v>65</v>
      </c>
      <c r="AM98" s="3" t="s">
        <v>12</v>
      </c>
      <c r="AN98" s="3" t="s">
        <v>1</v>
      </c>
      <c r="AO98" s="3" t="s">
        <v>3</v>
      </c>
      <c r="AP98" s="3" t="s">
        <v>66</v>
      </c>
      <c r="AQ98" s="6">
        <f>IF($E98="SCE",VLOOKUP($AZ98,'ESAF_&amp;_PDAF_Summary'!$B$4:$D$18,2,0),1)</f>
        <v>1</v>
      </c>
      <c r="AR98" s="6">
        <f>IF($E98="SCE",VLOOKUP($AZ98,'ESAF_&amp;_PDAF_Summary'!$B$4:$D$18,3,0),1)</f>
        <v>1</v>
      </c>
      <c r="AS98" s="6">
        <f>IF($E98="SCE",VLOOKUP($AZ98,'ESAF_&amp;_PDAF_Summary'!$B$4:$E$18,4,0),1)</f>
        <v>1</v>
      </c>
      <c r="AT98" s="3" t="str">
        <f t="shared" si="20"/>
        <v>N/A</v>
      </c>
      <c r="AU98" s="3" t="str">
        <f t="shared" si="21"/>
        <v>N/A</v>
      </c>
      <c r="AV98" s="3">
        <v>13</v>
      </c>
      <c r="AW98" s="3" t="str">
        <f t="shared" si="13"/>
        <v>N/A</v>
      </c>
      <c r="AX98" s="3" t="str">
        <f t="shared" si="22"/>
        <v>N/A</v>
      </c>
      <c r="AY98" s="22" t="str">
        <f>IF($E98="PGE",($AY$4*$L98)+'Water Costs'!I$16-AW98,IF($E98="SCE",$AY$4+'Water Costs'!$I$9,"N/A"))</f>
        <v>N/A</v>
      </c>
      <c r="AZ98" s="3">
        <f t="shared" si="23"/>
        <v>10</v>
      </c>
    </row>
    <row r="99" spans="1:52" hidden="1" x14ac:dyDescent="0.25">
      <c r="A99" s="3" t="s">
        <v>11</v>
      </c>
      <c r="B99" s="3" t="s">
        <v>53</v>
      </c>
      <c r="C99" s="3" t="s">
        <v>54</v>
      </c>
      <c r="D99" s="4">
        <v>40944</v>
      </c>
      <c r="E99" s="3" t="s">
        <v>99</v>
      </c>
      <c r="F99" s="3" t="s">
        <v>84</v>
      </c>
      <c r="G99" s="3" t="s">
        <v>57</v>
      </c>
      <c r="H99" s="3" t="s">
        <v>58</v>
      </c>
      <c r="I99" s="3" t="s">
        <v>92</v>
      </c>
      <c r="J99" s="62" t="str">
        <f t="shared" si="15"/>
        <v>SFmCZ14</v>
      </c>
      <c r="K99" s="3" t="s">
        <v>60</v>
      </c>
      <c r="L99" s="3">
        <v>1.66</v>
      </c>
      <c r="M99" s="3">
        <v>1660</v>
      </c>
      <c r="N99" s="3" t="s">
        <v>61</v>
      </c>
      <c r="O99" s="3">
        <v>0</v>
      </c>
      <c r="P99" s="3">
        <v>0</v>
      </c>
      <c r="Q99" s="3">
        <v>0</v>
      </c>
      <c r="R99" s="3">
        <v>1460</v>
      </c>
      <c r="S99" s="3">
        <v>2.48</v>
      </c>
      <c r="T99" s="3">
        <v>-61.6</v>
      </c>
      <c r="U99" s="3">
        <v>0</v>
      </c>
      <c r="V99" s="3">
        <v>0</v>
      </c>
      <c r="W99" s="3">
        <v>0</v>
      </c>
      <c r="X99" s="3">
        <v>903</v>
      </c>
      <c r="Y99" s="3">
        <v>1.65</v>
      </c>
      <c r="Z99" s="3">
        <v>-62</v>
      </c>
      <c r="AC99" s="3">
        <v>2</v>
      </c>
      <c r="AD99" s="3" t="s">
        <v>2</v>
      </c>
      <c r="AE99" s="3" t="s">
        <v>63</v>
      </c>
      <c r="AF99" s="3" t="s">
        <v>93</v>
      </c>
      <c r="AG99" s="3" t="s">
        <v>100</v>
      </c>
      <c r="AH99" s="3" t="s">
        <v>11</v>
      </c>
      <c r="AI99" s="3" t="s">
        <v>61</v>
      </c>
      <c r="AJ99" s="3" t="s">
        <v>12</v>
      </c>
      <c r="AK99" s="3" t="s">
        <v>65</v>
      </c>
      <c r="AM99" s="3" t="s">
        <v>12</v>
      </c>
      <c r="AN99" s="3" t="s">
        <v>1</v>
      </c>
      <c r="AO99" s="3" t="s">
        <v>3</v>
      </c>
      <c r="AP99" s="3" t="s">
        <v>66</v>
      </c>
      <c r="AQ99" s="6">
        <f>IF($E99="SCE",VLOOKUP($AZ99,'ESAF_&amp;_PDAF_Summary'!$B$4:$D$18,2,0),1)</f>
        <v>1</v>
      </c>
      <c r="AR99" s="6">
        <f>IF($E99="SCE",VLOOKUP($AZ99,'ESAF_&amp;_PDAF_Summary'!$B$4:$D$18,3,0),1)</f>
        <v>1</v>
      </c>
      <c r="AS99" s="6">
        <f>IF($E99="SCE",VLOOKUP($AZ99,'ESAF_&amp;_PDAF_Summary'!$B$4:$E$18,4,0),1)</f>
        <v>1</v>
      </c>
      <c r="AT99" s="3" t="str">
        <f t="shared" si="20"/>
        <v>N/A</v>
      </c>
      <c r="AU99" s="3" t="str">
        <f t="shared" si="21"/>
        <v>N/A</v>
      </c>
      <c r="AV99" s="3">
        <v>14</v>
      </c>
      <c r="AW99" s="3" t="str">
        <f t="shared" si="13"/>
        <v>N/A</v>
      </c>
      <c r="AX99" s="3" t="str">
        <f t="shared" si="22"/>
        <v>N/A</v>
      </c>
      <c r="AY99" s="22" t="str">
        <f>IF($E99="PGE",($AY$4*$L99)+'Water Costs'!I$16-AW99,IF($E99="SCE",$AY$4+'Water Costs'!$I$9,"N/A"))</f>
        <v>N/A</v>
      </c>
      <c r="AZ99" s="3">
        <f t="shared" si="23"/>
        <v>14</v>
      </c>
    </row>
    <row r="100" spans="1:52" hidden="1" x14ac:dyDescent="0.25">
      <c r="A100" s="3" t="s">
        <v>11</v>
      </c>
      <c r="B100" s="3" t="s">
        <v>53</v>
      </c>
      <c r="C100" s="3" t="s">
        <v>54</v>
      </c>
      <c r="D100" s="4">
        <v>40944</v>
      </c>
      <c r="E100" s="3" t="s">
        <v>99</v>
      </c>
      <c r="F100" s="3" t="s">
        <v>84</v>
      </c>
      <c r="G100" s="3" t="s">
        <v>57</v>
      </c>
      <c r="H100" s="3" t="s">
        <v>58</v>
      </c>
      <c r="I100" s="3" t="s">
        <v>94</v>
      </c>
      <c r="J100" s="62" t="str">
        <f t="shared" si="15"/>
        <v>SFmCZ15</v>
      </c>
      <c r="K100" s="3" t="s">
        <v>60</v>
      </c>
      <c r="L100" s="3">
        <v>1.6</v>
      </c>
      <c r="M100" s="3">
        <v>1600</v>
      </c>
      <c r="N100" s="3" t="s">
        <v>61</v>
      </c>
      <c r="O100" s="3">
        <v>0</v>
      </c>
      <c r="P100" s="3">
        <v>0</v>
      </c>
      <c r="Q100" s="3">
        <v>0</v>
      </c>
      <c r="R100" s="3">
        <v>3300</v>
      </c>
      <c r="S100" s="3">
        <v>2.97</v>
      </c>
      <c r="T100" s="3">
        <v>-22.2</v>
      </c>
      <c r="U100" s="3">
        <v>0</v>
      </c>
      <c r="V100" s="3">
        <v>0</v>
      </c>
      <c r="W100" s="3">
        <v>0</v>
      </c>
      <c r="X100" s="3">
        <v>1810</v>
      </c>
      <c r="Y100" s="3">
        <v>1.89</v>
      </c>
      <c r="Z100" s="3">
        <v>-22.4</v>
      </c>
      <c r="AC100" s="3">
        <v>2</v>
      </c>
      <c r="AD100" s="3" t="s">
        <v>2</v>
      </c>
      <c r="AE100" s="3" t="s">
        <v>63</v>
      </c>
      <c r="AF100" s="3" t="s">
        <v>95</v>
      </c>
      <c r="AG100" s="3" t="s">
        <v>100</v>
      </c>
      <c r="AH100" s="3" t="s">
        <v>11</v>
      </c>
      <c r="AI100" s="3" t="s">
        <v>61</v>
      </c>
      <c r="AJ100" s="3" t="s">
        <v>12</v>
      </c>
      <c r="AK100" s="3" t="s">
        <v>65</v>
      </c>
      <c r="AM100" s="3" t="s">
        <v>12</v>
      </c>
      <c r="AN100" s="3" t="s">
        <v>1</v>
      </c>
      <c r="AO100" s="3" t="s">
        <v>3</v>
      </c>
      <c r="AP100" s="3" t="s">
        <v>66</v>
      </c>
      <c r="AQ100" s="6">
        <f>IF($E100="SCE",VLOOKUP($AZ100,'ESAF_&amp;_PDAF_Summary'!$B$4:$D$18,2,0),1)</f>
        <v>1</v>
      </c>
      <c r="AR100" s="6">
        <f>IF($E100="SCE",VLOOKUP($AZ100,'ESAF_&amp;_PDAF_Summary'!$B$4:$D$18,3,0),1)</f>
        <v>1</v>
      </c>
      <c r="AS100" s="6">
        <f>IF($E100="SCE",VLOOKUP($AZ100,'ESAF_&amp;_PDAF_Summary'!$B$4:$E$18,4,0),1)</f>
        <v>1</v>
      </c>
      <c r="AT100" s="3" t="str">
        <f t="shared" si="20"/>
        <v>N/A</v>
      </c>
      <c r="AU100" s="3" t="str">
        <f t="shared" si="21"/>
        <v>N/A</v>
      </c>
      <c r="AV100" s="3">
        <v>15</v>
      </c>
      <c r="AW100" s="3" t="str">
        <f t="shared" si="13"/>
        <v>N/A</v>
      </c>
      <c r="AX100" s="3" t="str">
        <f t="shared" si="22"/>
        <v>N/A</v>
      </c>
      <c r="AY100" s="22" t="str">
        <f>IF($E100="PGE",($AY$4*$L100)+'Water Costs'!I$16-AW100,IF($E100="SCE",$AY$4+'Water Costs'!$I$9,"N/A"))</f>
        <v>N/A</v>
      </c>
      <c r="AZ100" s="3">
        <f t="shared" si="23"/>
        <v>15</v>
      </c>
    </row>
    <row r="102" spans="1:52" x14ac:dyDescent="0.25">
      <c r="AU102" s="3"/>
    </row>
    <row r="103" spans="1:52" x14ac:dyDescent="0.25">
      <c r="AU103" s="3"/>
    </row>
    <row r="104" spans="1:52" x14ac:dyDescent="0.25">
      <c r="AU104" s="3"/>
    </row>
    <row r="105" spans="1:52" x14ac:dyDescent="0.25">
      <c r="AU105" s="3"/>
    </row>
    <row r="106" spans="1:52" x14ac:dyDescent="0.25">
      <c r="AU106" s="3"/>
    </row>
    <row r="107" spans="1:52" x14ac:dyDescent="0.25">
      <c r="AT107" s="56"/>
      <c r="AU107" s="3"/>
    </row>
    <row r="108" spans="1:52" x14ac:dyDescent="0.25">
      <c r="AU108" s="3"/>
    </row>
    <row r="109" spans="1:52" x14ac:dyDescent="0.25">
      <c r="AT109" s="56"/>
      <c r="AU109" s="3"/>
    </row>
    <row r="110" spans="1:52" x14ac:dyDescent="0.25">
      <c r="AT110" s="56"/>
      <c r="AU110" s="3"/>
    </row>
    <row r="111" spans="1:52" x14ac:dyDescent="0.25">
      <c r="AT111" s="56"/>
      <c r="AU111" s="3"/>
    </row>
    <row r="112" spans="1:52" x14ac:dyDescent="0.25">
      <c r="AU112" s="3"/>
    </row>
    <row r="113" spans="46:47" x14ac:dyDescent="0.25">
      <c r="AU113" s="3"/>
    </row>
    <row r="114" spans="46:47" x14ac:dyDescent="0.25">
      <c r="AT114" s="56"/>
      <c r="AU114" s="3"/>
    </row>
    <row r="115" spans="46:47" x14ac:dyDescent="0.25">
      <c r="AT115" s="56"/>
      <c r="AU115" s="3"/>
    </row>
    <row r="116" spans="46:47" x14ac:dyDescent="0.25">
      <c r="AT116" s="56"/>
      <c r="AU116" s="3"/>
    </row>
    <row r="117" spans="46:47" x14ac:dyDescent="0.25">
      <c r="AU117" s="3"/>
    </row>
    <row r="118" spans="46:47" x14ac:dyDescent="0.25">
      <c r="AU118" s="3"/>
    </row>
    <row r="119" spans="46:47" x14ac:dyDescent="0.25">
      <c r="AU119" s="3"/>
    </row>
    <row r="120" spans="46:47" x14ac:dyDescent="0.25">
      <c r="AU120" s="3"/>
    </row>
    <row r="121" spans="46:47" x14ac:dyDescent="0.25">
      <c r="AU121" s="3"/>
    </row>
    <row r="122" spans="46:47" x14ac:dyDescent="0.25">
      <c r="AU122" s="3"/>
    </row>
  </sheetData>
  <autoFilter ref="A5:BA100">
    <filterColumn colId="4">
      <filters>
        <filter val="PGE"/>
      </filters>
    </filterColumn>
  </autoFilter>
  <mergeCells count="1">
    <mergeCell ref="BB4:BC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zoomScale="85" zoomScaleNormal="85" workbookViewId="0">
      <selection activeCell="D24" sqref="D24"/>
    </sheetView>
  </sheetViews>
  <sheetFormatPr defaultColWidth="8.7109375" defaultRowHeight="15" x14ac:dyDescent="0.25"/>
  <cols>
    <col min="1" max="2" width="8.7109375" style="8"/>
    <col min="3" max="4" width="20.7109375" style="8" customWidth="1"/>
    <col min="5" max="5" width="14.28515625" style="8" customWidth="1"/>
    <col min="6" max="16384" width="8.7109375" style="8"/>
  </cols>
  <sheetData>
    <row r="1" spans="1:5" ht="35.1" customHeight="1" x14ac:dyDescent="0.25"/>
    <row r="2" spans="1:5" ht="27.95" customHeight="1" x14ac:dyDescent="0.25"/>
    <row r="3" spans="1:5" s="12" customFormat="1" ht="45" x14ac:dyDescent="0.25">
      <c r="A3" s="20" t="s">
        <v>21</v>
      </c>
      <c r="B3" s="10" t="s">
        <v>6</v>
      </c>
      <c r="C3" s="10" t="s">
        <v>104</v>
      </c>
      <c r="D3" s="11" t="s">
        <v>105</v>
      </c>
      <c r="E3" s="11" t="s">
        <v>108</v>
      </c>
    </row>
    <row r="4" spans="1:5" x14ac:dyDescent="0.25">
      <c r="A4" s="13" t="s">
        <v>10</v>
      </c>
      <c r="B4" s="14">
        <v>1</v>
      </c>
      <c r="C4" s="15">
        <v>1</v>
      </c>
      <c r="D4" s="15">
        <v>1</v>
      </c>
      <c r="E4" s="15">
        <v>1</v>
      </c>
    </row>
    <row r="5" spans="1:5" x14ac:dyDescent="0.25">
      <c r="A5" s="13" t="s">
        <v>10</v>
      </c>
      <c r="B5" s="14">
        <v>2</v>
      </c>
      <c r="C5" s="15">
        <v>1</v>
      </c>
      <c r="D5" s="15">
        <v>1</v>
      </c>
      <c r="E5" s="15">
        <v>1</v>
      </c>
    </row>
    <row r="6" spans="1:5" x14ac:dyDescent="0.25">
      <c r="A6" s="13" t="s">
        <v>10</v>
      </c>
      <c r="B6" s="14">
        <v>3</v>
      </c>
      <c r="C6" s="15">
        <v>1</v>
      </c>
      <c r="D6" s="15">
        <v>1</v>
      </c>
      <c r="E6" s="15">
        <v>1</v>
      </c>
    </row>
    <row r="7" spans="1:5" x14ac:dyDescent="0.25">
      <c r="A7" s="13" t="s">
        <v>10</v>
      </c>
      <c r="B7" s="14">
        <v>4</v>
      </c>
      <c r="C7" s="15">
        <v>1</v>
      </c>
      <c r="D7" s="15">
        <v>1</v>
      </c>
      <c r="E7" s="15">
        <v>1</v>
      </c>
    </row>
    <row r="8" spans="1:5" x14ac:dyDescent="0.25">
      <c r="A8" s="13" t="s">
        <v>10</v>
      </c>
      <c r="B8" s="14">
        <v>5</v>
      </c>
      <c r="C8" s="15">
        <v>1</v>
      </c>
      <c r="D8" s="15">
        <v>1</v>
      </c>
      <c r="E8" s="15">
        <v>1</v>
      </c>
    </row>
    <row r="9" spans="1:5" x14ac:dyDescent="0.25">
      <c r="A9" s="13" t="s">
        <v>9</v>
      </c>
      <c r="B9" s="14">
        <v>6</v>
      </c>
      <c r="C9" s="15">
        <v>0.56081081081081086</v>
      </c>
      <c r="D9" s="15">
        <v>0.33333333333333331</v>
      </c>
      <c r="E9" s="15">
        <v>0.75</v>
      </c>
    </row>
    <row r="10" spans="1:5" x14ac:dyDescent="0.25">
      <c r="A10" s="13" t="s">
        <v>9</v>
      </c>
      <c r="B10" s="14">
        <v>8</v>
      </c>
      <c r="C10" s="15">
        <v>0.32517482517482516</v>
      </c>
      <c r="D10" s="15">
        <v>0.33333333333333331</v>
      </c>
      <c r="E10" s="15">
        <v>0.75</v>
      </c>
    </row>
    <row r="11" spans="1:5" x14ac:dyDescent="0.25">
      <c r="A11" s="13" t="s">
        <v>9</v>
      </c>
      <c r="B11" s="14">
        <v>9</v>
      </c>
      <c r="C11" s="15">
        <v>0.26299376299376298</v>
      </c>
      <c r="D11" s="15">
        <v>0</v>
      </c>
      <c r="E11" s="15">
        <v>0.75</v>
      </c>
    </row>
    <row r="12" spans="1:5" x14ac:dyDescent="0.25">
      <c r="A12" s="13" t="s">
        <v>9</v>
      </c>
      <c r="B12" s="14">
        <v>10</v>
      </c>
      <c r="C12" s="15">
        <v>0.48234410217881291</v>
      </c>
      <c r="D12" s="15">
        <v>0</v>
      </c>
      <c r="E12" s="15">
        <v>0.75</v>
      </c>
    </row>
    <row r="13" spans="1:5" x14ac:dyDescent="0.25">
      <c r="A13" s="13" t="s">
        <v>10</v>
      </c>
      <c r="B13" s="14">
        <v>11</v>
      </c>
      <c r="C13" s="15">
        <v>1</v>
      </c>
      <c r="D13" s="15">
        <v>1</v>
      </c>
      <c r="E13" s="15">
        <v>1</v>
      </c>
    </row>
    <row r="14" spans="1:5" x14ac:dyDescent="0.25">
      <c r="A14" s="13" t="s">
        <v>10</v>
      </c>
      <c r="B14" s="14">
        <v>12</v>
      </c>
      <c r="C14" s="15">
        <v>1</v>
      </c>
      <c r="D14" s="15">
        <v>1</v>
      </c>
      <c r="E14" s="15">
        <v>1</v>
      </c>
    </row>
    <row r="15" spans="1:5" x14ac:dyDescent="0.25">
      <c r="A15" s="17" t="s">
        <v>107</v>
      </c>
      <c r="B15" s="14">
        <v>13</v>
      </c>
      <c r="C15" s="15">
        <v>0.65</v>
      </c>
      <c r="D15" s="15">
        <v>0</v>
      </c>
      <c r="E15" s="15">
        <v>0.75</v>
      </c>
    </row>
    <row r="16" spans="1:5" x14ac:dyDescent="0.25">
      <c r="A16" s="13" t="s">
        <v>9</v>
      </c>
      <c r="B16" s="14">
        <v>14</v>
      </c>
      <c r="C16" s="15">
        <v>0.88084874863982587</v>
      </c>
      <c r="D16" s="59">
        <v>1</v>
      </c>
      <c r="E16" s="15">
        <v>0.75</v>
      </c>
    </row>
    <row r="17" spans="1:5" x14ac:dyDescent="0.25">
      <c r="A17" s="13" t="s">
        <v>9</v>
      </c>
      <c r="B17" s="14">
        <v>15</v>
      </c>
      <c r="C17" s="15">
        <v>0.57460585585585588</v>
      </c>
      <c r="D17" s="15">
        <v>0.1111111111111111</v>
      </c>
      <c r="E17" s="15">
        <v>0.75</v>
      </c>
    </row>
    <row r="18" spans="1:5" x14ac:dyDescent="0.25">
      <c r="A18" s="61" t="s">
        <v>107</v>
      </c>
      <c r="B18" s="14">
        <v>16</v>
      </c>
      <c r="C18" s="15">
        <v>0.95238095238095233</v>
      </c>
      <c r="D18" s="15">
        <v>0.88888888888888884</v>
      </c>
      <c r="E18" s="59">
        <v>0.75</v>
      </c>
    </row>
    <row r="19" spans="1:5" x14ac:dyDescent="0.25">
      <c r="A19" s="9" t="s">
        <v>109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I9" sqref="I9"/>
    </sheetView>
  </sheetViews>
  <sheetFormatPr defaultColWidth="8.7109375" defaultRowHeight="15" x14ac:dyDescent="0.25"/>
  <cols>
    <col min="1" max="1" width="8.7109375" style="26"/>
    <col min="2" max="2" width="12.7109375" style="26" bestFit="1" customWidth="1"/>
    <col min="3" max="3" width="14.140625" style="26" bestFit="1" customWidth="1"/>
    <col min="4" max="4" width="14.140625" style="26" customWidth="1"/>
    <col min="5" max="5" width="8.7109375" style="26"/>
    <col min="6" max="6" width="12.28515625" style="26" customWidth="1"/>
    <col min="7" max="7" width="12" style="26" customWidth="1"/>
    <col min="8" max="8" width="12.7109375" style="26" customWidth="1"/>
    <col min="9" max="9" width="23.5703125" style="26" bestFit="1" customWidth="1"/>
    <col min="10" max="10" width="17" style="26" bestFit="1" customWidth="1"/>
    <col min="11" max="16384" width="8.7109375" style="26"/>
  </cols>
  <sheetData>
    <row r="1" spans="1:11" x14ac:dyDescent="0.25">
      <c r="F1" s="26">
        <v>1000</v>
      </c>
      <c r="G1" s="26">
        <v>62.4</v>
      </c>
      <c r="J1" s="27">
        <v>1.4999999999999999E-2</v>
      </c>
      <c r="K1" s="26">
        <v>15</v>
      </c>
    </row>
    <row r="2" spans="1:11" ht="30" x14ac:dyDescent="0.25">
      <c r="J2" s="29" t="s">
        <v>118</v>
      </c>
      <c r="K2" s="30" t="s">
        <v>119</v>
      </c>
    </row>
    <row r="3" spans="1:11" ht="45" x14ac:dyDescent="0.25">
      <c r="A3" s="46" t="s">
        <v>21</v>
      </c>
      <c r="B3" s="28" t="s">
        <v>6</v>
      </c>
      <c r="C3" s="40" t="s">
        <v>123</v>
      </c>
      <c r="D3" s="44" t="s">
        <v>129</v>
      </c>
      <c r="E3" s="28" t="s">
        <v>114</v>
      </c>
      <c r="F3" s="28" t="s">
        <v>115</v>
      </c>
      <c r="G3" s="28" t="s">
        <v>116</v>
      </c>
      <c r="H3" s="28" t="s">
        <v>117</v>
      </c>
      <c r="I3" s="44" t="s">
        <v>130</v>
      </c>
      <c r="J3" s="42" t="s">
        <v>124</v>
      </c>
    </row>
    <row r="4" spans="1:11" x14ac:dyDescent="0.25">
      <c r="A4" s="46" t="s">
        <v>131</v>
      </c>
      <c r="B4" s="28">
        <v>6</v>
      </c>
      <c r="C4" s="39">
        <v>8317221</v>
      </c>
      <c r="D4" s="39">
        <f>AVERAGEIF(EnergyImpacts_RES_EvapCool!$I$6:$I$100,"CZ06",EnergyImpacts_RES_EvapCool!$M$6:$M$100)</f>
        <v>1401.25</v>
      </c>
      <c r="E4" s="37">
        <f>'ESAF_&amp;_PDAF_Summary'!C9</f>
        <v>0.56081081081081086</v>
      </c>
      <c r="F4" s="28">
        <v>1000</v>
      </c>
      <c r="G4" s="28">
        <v>62.4</v>
      </c>
      <c r="H4" s="52">
        <v>4.7270000000000003</v>
      </c>
      <c r="I4" s="31">
        <f>C4*E4/$F$1/$G$1*H4/100</f>
        <v>3.5334229950201408</v>
      </c>
      <c r="J4" s="43" t="s">
        <v>86</v>
      </c>
      <c r="K4" s="30"/>
    </row>
    <row r="5" spans="1:11" x14ac:dyDescent="0.25">
      <c r="A5" s="46" t="s">
        <v>131</v>
      </c>
      <c r="B5" s="28">
        <v>9</v>
      </c>
      <c r="C5" s="39">
        <v>17584000</v>
      </c>
      <c r="D5" s="39">
        <f>AVERAGEIF(EnergyImpacts_RES_EvapCool!$I$6:$I$100,"CZ09",EnergyImpacts_RES_EvapCool!$M$6:$M$100)</f>
        <v>1363.3333333333333</v>
      </c>
      <c r="E5" s="37">
        <f>'ESAF_&amp;_PDAF_Summary'!C11</f>
        <v>0.26299376299376298</v>
      </c>
      <c r="F5" s="28">
        <v>1000</v>
      </c>
      <c r="G5" s="28">
        <v>62.4</v>
      </c>
      <c r="H5" s="53">
        <v>2.96</v>
      </c>
      <c r="I5" s="31">
        <f t="shared" ref="I5:I6" si="0">C5*E5/$F$1/$G$1*H5/100</f>
        <v>2.1936646942800788</v>
      </c>
      <c r="J5" s="42" t="s">
        <v>125</v>
      </c>
      <c r="K5" s="32"/>
    </row>
    <row r="6" spans="1:11" x14ac:dyDescent="0.25">
      <c r="A6" s="46" t="s">
        <v>131</v>
      </c>
      <c r="B6" s="28">
        <v>15</v>
      </c>
      <c r="C6" s="39">
        <v>77573000</v>
      </c>
      <c r="D6" s="39">
        <f>AVERAGEIF(EnergyImpacts_RES_EvapCool!$I$6:$I$100,"CZ15",EnergyImpacts_RES_EvapCool!$M$6:$M$100)</f>
        <v>1421.4285714285713</v>
      </c>
      <c r="E6" s="37">
        <f>'ESAF_&amp;_PDAF_Summary'!C17</f>
        <v>0.57460585585585588</v>
      </c>
      <c r="F6" s="28">
        <v>1000</v>
      </c>
      <c r="G6" s="28">
        <v>62.4</v>
      </c>
      <c r="H6" s="53">
        <v>4.67</v>
      </c>
      <c r="I6" s="31">
        <f t="shared" si="0"/>
        <v>33.358992510088221</v>
      </c>
      <c r="J6" s="42" t="s">
        <v>126</v>
      </c>
      <c r="K6" s="32"/>
    </row>
    <row r="7" spans="1:11" x14ac:dyDescent="0.25">
      <c r="A7" s="46" t="s">
        <v>131</v>
      </c>
      <c r="B7" s="28" t="s">
        <v>120</v>
      </c>
      <c r="C7" s="28"/>
      <c r="D7" s="45">
        <f>AVERAGE(D4:D6)</f>
        <v>1395.3373015873015</v>
      </c>
      <c r="E7" s="28"/>
      <c r="F7" s="28"/>
      <c r="G7" s="28"/>
      <c r="H7" s="53"/>
      <c r="I7" s="31">
        <f>ROUND(AVERAGE(I4:I6),2)</f>
        <v>13.03</v>
      </c>
      <c r="K7" s="33"/>
    </row>
    <row r="8" spans="1:11" x14ac:dyDescent="0.25">
      <c r="B8" s="41" t="s">
        <v>127</v>
      </c>
      <c r="H8" s="54"/>
      <c r="I8" s="38">
        <f>I7*K1*1.015^K1</f>
        <v>244.357857427596</v>
      </c>
      <c r="J8" s="41"/>
      <c r="K8" s="32"/>
    </row>
    <row r="9" spans="1:11" x14ac:dyDescent="0.25">
      <c r="B9" s="41" t="s">
        <v>128</v>
      </c>
      <c r="H9" s="54"/>
      <c r="I9" s="38">
        <f>I8/AVERAGE(D4:D6)*1000</f>
        <v>175.12457894562161</v>
      </c>
      <c r="J9" s="41"/>
      <c r="K9" s="32"/>
    </row>
    <row r="10" spans="1:11" x14ac:dyDescent="0.25">
      <c r="B10" s="26" t="s">
        <v>121</v>
      </c>
      <c r="H10" s="54"/>
      <c r="K10" s="32"/>
    </row>
    <row r="11" spans="1:11" x14ac:dyDescent="0.25">
      <c r="B11" s="34" t="s">
        <v>122</v>
      </c>
      <c r="H11" s="54"/>
      <c r="K11" s="33"/>
    </row>
    <row r="12" spans="1:11" x14ac:dyDescent="0.25">
      <c r="H12" s="54"/>
      <c r="K12" s="32"/>
    </row>
    <row r="13" spans="1:11" ht="45" x14ac:dyDescent="0.25">
      <c r="A13" s="46" t="s">
        <v>21</v>
      </c>
      <c r="B13" s="28" t="s">
        <v>6</v>
      </c>
      <c r="C13" s="40" t="s">
        <v>123</v>
      </c>
      <c r="D13" s="44" t="s">
        <v>129</v>
      </c>
      <c r="E13" s="28" t="s">
        <v>114</v>
      </c>
      <c r="F13" s="28" t="s">
        <v>115</v>
      </c>
      <c r="G13" s="28" t="s">
        <v>116</v>
      </c>
      <c r="H13" s="53" t="s">
        <v>117</v>
      </c>
      <c r="I13" s="44" t="s">
        <v>130</v>
      </c>
      <c r="J13" s="42" t="s">
        <v>124</v>
      </c>
      <c r="K13" s="32"/>
    </row>
    <row r="14" spans="1:11" x14ac:dyDescent="0.25">
      <c r="A14" s="46" t="s">
        <v>10</v>
      </c>
      <c r="B14" s="28">
        <v>12</v>
      </c>
      <c r="C14" s="55">
        <f>0.956*C5</f>
        <v>16810304</v>
      </c>
      <c r="D14" s="39">
        <f>AVERAGEIF(EnergyImpacts_RES_EvapCool!$I$6:$I$100,"CZ12",EnergyImpacts_RES_EvapCool!$M$6:$M$100)</f>
        <v>1304</v>
      </c>
      <c r="E14" s="37">
        <v>1</v>
      </c>
      <c r="F14" s="28">
        <v>1000</v>
      </c>
      <c r="G14" s="28">
        <v>62.4</v>
      </c>
      <c r="H14" s="52">
        <v>1.28</v>
      </c>
      <c r="I14" s="31">
        <f>C14*E14/$F$1/$G$1*H14/100</f>
        <v>3.4482674871794869</v>
      </c>
      <c r="J14" s="47" t="s">
        <v>132</v>
      </c>
      <c r="K14" s="48"/>
    </row>
    <row r="15" spans="1:11" x14ac:dyDescent="0.25">
      <c r="A15" s="46" t="s">
        <v>10</v>
      </c>
      <c r="B15" s="28" t="s">
        <v>120</v>
      </c>
      <c r="C15" s="28"/>
      <c r="D15" s="45">
        <f>AVERAGE(D14:D14)</f>
        <v>1304</v>
      </c>
      <c r="E15" s="28"/>
      <c r="F15" s="28"/>
      <c r="G15" s="28"/>
      <c r="H15" s="28"/>
      <c r="I15" s="31">
        <f>ROUND(AVERAGE(I14:I14),2)</f>
        <v>3.45</v>
      </c>
      <c r="K15" s="32"/>
    </row>
    <row r="16" spans="1:11" x14ac:dyDescent="0.25">
      <c r="B16" s="41" t="s">
        <v>127</v>
      </c>
      <c r="I16" s="38">
        <f>I15*$K$1*1.015^$K$1</f>
        <v>64.699509449363489</v>
      </c>
      <c r="J16" s="41"/>
      <c r="K16" s="32"/>
    </row>
    <row r="17" spans="2:13" x14ac:dyDescent="0.25">
      <c r="B17" s="49"/>
      <c r="C17" s="50"/>
      <c r="D17" s="50"/>
      <c r="E17" s="50"/>
      <c r="F17" s="50"/>
      <c r="G17" s="50"/>
      <c r="H17" s="50"/>
      <c r="I17" s="51"/>
      <c r="J17" s="41"/>
      <c r="K17" s="33"/>
    </row>
    <row r="18" spans="2:13" x14ac:dyDescent="0.25">
      <c r="K18" s="32"/>
    </row>
    <row r="19" spans="2:13" x14ac:dyDescent="0.25">
      <c r="K19" s="32"/>
    </row>
    <row r="20" spans="2:13" x14ac:dyDescent="0.25">
      <c r="K20" s="32"/>
    </row>
    <row r="21" spans="2:13" x14ac:dyDescent="0.25">
      <c r="K21" s="33"/>
    </row>
    <row r="22" spans="2:13" x14ac:dyDescent="0.25">
      <c r="K22" s="32"/>
      <c r="M22" s="35"/>
    </row>
    <row r="23" spans="2:13" x14ac:dyDescent="0.25">
      <c r="K23" s="32"/>
    </row>
    <row r="24" spans="2:13" x14ac:dyDescent="0.25">
      <c r="K24" s="36"/>
    </row>
    <row r="25" spans="2:13" x14ac:dyDescent="0.25">
      <c r="K25" s="36"/>
    </row>
    <row r="26" spans="2:13" x14ac:dyDescent="0.25">
      <c r="K26" s="36"/>
    </row>
    <row r="27" spans="2:13" x14ac:dyDescent="0.25">
      <c r="K27" s="36"/>
    </row>
  </sheetData>
  <hyperlinks>
    <hyperlink ref="B11" r:id="rId1"/>
  </hyperlinks>
  <pageMargins left="0.7" right="0.7" top="0.75" bottom="0.75" header="0.3" footer="0.3"/>
  <pageSetup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EnergyImpacts_RES_EvapCool</vt:lpstr>
      <vt:lpstr>ESAF_&amp;_PDAF_Summary</vt:lpstr>
      <vt:lpstr>Water Costs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Gutierrez</dc:creator>
  <cp:lastModifiedBy>Subramanya, Arvind</cp:lastModifiedBy>
  <cp:lastPrinted>2012-05-24T21:36:58Z</cp:lastPrinted>
  <dcterms:created xsi:type="dcterms:W3CDTF">2011-03-31T14:33:13Z</dcterms:created>
  <dcterms:modified xsi:type="dcterms:W3CDTF">2017-02-08T20:08:34Z</dcterms:modified>
</cp:coreProperties>
</file>