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IRV-EES\Jobs\275978 SCE Workpapers T&amp;M 2016-2017\(014.2) SCE17CC008.0 - Exhaust Hood Demand Controlled Ventilation\2017 Updated Workpaper Files\Deliverables\"/>
    </mc:Choice>
  </mc:AlternateContent>
  <bookViews>
    <workbookView xWindow="0" yWindow="0" windowWidth="28800" windowHeight="13635"/>
  </bookViews>
  <sheets>
    <sheet name="Summary" sheetId="3" r:id="rId1"/>
    <sheet name="Base Cost" sheetId="1" r:id="rId2"/>
    <sheet name="Measure Cost" sheetId="2" r:id="rId3"/>
    <sheet name="SCE Program Data" sheetId="4" r:id="rId4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9" i="4" l="1"/>
  <c r="M39" i="4"/>
  <c r="N38" i="4"/>
  <c r="M38" i="4"/>
  <c r="N37" i="4"/>
  <c r="M37" i="4"/>
  <c r="N36" i="4"/>
  <c r="M36" i="4"/>
  <c r="N35" i="4"/>
  <c r="M35" i="4"/>
  <c r="N32" i="4"/>
  <c r="M32" i="4"/>
  <c r="N31" i="4"/>
  <c r="M31" i="4"/>
  <c r="N29" i="4"/>
  <c r="M29" i="4"/>
  <c r="N28" i="4"/>
  <c r="M28" i="4"/>
  <c r="N27" i="4"/>
  <c r="M27" i="4"/>
  <c r="N25" i="4"/>
  <c r="M25" i="4"/>
  <c r="N24" i="4"/>
  <c r="M24" i="4"/>
  <c r="N23" i="4"/>
  <c r="M23" i="4"/>
  <c r="N22" i="4"/>
  <c r="M22" i="4"/>
  <c r="N21" i="4"/>
  <c r="M21" i="4"/>
  <c r="N20" i="4"/>
  <c r="M20" i="4"/>
  <c r="N19" i="4"/>
  <c r="M19" i="4"/>
  <c r="N18" i="4"/>
  <c r="M18" i="4"/>
  <c r="N17" i="4"/>
  <c r="M17" i="4"/>
  <c r="N16" i="4"/>
  <c r="M16" i="4"/>
  <c r="N15" i="4"/>
  <c r="M15" i="4"/>
  <c r="N13" i="4"/>
  <c r="M13" i="4"/>
  <c r="N12" i="4"/>
  <c r="M12" i="4"/>
  <c r="N11" i="4"/>
  <c r="M11" i="4"/>
  <c r="N10" i="4"/>
  <c r="M10" i="4"/>
  <c r="N9" i="4"/>
  <c r="M9" i="4"/>
  <c r="N8" i="4"/>
  <c r="M8" i="4"/>
  <c r="N7" i="4"/>
  <c r="M7" i="4"/>
  <c r="N6" i="4"/>
  <c r="M6" i="4"/>
  <c r="N5" i="4"/>
  <c r="M5" i="4"/>
  <c r="N3" i="4"/>
  <c r="M3" i="4"/>
  <c r="B5" i="2"/>
  <c r="F8" i="3" l="1"/>
  <c r="F7" i="3"/>
  <c r="C28" i="2" l="1"/>
  <c r="C27" i="2"/>
  <c r="C26" i="2"/>
  <c r="C31" i="2" l="1"/>
  <c r="L39" i="4"/>
  <c r="J39" i="4"/>
  <c r="O39" i="4" s="1"/>
  <c r="L38" i="4"/>
  <c r="J38" i="4"/>
  <c r="O38" i="4" s="1"/>
  <c r="L37" i="4"/>
  <c r="J37" i="4"/>
  <c r="O37" i="4" s="1"/>
  <c r="L36" i="4"/>
  <c r="J36" i="4"/>
  <c r="O36" i="4" s="1"/>
  <c r="L35" i="4"/>
  <c r="J35" i="4"/>
  <c r="O35" i="4" s="1"/>
  <c r="L34" i="4"/>
  <c r="J34" i="4"/>
  <c r="L33" i="4"/>
  <c r="J33" i="4"/>
  <c r="L32" i="4"/>
  <c r="J32" i="4"/>
  <c r="O32" i="4" s="1"/>
  <c r="L31" i="4"/>
  <c r="J31" i="4"/>
  <c r="O31" i="4" s="1"/>
  <c r="L30" i="4"/>
  <c r="J30" i="4"/>
  <c r="L29" i="4"/>
  <c r="J29" i="4"/>
  <c r="O29" i="4" s="1"/>
  <c r="L28" i="4"/>
  <c r="J28" i="4"/>
  <c r="O28" i="4" s="1"/>
  <c r="L27" i="4"/>
  <c r="J27" i="4"/>
  <c r="O27" i="4" s="1"/>
  <c r="L26" i="4"/>
  <c r="J26" i="4"/>
  <c r="L25" i="4"/>
  <c r="J25" i="4"/>
  <c r="O25" i="4" s="1"/>
  <c r="L24" i="4"/>
  <c r="J24" i="4"/>
  <c r="O24" i="4" s="1"/>
  <c r="L23" i="4"/>
  <c r="J23" i="4"/>
  <c r="O23" i="4" s="1"/>
  <c r="L22" i="4"/>
  <c r="J22" i="4"/>
  <c r="O22" i="4" s="1"/>
  <c r="L21" i="4"/>
  <c r="J21" i="4"/>
  <c r="O21" i="4" s="1"/>
  <c r="L20" i="4"/>
  <c r="J20" i="4"/>
  <c r="O20" i="4" s="1"/>
  <c r="L19" i="4"/>
  <c r="J19" i="4"/>
  <c r="O19" i="4" s="1"/>
  <c r="L18" i="4"/>
  <c r="J18" i="4"/>
  <c r="O18" i="4" s="1"/>
  <c r="L17" i="4"/>
  <c r="J17" i="4"/>
  <c r="O17" i="4" s="1"/>
  <c r="L16" i="4"/>
  <c r="J16" i="4"/>
  <c r="O16" i="4" s="1"/>
  <c r="L15" i="4"/>
  <c r="J15" i="4"/>
  <c r="O15" i="4" s="1"/>
  <c r="L14" i="4"/>
  <c r="J14" i="4"/>
  <c r="L13" i="4"/>
  <c r="J13" i="4"/>
  <c r="O13" i="4" s="1"/>
  <c r="L12" i="4"/>
  <c r="J12" i="4"/>
  <c r="O12" i="4" s="1"/>
  <c r="L11" i="4"/>
  <c r="J11" i="4"/>
  <c r="O11" i="4" s="1"/>
  <c r="L10" i="4"/>
  <c r="J10" i="4"/>
  <c r="O10" i="4" s="1"/>
  <c r="L9" i="4"/>
  <c r="J9" i="4"/>
  <c r="O9" i="4" s="1"/>
  <c r="L8" i="4"/>
  <c r="J8" i="4"/>
  <c r="O8" i="4" s="1"/>
  <c r="L7" i="4"/>
  <c r="J7" i="4"/>
  <c r="O7" i="4" s="1"/>
  <c r="L6" i="4"/>
  <c r="J6" i="4"/>
  <c r="O6" i="4" s="1"/>
  <c r="L5" i="4"/>
  <c r="J5" i="4"/>
  <c r="O5" i="4" s="1"/>
  <c r="L4" i="4"/>
  <c r="J4" i="4"/>
  <c r="L3" i="4"/>
  <c r="J3" i="4"/>
  <c r="O3" i="4" s="1"/>
  <c r="I1" i="4"/>
  <c r="R7" i="4" l="1"/>
  <c r="E3" i="3"/>
  <c r="D8" i="3" s="1"/>
  <c r="E9" i="1"/>
  <c r="D9" i="1"/>
  <c r="F8" i="1"/>
  <c r="F7" i="1"/>
  <c r="E6" i="1"/>
  <c r="F6" i="1" s="1"/>
  <c r="D6" i="1"/>
  <c r="E32" i="1"/>
  <c r="E31" i="1"/>
  <c r="E30" i="1"/>
  <c r="E29" i="1"/>
  <c r="E28" i="1"/>
  <c r="A10" i="2" l="1"/>
  <c r="C8" i="3" s="1"/>
  <c r="E8" i="3" s="1"/>
  <c r="C14" i="3" s="1"/>
  <c r="A5" i="2"/>
  <c r="C5" i="2" s="1"/>
  <c r="D10" i="1"/>
  <c r="E10" i="1"/>
  <c r="F9" i="1"/>
  <c r="D11" i="1" l="1"/>
  <c r="C2" i="3" s="1"/>
  <c r="E11" i="1"/>
  <c r="D2" i="3" s="1"/>
  <c r="F10" i="1"/>
  <c r="F11" i="1" l="1"/>
  <c r="E2" i="3" s="1"/>
  <c r="D7" i="3"/>
  <c r="R5" i="4"/>
  <c r="R4" i="4" l="1"/>
  <c r="R6" i="4"/>
  <c r="C7" i="3" l="1"/>
  <c r="E7" i="3" s="1"/>
  <c r="C13" i="3" s="1"/>
  <c r="D13" i="3" l="1"/>
  <c r="D14" i="3"/>
</calcChain>
</file>

<file path=xl/sharedStrings.xml><?xml version="1.0" encoding="utf-8"?>
<sst xmlns="http://schemas.openxmlformats.org/spreadsheetml/2006/main" count="311" uniqueCount="136">
  <si>
    <t>Solution Code</t>
  </si>
  <si>
    <t>Base Description</t>
  </si>
  <si>
    <t>Component</t>
  </si>
  <si>
    <t>Material Cost ($)</t>
  </si>
  <si>
    <t>Labor Cost ($)</t>
  </si>
  <si>
    <t>Total Cost ($)</t>
  </si>
  <si>
    <t>Notes</t>
  </si>
  <si>
    <t>RSMeans Description</t>
  </si>
  <si>
    <t>Measure</t>
  </si>
  <si>
    <t>Installation Type</t>
  </si>
  <si>
    <t>Incremental Measure Cost ($/HP)</t>
  </si>
  <si>
    <t>Full Measure Cost</t>
  </si>
  <si>
    <r>
      <t>1</t>
    </r>
    <r>
      <rPr>
        <b/>
        <vertAlign val="superscript"/>
        <sz val="10"/>
        <color theme="1"/>
        <rFont val="Calibri"/>
        <family val="2"/>
        <scheme val="minor"/>
      </rPr>
      <t>st</t>
    </r>
    <r>
      <rPr>
        <b/>
        <sz val="10"/>
        <color theme="1"/>
        <rFont val="Calibri"/>
        <family val="2"/>
        <scheme val="minor"/>
      </rPr>
      <t xml:space="preserve"> Baseline</t>
    </r>
  </si>
  <si>
    <r>
      <t>2</t>
    </r>
    <r>
      <rPr>
        <b/>
        <vertAlign val="superscript"/>
        <sz val="10"/>
        <color theme="1"/>
        <rFont val="Calibri"/>
        <family val="2"/>
        <scheme val="minor"/>
      </rPr>
      <t>nd</t>
    </r>
    <r>
      <rPr>
        <b/>
        <sz val="10"/>
        <color theme="1"/>
        <rFont val="Calibri"/>
        <family val="2"/>
        <scheme val="minor"/>
      </rPr>
      <t xml:space="preserve"> Baseline</t>
    </r>
  </si>
  <si>
    <t>NEW</t>
  </si>
  <si>
    <t>N/A</t>
  </si>
  <si>
    <t>FS-17337</t>
  </si>
  <si>
    <t>REA</t>
  </si>
  <si>
    <t>Fans, roof mounted ktchen exhaust</t>
  </si>
  <si>
    <t>Units</t>
  </si>
  <si>
    <t>Kitchen Hood Exhaust Costs</t>
  </si>
  <si>
    <t>HP</t>
  </si>
  <si>
    <t>CFM</t>
  </si>
  <si>
    <t>Material Costs</t>
  </si>
  <si>
    <t>Labor Costs</t>
  </si>
  <si>
    <t>Total Costs</t>
  </si>
  <si>
    <t>Wiring</t>
  </si>
  <si>
    <t>Exhaust Hood, Commercial Kitchen Equipment, stainless steel, gutter onall sides, 4'x4'x2'</t>
  </si>
  <si>
    <t>Motor Starter &amp; fused disconnect, 3 pole, 240V, 0.75HP motor</t>
  </si>
  <si>
    <t>Fan Motor Mounted Kitchen Exhaust, aluminum, centrifugal (Various drive and CFM)  (HP)</t>
  </si>
  <si>
    <t>Condiuit and wiring for controller to fan. Assumes 200 LF</t>
  </si>
  <si>
    <t>On/off motor starter</t>
  </si>
  <si>
    <t>Total</t>
  </si>
  <si>
    <t xml:space="preserve">Average HP from SCE Program Data  for installed on &lt;5000 CFM (see Measure Cost tab"). 
RSMeans only has 2-speed fans, but the data is considered conservative. </t>
  </si>
  <si>
    <t>Base Case is a standard commercial kitchen ventilation system with single speed exhaust with a simple on/off control</t>
  </si>
  <si>
    <t>LT-17337</t>
  </si>
  <si>
    <t>Install type</t>
  </si>
  <si>
    <t>FS-20154</t>
  </si>
  <si>
    <t>Selected Data</t>
  </si>
  <si>
    <t>Year</t>
  </si>
  <si>
    <t>IOUProjectID</t>
  </si>
  <si>
    <t>IOUMeaCode</t>
  </si>
  <si>
    <t>IOUMeaName</t>
  </si>
  <si>
    <t>IOUProgramType</t>
  </si>
  <si>
    <t>IOUExAnteQuantity</t>
  </si>
  <si>
    <t>TotalGrSavkW</t>
  </si>
  <si>
    <t>TotalGrSavkWh</t>
  </si>
  <si>
    <t>IOUGrMeaCost</t>
  </si>
  <si>
    <t>MeaCost_Unit</t>
  </si>
  <si>
    <t>IOUGrIncentive</t>
  </si>
  <si>
    <t>Incentive_Unit</t>
  </si>
  <si>
    <t>Qty (HP)</t>
  </si>
  <si>
    <t>Total Cost</t>
  </si>
  <si>
    <t>Cost/HP</t>
  </si>
  <si>
    <t>2013</t>
  </si>
  <si>
    <t>500399871</t>
  </si>
  <si>
    <t>Demand Control Ventilation Hood Control</t>
  </si>
  <si>
    <t>500369820</t>
  </si>
  <si>
    <t>2014</t>
  </si>
  <si>
    <t>500476678</t>
  </si>
  <si>
    <t>500601042</t>
  </si>
  <si>
    <t>500614215</t>
  </si>
  <si>
    <t>500501751</t>
  </si>
  <si>
    <t>500614033</t>
  </si>
  <si>
    <t>500468612</t>
  </si>
  <si>
    <t>2015</t>
  </si>
  <si>
    <t>500475793</t>
  </si>
  <si>
    <t>500483700</t>
  </si>
  <si>
    <t>Unit</t>
  </si>
  <si>
    <t>Average</t>
  </si>
  <si>
    <t>500486917</t>
  </si>
  <si>
    <t>500737753</t>
  </si>
  <si>
    <t>Cost</t>
  </si>
  <si>
    <t>500746002</t>
  </si>
  <si>
    <t>500759436</t>
  </si>
  <si>
    <t>HP (&lt;1.5HP)</t>
  </si>
  <si>
    <t>500755696</t>
  </si>
  <si>
    <t>500755697</t>
  </si>
  <si>
    <t>500759764</t>
  </si>
  <si>
    <t>500568334</t>
  </si>
  <si>
    <t>500695050</t>
  </si>
  <si>
    <t>500693440</t>
  </si>
  <si>
    <t>500694229</t>
  </si>
  <si>
    <t>500695449</t>
  </si>
  <si>
    <t>2016</t>
  </si>
  <si>
    <t>500464588</t>
  </si>
  <si>
    <t>500833427</t>
  </si>
  <si>
    <t>500853299</t>
  </si>
  <si>
    <t>500458224</t>
  </si>
  <si>
    <t>500487129</t>
  </si>
  <si>
    <t>500769239</t>
  </si>
  <si>
    <t>500747367</t>
  </si>
  <si>
    <t>500747079</t>
  </si>
  <si>
    <t>500913581</t>
  </si>
  <si>
    <t>500874830</t>
  </si>
  <si>
    <t>2017</t>
  </si>
  <si>
    <t>500925237</t>
  </si>
  <si>
    <t>500935057</t>
  </si>
  <si>
    <t>500935090</t>
  </si>
  <si>
    <t>500935100</t>
  </si>
  <si>
    <t>500956765</t>
  </si>
  <si>
    <t>Install Type</t>
  </si>
  <si>
    <t>Description</t>
  </si>
  <si>
    <t>Cost ID</t>
  </si>
  <si>
    <t>Cost ID: SCE17CC008_0_B001</t>
  </si>
  <si>
    <t>Must be &lt;5000CFM, Full food with controls</t>
  </si>
  <si>
    <t>Any Size, Controls addition only</t>
  </si>
  <si>
    <t>Estimated Install Cost (Labor Only)</t>
  </si>
  <si>
    <t>Install VFD 3HP or 5 HP</t>
  </si>
  <si>
    <t>Install Temperature Sensor</t>
  </si>
  <si>
    <t>Install Controller</t>
  </si>
  <si>
    <t>Est. Install1 temperature sensor</t>
  </si>
  <si>
    <t>Commissioning (hours)</t>
  </si>
  <si>
    <t>Normalized Cost  ($/HP)</t>
  </si>
  <si>
    <t>Normalized Cost</t>
  </si>
  <si>
    <t>Base Material Cost ($/HP)</t>
  </si>
  <si>
    <t>Base Labor Cost ($/HP)</t>
  </si>
  <si>
    <t>Total Base Cost ($/HP)</t>
  </si>
  <si>
    <t>Normalized Measure Cost  ($/HP)</t>
  </si>
  <si>
    <t>Kitchen Hood</t>
  </si>
  <si>
    <t>FS</t>
  </si>
  <si>
    <t>Motor Starter and Disconnect</t>
  </si>
  <si>
    <t>Aluminum Conduit, 1" diameter (per LF)</t>
  </si>
  <si>
    <t>Total VFD  Cost/HP</t>
  </si>
  <si>
    <t>Total Hood Cost/HP</t>
  </si>
  <si>
    <t>Total Hood Cost ($/HP)</t>
  </si>
  <si>
    <t>Total Controls Cost ($/HP)</t>
  </si>
  <si>
    <t>Outliers were removed from the data which included items with high $/HP or HP far beyond the average. They are colored in Red.</t>
  </si>
  <si>
    <t xml:space="preserve">A best fit curve was attempted to find normalized data, but no good R^2 correlations could be found. </t>
  </si>
  <si>
    <t xml:space="preserve">Due to Note 2, an average cost per HP was used. </t>
  </si>
  <si>
    <t>HP (All)</t>
  </si>
  <si>
    <t>SCE17CC008_00_M001</t>
  </si>
  <si>
    <t>SCE17CC008_00_M002</t>
  </si>
  <si>
    <t>Cost ID: SCE17CC008_00_B001</t>
  </si>
  <si>
    <t>SCE17CC008_00_B001</t>
  </si>
  <si>
    <t>SCE17CC008_00_B002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</si>
</sst>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vertAlign val="superscript"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</cellStyleXfs>
  <cellXfs count="64">
    <xf numFmtId="0" fontId="0" fillId="0" borderId="0" xfId="0"/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0" fontId="0" fillId="0" borderId="7" xfId="0" applyBorder="1"/>
    <xf numFmtId="2" fontId="0" fillId="0" borderId="7" xfId="0" applyNumberFormat="1" applyBorder="1"/>
    <xf numFmtId="12" fontId="0" fillId="0" borderId="7" xfId="0" applyNumberFormat="1" applyBorder="1"/>
    <xf numFmtId="164" fontId="2" fillId="0" borderId="4" xfId="1" applyNumberFormat="1" applyFont="1" applyBorder="1" applyAlignment="1">
      <alignment vertical="center" wrapText="1"/>
    </xf>
    <xf numFmtId="164" fontId="0" fillId="0" borderId="7" xfId="1" applyNumberFormat="1" applyFont="1" applyBorder="1"/>
    <xf numFmtId="164" fontId="2" fillId="0" borderId="4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1" fontId="0" fillId="0" borderId="7" xfId="0" applyNumberFormat="1" applyBorder="1"/>
    <xf numFmtId="43" fontId="0" fillId="0" borderId="0" xfId="2" applyFont="1"/>
    <xf numFmtId="44" fontId="0" fillId="0" borderId="0" xfId="1" applyFont="1"/>
    <xf numFmtId="44" fontId="6" fillId="4" borderId="8" xfId="1" applyNumberFormat="1" applyFont="1" applyFill="1" applyBorder="1" applyAlignment="1">
      <alignment horizontal="center"/>
    </xf>
    <xf numFmtId="0" fontId="8" fillId="4" borderId="9" xfId="3" applyFont="1" applyFill="1" applyBorder="1" applyAlignment="1">
      <alignment horizontal="center"/>
    </xf>
    <xf numFmtId="0" fontId="8" fillId="4" borderId="7" xfId="3" applyFont="1" applyFill="1" applyBorder="1" applyAlignment="1">
      <alignment horizontal="center"/>
    </xf>
    <xf numFmtId="43" fontId="8" fillId="4" borderId="7" xfId="2" applyFont="1" applyFill="1" applyBorder="1" applyAlignment="1">
      <alignment horizontal="center"/>
    </xf>
    <xf numFmtId="44" fontId="8" fillId="4" borderId="7" xfId="1" applyFont="1" applyFill="1" applyBorder="1" applyAlignment="1">
      <alignment horizontal="center"/>
    </xf>
    <xf numFmtId="44" fontId="9" fillId="4" borderId="10" xfId="1" applyFont="1" applyFill="1" applyBorder="1" applyAlignment="1">
      <alignment horizontal="center"/>
    </xf>
    <xf numFmtId="0" fontId="8" fillId="0" borderId="9" xfId="3" applyFont="1" applyFill="1" applyBorder="1" applyAlignment="1"/>
    <xf numFmtId="0" fontId="8" fillId="0" borderId="7" xfId="3" applyFont="1" applyFill="1" applyBorder="1" applyAlignment="1"/>
    <xf numFmtId="0" fontId="8" fillId="0" borderId="7" xfId="3" applyFont="1" applyFill="1" applyBorder="1" applyAlignment="1">
      <alignment horizontal="right"/>
    </xf>
    <xf numFmtId="43" fontId="8" fillId="0" borderId="7" xfId="2" applyFont="1" applyFill="1" applyBorder="1" applyAlignment="1">
      <alignment horizontal="right"/>
    </xf>
    <xf numFmtId="44" fontId="8" fillId="0" borderId="7" xfId="1" applyFont="1" applyFill="1" applyBorder="1" applyAlignment="1">
      <alignment horizontal="right"/>
    </xf>
    <xf numFmtId="2" fontId="9" fillId="0" borderId="11" xfId="1" applyNumberFormat="1" applyFont="1" applyFill="1" applyBorder="1" applyAlignment="1">
      <alignment horizontal="right"/>
    </xf>
    <xf numFmtId="44" fontId="9" fillId="0" borderId="11" xfId="1" applyFont="1" applyFill="1" applyBorder="1" applyAlignment="1">
      <alignment horizontal="right"/>
    </xf>
    <xf numFmtId="2" fontId="9" fillId="5" borderId="11" xfId="1" applyNumberFormat="1" applyFont="1" applyFill="1" applyBorder="1" applyAlignment="1">
      <alignment horizontal="right"/>
    </xf>
    <xf numFmtId="44" fontId="9" fillId="5" borderId="11" xfId="1" applyFont="1" applyFill="1" applyBorder="1" applyAlignment="1">
      <alignment horizontal="right"/>
    </xf>
    <xf numFmtId="0" fontId="8" fillId="5" borderId="9" xfId="3" applyFont="1" applyFill="1" applyBorder="1" applyAlignment="1"/>
    <xf numFmtId="0" fontId="8" fillId="5" borderId="7" xfId="3" applyFont="1" applyFill="1" applyBorder="1" applyAlignment="1"/>
    <xf numFmtId="0" fontId="8" fillId="5" borderId="7" xfId="3" applyFont="1" applyFill="1" applyBorder="1" applyAlignment="1">
      <alignment horizontal="right"/>
    </xf>
    <xf numFmtId="43" fontId="8" fillId="5" borderId="7" xfId="2" applyFont="1" applyFill="1" applyBorder="1" applyAlignment="1">
      <alignment horizontal="right"/>
    </xf>
    <xf numFmtId="44" fontId="8" fillId="5" borderId="7" xfId="1" applyFont="1" applyFill="1" applyBorder="1" applyAlignment="1">
      <alignment horizontal="right"/>
    </xf>
    <xf numFmtId="164" fontId="0" fillId="0" borderId="7" xfId="0" applyNumberFormat="1" applyBorder="1"/>
    <xf numFmtId="0" fontId="5" fillId="0" borderId="7" xfId="0" applyFont="1" applyBorder="1"/>
    <xf numFmtId="0" fontId="0" fillId="0" borderId="7" xfId="0" applyFont="1" applyBorder="1"/>
    <xf numFmtId="0" fontId="3" fillId="2" borderId="12" xfId="0" applyFont="1" applyFill="1" applyBorder="1" applyAlignment="1">
      <alignment vertical="center" wrapText="1"/>
    </xf>
    <xf numFmtId="8" fontId="2" fillId="0" borderId="4" xfId="0" applyNumberFormat="1" applyFont="1" applyBorder="1" applyAlignment="1">
      <alignment vertical="center" wrapText="1"/>
    </xf>
    <xf numFmtId="0" fontId="5" fillId="0" borderId="7" xfId="0" applyFont="1" applyFill="1" applyBorder="1"/>
    <xf numFmtId="0" fontId="3" fillId="2" borderId="13" xfId="0" applyFont="1" applyFill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164" fontId="2" fillId="0" borderId="7" xfId="1" applyNumberFormat="1" applyFont="1" applyBorder="1" applyAlignment="1">
      <alignment vertical="center" wrapText="1"/>
    </xf>
    <xf numFmtId="164" fontId="2" fillId="0" borderId="7" xfId="0" applyNumberFormat="1" applyFont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164" fontId="3" fillId="0" borderId="7" xfId="0" applyNumberFormat="1" applyFont="1" applyBorder="1" applyAlignment="1">
      <alignment vertical="center" wrapText="1"/>
    </xf>
    <xf numFmtId="164" fontId="3" fillId="0" borderId="7" xfId="1" applyNumberFormat="1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8" fontId="2" fillId="0" borderId="3" xfId="0" applyNumberFormat="1" applyFont="1" applyBorder="1" applyAlignment="1">
      <alignment vertical="center" wrapText="1"/>
    </xf>
    <xf numFmtId="0" fontId="0" fillId="6" borderId="7" xfId="0" applyFill="1" applyBorder="1" applyAlignment="1">
      <alignment horizontal="left" wrapText="1"/>
    </xf>
    <xf numFmtId="0" fontId="5" fillId="6" borderId="14" xfId="0" applyFont="1" applyFill="1" applyBorder="1"/>
    <xf numFmtId="0" fontId="5" fillId="6" borderId="7" xfId="0" applyFont="1" applyFill="1" applyBorder="1"/>
    <xf numFmtId="165" fontId="0" fillId="0" borderId="7" xfId="0" applyNumberFormat="1" applyBorder="1"/>
    <xf numFmtId="44" fontId="0" fillId="0" borderId="7" xfId="1" applyFont="1" applyBorder="1"/>
  </cellXfs>
  <cellStyles count="4">
    <cellStyle name="Comma" xfId="2" builtinId="3"/>
    <cellStyle name="Currency" xfId="1" builtinId="4"/>
    <cellStyle name="Normal" xfId="0" builtinId="0"/>
    <cellStyle name="Normal_Sheet1" xfId="3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solid">
          <fgColor indexed="0"/>
          <bgColor indexed="2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Exhaust</a:t>
            </a:r>
            <a:r>
              <a:rPr lang="en-US" baseline="0"/>
              <a:t> Fan HP vs Costs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'Base Cost'!$C$27</c:f>
              <c:strCache>
                <c:ptCount val="1"/>
                <c:pt idx="0">
                  <c:v>Material Costs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'Base Cost'!$A$28:$A$32</c:f>
              <c:numCache>
                <c:formatCode>#\ ?/?</c:formatCode>
                <c:ptCount val="5"/>
                <c:pt idx="0">
                  <c:v>0.33333333333333331</c:v>
                </c:pt>
                <c:pt idx="1">
                  <c:v>0.5</c:v>
                </c:pt>
                <c:pt idx="2">
                  <c:v>0.75</c:v>
                </c:pt>
                <c:pt idx="3">
                  <c:v>0.75</c:v>
                </c:pt>
                <c:pt idx="4">
                  <c:v>1.5</c:v>
                </c:pt>
              </c:numCache>
            </c:numRef>
          </c:xVal>
          <c:yVal>
            <c:numRef>
              <c:f>'Base Cost'!$C$28:$C$32</c:f>
              <c:numCache>
                <c:formatCode>"$"#,##0.00</c:formatCode>
                <c:ptCount val="5"/>
                <c:pt idx="0">
                  <c:v>600</c:v>
                </c:pt>
                <c:pt idx="1">
                  <c:v>575</c:v>
                </c:pt>
                <c:pt idx="2">
                  <c:v>895</c:v>
                </c:pt>
                <c:pt idx="3">
                  <c:v>875</c:v>
                </c:pt>
                <c:pt idx="4">
                  <c:v>1250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'Base Cost'!$D$27</c:f>
              <c:strCache>
                <c:ptCount val="1"/>
                <c:pt idx="0">
                  <c:v>Labor Costs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'Base Cost'!$A$28:$A$32</c:f>
              <c:numCache>
                <c:formatCode>#\ ?/?</c:formatCode>
                <c:ptCount val="5"/>
                <c:pt idx="0">
                  <c:v>0.33333333333333331</c:v>
                </c:pt>
                <c:pt idx="1">
                  <c:v>0.5</c:v>
                </c:pt>
                <c:pt idx="2">
                  <c:v>0.75</c:v>
                </c:pt>
                <c:pt idx="3">
                  <c:v>0.75</c:v>
                </c:pt>
                <c:pt idx="4">
                  <c:v>1.5</c:v>
                </c:pt>
              </c:numCache>
            </c:numRef>
          </c:xVal>
          <c:yVal>
            <c:numRef>
              <c:f>'Base Cost'!$D$28:$D$32</c:f>
              <c:numCache>
                <c:formatCode>"$"#,##0.00</c:formatCode>
                <c:ptCount val="5"/>
                <c:pt idx="0">
                  <c:v>112</c:v>
                </c:pt>
                <c:pt idx="1">
                  <c:v>131</c:v>
                </c:pt>
                <c:pt idx="2">
                  <c:v>157</c:v>
                </c:pt>
                <c:pt idx="3">
                  <c:v>157</c:v>
                </c:pt>
                <c:pt idx="4">
                  <c:v>197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78736"/>
        <c:axId val="19388030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'Base Cost'!$B$27</c15:sqref>
                        </c15:formulaRef>
                      </c:ext>
                    </c:extLst>
                    <c:strCache>
                      <c:ptCount val="1"/>
                      <c:pt idx="0">
                        <c:v>CFM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'Base Cost'!$A$28:$A$32</c15:sqref>
                        </c15:formulaRef>
                      </c:ext>
                    </c:extLst>
                    <c:numCache>
                      <c:formatCode>#\ ?/?</c:formatCode>
                      <c:ptCount val="5"/>
                      <c:pt idx="0">
                        <c:v>0.33333333333333331</c:v>
                      </c:pt>
                      <c:pt idx="1">
                        <c:v>0.5</c:v>
                      </c:pt>
                      <c:pt idx="2">
                        <c:v>0.75</c:v>
                      </c:pt>
                      <c:pt idx="3">
                        <c:v>0.75</c:v>
                      </c:pt>
                      <c:pt idx="4">
                        <c:v>1.5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'Base Cost'!$B$28:$B$32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2038</c:v>
                      </c:pt>
                      <c:pt idx="1">
                        <c:v>2393</c:v>
                      </c:pt>
                      <c:pt idx="2">
                        <c:v>4329</c:v>
                      </c:pt>
                      <c:pt idx="3">
                        <c:v>2757</c:v>
                      </c:pt>
                      <c:pt idx="4">
                        <c:v>4913</c:v>
                      </c:pt>
                    </c:numCache>
                  </c:numRef>
                </c:yVal>
                <c:smooth val="0"/>
              </c15:ser>
            </c15:filteredScatterSeries>
          </c:ext>
        </c:extLst>
      </c:scatterChart>
      <c:valAx>
        <c:axId val="193878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?/?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80304"/>
        <c:crosses val="autoZero"/>
        <c:crossBetween val="midCat"/>
      </c:valAx>
      <c:valAx>
        <c:axId val="193880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787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Cost vs HP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'SCE Program Data'!$N$2</c:f>
              <c:strCache>
                <c:ptCount val="1"/>
                <c:pt idx="0">
                  <c:v>Total Cost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3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'SCE Program Data'!$M$3:$M$39</c:f>
              <c:numCache>
                <c:formatCode>0.00</c:formatCode>
                <c:ptCount val="37"/>
                <c:pt idx="0">
                  <c:v>6</c:v>
                </c:pt>
                <c:pt idx="2">
                  <c:v>2</c:v>
                </c:pt>
                <c:pt idx="3">
                  <c:v>6</c:v>
                </c:pt>
                <c:pt idx="4">
                  <c:v>7</c:v>
                </c:pt>
                <c:pt idx="5">
                  <c:v>4</c:v>
                </c:pt>
                <c:pt idx="6">
                  <c:v>9.5</c:v>
                </c:pt>
                <c:pt idx="7">
                  <c:v>2.25</c:v>
                </c:pt>
                <c:pt idx="8">
                  <c:v>4</c:v>
                </c:pt>
                <c:pt idx="9">
                  <c:v>1.5</c:v>
                </c:pt>
                <c:pt idx="10">
                  <c:v>3</c:v>
                </c:pt>
                <c:pt idx="12">
                  <c:v>10</c:v>
                </c:pt>
                <c:pt idx="13">
                  <c:v>8</c:v>
                </c:pt>
                <c:pt idx="14">
                  <c:v>6</c:v>
                </c:pt>
                <c:pt idx="15">
                  <c:v>6</c:v>
                </c:pt>
                <c:pt idx="16">
                  <c:v>9</c:v>
                </c:pt>
                <c:pt idx="17">
                  <c:v>3.75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4</c:v>
                </c:pt>
                <c:pt idx="22">
                  <c:v>3</c:v>
                </c:pt>
                <c:pt idx="24">
                  <c:v>3</c:v>
                </c:pt>
                <c:pt idx="25">
                  <c:v>13</c:v>
                </c:pt>
                <c:pt idx="26">
                  <c:v>2</c:v>
                </c:pt>
                <c:pt idx="28">
                  <c:v>2</c:v>
                </c:pt>
                <c:pt idx="29">
                  <c:v>2</c:v>
                </c:pt>
                <c:pt idx="32">
                  <c:v>1</c:v>
                </c:pt>
                <c:pt idx="33">
                  <c:v>10</c:v>
                </c:pt>
                <c:pt idx="34">
                  <c:v>15</c:v>
                </c:pt>
                <c:pt idx="35">
                  <c:v>10</c:v>
                </c:pt>
                <c:pt idx="36">
                  <c:v>4</c:v>
                </c:pt>
              </c:numCache>
            </c:numRef>
          </c:xVal>
          <c:yVal>
            <c:numRef>
              <c:f>'SCE Program Data'!$N$3:$N$39</c:f>
              <c:numCache>
                <c:formatCode>_("$"* #,##0.00_);_("$"* \(#,##0.00\);_("$"* "-"??_);_(@_)</c:formatCode>
                <c:ptCount val="37"/>
                <c:pt idx="0">
                  <c:v>28250.83</c:v>
                </c:pt>
                <c:pt idx="2">
                  <c:v>7500</c:v>
                </c:pt>
                <c:pt idx="3">
                  <c:v>10947.6</c:v>
                </c:pt>
                <c:pt idx="4">
                  <c:v>28500</c:v>
                </c:pt>
                <c:pt idx="5">
                  <c:v>10000</c:v>
                </c:pt>
                <c:pt idx="6">
                  <c:v>4370</c:v>
                </c:pt>
                <c:pt idx="7">
                  <c:v>6200</c:v>
                </c:pt>
                <c:pt idx="8">
                  <c:v>13000</c:v>
                </c:pt>
                <c:pt idx="9">
                  <c:v>9000</c:v>
                </c:pt>
                <c:pt idx="10">
                  <c:v>8000</c:v>
                </c:pt>
                <c:pt idx="12">
                  <c:v>23465.8</c:v>
                </c:pt>
                <c:pt idx="13">
                  <c:v>28500</c:v>
                </c:pt>
                <c:pt idx="14">
                  <c:v>22573.26</c:v>
                </c:pt>
                <c:pt idx="15">
                  <c:v>6249.24</c:v>
                </c:pt>
                <c:pt idx="16">
                  <c:v>15999.93</c:v>
                </c:pt>
                <c:pt idx="17">
                  <c:v>9999.99</c:v>
                </c:pt>
                <c:pt idx="18">
                  <c:v>15945</c:v>
                </c:pt>
                <c:pt idx="19">
                  <c:v>17294</c:v>
                </c:pt>
                <c:pt idx="20">
                  <c:v>17174</c:v>
                </c:pt>
                <c:pt idx="21">
                  <c:v>3500</c:v>
                </c:pt>
                <c:pt idx="22">
                  <c:v>14551.74</c:v>
                </c:pt>
                <c:pt idx="24">
                  <c:v>2683.5428571428574</c:v>
                </c:pt>
                <c:pt idx="25">
                  <c:v>21584.5</c:v>
                </c:pt>
                <c:pt idx="26">
                  <c:v>6857.1428571428578</c:v>
                </c:pt>
                <c:pt idx="28">
                  <c:v>7000</c:v>
                </c:pt>
                <c:pt idx="29">
                  <c:v>7000</c:v>
                </c:pt>
                <c:pt idx="32">
                  <c:v>5157</c:v>
                </c:pt>
                <c:pt idx="33">
                  <c:v>18532.599999999999</c:v>
                </c:pt>
                <c:pt idx="34">
                  <c:v>18666.150000000001</c:v>
                </c:pt>
                <c:pt idx="35">
                  <c:v>18755.8</c:v>
                </c:pt>
                <c:pt idx="36">
                  <c:v>5858.36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257984"/>
        <c:axId val="192253280"/>
      </c:scatterChart>
      <c:valAx>
        <c:axId val="192257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253280"/>
        <c:crosses val="autoZero"/>
        <c:crossBetween val="midCat"/>
      </c:valAx>
      <c:valAx>
        <c:axId val="192253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257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5.pn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12</xdr:row>
      <xdr:rowOff>171450</xdr:rowOff>
    </xdr:from>
    <xdr:to>
      <xdr:col>12</xdr:col>
      <xdr:colOff>354024</xdr:colOff>
      <xdr:row>21</xdr:row>
      <xdr:rowOff>18855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581400"/>
          <a:ext cx="14104762" cy="156190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</xdr:row>
      <xdr:rowOff>171451</xdr:rowOff>
    </xdr:from>
    <xdr:to>
      <xdr:col>12</xdr:col>
      <xdr:colOff>317687</xdr:colOff>
      <xdr:row>13</xdr:row>
      <xdr:rowOff>1</xdr:rowOff>
    </xdr:to>
    <xdr:pic>
      <xdr:nvPicPr>
        <xdr:cNvPr id="3" name="Picture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1" r="10147" b="11988"/>
        <a:stretch/>
      </xdr:blipFill>
      <xdr:spPr>
        <a:xfrm>
          <a:off x="0" y="3390901"/>
          <a:ext cx="14068425" cy="209550"/>
        </a:xfrm>
        <a:prstGeom prst="rect">
          <a:avLst/>
        </a:prstGeom>
      </xdr:spPr>
    </xdr:pic>
    <xdr:clientData/>
  </xdr:twoCellAnchor>
  <xdr:twoCellAnchor>
    <xdr:from>
      <xdr:col>6</xdr:col>
      <xdr:colOff>561</xdr:colOff>
      <xdr:row>24</xdr:row>
      <xdr:rowOff>159964</xdr:rowOff>
    </xdr:from>
    <xdr:to>
      <xdr:col>10</xdr:col>
      <xdr:colOff>470648</xdr:colOff>
      <xdr:row>42</xdr:row>
      <xdr:rowOff>156883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0</xdr:colOff>
      <xdr:row>20</xdr:row>
      <xdr:rowOff>171451</xdr:rowOff>
    </xdr:from>
    <xdr:to>
      <xdr:col>12</xdr:col>
      <xdr:colOff>336176</xdr:colOff>
      <xdr:row>22</xdr:row>
      <xdr:rowOff>39037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5449422"/>
          <a:ext cx="14074588" cy="24858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21</xdr:row>
      <xdr:rowOff>179294</xdr:rowOff>
    </xdr:from>
    <xdr:to>
      <xdr:col>12</xdr:col>
      <xdr:colOff>336176</xdr:colOff>
      <xdr:row>22</xdr:row>
      <xdr:rowOff>176603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5647765"/>
          <a:ext cx="14074588" cy="18780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</xdr:row>
      <xdr:rowOff>190499</xdr:rowOff>
    </xdr:from>
    <xdr:to>
      <xdr:col>12</xdr:col>
      <xdr:colOff>324970</xdr:colOff>
      <xdr:row>24</xdr:row>
      <xdr:rowOff>63122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5524499"/>
          <a:ext cx="14063382" cy="25362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0</xdr:rowOff>
    </xdr:from>
    <xdr:to>
      <xdr:col>10</xdr:col>
      <xdr:colOff>322340</xdr:colOff>
      <xdr:row>52</xdr:row>
      <xdr:rowOff>18952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6381750"/>
          <a:ext cx="12076190" cy="78095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161925</xdr:rowOff>
    </xdr:from>
    <xdr:to>
      <xdr:col>10</xdr:col>
      <xdr:colOff>360436</xdr:colOff>
      <xdr:row>51</xdr:row>
      <xdr:rowOff>190405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7305675"/>
          <a:ext cx="12114286" cy="76190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10</xdr:col>
      <xdr:colOff>379483</xdr:colOff>
      <xdr:row>51</xdr:row>
      <xdr:rowOff>38024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8429625"/>
          <a:ext cx="12133333" cy="6095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466724</xdr:colOff>
      <xdr:row>1</xdr:row>
      <xdr:rowOff>138112</xdr:rowOff>
    </xdr:from>
    <xdr:to>
      <xdr:col>26</xdr:col>
      <xdr:colOff>400049</xdr:colOff>
      <xdr:row>16</xdr:row>
      <xdr:rowOff>133350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2:O39" totalsRowShown="0" headerRowDxfId="17" dataDxfId="16" tableBorderDxfId="15" headerRowCellStyle="Currency" dataCellStyle="Currency">
  <autoFilter ref="A2:O39"/>
  <tableColumns count="15">
    <tableColumn id="1" name="Year" dataDxfId="14" dataCellStyle="Normal_Sheet1"/>
    <tableColumn id="2" name="IOUProjectID" dataDxfId="13" dataCellStyle="Normal_Sheet1"/>
    <tableColumn id="3" name="IOUMeaCode" dataDxfId="12" dataCellStyle="Normal_Sheet1"/>
    <tableColumn id="4" name="IOUMeaName" dataDxfId="11" dataCellStyle="Normal_Sheet1"/>
    <tableColumn id="5" name="IOUProgramType" dataDxfId="10" dataCellStyle="Normal_Sheet1"/>
    <tableColumn id="6" name="IOUExAnteQuantity" dataDxfId="9" dataCellStyle="Normal_Sheet1"/>
    <tableColumn id="7" name="TotalGrSavkW" dataDxfId="8" dataCellStyle="Comma"/>
    <tableColumn id="8" name="TotalGrSavkWh" dataDxfId="7" dataCellStyle="Comma"/>
    <tableColumn id="9" name="IOUGrMeaCost" dataDxfId="6" dataCellStyle="Currency"/>
    <tableColumn id="10" name="MeaCost_Unit" dataDxfId="5" dataCellStyle="Currency">
      <calculatedColumnFormula>I3/F3</calculatedColumnFormula>
    </tableColumn>
    <tableColumn id="11" name="IOUGrIncentive" dataDxfId="4" dataCellStyle="Currency"/>
    <tableColumn id="12" name="Incentive_Unit" dataDxfId="3" dataCellStyle="Currency">
      <calculatedColumnFormula>K3/F3</calculatedColumnFormula>
    </tableColumn>
    <tableColumn id="14" name="Qty (HP)" dataDxfId="2" dataCellStyle="Currency"/>
    <tableColumn id="15" name="Total Cost" dataDxfId="1" dataCellStyle="Currency"/>
    <tableColumn id="16" name="Cost/HP" dataDxfId="0" dataCellStyle="Currency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14"/>
  <sheetViews>
    <sheetView tabSelected="1" workbookViewId="0">
      <selection activeCell="H13" sqref="H13"/>
    </sheetView>
  </sheetViews>
  <sheetFormatPr defaultRowHeight="15" x14ac:dyDescent="0.25"/>
  <cols>
    <col min="2" max="2" width="13.42578125" customWidth="1"/>
    <col min="3" max="3" width="27.7109375" bestFit="1" customWidth="1"/>
    <col min="4" max="4" width="21.7109375" bestFit="1" customWidth="1"/>
    <col min="5" max="5" width="19.140625" bestFit="1" customWidth="1"/>
    <col min="6" max="6" width="19.5703125" customWidth="1"/>
    <col min="7" max="7" width="25.85546875" customWidth="1"/>
  </cols>
  <sheetData>
    <row r="1" spans="1:6" ht="26.25" thickBot="1" x14ac:dyDescent="0.3">
      <c r="A1" s="1" t="s">
        <v>0</v>
      </c>
      <c r="B1" s="2" t="s">
        <v>36</v>
      </c>
      <c r="C1" s="52" t="s">
        <v>115</v>
      </c>
      <c r="D1" s="53" t="s">
        <v>116</v>
      </c>
      <c r="E1" s="53" t="s">
        <v>117</v>
      </c>
      <c r="F1" s="41" t="s">
        <v>103</v>
      </c>
    </row>
    <row r="2" spans="1:6" ht="15.75" thickBot="1" x14ac:dyDescent="0.3">
      <c r="A2" s="12" t="s">
        <v>37</v>
      </c>
      <c r="B2" s="4" t="s">
        <v>14</v>
      </c>
      <c r="C2" s="42">
        <f>'Base Cost'!D11</f>
        <v>5337.82</v>
      </c>
      <c r="D2" s="42">
        <f>'Base Cost'!E11</f>
        <v>812.8</v>
      </c>
      <c r="E2" s="42">
        <f>'Base Cost'!F11</f>
        <v>6150.62</v>
      </c>
      <c r="F2" s="12" t="s">
        <v>134</v>
      </c>
    </row>
    <row r="3" spans="1:6" ht="15.75" thickBot="1" x14ac:dyDescent="0.3">
      <c r="A3" s="3" t="s">
        <v>16</v>
      </c>
      <c r="B3" s="4" t="s">
        <v>17</v>
      </c>
      <c r="C3" s="42">
        <v>0</v>
      </c>
      <c r="D3" s="42">
        <v>0</v>
      </c>
      <c r="E3" s="42">
        <f>SUM(C3:D3)</f>
        <v>0</v>
      </c>
      <c r="F3" s="3" t="s">
        <v>135</v>
      </c>
    </row>
    <row r="5" spans="1:6" ht="15.75" thickBot="1" x14ac:dyDescent="0.3"/>
    <row r="6" spans="1:6" ht="26.25" thickBot="1" x14ac:dyDescent="0.3">
      <c r="A6" s="1" t="s">
        <v>0</v>
      </c>
      <c r="B6" s="2" t="s">
        <v>36</v>
      </c>
      <c r="C6" s="52" t="s">
        <v>126</v>
      </c>
      <c r="D6" s="53" t="s">
        <v>125</v>
      </c>
      <c r="E6" s="52" t="s">
        <v>118</v>
      </c>
      <c r="F6" s="44" t="s">
        <v>103</v>
      </c>
    </row>
    <row r="7" spans="1:6" ht="15.75" thickBot="1" x14ac:dyDescent="0.3">
      <c r="A7" s="12" t="s">
        <v>37</v>
      </c>
      <c r="B7" s="4" t="s">
        <v>14</v>
      </c>
      <c r="C7" s="42">
        <f>'Measure Cost'!A5</f>
        <v>3311.4302686596557</v>
      </c>
      <c r="D7" s="42">
        <f>'Measure Cost'!B5</f>
        <v>6150.62</v>
      </c>
      <c r="E7" s="58">
        <f>C7+D7</f>
        <v>9462.0502686596556</v>
      </c>
      <c r="F7" s="12" t="str">
        <f>'Measure Cost'!$D$5</f>
        <v>SCE17CC008_00_M001</v>
      </c>
    </row>
    <row r="8" spans="1:6" ht="15.75" thickBot="1" x14ac:dyDescent="0.3">
      <c r="A8" s="3" t="s">
        <v>16</v>
      </c>
      <c r="B8" s="4" t="s">
        <v>17</v>
      </c>
      <c r="C8" s="42">
        <f>'Measure Cost'!A10</f>
        <v>3311.4302686596557</v>
      </c>
      <c r="D8" s="42">
        <f>E3</f>
        <v>0</v>
      </c>
      <c r="E8" s="58">
        <f>C8+D8</f>
        <v>3311.4302686596557</v>
      </c>
      <c r="F8" s="3" t="str">
        <f>'Measure Cost'!$B$10</f>
        <v>SCE17CC008_00_M002</v>
      </c>
    </row>
    <row r="10" spans="1:6" ht="15.75" thickBot="1" x14ac:dyDescent="0.3"/>
    <row r="11" spans="1:6" ht="15.75" thickBot="1" x14ac:dyDescent="0.3">
      <c r="A11" s="54" t="s">
        <v>8</v>
      </c>
      <c r="B11" s="54" t="s">
        <v>9</v>
      </c>
      <c r="C11" s="54" t="s">
        <v>10</v>
      </c>
      <c r="D11" s="56" t="s">
        <v>11</v>
      </c>
      <c r="E11" s="57"/>
    </row>
    <row r="12" spans="1:6" ht="15.75" thickBot="1" x14ac:dyDescent="0.3">
      <c r="A12" s="55"/>
      <c r="B12" s="55"/>
      <c r="C12" s="55"/>
      <c r="D12" s="5" t="s">
        <v>12</v>
      </c>
      <c r="E12" s="5" t="s">
        <v>13</v>
      </c>
    </row>
    <row r="13" spans="1:6" ht="15.75" thickBot="1" x14ac:dyDescent="0.3">
      <c r="A13" s="12" t="s">
        <v>37</v>
      </c>
      <c r="B13" s="4" t="s">
        <v>14</v>
      </c>
      <c r="C13" s="11">
        <f>E7-E2</f>
        <v>3311.4302686596557</v>
      </c>
      <c r="D13" s="11">
        <f>C13</f>
        <v>3311.4302686596557</v>
      </c>
      <c r="E13" s="4" t="s">
        <v>15</v>
      </c>
    </row>
    <row r="14" spans="1:6" ht="15.75" thickBot="1" x14ac:dyDescent="0.3">
      <c r="A14" s="3" t="s">
        <v>16</v>
      </c>
      <c r="B14" s="4" t="s">
        <v>17</v>
      </c>
      <c r="C14" s="11">
        <f>E8-E3</f>
        <v>3311.4302686596557</v>
      </c>
      <c r="D14" s="11">
        <f>C14</f>
        <v>3311.4302686596557</v>
      </c>
      <c r="E14" s="4" t="s">
        <v>15</v>
      </c>
    </row>
  </sheetData>
  <mergeCells count="4">
    <mergeCell ref="A11:A12"/>
    <mergeCell ref="B11:B12"/>
    <mergeCell ref="C11:C12"/>
    <mergeCell ref="D11:E1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H34"/>
  <sheetViews>
    <sheetView zoomScale="85" zoomScaleNormal="85" workbookViewId="0">
      <selection activeCell="G11" sqref="G11"/>
    </sheetView>
  </sheetViews>
  <sheetFormatPr defaultRowHeight="15" x14ac:dyDescent="0.25"/>
  <cols>
    <col min="1" max="1" width="24.85546875" customWidth="1"/>
    <col min="2" max="2" width="36.28515625" customWidth="1"/>
    <col min="3" max="3" width="13.7109375" bestFit="1" customWidth="1"/>
    <col min="4" max="4" width="14.5703125" customWidth="1"/>
    <col min="5" max="6" width="13.7109375" customWidth="1"/>
    <col min="7" max="7" width="43.5703125" customWidth="1"/>
  </cols>
  <sheetData>
    <row r="2" spans="1:8" x14ac:dyDescent="0.25">
      <c r="A2" s="39" t="s">
        <v>0</v>
      </c>
      <c r="B2" s="39" t="s">
        <v>37</v>
      </c>
    </row>
    <row r="3" spans="1:8" x14ac:dyDescent="0.25">
      <c r="A3" s="39" t="s">
        <v>1</v>
      </c>
      <c r="B3" s="39" t="s">
        <v>34</v>
      </c>
    </row>
    <row r="4" spans="1:8" ht="15.75" thickBot="1" x14ac:dyDescent="0.3"/>
    <row r="5" spans="1:8" x14ac:dyDescent="0.25">
      <c r="A5" s="13" t="s">
        <v>2</v>
      </c>
      <c r="B5" s="44" t="s">
        <v>7</v>
      </c>
      <c r="C5" s="44" t="s">
        <v>19</v>
      </c>
      <c r="D5" s="44" t="s">
        <v>3</v>
      </c>
      <c r="E5" s="44" t="s">
        <v>4</v>
      </c>
      <c r="F5" s="44" t="s">
        <v>5</v>
      </c>
      <c r="G5" s="44" t="s">
        <v>6</v>
      </c>
      <c r="H5" s="41" t="s">
        <v>120</v>
      </c>
    </row>
    <row r="6" spans="1:8" ht="51" x14ac:dyDescent="0.25">
      <c r="A6" s="45" t="s">
        <v>18</v>
      </c>
      <c r="B6" s="45" t="s">
        <v>29</v>
      </c>
      <c r="C6" s="45">
        <v>1.25</v>
      </c>
      <c r="D6" s="46">
        <f>594.36*C6+383.33</f>
        <v>1126.28</v>
      </c>
      <c r="E6" s="46">
        <f>ROUND(69.951*C6+97.171,0)</f>
        <v>185</v>
      </c>
      <c r="F6" s="46">
        <f>D6+E6</f>
        <v>1311.28</v>
      </c>
      <c r="G6" s="45" t="s">
        <v>33</v>
      </c>
    </row>
    <row r="7" spans="1:8" ht="38.25" x14ac:dyDescent="0.25">
      <c r="A7" s="45" t="s">
        <v>119</v>
      </c>
      <c r="B7" s="45" t="s">
        <v>27</v>
      </c>
      <c r="C7" s="45">
        <v>1</v>
      </c>
      <c r="D7" s="46">
        <v>4950</v>
      </c>
      <c r="E7" s="46">
        <v>168</v>
      </c>
      <c r="F7" s="46">
        <f t="shared" ref="F7:F10" si="0">D7+E7</f>
        <v>5118</v>
      </c>
      <c r="G7" s="45"/>
    </row>
    <row r="8" spans="1:8" ht="25.5" x14ac:dyDescent="0.25">
      <c r="A8" s="45" t="s">
        <v>121</v>
      </c>
      <c r="B8" s="45" t="s">
        <v>28</v>
      </c>
      <c r="C8" s="45">
        <v>1</v>
      </c>
      <c r="D8" s="46">
        <v>248</v>
      </c>
      <c r="E8" s="46">
        <v>221</v>
      </c>
      <c r="F8" s="46">
        <f t="shared" si="0"/>
        <v>469</v>
      </c>
      <c r="G8" s="45" t="s">
        <v>31</v>
      </c>
    </row>
    <row r="9" spans="1:8" ht="25.5" x14ac:dyDescent="0.25">
      <c r="A9" s="45" t="s">
        <v>26</v>
      </c>
      <c r="B9" s="45" t="s">
        <v>122</v>
      </c>
      <c r="C9" s="45">
        <v>100</v>
      </c>
      <c r="D9" s="46">
        <f>3.48*C9</f>
        <v>348</v>
      </c>
      <c r="E9" s="46">
        <f>4.42*C9</f>
        <v>442</v>
      </c>
      <c r="F9" s="46">
        <f t="shared" si="0"/>
        <v>790</v>
      </c>
      <c r="G9" s="45" t="s">
        <v>30</v>
      </c>
    </row>
    <row r="10" spans="1:8" x14ac:dyDescent="0.25">
      <c r="A10" s="45" t="s">
        <v>52</v>
      </c>
      <c r="C10" s="45"/>
      <c r="D10" s="47">
        <f>SUM(D6:D9)</f>
        <v>6672.28</v>
      </c>
      <c r="E10" s="47">
        <f>SUM(E6:E9)</f>
        <v>1016</v>
      </c>
      <c r="F10" s="46">
        <f t="shared" si="0"/>
        <v>7688.28</v>
      </c>
      <c r="G10" s="6"/>
    </row>
    <row r="11" spans="1:8" x14ac:dyDescent="0.25">
      <c r="A11" s="48" t="s">
        <v>114</v>
      </c>
      <c r="B11" s="45" t="s">
        <v>35</v>
      </c>
      <c r="C11" s="39"/>
      <c r="D11" s="49">
        <f>ROUND(D10/$C$6,2)</f>
        <v>5337.82</v>
      </c>
      <c r="E11" s="49">
        <f t="shared" ref="E11:F11" si="1">ROUND(E10/$C$6,2)</f>
        <v>812.8</v>
      </c>
      <c r="F11" s="50">
        <f t="shared" si="1"/>
        <v>6150.62</v>
      </c>
      <c r="G11" s="51" t="s">
        <v>133</v>
      </c>
    </row>
    <row r="26" spans="1:5" x14ac:dyDescent="0.25">
      <c r="A26" t="s">
        <v>20</v>
      </c>
    </row>
    <row r="27" spans="1:5" x14ac:dyDescent="0.25">
      <c r="A27" s="6" t="s">
        <v>21</v>
      </c>
      <c r="B27" s="6" t="s">
        <v>22</v>
      </c>
      <c r="C27" s="6" t="s">
        <v>23</v>
      </c>
      <c r="D27" s="6" t="s">
        <v>24</v>
      </c>
      <c r="E27" s="6" t="s">
        <v>25</v>
      </c>
    </row>
    <row r="28" spans="1:5" x14ac:dyDescent="0.25">
      <c r="A28" s="8">
        <v>0.33333333333333331</v>
      </c>
      <c r="B28" s="15">
        <v>2038</v>
      </c>
      <c r="C28" s="10">
        <v>600</v>
      </c>
      <c r="D28" s="10">
        <v>112</v>
      </c>
      <c r="E28" s="10">
        <f>C28+D28</f>
        <v>712</v>
      </c>
    </row>
    <row r="29" spans="1:5" x14ac:dyDescent="0.25">
      <c r="A29" s="8">
        <v>0.5</v>
      </c>
      <c r="B29" s="15">
        <v>2393</v>
      </c>
      <c r="C29" s="10">
        <v>575</v>
      </c>
      <c r="D29" s="10">
        <v>131</v>
      </c>
      <c r="E29" s="10">
        <f t="shared" ref="E29:E32" si="2">C29+D29</f>
        <v>706</v>
      </c>
    </row>
    <row r="30" spans="1:5" x14ac:dyDescent="0.25">
      <c r="A30" s="8">
        <v>0.75</v>
      </c>
      <c r="B30" s="15">
        <v>4329</v>
      </c>
      <c r="C30" s="10">
        <v>895</v>
      </c>
      <c r="D30" s="10">
        <v>157</v>
      </c>
      <c r="E30" s="10">
        <f t="shared" si="2"/>
        <v>1052</v>
      </c>
    </row>
    <row r="31" spans="1:5" x14ac:dyDescent="0.25">
      <c r="A31" s="8">
        <v>0.75</v>
      </c>
      <c r="B31" s="15">
        <v>2757</v>
      </c>
      <c r="C31" s="10">
        <v>875</v>
      </c>
      <c r="D31" s="10">
        <v>157</v>
      </c>
      <c r="E31" s="10">
        <f t="shared" si="2"/>
        <v>1032</v>
      </c>
    </row>
    <row r="32" spans="1:5" x14ac:dyDescent="0.25">
      <c r="A32" s="8">
        <v>1.5</v>
      </c>
      <c r="B32" s="15">
        <v>4913</v>
      </c>
      <c r="C32" s="10">
        <v>1250</v>
      </c>
      <c r="D32" s="10">
        <v>197</v>
      </c>
      <c r="E32" s="10">
        <f t="shared" si="2"/>
        <v>1447</v>
      </c>
    </row>
    <row r="33" spans="1:5" x14ac:dyDescent="0.25">
      <c r="A33" s="7"/>
      <c r="B33" s="7"/>
      <c r="C33" s="6"/>
      <c r="D33" s="6"/>
      <c r="E33" s="6"/>
    </row>
    <row r="34" spans="1:5" x14ac:dyDescent="0.25">
      <c r="A34" s="7"/>
      <c r="B34" s="7"/>
      <c r="C34" s="6"/>
      <c r="D34" s="6"/>
      <c r="E34" s="6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D48"/>
  <sheetViews>
    <sheetView workbookViewId="0">
      <selection activeCell="B10" sqref="B10"/>
    </sheetView>
  </sheetViews>
  <sheetFormatPr defaultRowHeight="15" x14ac:dyDescent="0.25"/>
  <cols>
    <col min="1" max="1" width="27" bestFit="1" customWidth="1"/>
    <col min="2" max="2" width="19.42578125" bestFit="1" customWidth="1"/>
    <col min="3" max="3" width="39.28515625" bestFit="1" customWidth="1"/>
    <col min="4" max="4" width="25.42578125" customWidth="1"/>
    <col min="5" max="5" width="19.42578125" bestFit="1" customWidth="1"/>
  </cols>
  <sheetData>
    <row r="2" spans="1:4" x14ac:dyDescent="0.25">
      <c r="A2" s="39" t="s">
        <v>0</v>
      </c>
      <c r="B2" s="39" t="s">
        <v>101</v>
      </c>
      <c r="C2" s="39" t="s">
        <v>102</v>
      </c>
      <c r="D2" s="39"/>
    </row>
    <row r="3" spans="1:4" x14ac:dyDescent="0.25">
      <c r="A3" s="40" t="s">
        <v>37</v>
      </c>
      <c r="B3" s="40" t="s">
        <v>14</v>
      </c>
      <c r="C3" s="40" t="s">
        <v>105</v>
      </c>
      <c r="D3" s="40"/>
    </row>
    <row r="4" spans="1:4" x14ac:dyDescent="0.25">
      <c r="A4" s="39" t="s">
        <v>123</v>
      </c>
      <c r="B4" s="39" t="s">
        <v>124</v>
      </c>
      <c r="C4" s="43" t="s">
        <v>113</v>
      </c>
      <c r="D4" s="39" t="s">
        <v>103</v>
      </c>
    </row>
    <row r="5" spans="1:4" x14ac:dyDescent="0.25">
      <c r="A5" s="38">
        <f>'SCE Program Data'!$R$7</f>
        <v>3311.4302686596557</v>
      </c>
      <c r="B5" s="38">
        <f>'Base Cost'!$F$11</f>
        <v>6150.62</v>
      </c>
      <c r="C5" s="38">
        <f>A5+B5</f>
        <v>9462.0502686596556</v>
      </c>
      <c r="D5" s="6" t="s">
        <v>131</v>
      </c>
    </row>
    <row r="7" spans="1:4" x14ac:dyDescent="0.25">
      <c r="A7" s="39" t="s">
        <v>0</v>
      </c>
      <c r="B7" s="39" t="s">
        <v>101</v>
      </c>
      <c r="C7" s="39" t="s">
        <v>102</v>
      </c>
      <c r="D7" s="39"/>
    </row>
    <row r="8" spans="1:4" x14ac:dyDescent="0.25">
      <c r="A8" s="6" t="s">
        <v>16</v>
      </c>
      <c r="B8" s="6" t="s">
        <v>17</v>
      </c>
      <c r="C8" s="6" t="s">
        <v>106</v>
      </c>
      <c r="D8" s="7"/>
    </row>
    <row r="9" spans="1:4" x14ac:dyDescent="0.25">
      <c r="A9" s="43" t="s">
        <v>113</v>
      </c>
      <c r="B9" s="39" t="s">
        <v>103</v>
      </c>
      <c r="C9" s="39"/>
    </row>
    <row r="10" spans="1:4" x14ac:dyDescent="0.25">
      <c r="A10" s="38">
        <f>'SCE Program Data'!$R$7</f>
        <v>3311.4302686596557</v>
      </c>
      <c r="B10" s="6" t="s">
        <v>132</v>
      </c>
      <c r="C10" s="38"/>
    </row>
    <row r="23" spans="1:4" hidden="1" x14ac:dyDescent="0.25"/>
    <row r="24" spans="1:4" ht="15.75" hidden="1" thickBot="1" x14ac:dyDescent="0.3">
      <c r="A24" t="s">
        <v>107</v>
      </c>
    </row>
    <row r="25" spans="1:4" ht="15.75" hidden="1" thickBot="1" x14ac:dyDescent="0.3">
      <c r="A25" s="14" t="s">
        <v>2</v>
      </c>
      <c r="B25" s="14" t="s">
        <v>19</v>
      </c>
      <c r="C25" s="14" t="s">
        <v>5</v>
      </c>
      <c r="D25" s="14" t="s">
        <v>6</v>
      </c>
    </row>
    <row r="26" spans="1:4" ht="15.75" hidden="1" thickBot="1" x14ac:dyDescent="0.3">
      <c r="A26" s="4" t="s">
        <v>108</v>
      </c>
      <c r="B26" s="4">
        <v>1</v>
      </c>
      <c r="C26" s="9">
        <f>440*B26</f>
        <v>440</v>
      </c>
      <c r="D26" s="4"/>
    </row>
    <row r="27" spans="1:4" ht="26.25" hidden="1" thickBot="1" x14ac:dyDescent="0.3">
      <c r="A27" s="4" t="s">
        <v>109</v>
      </c>
      <c r="B27" s="4">
        <v>1</v>
      </c>
      <c r="C27" s="9">
        <f>B27*35.5</f>
        <v>35.5</v>
      </c>
      <c r="D27" s="4" t="s">
        <v>111</v>
      </c>
    </row>
    <row r="28" spans="1:4" ht="15.75" hidden="1" thickBot="1" x14ac:dyDescent="0.3">
      <c r="A28" s="4" t="s">
        <v>110</v>
      </c>
      <c r="B28" s="4">
        <v>1</v>
      </c>
      <c r="C28" s="9">
        <f>B28*118</f>
        <v>118</v>
      </c>
      <c r="D28" s="4"/>
    </row>
    <row r="29" spans="1:4" ht="15.75" hidden="1" thickBot="1" x14ac:dyDescent="0.3">
      <c r="A29" s="4" t="s">
        <v>26</v>
      </c>
      <c r="B29" s="4"/>
      <c r="C29" s="9"/>
      <c r="D29" s="4"/>
    </row>
    <row r="30" spans="1:4" ht="15.75" hidden="1" thickBot="1" x14ac:dyDescent="0.3">
      <c r="A30" s="4" t="s">
        <v>112</v>
      </c>
      <c r="B30" s="4"/>
      <c r="C30" s="9"/>
      <c r="D30" s="4"/>
    </row>
    <row r="31" spans="1:4" ht="15.75" hidden="1" thickBot="1" x14ac:dyDescent="0.3">
      <c r="A31" s="3" t="s">
        <v>32</v>
      </c>
      <c r="B31" s="4"/>
      <c r="C31" s="11">
        <f>SUM(C26:C29)</f>
        <v>593.5</v>
      </c>
      <c r="D31" s="4" t="s">
        <v>104</v>
      </c>
    </row>
    <row r="32" spans="1:4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9"/>
  <sheetViews>
    <sheetView topLeftCell="I1" workbookViewId="0">
      <selection activeCell="K43" sqref="K43"/>
    </sheetView>
  </sheetViews>
  <sheetFormatPr defaultRowHeight="15" x14ac:dyDescent="0.25"/>
  <cols>
    <col min="1" max="1" width="7" customWidth="1"/>
    <col min="2" max="2" width="14.5703125" customWidth="1"/>
    <col min="3" max="3" width="14.85546875" customWidth="1"/>
    <col min="4" max="4" width="39.42578125" customWidth="1"/>
    <col min="5" max="5" width="18.140625" customWidth="1"/>
    <col min="6" max="6" width="20.42578125" customWidth="1"/>
    <col min="7" max="7" width="19.42578125" style="16" bestFit="1" customWidth="1"/>
    <col min="8" max="8" width="20.5703125" style="16" bestFit="1" customWidth="1"/>
    <col min="9" max="9" width="20.140625" style="17" bestFit="1" customWidth="1"/>
    <col min="10" max="10" width="19.5703125" style="17" bestFit="1" customWidth="1"/>
    <col min="11" max="11" width="20.7109375" style="17" bestFit="1" customWidth="1"/>
    <col min="12" max="12" width="20.140625" style="17" bestFit="1" customWidth="1"/>
    <col min="13" max="14" width="11.28515625" customWidth="1"/>
    <col min="15" max="15" width="10.5703125" bestFit="1" customWidth="1"/>
    <col min="17" max="17" width="11.28515625" bestFit="1" customWidth="1"/>
    <col min="18" max="18" width="11.5703125" bestFit="1" customWidth="1"/>
  </cols>
  <sheetData>
    <row r="1" spans="1:18" x14ac:dyDescent="0.25">
      <c r="I1" s="17">
        <f>SUM(I3:I39)</f>
        <v>727568.48571428563</v>
      </c>
      <c r="M1" s="18" t="s">
        <v>38</v>
      </c>
    </row>
    <row r="2" spans="1:18" x14ac:dyDescent="0.25">
      <c r="A2" s="19" t="s">
        <v>39</v>
      </c>
      <c r="B2" s="20" t="s">
        <v>40</v>
      </c>
      <c r="C2" s="20" t="s">
        <v>41</v>
      </c>
      <c r="D2" s="20" t="s">
        <v>42</v>
      </c>
      <c r="E2" s="20" t="s">
        <v>43</v>
      </c>
      <c r="F2" s="20" t="s">
        <v>44</v>
      </c>
      <c r="G2" s="21" t="s">
        <v>45</v>
      </c>
      <c r="H2" s="21" t="s">
        <v>46</v>
      </c>
      <c r="I2" s="22" t="s">
        <v>47</v>
      </c>
      <c r="J2" s="22" t="s">
        <v>48</v>
      </c>
      <c r="K2" s="22" t="s">
        <v>49</v>
      </c>
      <c r="L2" s="22" t="s">
        <v>50</v>
      </c>
      <c r="M2" s="23" t="s">
        <v>51</v>
      </c>
      <c r="N2" s="23" t="s">
        <v>52</v>
      </c>
      <c r="O2" s="23" t="s">
        <v>53</v>
      </c>
    </row>
    <row r="3" spans="1:18" x14ac:dyDescent="0.25">
      <c r="A3" s="24" t="s">
        <v>54</v>
      </c>
      <c r="B3" s="25" t="s">
        <v>55</v>
      </c>
      <c r="C3" s="25" t="s">
        <v>16</v>
      </c>
      <c r="D3" s="25" t="s">
        <v>56</v>
      </c>
      <c r="E3" s="25" t="s">
        <v>17</v>
      </c>
      <c r="F3" s="26">
        <v>6</v>
      </c>
      <c r="G3" s="27">
        <v>3.1552800000000003</v>
      </c>
      <c r="H3" s="27">
        <v>26472</v>
      </c>
      <c r="I3" s="28">
        <v>28250.83</v>
      </c>
      <c r="J3" s="28">
        <f>I3/F3</f>
        <v>4708.4716666666673</v>
      </c>
      <c r="K3" s="28">
        <v>2100</v>
      </c>
      <c r="L3" s="28">
        <f>K3/F3</f>
        <v>350</v>
      </c>
      <c r="M3" s="29">
        <f>Table1[[#This Row],[IOUExAnteQuantity]]</f>
        <v>6</v>
      </c>
      <c r="N3" s="30">
        <f>Table1[[#This Row],[IOUGrMeaCost]]</f>
        <v>28250.83</v>
      </c>
      <c r="O3" s="30">
        <f>Table1[[#This Row],[MeaCost_Unit]]</f>
        <v>4708.4716666666673</v>
      </c>
      <c r="Q3" s="39" t="s">
        <v>68</v>
      </c>
      <c r="R3" s="39" t="s">
        <v>69</v>
      </c>
    </row>
    <row r="4" spans="1:18" x14ac:dyDescent="0.25">
      <c r="A4" s="33" t="s">
        <v>54</v>
      </c>
      <c r="B4" s="34" t="s">
        <v>57</v>
      </c>
      <c r="C4" s="34" t="s">
        <v>16</v>
      </c>
      <c r="D4" s="34" t="s">
        <v>56</v>
      </c>
      <c r="E4" s="34" t="s">
        <v>17</v>
      </c>
      <c r="F4" s="35">
        <v>50</v>
      </c>
      <c r="G4" s="36">
        <v>26.294</v>
      </c>
      <c r="H4" s="36">
        <v>220600</v>
      </c>
      <c r="I4" s="37">
        <v>0</v>
      </c>
      <c r="J4" s="37">
        <f t="shared" ref="J4:J39" si="0">I4/F4</f>
        <v>0</v>
      </c>
      <c r="K4" s="37">
        <v>17500</v>
      </c>
      <c r="L4" s="37">
        <f t="shared" ref="L4:L39" si="1">K4/F4</f>
        <v>350</v>
      </c>
      <c r="M4" s="31"/>
      <c r="N4" s="32"/>
      <c r="O4" s="32"/>
      <c r="Q4" s="6" t="s">
        <v>130</v>
      </c>
      <c r="R4" s="62">
        <f>AVERAGE(Table1[Qty (HP)])</f>
        <v>5.258064516129032</v>
      </c>
    </row>
    <row r="5" spans="1:18" x14ac:dyDescent="0.25">
      <c r="A5" s="24" t="s">
        <v>58</v>
      </c>
      <c r="B5" s="25" t="s">
        <v>59</v>
      </c>
      <c r="C5" s="25" t="s">
        <v>16</v>
      </c>
      <c r="D5" s="25" t="s">
        <v>56</v>
      </c>
      <c r="E5" s="25" t="s">
        <v>17</v>
      </c>
      <c r="F5" s="26">
        <v>2</v>
      </c>
      <c r="G5" s="27">
        <v>1.05176</v>
      </c>
      <c r="H5" s="27">
        <v>8824</v>
      </c>
      <c r="I5" s="28">
        <v>7500</v>
      </c>
      <c r="J5" s="28">
        <f t="shared" si="0"/>
        <v>3750</v>
      </c>
      <c r="K5" s="28">
        <v>700</v>
      </c>
      <c r="L5" s="28">
        <f t="shared" si="1"/>
        <v>350</v>
      </c>
      <c r="M5" s="29">
        <f>Table1[[#This Row],[IOUExAnteQuantity]]</f>
        <v>2</v>
      </c>
      <c r="N5" s="30">
        <f>Table1[[#This Row],[IOUGrMeaCost]]</f>
        <v>7500</v>
      </c>
      <c r="O5" s="30">
        <f>Table1[[#This Row],[MeaCost_Unit]]</f>
        <v>3750</v>
      </c>
      <c r="Q5" s="6" t="s">
        <v>75</v>
      </c>
      <c r="R5" s="7">
        <f>AVERAGEIFS(Table1[Qty (HP)],Table1[Qty (HP)],"&lt;=1.5")</f>
        <v>1.25</v>
      </c>
    </row>
    <row r="6" spans="1:18" x14ac:dyDescent="0.25">
      <c r="A6" s="24" t="s">
        <v>58</v>
      </c>
      <c r="B6" s="25" t="s">
        <v>60</v>
      </c>
      <c r="C6" s="25" t="s">
        <v>16</v>
      </c>
      <c r="D6" s="25" t="s">
        <v>56</v>
      </c>
      <c r="E6" s="25" t="s">
        <v>17</v>
      </c>
      <c r="F6" s="26">
        <v>6</v>
      </c>
      <c r="G6" s="27">
        <v>3.306</v>
      </c>
      <c r="H6" s="27">
        <v>26538</v>
      </c>
      <c r="I6" s="28">
        <v>10947.6</v>
      </c>
      <c r="J6" s="28">
        <f t="shared" si="0"/>
        <v>1824.6000000000001</v>
      </c>
      <c r="K6" s="28">
        <v>2100</v>
      </c>
      <c r="L6" s="28">
        <f t="shared" si="1"/>
        <v>350</v>
      </c>
      <c r="M6" s="29">
        <f>Table1[[#This Row],[IOUExAnteQuantity]]</f>
        <v>6</v>
      </c>
      <c r="N6" s="30">
        <f>Table1[[#This Row],[IOUGrMeaCost]]</f>
        <v>10947.6</v>
      </c>
      <c r="O6" s="30">
        <f>Table1[[#This Row],[MeaCost_Unit]]</f>
        <v>1824.6000000000001</v>
      </c>
      <c r="Q6" s="6" t="s">
        <v>72</v>
      </c>
      <c r="R6" s="63">
        <f>AVERAGE(Table1[Total Cost])</f>
        <v>13326.338248847924</v>
      </c>
    </row>
    <row r="7" spans="1:18" x14ac:dyDescent="0.25">
      <c r="A7" s="24" t="s">
        <v>58</v>
      </c>
      <c r="B7" s="25" t="s">
        <v>61</v>
      </c>
      <c r="C7" s="25" t="s">
        <v>16</v>
      </c>
      <c r="D7" s="25" t="s">
        <v>56</v>
      </c>
      <c r="E7" s="25" t="s">
        <v>17</v>
      </c>
      <c r="F7" s="26">
        <v>7</v>
      </c>
      <c r="G7" s="27">
        <v>3.8570000000000002</v>
      </c>
      <c r="H7" s="27">
        <v>30961</v>
      </c>
      <c r="I7" s="28">
        <v>28500</v>
      </c>
      <c r="J7" s="28">
        <f t="shared" si="0"/>
        <v>4071.4285714285716</v>
      </c>
      <c r="K7" s="28">
        <v>2450</v>
      </c>
      <c r="L7" s="28">
        <f t="shared" si="1"/>
        <v>350</v>
      </c>
      <c r="M7" s="29">
        <f>Table1[[#This Row],[IOUExAnteQuantity]]</f>
        <v>7</v>
      </c>
      <c r="N7" s="30">
        <f>Table1[[#This Row],[IOUGrMeaCost]]</f>
        <v>28500</v>
      </c>
      <c r="O7" s="30">
        <f>Table1[[#This Row],[MeaCost_Unit]]</f>
        <v>4071.4285714285716</v>
      </c>
      <c r="Q7" s="6" t="s">
        <v>53</v>
      </c>
      <c r="R7" s="63">
        <f>AVERAGE(Table1[Cost/HP])</f>
        <v>3311.4302686596557</v>
      </c>
    </row>
    <row r="8" spans="1:18" x14ac:dyDescent="0.25">
      <c r="A8" s="24" t="s">
        <v>58</v>
      </c>
      <c r="B8" s="25" t="s">
        <v>62</v>
      </c>
      <c r="C8" s="25" t="s">
        <v>16</v>
      </c>
      <c r="D8" s="25" t="s">
        <v>56</v>
      </c>
      <c r="E8" s="25" t="s">
        <v>17</v>
      </c>
      <c r="F8" s="26">
        <v>4</v>
      </c>
      <c r="G8" s="27">
        <v>2.2040000000000002</v>
      </c>
      <c r="H8" s="27">
        <v>17692</v>
      </c>
      <c r="I8" s="28">
        <v>10000</v>
      </c>
      <c r="J8" s="28">
        <f t="shared" si="0"/>
        <v>2500</v>
      </c>
      <c r="K8" s="28">
        <v>1400</v>
      </c>
      <c r="L8" s="28">
        <f t="shared" si="1"/>
        <v>350</v>
      </c>
      <c r="M8" s="29">
        <f>Table1[[#This Row],[IOUExAnteQuantity]]</f>
        <v>4</v>
      </c>
      <c r="N8" s="30">
        <f>Table1[[#This Row],[IOUGrMeaCost]]</f>
        <v>10000</v>
      </c>
      <c r="O8" s="30">
        <f>Table1[[#This Row],[MeaCost_Unit]]</f>
        <v>2500</v>
      </c>
    </row>
    <row r="9" spans="1:18" x14ac:dyDescent="0.25">
      <c r="A9" s="24" t="s">
        <v>58</v>
      </c>
      <c r="B9" s="25" t="s">
        <v>63</v>
      </c>
      <c r="C9" s="25" t="s">
        <v>16</v>
      </c>
      <c r="D9" s="25" t="s">
        <v>56</v>
      </c>
      <c r="E9" s="25" t="s">
        <v>17</v>
      </c>
      <c r="F9" s="26">
        <v>9.5</v>
      </c>
      <c r="G9" s="27">
        <v>5.2345000000000006</v>
      </c>
      <c r="H9" s="27">
        <v>42018.5</v>
      </c>
      <c r="I9" s="28">
        <v>4370</v>
      </c>
      <c r="J9" s="28">
        <f t="shared" si="0"/>
        <v>460</v>
      </c>
      <c r="K9" s="28">
        <v>3325</v>
      </c>
      <c r="L9" s="28">
        <f t="shared" si="1"/>
        <v>350</v>
      </c>
      <c r="M9" s="29">
        <f>Table1[[#This Row],[IOUExAnteQuantity]]</f>
        <v>9.5</v>
      </c>
      <c r="N9" s="30">
        <f>Table1[[#This Row],[IOUGrMeaCost]]</f>
        <v>4370</v>
      </c>
      <c r="O9" s="30">
        <f>Table1[[#This Row],[MeaCost_Unit]]</f>
        <v>460</v>
      </c>
    </row>
    <row r="10" spans="1:18" x14ac:dyDescent="0.25">
      <c r="A10" s="24" t="s">
        <v>58</v>
      </c>
      <c r="B10" s="25" t="s">
        <v>64</v>
      </c>
      <c r="C10" s="25" t="s">
        <v>16</v>
      </c>
      <c r="D10" s="25" t="s">
        <v>56</v>
      </c>
      <c r="E10" s="25" t="s">
        <v>17</v>
      </c>
      <c r="F10" s="26">
        <v>2.25</v>
      </c>
      <c r="G10" s="27">
        <v>1.2397500000000001</v>
      </c>
      <c r="H10" s="27">
        <v>9951.75</v>
      </c>
      <c r="I10" s="28">
        <v>6200</v>
      </c>
      <c r="J10" s="28">
        <f t="shared" si="0"/>
        <v>2755.5555555555557</v>
      </c>
      <c r="K10" s="28">
        <v>787.5</v>
      </c>
      <c r="L10" s="28">
        <f t="shared" si="1"/>
        <v>350</v>
      </c>
      <c r="M10" s="29">
        <f>Table1[[#This Row],[IOUExAnteQuantity]]</f>
        <v>2.25</v>
      </c>
      <c r="N10" s="30">
        <f>Table1[[#This Row],[IOUGrMeaCost]]</f>
        <v>6200</v>
      </c>
      <c r="O10" s="30">
        <f>Table1[[#This Row],[MeaCost_Unit]]</f>
        <v>2755.5555555555557</v>
      </c>
    </row>
    <row r="11" spans="1:18" x14ac:dyDescent="0.25">
      <c r="A11" s="24" t="s">
        <v>65</v>
      </c>
      <c r="B11" s="25" t="s">
        <v>66</v>
      </c>
      <c r="C11" s="25" t="s">
        <v>16</v>
      </c>
      <c r="D11" s="25" t="s">
        <v>56</v>
      </c>
      <c r="E11" s="25" t="s">
        <v>17</v>
      </c>
      <c r="F11" s="26">
        <v>4</v>
      </c>
      <c r="G11" s="27">
        <v>2.2040000000000002</v>
      </c>
      <c r="H11" s="27">
        <v>17692</v>
      </c>
      <c r="I11" s="28">
        <v>13000</v>
      </c>
      <c r="J11" s="28">
        <f t="shared" si="0"/>
        <v>3250</v>
      </c>
      <c r="K11" s="28">
        <v>1400</v>
      </c>
      <c r="L11" s="28">
        <f t="shared" si="1"/>
        <v>350</v>
      </c>
      <c r="M11" s="29">
        <f>Table1[[#This Row],[IOUExAnteQuantity]]</f>
        <v>4</v>
      </c>
      <c r="N11" s="30">
        <f>Table1[[#This Row],[IOUGrMeaCost]]</f>
        <v>13000</v>
      </c>
      <c r="O11" s="30">
        <f>Table1[[#This Row],[MeaCost_Unit]]</f>
        <v>3250</v>
      </c>
    </row>
    <row r="12" spans="1:18" x14ac:dyDescent="0.25">
      <c r="A12" s="24" t="s">
        <v>65</v>
      </c>
      <c r="B12" s="25" t="s">
        <v>67</v>
      </c>
      <c r="C12" s="25" t="s">
        <v>16</v>
      </c>
      <c r="D12" s="25" t="s">
        <v>56</v>
      </c>
      <c r="E12" s="25" t="s">
        <v>17</v>
      </c>
      <c r="F12" s="26">
        <v>1.5</v>
      </c>
      <c r="G12" s="27">
        <v>0.82650000000000001</v>
      </c>
      <c r="H12" s="27">
        <v>6634.5</v>
      </c>
      <c r="I12" s="28">
        <v>9000</v>
      </c>
      <c r="J12" s="28">
        <f t="shared" si="0"/>
        <v>6000</v>
      </c>
      <c r="K12" s="28">
        <v>525</v>
      </c>
      <c r="L12" s="28">
        <f t="shared" si="1"/>
        <v>350</v>
      </c>
      <c r="M12" s="29">
        <f>Table1[[#This Row],[IOUExAnteQuantity]]</f>
        <v>1.5</v>
      </c>
      <c r="N12" s="30">
        <f>Table1[[#This Row],[IOUGrMeaCost]]</f>
        <v>9000</v>
      </c>
      <c r="O12" s="30">
        <f>Table1[[#This Row],[MeaCost_Unit]]</f>
        <v>6000</v>
      </c>
    </row>
    <row r="13" spans="1:18" x14ac:dyDescent="0.25">
      <c r="A13" s="24" t="s">
        <v>65</v>
      </c>
      <c r="B13" s="25" t="s">
        <v>70</v>
      </c>
      <c r="C13" s="25" t="s">
        <v>16</v>
      </c>
      <c r="D13" s="25" t="s">
        <v>56</v>
      </c>
      <c r="E13" s="25" t="s">
        <v>17</v>
      </c>
      <c r="F13" s="26">
        <v>3</v>
      </c>
      <c r="G13" s="27">
        <v>1.653</v>
      </c>
      <c r="H13" s="27">
        <v>13269</v>
      </c>
      <c r="I13" s="28">
        <v>8000</v>
      </c>
      <c r="J13" s="28">
        <f t="shared" si="0"/>
        <v>2666.6666666666665</v>
      </c>
      <c r="K13" s="28">
        <v>1050</v>
      </c>
      <c r="L13" s="28">
        <f t="shared" si="1"/>
        <v>350</v>
      </c>
      <c r="M13" s="29">
        <f>Table1[[#This Row],[IOUExAnteQuantity]]</f>
        <v>3</v>
      </c>
      <c r="N13" s="30">
        <f>Table1[[#This Row],[IOUGrMeaCost]]</f>
        <v>8000</v>
      </c>
      <c r="O13" s="30">
        <f>Table1[[#This Row],[MeaCost_Unit]]</f>
        <v>2666.6666666666665</v>
      </c>
    </row>
    <row r="14" spans="1:18" x14ac:dyDescent="0.25">
      <c r="A14" s="33" t="s">
        <v>65</v>
      </c>
      <c r="B14" s="34" t="s">
        <v>71</v>
      </c>
      <c r="C14" s="34" t="s">
        <v>16</v>
      </c>
      <c r="D14" s="34" t="s">
        <v>56</v>
      </c>
      <c r="E14" s="34" t="s">
        <v>17</v>
      </c>
      <c r="F14" s="35">
        <v>1</v>
      </c>
      <c r="G14" s="36">
        <v>0.55100000000000005</v>
      </c>
      <c r="H14" s="36">
        <v>4423</v>
      </c>
      <c r="I14" s="37">
        <v>11800</v>
      </c>
      <c r="J14" s="37">
        <f t="shared" si="0"/>
        <v>11800</v>
      </c>
      <c r="K14" s="37">
        <v>350</v>
      </c>
      <c r="L14" s="37">
        <f t="shared" si="1"/>
        <v>350</v>
      </c>
      <c r="M14" s="31"/>
      <c r="N14" s="32"/>
      <c r="O14" s="32"/>
    </row>
    <row r="15" spans="1:18" x14ac:dyDescent="0.25">
      <c r="A15" s="24" t="s">
        <v>65</v>
      </c>
      <c r="B15" s="25" t="s">
        <v>73</v>
      </c>
      <c r="C15" s="25" t="s">
        <v>16</v>
      </c>
      <c r="D15" s="25" t="s">
        <v>56</v>
      </c>
      <c r="E15" s="25" t="s">
        <v>17</v>
      </c>
      <c r="F15" s="26">
        <v>10</v>
      </c>
      <c r="G15" s="27">
        <v>5.5100000000000007</v>
      </c>
      <c r="H15" s="27">
        <v>44230</v>
      </c>
      <c r="I15" s="28">
        <v>23465.8</v>
      </c>
      <c r="J15" s="28">
        <f t="shared" si="0"/>
        <v>2346.58</v>
      </c>
      <c r="K15" s="28">
        <v>3500</v>
      </c>
      <c r="L15" s="28">
        <f t="shared" si="1"/>
        <v>350</v>
      </c>
      <c r="M15" s="29">
        <f>Table1[[#This Row],[IOUExAnteQuantity]]</f>
        <v>10</v>
      </c>
      <c r="N15" s="30">
        <f>Table1[[#This Row],[IOUGrMeaCost]]</f>
        <v>23465.8</v>
      </c>
      <c r="O15" s="30">
        <f>Table1[[#This Row],[MeaCost_Unit]]</f>
        <v>2346.58</v>
      </c>
    </row>
    <row r="16" spans="1:18" x14ac:dyDescent="0.25">
      <c r="A16" s="24" t="s">
        <v>65</v>
      </c>
      <c r="B16" s="25" t="s">
        <v>74</v>
      </c>
      <c r="C16" s="25" t="s">
        <v>16</v>
      </c>
      <c r="D16" s="25" t="s">
        <v>56</v>
      </c>
      <c r="E16" s="25" t="s">
        <v>17</v>
      </c>
      <c r="F16" s="26">
        <v>8</v>
      </c>
      <c r="G16" s="27">
        <v>4.4080000000000004</v>
      </c>
      <c r="H16" s="27">
        <v>35384</v>
      </c>
      <c r="I16" s="28">
        <v>28500</v>
      </c>
      <c r="J16" s="28">
        <f t="shared" si="0"/>
        <v>3562.5</v>
      </c>
      <c r="K16" s="28">
        <v>2800</v>
      </c>
      <c r="L16" s="28">
        <f t="shared" si="1"/>
        <v>350</v>
      </c>
      <c r="M16" s="29">
        <f>Table1[[#This Row],[IOUExAnteQuantity]]</f>
        <v>8</v>
      </c>
      <c r="N16" s="30">
        <f>Table1[[#This Row],[IOUGrMeaCost]]</f>
        <v>28500</v>
      </c>
      <c r="O16" s="30">
        <f>Table1[[#This Row],[MeaCost_Unit]]</f>
        <v>3562.5</v>
      </c>
    </row>
    <row r="17" spans="1:27" x14ac:dyDescent="0.25">
      <c r="A17" s="24" t="s">
        <v>65</v>
      </c>
      <c r="B17" s="25" t="s">
        <v>76</v>
      </c>
      <c r="C17" s="25" t="s">
        <v>16</v>
      </c>
      <c r="D17" s="25" t="s">
        <v>56</v>
      </c>
      <c r="E17" s="25" t="s">
        <v>17</v>
      </c>
      <c r="F17" s="26">
        <v>6</v>
      </c>
      <c r="G17" s="27">
        <v>3.306</v>
      </c>
      <c r="H17" s="27">
        <v>26538</v>
      </c>
      <c r="I17" s="28">
        <v>22573.26</v>
      </c>
      <c r="J17" s="28">
        <f t="shared" si="0"/>
        <v>3762.2099999999996</v>
      </c>
      <c r="K17" s="28">
        <v>2100</v>
      </c>
      <c r="L17" s="28">
        <f t="shared" si="1"/>
        <v>350</v>
      </c>
      <c r="M17" s="29">
        <f>Table1[[#This Row],[IOUExAnteQuantity]]</f>
        <v>6</v>
      </c>
      <c r="N17" s="30">
        <f>Table1[[#This Row],[IOUGrMeaCost]]</f>
        <v>22573.26</v>
      </c>
      <c r="O17" s="30">
        <f>Table1[[#This Row],[MeaCost_Unit]]</f>
        <v>3762.2099999999996</v>
      </c>
    </row>
    <row r="18" spans="1:27" x14ac:dyDescent="0.25">
      <c r="A18" s="24" t="s">
        <v>65</v>
      </c>
      <c r="B18" s="25" t="s">
        <v>77</v>
      </c>
      <c r="C18" s="25" t="s">
        <v>16</v>
      </c>
      <c r="D18" s="25" t="s">
        <v>56</v>
      </c>
      <c r="E18" s="25" t="s">
        <v>17</v>
      </c>
      <c r="F18" s="26">
        <v>6</v>
      </c>
      <c r="G18" s="27">
        <v>3.306</v>
      </c>
      <c r="H18" s="27">
        <v>26538</v>
      </c>
      <c r="I18" s="28">
        <v>6249.24</v>
      </c>
      <c r="J18" s="28">
        <f t="shared" si="0"/>
        <v>1041.54</v>
      </c>
      <c r="K18" s="28">
        <v>2100</v>
      </c>
      <c r="L18" s="28">
        <f t="shared" si="1"/>
        <v>350</v>
      </c>
      <c r="M18" s="29">
        <f>Table1[[#This Row],[IOUExAnteQuantity]]</f>
        <v>6</v>
      </c>
      <c r="N18" s="30">
        <f>Table1[[#This Row],[IOUGrMeaCost]]</f>
        <v>6249.24</v>
      </c>
      <c r="O18" s="30">
        <f>Table1[[#This Row],[MeaCost_Unit]]</f>
        <v>1041.54</v>
      </c>
    </row>
    <row r="19" spans="1:27" x14ac:dyDescent="0.25">
      <c r="A19" s="24" t="s">
        <v>65</v>
      </c>
      <c r="B19" s="25" t="s">
        <v>78</v>
      </c>
      <c r="C19" s="25" t="s">
        <v>16</v>
      </c>
      <c r="D19" s="25" t="s">
        <v>56</v>
      </c>
      <c r="E19" s="25" t="s">
        <v>17</v>
      </c>
      <c r="F19" s="26">
        <v>9</v>
      </c>
      <c r="G19" s="27">
        <v>4.9590000000000005</v>
      </c>
      <c r="H19" s="27">
        <v>39807</v>
      </c>
      <c r="I19" s="28">
        <v>15999.93</v>
      </c>
      <c r="J19" s="28">
        <f t="shared" si="0"/>
        <v>1777.77</v>
      </c>
      <c r="K19" s="28">
        <v>3150</v>
      </c>
      <c r="L19" s="28">
        <f t="shared" si="1"/>
        <v>350</v>
      </c>
      <c r="M19" s="29">
        <f>Table1[[#This Row],[IOUExAnteQuantity]]</f>
        <v>9</v>
      </c>
      <c r="N19" s="30">
        <f>Table1[[#This Row],[IOUGrMeaCost]]</f>
        <v>15999.93</v>
      </c>
      <c r="O19" s="30">
        <f>Table1[[#This Row],[MeaCost_Unit]]</f>
        <v>1777.77</v>
      </c>
      <c r="Q19" s="60" t="s">
        <v>6</v>
      </c>
    </row>
    <row r="20" spans="1:27" x14ac:dyDescent="0.25">
      <c r="A20" s="24" t="s">
        <v>65</v>
      </c>
      <c r="B20" s="25" t="s">
        <v>79</v>
      </c>
      <c r="C20" s="25" t="s">
        <v>16</v>
      </c>
      <c r="D20" s="25" t="s">
        <v>56</v>
      </c>
      <c r="E20" s="25" t="s">
        <v>17</v>
      </c>
      <c r="F20" s="26">
        <v>3.75</v>
      </c>
      <c r="G20" s="27">
        <v>2.0662500000000001</v>
      </c>
      <c r="H20" s="27">
        <v>16586.25</v>
      </c>
      <c r="I20" s="28">
        <v>9999.99</v>
      </c>
      <c r="J20" s="28">
        <f t="shared" si="0"/>
        <v>2666.6639999999998</v>
      </c>
      <c r="K20" s="28">
        <v>1312.5</v>
      </c>
      <c r="L20" s="28">
        <f t="shared" si="1"/>
        <v>350</v>
      </c>
      <c r="M20" s="29">
        <f>Table1[[#This Row],[IOUExAnteQuantity]]</f>
        <v>3.75</v>
      </c>
      <c r="N20" s="30">
        <f>Table1[[#This Row],[IOUGrMeaCost]]</f>
        <v>9999.99</v>
      </c>
      <c r="O20" s="30">
        <f>Table1[[#This Row],[MeaCost_Unit]]</f>
        <v>2666.6639999999998</v>
      </c>
      <c r="Q20" s="61">
        <v>1</v>
      </c>
      <c r="R20" s="59" t="s">
        <v>127</v>
      </c>
      <c r="S20" s="59"/>
      <c r="T20" s="59"/>
      <c r="U20" s="59"/>
      <c r="V20" s="59"/>
      <c r="W20" s="59"/>
      <c r="X20" s="59"/>
      <c r="Y20" s="59"/>
      <c r="Z20" s="59"/>
      <c r="AA20" s="59"/>
    </row>
    <row r="21" spans="1:27" x14ac:dyDescent="0.25">
      <c r="A21" s="24" t="s">
        <v>65</v>
      </c>
      <c r="B21" s="25" t="s">
        <v>80</v>
      </c>
      <c r="C21" s="25" t="s">
        <v>16</v>
      </c>
      <c r="D21" s="25" t="s">
        <v>56</v>
      </c>
      <c r="E21" s="25" t="s">
        <v>17</v>
      </c>
      <c r="F21" s="26">
        <v>2</v>
      </c>
      <c r="G21" s="27">
        <v>1.1020000000000001</v>
      </c>
      <c r="H21" s="27">
        <v>8846</v>
      </c>
      <c r="I21" s="28">
        <v>15945</v>
      </c>
      <c r="J21" s="28">
        <f t="shared" si="0"/>
        <v>7972.5</v>
      </c>
      <c r="K21" s="28">
        <v>700</v>
      </c>
      <c r="L21" s="28">
        <f t="shared" si="1"/>
        <v>350</v>
      </c>
      <c r="M21" s="29">
        <f>Table1[[#This Row],[IOUExAnteQuantity]]</f>
        <v>2</v>
      </c>
      <c r="N21" s="30">
        <f>Table1[[#This Row],[IOUGrMeaCost]]</f>
        <v>15945</v>
      </c>
      <c r="O21" s="30">
        <f>Table1[[#This Row],[MeaCost_Unit]]</f>
        <v>7972.5</v>
      </c>
      <c r="Q21" s="61">
        <v>2</v>
      </c>
      <c r="R21" s="59" t="s">
        <v>128</v>
      </c>
      <c r="S21" s="59"/>
      <c r="T21" s="59"/>
      <c r="U21" s="59"/>
      <c r="V21" s="59"/>
      <c r="W21" s="59"/>
      <c r="X21" s="59"/>
      <c r="Y21" s="59"/>
      <c r="Z21" s="59"/>
      <c r="AA21" s="59"/>
    </row>
    <row r="22" spans="1:27" x14ac:dyDescent="0.25">
      <c r="A22" s="24" t="s">
        <v>65</v>
      </c>
      <c r="B22" s="25" t="s">
        <v>81</v>
      </c>
      <c r="C22" s="25" t="s">
        <v>16</v>
      </c>
      <c r="D22" s="25" t="s">
        <v>56</v>
      </c>
      <c r="E22" s="25" t="s">
        <v>17</v>
      </c>
      <c r="F22" s="26">
        <v>2</v>
      </c>
      <c r="G22" s="27">
        <v>1.1020000000000001</v>
      </c>
      <c r="H22" s="27">
        <v>8846</v>
      </c>
      <c r="I22" s="28">
        <v>17294</v>
      </c>
      <c r="J22" s="28">
        <f t="shared" si="0"/>
        <v>8647</v>
      </c>
      <c r="K22" s="28">
        <v>700</v>
      </c>
      <c r="L22" s="28">
        <f t="shared" si="1"/>
        <v>350</v>
      </c>
      <c r="M22" s="29">
        <f>Table1[[#This Row],[IOUExAnteQuantity]]</f>
        <v>2</v>
      </c>
      <c r="N22" s="30">
        <f>Table1[[#This Row],[IOUGrMeaCost]]</f>
        <v>17294</v>
      </c>
      <c r="O22" s="30">
        <f>Table1[[#This Row],[MeaCost_Unit]]</f>
        <v>8647</v>
      </c>
      <c r="Q22" s="61">
        <v>3</v>
      </c>
      <c r="R22" s="59" t="s">
        <v>129</v>
      </c>
      <c r="S22" s="59"/>
      <c r="T22" s="59"/>
      <c r="U22" s="59"/>
      <c r="V22" s="59"/>
      <c r="W22" s="59"/>
      <c r="X22" s="59"/>
      <c r="Y22" s="59"/>
      <c r="Z22" s="59"/>
      <c r="AA22" s="59"/>
    </row>
    <row r="23" spans="1:27" x14ac:dyDescent="0.25">
      <c r="A23" s="24" t="s">
        <v>65</v>
      </c>
      <c r="B23" s="25" t="s">
        <v>82</v>
      </c>
      <c r="C23" s="25" t="s">
        <v>16</v>
      </c>
      <c r="D23" s="25" t="s">
        <v>56</v>
      </c>
      <c r="E23" s="25" t="s">
        <v>17</v>
      </c>
      <c r="F23" s="26">
        <v>2</v>
      </c>
      <c r="G23" s="27">
        <v>1.1020000000000001</v>
      </c>
      <c r="H23" s="27">
        <v>8846</v>
      </c>
      <c r="I23" s="28">
        <v>17174</v>
      </c>
      <c r="J23" s="28">
        <f t="shared" si="0"/>
        <v>8587</v>
      </c>
      <c r="K23" s="28">
        <v>700</v>
      </c>
      <c r="L23" s="28">
        <f t="shared" si="1"/>
        <v>350</v>
      </c>
      <c r="M23" s="29">
        <f>Table1[[#This Row],[IOUExAnteQuantity]]</f>
        <v>2</v>
      </c>
      <c r="N23" s="30">
        <f>Table1[[#This Row],[IOUGrMeaCost]]</f>
        <v>17174</v>
      </c>
      <c r="O23" s="30">
        <f>Table1[[#This Row],[MeaCost_Unit]]</f>
        <v>8587</v>
      </c>
    </row>
    <row r="24" spans="1:27" x14ac:dyDescent="0.25">
      <c r="A24" s="24" t="s">
        <v>65</v>
      </c>
      <c r="B24" s="25" t="s">
        <v>83</v>
      </c>
      <c r="C24" s="25" t="s">
        <v>16</v>
      </c>
      <c r="D24" s="25" t="s">
        <v>56</v>
      </c>
      <c r="E24" s="25" t="s">
        <v>17</v>
      </c>
      <c r="F24" s="26">
        <v>4</v>
      </c>
      <c r="G24" s="27">
        <v>2.2040000000000002</v>
      </c>
      <c r="H24" s="27">
        <v>17692</v>
      </c>
      <c r="I24" s="28">
        <v>3500</v>
      </c>
      <c r="J24" s="28">
        <f t="shared" si="0"/>
        <v>875</v>
      </c>
      <c r="K24" s="28">
        <v>1400</v>
      </c>
      <c r="L24" s="28">
        <f t="shared" si="1"/>
        <v>350</v>
      </c>
      <c r="M24" s="29">
        <f>Table1[[#This Row],[IOUExAnteQuantity]]</f>
        <v>4</v>
      </c>
      <c r="N24" s="30">
        <f>Table1[[#This Row],[IOUGrMeaCost]]</f>
        <v>3500</v>
      </c>
      <c r="O24" s="30">
        <f>Table1[[#This Row],[MeaCost_Unit]]</f>
        <v>875</v>
      </c>
    </row>
    <row r="25" spans="1:27" x14ac:dyDescent="0.25">
      <c r="A25" s="24" t="s">
        <v>84</v>
      </c>
      <c r="B25" s="25" t="s">
        <v>85</v>
      </c>
      <c r="C25" s="25" t="s">
        <v>16</v>
      </c>
      <c r="D25" s="25" t="s">
        <v>56</v>
      </c>
      <c r="E25" s="25" t="s">
        <v>17</v>
      </c>
      <c r="F25" s="26">
        <v>3</v>
      </c>
      <c r="G25" s="27">
        <v>1.653</v>
      </c>
      <c r="H25" s="27">
        <v>13269</v>
      </c>
      <c r="I25" s="28">
        <v>14551.74</v>
      </c>
      <c r="J25" s="28">
        <f t="shared" si="0"/>
        <v>4850.58</v>
      </c>
      <c r="K25" s="28">
        <v>1050</v>
      </c>
      <c r="L25" s="28">
        <f t="shared" si="1"/>
        <v>350</v>
      </c>
      <c r="M25" s="29">
        <f>Table1[[#This Row],[IOUExAnteQuantity]]</f>
        <v>3</v>
      </c>
      <c r="N25" s="30">
        <f>Table1[[#This Row],[IOUGrMeaCost]]</f>
        <v>14551.74</v>
      </c>
      <c r="O25" s="30">
        <f>Table1[[#This Row],[MeaCost_Unit]]</f>
        <v>4850.58</v>
      </c>
    </row>
    <row r="26" spans="1:27" x14ac:dyDescent="0.25">
      <c r="A26" s="33" t="s">
        <v>84</v>
      </c>
      <c r="B26" s="34" t="s">
        <v>86</v>
      </c>
      <c r="C26" s="34" t="s">
        <v>16</v>
      </c>
      <c r="D26" s="34" t="s">
        <v>56</v>
      </c>
      <c r="E26" s="34" t="s">
        <v>17</v>
      </c>
      <c r="F26" s="35">
        <v>18</v>
      </c>
      <c r="G26" s="36">
        <v>9.9179999999999993</v>
      </c>
      <c r="H26" s="36">
        <v>79614</v>
      </c>
      <c r="I26" s="37">
        <v>58628.571428571435</v>
      </c>
      <c r="J26" s="37">
        <f t="shared" si="0"/>
        <v>3257.1428571428573</v>
      </c>
      <c r="K26" s="37">
        <v>11700</v>
      </c>
      <c r="L26" s="37">
        <f t="shared" si="1"/>
        <v>650</v>
      </c>
      <c r="M26" s="31"/>
      <c r="N26" s="32"/>
      <c r="O26" s="32"/>
    </row>
    <row r="27" spans="1:27" x14ac:dyDescent="0.25">
      <c r="A27" s="24" t="s">
        <v>84</v>
      </c>
      <c r="B27" s="25" t="s">
        <v>87</v>
      </c>
      <c r="C27" s="25" t="s">
        <v>16</v>
      </c>
      <c r="D27" s="25" t="s">
        <v>56</v>
      </c>
      <c r="E27" s="25" t="s">
        <v>17</v>
      </c>
      <c r="F27" s="26">
        <v>3</v>
      </c>
      <c r="G27" s="27">
        <v>1.653</v>
      </c>
      <c r="H27" s="27">
        <v>13269</v>
      </c>
      <c r="I27" s="28">
        <v>2683.5428571428574</v>
      </c>
      <c r="J27" s="28">
        <f t="shared" si="0"/>
        <v>894.51428571428585</v>
      </c>
      <c r="K27" s="28">
        <v>1950</v>
      </c>
      <c r="L27" s="28">
        <f t="shared" si="1"/>
        <v>650</v>
      </c>
      <c r="M27" s="29">
        <f>Table1[[#This Row],[IOUExAnteQuantity]]</f>
        <v>3</v>
      </c>
      <c r="N27" s="30">
        <f>Table1[[#This Row],[IOUGrMeaCost]]</f>
        <v>2683.5428571428574</v>
      </c>
      <c r="O27" s="30">
        <f>Table1[[#This Row],[MeaCost_Unit]]</f>
        <v>894.51428571428585</v>
      </c>
    </row>
    <row r="28" spans="1:27" x14ac:dyDescent="0.25">
      <c r="A28" s="24" t="s">
        <v>84</v>
      </c>
      <c r="B28" s="25" t="s">
        <v>88</v>
      </c>
      <c r="C28" s="25" t="s">
        <v>16</v>
      </c>
      <c r="D28" s="25" t="s">
        <v>56</v>
      </c>
      <c r="E28" s="25" t="s">
        <v>17</v>
      </c>
      <c r="F28" s="26">
        <v>13</v>
      </c>
      <c r="G28" s="27">
        <v>7.1630000000000003</v>
      </c>
      <c r="H28" s="27">
        <v>57499</v>
      </c>
      <c r="I28" s="28">
        <v>21584.5</v>
      </c>
      <c r="J28" s="28">
        <f t="shared" si="0"/>
        <v>1660.3461538461538</v>
      </c>
      <c r="K28" s="28">
        <v>4550</v>
      </c>
      <c r="L28" s="28">
        <f t="shared" si="1"/>
        <v>350</v>
      </c>
      <c r="M28" s="29">
        <f>Table1[[#This Row],[IOUExAnteQuantity]]</f>
        <v>13</v>
      </c>
      <c r="N28" s="30">
        <f>Table1[[#This Row],[IOUGrMeaCost]]</f>
        <v>21584.5</v>
      </c>
      <c r="O28" s="30">
        <f>Table1[[#This Row],[MeaCost_Unit]]</f>
        <v>1660.3461538461538</v>
      </c>
    </row>
    <row r="29" spans="1:27" x14ac:dyDescent="0.25">
      <c r="A29" s="24" t="s">
        <v>84</v>
      </c>
      <c r="B29" s="25" t="s">
        <v>89</v>
      </c>
      <c r="C29" s="25" t="s">
        <v>16</v>
      </c>
      <c r="D29" s="25" t="s">
        <v>56</v>
      </c>
      <c r="E29" s="25" t="s">
        <v>17</v>
      </c>
      <c r="F29" s="26">
        <v>2</v>
      </c>
      <c r="G29" s="27">
        <v>1.1020000000000001</v>
      </c>
      <c r="H29" s="27">
        <v>8846</v>
      </c>
      <c r="I29" s="28">
        <v>6857.1428571428578</v>
      </c>
      <c r="J29" s="28">
        <f t="shared" si="0"/>
        <v>3428.5714285714289</v>
      </c>
      <c r="K29" s="28">
        <v>200</v>
      </c>
      <c r="L29" s="28">
        <f t="shared" si="1"/>
        <v>100</v>
      </c>
      <c r="M29" s="29">
        <f>Table1[[#This Row],[IOUExAnteQuantity]]</f>
        <v>2</v>
      </c>
      <c r="N29" s="30">
        <f>Table1[[#This Row],[IOUGrMeaCost]]</f>
        <v>6857.1428571428578</v>
      </c>
      <c r="O29" s="30">
        <f>Table1[[#This Row],[MeaCost_Unit]]</f>
        <v>3428.5714285714289</v>
      </c>
    </row>
    <row r="30" spans="1:27" x14ac:dyDescent="0.25">
      <c r="A30" s="33" t="s">
        <v>84</v>
      </c>
      <c r="B30" s="34" t="s">
        <v>90</v>
      </c>
      <c r="C30" s="34" t="s">
        <v>16</v>
      </c>
      <c r="D30" s="34" t="s">
        <v>56</v>
      </c>
      <c r="E30" s="34" t="s">
        <v>17</v>
      </c>
      <c r="F30" s="35">
        <v>26</v>
      </c>
      <c r="G30" s="36">
        <v>14.326000000000001</v>
      </c>
      <c r="H30" s="36">
        <v>114998</v>
      </c>
      <c r="I30" s="37">
        <v>173702</v>
      </c>
      <c r="J30" s="37">
        <f t="shared" si="0"/>
        <v>6680.8461538461543</v>
      </c>
      <c r="K30" s="37">
        <v>18200</v>
      </c>
      <c r="L30" s="37">
        <f t="shared" si="1"/>
        <v>700</v>
      </c>
      <c r="M30" s="31"/>
      <c r="N30" s="32"/>
      <c r="O30" s="32"/>
    </row>
    <row r="31" spans="1:27" x14ac:dyDescent="0.25">
      <c r="A31" s="24" t="s">
        <v>84</v>
      </c>
      <c r="B31" s="25" t="s">
        <v>91</v>
      </c>
      <c r="C31" s="25" t="s">
        <v>16</v>
      </c>
      <c r="D31" s="25" t="s">
        <v>56</v>
      </c>
      <c r="E31" s="25" t="s">
        <v>17</v>
      </c>
      <c r="F31" s="26">
        <v>2</v>
      </c>
      <c r="G31" s="27">
        <v>1.1020000000000001</v>
      </c>
      <c r="H31" s="27">
        <v>8846</v>
      </c>
      <c r="I31" s="28">
        <v>7000</v>
      </c>
      <c r="J31" s="28">
        <f t="shared" si="0"/>
        <v>3500</v>
      </c>
      <c r="K31" s="28">
        <v>700</v>
      </c>
      <c r="L31" s="28">
        <f t="shared" si="1"/>
        <v>350</v>
      </c>
      <c r="M31" s="29">
        <f>Table1[[#This Row],[IOUExAnteQuantity]]</f>
        <v>2</v>
      </c>
      <c r="N31" s="30">
        <f>Table1[[#This Row],[IOUGrMeaCost]]</f>
        <v>7000</v>
      </c>
      <c r="O31" s="30">
        <f>Table1[[#This Row],[MeaCost_Unit]]</f>
        <v>3500</v>
      </c>
    </row>
    <row r="32" spans="1:27" x14ac:dyDescent="0.25">
      <c r="A32" s="24" t="s">
        <v>84</v>
      </c>
      <c r="B32" s="25" t="s">
        <v>92</v>
      </c>
      <c r="C32" s="25" t="s">
        <v>16</v>
      </c>
      <c r="D32" s="25" t="s">
        <v>56</v>
      </c>
      <c r="E32" s="25" t="s">
        <v>17</v>
      </c>
      <c r="F32" s="26">
        <v>2</v>
      </c>
      <c r="G32" s="27">
        <v>1.1020000000000001</v>
      </c>
      <c r="H32" s="27">
        <v>8846</v>
      </c>
      <c r="I32" s="28">
        <v>7000</v>
      </c>
      <c r="J32" s="28">
        <f t="shared" si="0"/>
        <v>3500</v>
      </c>
      <c r="K32" s="28">
        <v>700</v>
      </c>
      <c r="L32" s="28">
        <f t="shared" si="1"/>
        <v>350</v>
      </c>
      <c r="M32" s="29">
        <f>Table1[[#This Row],[IOUExAnteQuantity]]</f>
        <v>2</v>
      </c>
      <c r="N32" s="30">
        <f>Table1[[#This Row],[IOUGrMeaCost]]</f>
        <v>7000</v>
      </c>
      <c r="O32" s="30">
        <f>Table1[[#This Row],[MeaCost_Unit]]</f>
        <v>3500</v>
      </c>
    </row>
    <row r="33" spans="1:15" x14ac:dyDescent="0.25">
      <c r="A33" s="33" t="s">
        <v>84</v>
      </c>
      <c r="B33" s="34" t="s">
        <v>93</v>
      </c>
      <c r="C33" s="34" t="s">
        <v>16</v>
      </c>
      <c r="D33" s="34" t="s">
        <v>56</v>
      </c>
      <c r="E33" s="34" t="s">
        <v>17</v>
      </c>
      <c r="F33" s="35">
        <v>8</v>
      </c>
      <c r="G33" s="36">
        <v>4.4080000000000004</v>
      </c>
      <c r="H33" s="36">
        <v>35384</v>
      </c>
      <c r="I33" s="37">
        <v>58900</v>
      </c>
      <c r="J33" s="37">
        <f t="shared" si="0"/>
        <v>7362.5</v>
      </c>
      <c r="K33" s="37">
        <v>5600</v>
      </c>
      <c r="L33" s="37">
        <f t="shared" si="1"/>
        <v>700</v>
      </c>
      <c r="M33" s="31"/>
      <c r="N33" s="32"/>
      <c r="O33" s="32"/>
    </row>
    <row r="34" spans="1:15" x14ac:dyDescent="0.25">
      <c r="A34" s="33" t="s">
        <v>84</v>
      </c>
      <c r="B34" s="34" t="s">
        <v>94</v>
      </c>
      <c r="C34" s="34" t="s">
        <v>16</v>
      </c>
      <c r="D34" s="34" t="s">
        <v>56</v>
      </c>
      <c r="E34" s="34" t="s">
        <v>17</v>
      </c>
      <c r="F34" s="35">
        <v>1</v>
      </c>
      <c r="G34" s="36">
        <v>0.55100000000000005</v>
      </c>
      <c r="H34" s="36">
        <v>4423</v>
      </c>
      <c r="I34" s="37">
        <v>11421.428571428572</v>
      </c>
      <c r="J34" s="37">
        <f t="shared" si="0"/>
        <v>11421.428571428572</v>
      </c>
      <c r="K34" s="37">
        <v>650</v>
      </c>
      <c r="L34" s="37">
        <f t="shared" si="1"/>
        <v>650</v>
      </c>
      <c r="M34" s="31"/>
      <c r="N34" s="32"/>
      <c r="O34" s="32"/>
    </row>
    <row r="35" spans="1:15" x14ac:dyDescent="0.25">
      <c r="A35" s="24" t="s">
        <v>95</v>
      </c>
      <c r="B35" s="25" t="s">
        <v>96</v>
      </c>
      <c r="C35" s="25" t="s">
        <v>16</v>
      </c>
      <c r="D35" s="25" t="s">
        <v>56</v>
      </c>
      <c r="E35" s="25" t="s">
        <v>17</v>
      </c>
      <c r="F35" s="26">
        <v>1</v>
      </c>
      <c r="G35" s="27">
        <v>0.55100000000000005</v>
      </c>
      <c r="H35" s="27">
        <v>4423</v>
      </c>
      <c r="I35" s="28">
        <v>5157</v>
      </c>
      <c r="J35" s="28">
        <f t="shared" si="0"/>
        <v>5157</v>
      </c>
      <c r="K35" s="28">
        <v>700</v>
      </c>
      <c r="L35" s="28">
        <f t="shared" si="1"/>
        <v>700</v>
      </c>
      <c r="M35" s="29">
        <f>Table1[[#This Row],[IOUExAnteQuantity]]</f>
        <v>1</v>
      </c>
      <c r="N35" s="30">
        <f>Table1[[#This Row],[IOUGrMeaCost]]</f>
        <v>5157</v>
      </c>
      <c r="O35" s="30">
        <f>Table1[[#This Row],[MeaCost_Unit]]</f>
        <v>5157</v>
      </c>
    </row>
    <row r="36" spans="1:15" x14ac:dyDescent="0.25">
      <c r="A36" s="24" t="s">
        <v>95</v>
      </c>
      <c r="B36" s="25" t="s">
        <v>97</v>
      </c>
      <c r="C36" s="25" t="s">
        <v>16</v>
      </c>
      <c r="D36" s="25" t="s">
        <v>56</v>
      </c>
      <c r="E36" s="25" t="s">
        <v>17</v>
      </c>
      <c r="F36" s="26">
        <v>10</v>
      </c>
      <c r="G36" s="27">
        <v>5.5100000000000007</v>
      </c>
      <c r="H36" s="27">
        <v>44230</v>
      </c>
      <c r="I36" s="28">
        <v>18532.599999999999</v>
      </c>
      <c r="J36" s="28">
        <f t="shared" si="0"/>
        <v>1853.2599999999998</v>
      </c>
      <c r="K36" s="28">
        <v>7000</v>
      </c>
      <c r="L36" s="28">
        <f t="shared" si="1"/>
        <v>700</v>
      </c>
      <c r="M36" s="29">
        <f>Table1[[#This Row],[IOUExAnteQuantity]]</f>
        <v>10</v>
      </c>
      <c r="N36" s="30">
        <f>Table1[[#This Row],[IOUGrMeaCost]]</f>
        <v>18532.599999999999</v>
      </c>
      <c r="O36" s="30">
        <f>Table1[[#This Row],[MeaCost_Unit]]</f>
        <v>1853.2599999999998</v>
      </c>
    </row>
    <row r="37" spans="1:15" x14ac:dyDescent="0.25">
      <c r="A37" s="24" t="s">
        <v>95</v>
      </c>
      <c r="B37" s="25" t="s">
        <v>98</v>
      </c>
      <c r="C37" s="25" t="s">
        <v>16</v>
      </c>
      <c r="D37" s="25" t="s">
        <v>56</v>
      </c>
      <c r="E37" s="25" t="s">
        <v>17</v>
      </c>
      <c r="F37" s="26">
        <v>15</v>
      </c>
      <c r="G37" s="27">
        <v>8.2650000000000006</v>
      </c>
      <c r="H37" s="27">
        <v>66345</v>
      </c>
      <c r="I37" s="28">
        <v>18666.150000000001</v>
      </c>
      <c r="J37" s="28">
        <f t="shared" si="0"/>
        <v>1244.4100000000001</v>
      </c>
      <c r="K37" s="28">
        <v>10500</v>
      </c>
      <c r="L37" s="28">
        <f t="shared" si="1"/>
        <v>700</v>
      </c>
      <c r="M37" s="29">
        <f>Table1[[#This Row],[IOUExAnteQuantity]]</f>
        <v>15</v>
      </c>
      <c r="N37" s="30">
        <f>Table1[[#This Row],[IOUGrMeaCost]]</f>
        <v>18666.150000000001</v>
      </c>
      <c r="O37" s="30">
        <f>Table1[[#This Row],[MeaCost_Unit]]</f>
        <v>1244.4100000000001</v>
      </c>
    </row>
    <row r="38" spans="1:15" x14ac:dyDescent="0.25">
      <c r="A38" s="24" t="s">
        <v>95</v>
      </c>
      <c r="B38" s="25" t="s">
        <v>99</v>
      </c>
      <c r="C38" s="25" t="s">
        <v>16</v>
      </c>
      <c r="D38" s="25" t="s">
        <v>56</v>
      </c>
      <c r="E38" s="25" t="s">
        <v>17</v>
      </c>
      <c r="F38" s="26">
        <v>10</v>
      </c>
      <c r="G38" s="27">
        <v>5.5100000000000007</v>
      </c>
      <c r="H38" s="27">
        <v>44230</v>
      </c>
      <c r="I38" s="28">
        <v>18755.8</v>
      </c>
      <c r="J38" s="28">
        <f t="shared" si="0"/>
        <v>1875.58</v>
      </c>
      <c r="K38" s="28">
        <v>7000</v>
      </c>
      <c r="L38" s="28">
        <f t="shared" si="1"/>
        <v>700</v>
      </c>
      <c r="M38" s="29">
        <f>Table1[[#This Row],[IOUExAnteQuantity]]</f>
        <v>10</v>
      </c>
      <c r="N38" s="30">
        <f>Table1[[#This Row],[IOUGrMeaCost]]</f>
        <v>18755.8</v>
      </c>
      <c r="O38" s="30">
        <f>Table1[[#This Row],[MeaCost_Unit]]</f>
        <v>1875.58</v>
      </c>
    </row>
    <row r="39" spans="1:15" x14ac:dyDescent="0.25">
      <c r="A39" s="24" t="s">
        <v>95</v>
      </c>
      <c r="B39" s="25" t="s">
        <v>100</v>
      </c>
      <c r="C39" s="25" t="s">
        <v>16</v>
      </c>
      <c r="D39" s="25" t="s">
        <v>56</v>
      </c>
      <c r="E39" s="25" t="s">
        <v>17</v>
      </c>
      <c r="F39" s="26">
        <v>4</v>
      </c>
      <c r="G39" s="27">
        <v>2.2040000000000002</v>
      </c>
      <c r="H39" s="27">
        <v>17692</v>
      </c>
      <c r="I39" s="28">
        <v>5858.36</v>
      </c>
      <c r="J39" s="28">
        <f t="shared" si="0"/>
        <v>1464.59</v>
      </c>
      <c r="K39" s="28">
        <v>2800</v>
      </c>
      <c r="L39" s="28">
        <f t="shared" si="1"/>
        <v>700</v>
      </c>
      <c r="M39" s="29">
        <f>Table1[[#This Row],[IOUExAnteQuantity]]</f>
        <v>4</v>
      </c>
      <c r="N39" s="30">
        <f>Table1[[#This Row],[IOUGrMeaCost]]</f>
        <v>5858.36</v>
      </c>
      <c r="O39" s="30">
        <f>Table1[[#This Row],[MeaCost_Unit]]</f>
        <v>1464.59</v>
      </c>
    </row>
  </sheetData>
  <mergeCells count="3">
    <mergeCell ref="R20:AA20"/>
    <mergeCell ref="R21:AA21"/>
    <mergeCell ref="R22:AA22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Base Cost</vt:lpstr>
      <vt:lpstr>Measure Cost</vt:lpstr>
      <vt:lpstr>SCE Program 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Casco, Lake</dc:creator>
  <cp:lastModifiedBy>Casco, Lake</cp:lastModifiedBy>
  <dcterms:created xsi:type="dcterms:W3CDTF">2017-11-27T16:51:59Z</dcterms:created>
  <dcterms:modified xsi:type="dcterms:W3CDTF">2017-11-29T22:11:04Z</dcterms:modified>
</cp:coreProperties>
</file>