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Cache/pivotCacheDefinition1.xml" ContentType="application/vnd.openxmlformats-officedocument.spreadsheetml.pivotCacheDefinition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pivotCache/pivotCacheRecords1.xml" ContentType="application/vnd.openxmlformats-officedocument.spreadsheetml.pivotCacheRecord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7650" windowHeight="7575" activeTab="1"/>
  </bookViews>
  <sheets>
    <sheet name="Bins" sheetId="1" r:id="rId1"/>
    <sheet name="Summary" sheetId="5" r:id="rId2"/>
    <sheet name="Pivot Table" sheetId="4" r:id="rId3"/>
    <sheet name="Database" sheetId="2" r:id="rId4"/>
    <sheet name="2008 DEER" sheetId="6" r:id="rId5"/>
  </sheets>
  <definedNames>
    <definedName name="_xlnm.Print_Area" localSheetId="3">Table1[#All]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E67" i="6" l="1"/>
  <c r="D67" i="6"/>
  <c r="K108" i="2"/>
  <c r="G108" i="2"/>
  <c r="F108" i="2"/>
  <c r="K107" i="2"/>
  <c r="G107" i="2"/>
  <c r="F107" i="2"/>
  <c r="K106" i="2"/>
  <c r="G106" i="2"/>
  <c r="F106" i="2"/>
  <c r="K105" i="2"/>
  <c r="G105" i="2"/>
  <c r="F105" i="2"/>
  <c r="K104" i="2"/>
  <c r="G104" i="2"/>
  <c r="F104" i="2"/>
  <c r="K103" i="2"/>
  <c r="G103" i="2"/>
  <c r="F103" i="2"/>
  <c r="K102" i="2"/>
  <c r="G102" i="2"/>
  <c r="F102" i="2"/>
  <c r="K101" i="2"/>
  <c r="G101" i="2"/>
  <c r="F101" i="2"/>
  <c r="K100" i="2"/>
  <c r="G100" i="2"/>
  <c r="F100" i="2"/>
  <c r="K99" i="2"/>
  <c r="G99" i="2"/>
  <c r="F99" i="2"/>
  <c r="K98" i="2"/>
  <c r="G98" i="2"/>
  <c r="F98" i="2"/>
  <c r="K97" i="2"/>
  <c r="G97" i="2"/>
  <c r="F97" i="2"/>
  <c r="K96" i="2"/>
  <c r="G96" i="2"/>
  <c r="F96" i="2"/>
  <c r="K95" i="2"/>
  <c r="G95" i="2"/>
  <c r="F95" i="2"/>
  <c r="K94" i="2"/>
  <c r="G94" i="2"/>
  <c r="F94" i="2"/>
  <c r="K93" i="2"/>
  <c r="G93" i="2"/>
  <c r="F93" i="2"/>
  <c r="K92" i="2"/>
  <c r="G92" i="2"/>
  <c r="F92" i="2"/>
  <c r="K91" i="2"/>
  <c r="G91" i="2"/>
  <c r="F91" i="2"/>
  <c r="K90" i="2"/>
  <c r="G90" i="2"/>
  <c r="F90" i="2"/>
  <c r="K89" i="2"/>
  <c r="G89" i="2"/>
  <c r="F89" i="2"/>
  <c r="K88" i="2"/>
  <c r="G88" i="2"/>
  <c r="F88" i="2"/>
  <c r="K87" i="2"/>
  <c r="G87" i="2"/>
  <c r="F87" i="2"/>
  <c r="K86" i="2"/>
  <c r="G86" i="2"/>
  <c r="F86" i="2"/>
  <c r="K85" i="2"/>
  <c r="G85" i="2"/>
  <c r="F85" i="2"/>
  <c r="K84" i="2"/>
  <c r="G84" i="2"/>
  <c r="F84" i="2"/>
  <c r="K83" i="2"/>
  <c r="G83" i="2"/>
  <c r="F83" i="2"/>
  <c r="K82" i="2"/>
  <c r="G82" i="2"/>
  <c r="F82" i="2"/>
  <c r="K81" i="2"/>
  <c r="G81" i="2"/>
  <c r="F81" i="2"/>
  <c r="K80" i="2"/>
  <c r="G80" i="2"/>
  <c r="F80" i="2"/>
  <c r="K79" i="2"/>
  <c r="G79" i="2"/>
  <c r="F79" i="2"/>
  <c r="K78" i="2"/>
  <c r="G78" i="2"/>
  <c r="F78" i="2"/>
  <c r="G77" i="2"/>
  <c r="F77" i="2"/>
  <c r="G76" i="2"/>
  <c r="F76" i="2"/>
  <c r="K75" i="2"/>
  <c r="G75" i="2"/>
  <c r="F75" i="2"/>
  <c r="K74" i="2"/>
  <c r="G74" i="2"/>
  <c r="F74" i="2"/>
  <c r="K73" i="2"/>
  <c r="G73" i="2"/>
  <c r="F73" i="2"/>
  <c r="K72" i="2"/>
  <c r="G72" i="2"/>
  <c r="F72" i="2"/>
  <c r="K71" i="2"/>
  <c r="G71" i="2"/>
  <c r="F71" i="2"/>
  <c r="K70" i="2"/>
  <c r="G70" i="2"/>
  <c r="F70" i="2"/>
  <c r="K69" i="2"/>
  <c r="G69" i="2"/>
  <c r="F69" i="2"/>
  <c r="K68" i="2"/>
  <c r="G68" i="2"/>
  <c r="F68" i="2"/>
  <c r="K67" i="2"/>
  <c r="G67" i="2"/>
  <c r="F67" i="2"/>
  <c r="K66" i="2"/>
  <c r="G66" i="2"/>
  <c r="F66" i="2"/>
  <c r="K65" i="2"/>
  <c r="G65" i="2"/>
  <c r="F65" i="2"/>
  <c r="K64" i="2"/>
  <c r="G64" i="2"/>
  <c r="F64" i="2"/>
  <c r="K63" i="2"/>
  <c r="G63" i="2"/>
  <c r="F63" i="2"/>
  <c r="K62" i="2"/>
  <c r="G62" i="2"/>
  <c r="F62" i="2"/>
  <c r="K61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K52" i="2"/>
  <c r="G52" i="2"/>
  <c r="F52" i="2"/>
  <c r="K51" i="2"/>
  <c r="H51" i="2"/>
  <c r="G51" i="2"/>
  <c r="F51" i="2"/>
  <c r="K50" i="2"/>
  <c r="G50" i="2"/>
  <c r="F50" i="2"/>
  <c r="K49" i="2"/>
  <c r="H49" i="2"/>
  <c r="G49" i="2" s="1"/>
  <c r="F49" i="2"/>
  <c r="K48" i="2"/>
  <c r="H48" i="2"/>
  <c r="G48" i="2" s="1"/>
  <c r="F48" i="2"/>
  <c r="K47" i="2"/>
  <c r="G47" i="2"/>
  <c r="F47" i="2"/>
  <c r="K46" i="2"/>
  <c r="H46" i="2"/>
  <c r="G46" i="2"/>
  <c r="F46" i="2"/>
  <c r="K45" i="2"/>
  <c r="G45" i="2"/>
  <c r="F45" i="2"/>
  <c r="K44" i="2"/>
  <c r="G44" i="2"/>
  <c r="F44" i="2"/>
  <c r="K43" i="2"/>
  <c r="J43" i="2"/>
  <c r="G43" i="2"/>
  <c r="F43" i="2"/>
  <c r="K42" i="2"/>
  <c r="G42" i="2"/>
  <c r="F42" i="2"/>
  <c r="K41" i="2"/>
  <c r="G41" i="2"/>
  <c r="F41" i="2"/>
  <c r="K40" i="2"/>
  <c r="G40" i="2"/>
  <c r="F40" i="2"/>
  <c r="G39" i="2"/>
  <c r="F39" i="2"/>
  <c r="J38" i="2"/>
  <c r="K38" i="2" s="1"/>
  <c r="G38" i="2"/>
  <c r="F38" i="2"/>
  <c r="J37" i="2"/>
  <c r="K37" i="2" s="1"/>
  <c r="G37" i="2"/>
  <c r="F37" i="2"/>
  <c r="G36" i="2"/>
  <c r="F36" i="2"/>
  <c r="J35" i="2"/>
  <c r="K35" i="2" s="1"/>
  <c r="G35" i="2"/>
  <c r="F35" i="2"/>
  <c r="K34" i="2"/>
  <c r="G34" i="2"/>
  <c r="F34" i="2"/>
  <c r="K33" i="2"/>
  <c r="G33" i="2"/>
  <c r="F33" i="2"/>
  <c r="K32" i="2"/>
  <c r="G32" i="2"/>
  <c r="F32" i="2"/>
  <c r="K31" i="2"/>
  <c r="J31" i="2"/>
  <c r="G31" i="2"/>
  <c r="F31" i="2"/>
  <c r="K30" i="2"/>
  <c r="H30" i="2"/>
  <c r="G30" i="2"/>
  <c r="F30" i="2"/>
  <c r="K29" i="2"/>
  <c r="G29" i="2"/>
  <c r="F29" i="2"/>
  <c r="J28" i="2"/>
  <c r="K28" i="2" s="1"/>
  <c r="G28" i="2"/>
  <c r="F28" i="2"/>
  <c r="K27" i="2"/>
  <c r="G27" i="2"/>
  <c r="F27" i="2"/>
  <c r="K26" i="2"/>
  <c r="G26" i="2"/>
  <c r="F26" i="2"/>
  <c r="K25" i="2"/>
  <c r="G25" i="2"/>
  <c r="F25" i="2"/>
  <c r="K24" i="2"/>
  <c r="J24" i="2"/>
  <c r="G24" i="2"/>
  <c r="F24" i="2"/>
  <c r="K23" i="2"/>
  <c r="G23" i="2"/>
  <c r="F23" i="2"/>
  <c r="J22" i="2"/>
  <c r="K22" i="2" s="1"/>
  <c r="G22" i="2"/>
  <c r="F22" i="2"/>
  <c r="K21" i="2"/>
  <c r="G21" i="2"/>
  <c r="F21" i="2"/>
  <c r="K20" i="2"/>
  <c r="G20" i="2"/>
  <c r="F20" i="2"/>
  <c r="J19" i="2"/>
  <c r="K19" i="2" s="1"/>
  <c r="G19" i="2"/>
  <c r="F19" i="2"/>
  <c r="J18" i="2"/>
  <c r="K18" i="2" s="1"/>
  <c r="G18" i="2"/>
  <c r="F18" i="2"/>
  <c r="J17" i="2"/>
  <c r="K17" i="2" s="1"/>
  <c r="G17" i="2"/>
  <c r="F17" i="2"/>
  <c r="K16" i="2"/>
  <c r="G16" i="2"/>
  <c r="F16" i="2"/>
  <c r="K15" i="2"/>
  <c r="G15" i="2"/>
  <c r="F15" i="2"/>
  <c r="K14" i="2"/>
  <c r="G14" i="2"/>
  <c r="F14" i="2"/>
  <c r="K13" i="2"/>
  <c r="G13" i="2"/>
  <c r="F13" i="2"/>
  <c r="K12" i="2"/>
  <c r="G12" i="2"/>
  <c r="F12" i="2"/>
  <c r="K11" i="2"/>
  <c r="G11" i="2"/>
  <c r="F11" i="2"/>
  <c r="K10" i="2"/>
  <c r="G10" i="2"/>
  <c r="F10" i="2"/>
  <c r="K9" i="2"/>
  <c r="G9" i="2"/>
  <c r="F9" i="2"/>
  <c r="K8" i="2"/>
  <c r="G8" i="2"/>
  <c r="F8" i="2"/>
  <c r="K7" i="2"/>
  <c r="G7" i="2"/>
  <c r="F7" i="2"/>
  <c r="K6" i="2"/>
  <c r="G6" i="2"/>
  <c r="F6" i="2"/>
  <c r="K5" i="2"/>
  <c r="G5" i="2"/>
  <c r="F5" i="2"/>
  <c r="K4" i="2"/>
  <c r="G4" i="2"/>
  <c r="F4" i="2"/>
  <c r="K3" i="2"/>
  <c r="G3" i="2"/>
  <c r="F3" i="2"/>
  <c r="K2" i="2"/>
  <c r="G2" i="2"/>
  <c r="F2" i="2"/>
  <c r="B10" i="5"/>
  <c r="B11" i="5" s="1"/>
  <c r="B9" i="5"/>
  <c r="C9" i="5" s="1"/>
  <c r="D37" i="5"/>
  <c r="D35" i="5"/>
  <c r="E33" i="5"/>
  <c r="E31" i="5"/>
  <c r="D29" i="5"/>
  <c r="D27" i="5"/>
  <c r="D25" i="5"/>
  <c r="D38" i="5"/>
  <c r="C32" i="5"/>
  <c r="C26" i="5"/>
  <c r="C37" i="5"/>
  <c r="C35" i="5"/>
  <c r="D33" i="5"/>
  <c r="C31" i="5"/>
  <c r="C29" i="5"/>
  <c r="C27" i="5"/>
  <c r="C25" i="5"/>
  <c r="C28" i="5"/>
  <c r="D36" i="5"/>
  <c r="D34" i="5"/>
  <c r="C33" i="5"/>
  <c r="D30" i="5"/>
  <c r="D28" i="5"/>
  <c r="D26" i="5"/>
  <c r="C36" i="5"/>
  <c r="C34" i="5"/>
  <c r="C30" i="5"/>
  <c r="C13" i="5" l="1"/>
  <c r="C17" i="5" s="1"/>
  <c r="D13" i="5"/>
  <c r="D17" i="5" s="1"/>
  <c r="B13" i="5"/>
  <c r="B17" i="5" s="1"/>
  <c r="B14" i="5"/>
  <c r="D14" i="5"/>
  <c r="C14" i="5"/>
  <c r="B15" i="5" l="1"/>
  <c r="B18" i="5"/>
  <c r="B19" i="5" s="1"/>
  <c r="C15" i="5"/>
  <c r="C18" i="5"/>
  <c r="C19" i="5" s="1"/>
  <c r="D18" i="5"/>
  <c r="D19" i="5" s="1"/>
  <c r="D15" i="5"/>
</calcChain>
</file>

<file path=xl/sharedStrings.xml><?xml version="1.0" encoding="utf-8"?>
<sst xmlns="http://schemas.openxmlformats.org/spreadsheetml/2006/main" count="854" uniqueCount="205">
  <si>
    <t>Rated Input</t>
  </si>
  <si>
    <t>Base</t>
  </si>
  <si>
    <t>Units</t>
  </si>
  <si>
    <t>Measure</t>
  </si>
  <si>
    <t>AFUE</t>
  </si>
  <si>
    <t>Combustion Efficiency</t>
  </si>
  <si>
    <t>&gt;= 90%</t>
  </si>
  <si>
    <t>&gt;= 83%</t>
  </si>
  <si>
    <t>http://ingramswaterandair.com</t>
  </si>
  <si>
    <t>Fuel Input, kBtu/hr</t>
  </si>
  <si>
    <t>Efficiency</t>
  </si>
  <si>
    <t>Type</t>
  </si>
  <si>
    <t>Price</t>
  </si>
  <si>
    <t>Source</t>
  </si>
  <si>
    <t>Cost/kBtu</t>
  </si>
  <si>
    <t>Baseline</t>
  </si>
  <si>
    <t>Hot Water</t>
  </si>
  <si>
    <t>Steam</t>
  </si>
  <si>
    <t>http://ecomfort.com/</t>
  </si>
  <si>
    <t>Includes circulator not included on Munchkin</t>
  </si>
  <si>
    <t>modulating</t>
  </si>
  <si>
    <t>Comments</t>
  </si>
  <si>
    <t>Ignition</t>
  </si>
  <si>
    <t>Pilot</t>
  </si>
  <si>
    <t>Electronic</t>
  </si>
  <si>
    <t>http://www.pexsupply.com/Lochinvar-KBN701-660100-BTU-Knight-XL-High-Efficiency-Boiler</t>
  </si>
  <si>
    <t>Hot water storage</t>
  </si>
  <si>
    <t>http://www.buyplumbing.net/</t>
  </si>
  <si>
    <t>http://buyplumbing.net</t>
  </si>
  <si>
    <t>Tankless, compact for space heating</t>
  </si>
  <si>
    <t>http://www.alpinehomeair.com/</t>
  </si>
  <si>
    <t>Category</t>
  </si>
  <si>
    <t>Average of Cost/kBtu</t>
  </si>
  <si>
    <t>Grand Total</t>
  </si>
  <si>
    <t>Small Steam</t>
  </si>
  <si>
    <t>Medium Steam</t>
  </si>
  <si>
    <t>Large Steam</t>
  </si>
  <si>
    <t>Small Hot Water</t>
  </si>
  <si>
    <t>Medium Hot Water</t>
  </si>
  <si>
    <t>Large Hot Water</t>
  </si>
  <si>
    <t>Data</t>
  </si>
  <si>
    <t>Count of Model</t>
  </si>
  <si>
    <t>Total Average of Cost/kBtu</t>
  </si>
  <si>
    <t>Total Count of Model</t>
  </si>
  <si>
    <t>Efficiency Class</t>
  </si>
  <si>
    <t>Gross and Incremental Measure Cost by Equipment Type</t>
  </si>
  <si>
    <t>Equipment Type</t>
  </si>
  <si>
    <t>Rated Input (Mbtuh)</t>
  </si>
  <si>
    <t>2008 DEER Cost Data</t>
  </si>
  <si>
    <t>Cost Case Reporting Table</t>
  </si>
  <si>
    <t>Incremental Cost Reporting Table</t>
  </si>
  <si>
    <t>Cost Case Description</t>
  </si>
  <si>
    <t>Cost Case ID</t>
  </si>
  <si>
    <t>Program Delivery Strategies</t>
  </si>
  <si>
    <t>Material Cost</t>
  </si>
  <si>
    <t xml:space="preserve"> Installation Man Hours - Retrofit</t>
  </si>
  <si>
    <t xml:space="preserve"> Installation Labor Cost - Retrofit</t>
  </si>
  <si>
    <t xml:space="preserve"> Installation Man Hours - New</t>
  </si>
  <si>
    <t xml:space="preserve"> Installation Labor Cost - New</t>
  </si>
  <si>
    <t>Climate Labor Multiplier Reference</t>
  </si>
  <si>
    <t>Labor Base Wage Rate Reference</t>
  </si>
  <si>
    <t>Normalizing Unit</t>
  </si>
  <si>
    <t>Measure Material Cost Case ID</t>
  </si>
  <si>
    <t>Measure Material Cost</t>
  </si>
  <si>
    <t>Base Case -Code/Standard Cost Case ID</t>
  </si>
  <si>
    <t>Base Case -Code/Standard Material Cost</t>
  </si>
  <si>
    <t>Base Case -Code/Standard Incremetnal Material Cost</t>
  </si>
  <si>
    <t>Base Case -Market Average Cost Case ID</t>
  </si>
  <si>
    <t>Base Case -Market Average Material Cost</t>
  </si>
  <si>
    <t>Base Case -Market Average Incremetnal Material Cost</t>
  </si>
  <si>
    <t>Base Case -Customer Average Cost Case ID</t>
  </si>
  <si>
    <t>Base Case -Customer Average Material Cost</t>
  </si>
  <si>
    <t>Base Case -Customer Average Incremental Material Cost</t>
  </si>
  <si>
    <t>Hot water boiler (300-2500 kBtuh, 85% thermal efficiency, atmospheric)</t>
  </si>
  <si>
    <t>D08-NG-HVAC-Blr-HW-300to2500kBtuh-85p0ET-Atm</t>
  </si>
  <si>
    <t>Downstream Prescriptive Rebates/Incentives</t>
  </si>
  <si>
    <t>TBD</t>
  </si>
  <si>
    <t>NR-HVAC-B</t>
  </si>
  <si>
    <t>kBtuh</t>
  </si>
  <si>
    <t>Blr-HW-300to2500kBtuh-75p0ET-Atm</t>
  </si>
  <si>
    <t>[none specified]</t>
  </si>
  <si>
    <t>n/a</t>
  </si>
  <si>
    <t>Hot water boiler (&gt; 2500 kBtuh, 85% combustion efficiency, atmospheric)</t>
  </si>
  <si>
    <t>D08-NG-HVAC-Blr-HW-gt2500kBtuh-85p0EC-Atm</t>
  </si>
  <si>
    <t>Blr-HW-gt2500kBtuh-75p0EC-Atm</t>
  </si>
  <si>
    <t>Hot water boiler (&lt; 300 kBtuh, 84.5 AFUE, atmospheric)</t>
  </si>
  <si>
    <t>D08-NG-HVAC-Blr-HW-lt300kBtuh-84p5AFUE-Atm</t>
  </si>
  <si>
    <t>Blr-HW-lt300kBtuh-80p0AFUE-Atm</t>
  </si>
  <si>
    <t>Steam boiler (300-2500 kBtuh, 85% thermal efficiency, atmospheric)</t>
  </si>
  <si>
    <t>D08-NG-HVAC-Blr-Stm-300to2500kBtuh-85p0ET-Atm</t>
  </si>
  <si>
    <t>Blr-Stm-300to2500kBtuh-58p0ET-Atm</t>
  </si>
  <si>
    <t>Steam boiler (&gt; 2500 kBtuh, 85% combustion efficiency, atmospheric)</t>
  </si>
  <si>
    <t>D08-NG-HVAC-Blr-Stm-gt2500kBtuh-80p0EC-Atm</t>
  </si>
  <si>
    <t>D08-NG-HVAC-Blr-HW-300to2500kBtuh-85p0ET-Drft</t>
  </si>
  <si>
    <t>Blr-HW-300to2500kBtuh-75p0ET-Drft</t>
  </si>
  <si>
    <t>Steam boiler (&lt; 300 kBtuh, 82 AFUE, atmospheric)</t>
  </si>
  <si>
    <t>D08-NG-HVAC-Blr-Stm-lt300kBtuh-82p0AFUE-Atm</t>
  </si>
  <si>
    <t>D08-NG-HVAC-Blr-HW-gt2500kBtuh-85p0EC-Drft</t>
  </si>
  <si>
    <t>Blr-HW-gt2500kBtuh-75p0EC-Drft</t>
  </si>
  <si>
    <t>Customer Average - Hot water boiler (300-2500 kBtuh, thermal efficiency based on vintage, atmospheric)</t>
  </si>
  <si>
    <t>D08-NG-HVAC-Blr-HW-lt300kBtuh-84p5EC-Drft</t>
  </si>
  <si>
    <t>Customer Average - Hot water boiler (&gt; 2500 kBtuh, combustion efficiency based on vintage, atmospheric)</t>
  </si>
  <si>
    <t>D08-NG-PrcHt-Blr-HW-300to2500kBtuh-85p0ET-Atm</t>
  </si>
  <si>
    <t>Customer Average - Hot water boiler (&lt; 300 kBtuh, AFUE based on vintage, atmospheric)</t>
  </si>
  <si>
    <t>D08-NG-PrcHt-Blr-HW-gt2500kBtuh-85p0EC-Atm</t>
  </si>
  <si>
    <t>Customer Average - Steam boiler (300-2500 kBtuh, thermal efficiency based on vintage, atmospheric)</t>
  </si>
  <si>
    <t>D08-NG-PrcHt-Blr-HW-lt300kBtuh-84p5AFUE-Atm</t>
  </si>
  <si>
    <t>Customer Average - Steam boiler (&gt; 2500 kBtuh, combustion efficiency based on vintage, atmospheric)</t>
  </si>
  <si>
    <t>Customer Average - Steam boiler (&lt; 300 kBtuh, AFUE based on vintage, atmospheric)</t>
  </si>
  <si>
    <t>Hot water boiler (300-2500 kBtuh, 85% thermal efficiency, forced draft)</t>
  </si>
  <si>
    <t>Hot water boiler (&gt; 2500 kBtuh, 85% combustion efficiency, forced draft)</t>
  </si>
  <si>
    <t>Hot water boiler (&lt; 300 kBtuh, 84.5 AFUE, forced draft)</t>
  </si>
  <si>
    <t>Steam boiler (300-2500 kBtuh, 85% thermal efficiency, forced draft)</t>
  </si>
  <si>
    <t>D08-NG-HVAC-Blr-Stm-300to2500kBtuh-85p0ET-Drft</t>
  </si>
  <si>
    <t>Steam boiler (&gt; 2500 kBtuh, 85% combustion efficiency, forced draft)</t>
  </si>
  <si>
    <t>D08-NG-HVAC-Blr-Stm-gt2500kBtuh-80p0EC-Drft</t>
  </si>
  <si>
    <t>Steam boiler (&lt; 300 kBtuh, 82 AFUE, forced draft)</t>
  </si>
  <si>
    <t>D08-NG-HVAC-Blr-Stm-lt300kBtuh-82p0AFUE-Drft</t>
  </si>
  <si>
    <t>Code Standard - Hot water boiler (300-2500 kBtuh, thermal efficiency based on vintage, atmospheric)</t>
  </si>
  <si>
    <t>Code Standard - Hot water boiler (&gt; 2500 kBtuh, combustion efficiency based on vintage, atmospheric)</t>
  </si>
  <si>
    <t>Code Standard - Hot water boiler (&lt; 300 kBtuh, AFUE based on vintage, atmospheric)</t>
  </si>
  <si>
    <t>Code Standard - Steam boiler (300-2500 kBtuh, thermal efficiency based on vintage, atmospheric)</t>
  </si>
  <si>
    <t>Code Standard - Steam boiler (&gt; 2500 kBtuh, combustion efficiency based on vintage, atmospheric)</t>
  </si>
  <si>
    <t>Code Standard - Steam boiler (&lt; 300 kBtuh, AFUE based on vintage, atmospheric)</t>
  </si>
  <si>
    <t>Hot water boiler (300-2500 kBtuh, %.0f% thermal efficiency, atmospheric)</t>
  </si>
  <si>
    <t>Hot water boiler (&gt; 2500 kBtuh, %.0f% combustion efficiency, atmospheric)</t>
  </si>
  <si>
    <t>Hot water boiler (&lt; 300 kBtuh, %.1f% AFUE, atmospheric)</t>
  </si>
  <si>
    <t>Steam boiler (300-2500 kBtuh, %.0f% thermal efficiency, atmospheric)</t>
  </si>
  <si>
    <t>D08-NG-PrcHt-Blr-Stm-300to2500kBtuh-85p0ET-Atm</t>
  </si>
  <si>
    <t>Steam boiler (&gt; 2500 kBtuh, %.0f% combustion efficiency, atmospheric)</t>
  </si>
  <si>
    <t>D08-NG-PrcHt-Blr-Stm-gt2500kBtuh-80p0EC-Atm</t>
  </si>
  <si>
    <t>Steam boiler (&lt; 300 kBtuh, %.0f AFUE, atmospheric)</t>
  </si>
  <si>
    <t>D08-NG-PrcHt-Blr-Stm-lt300kBtuh-82p0AFUE-Atm</t>
  </si>
  <si>
    <t>Code Standard - Hot water boiler (300-2500 kBtuh, 75% thermal efficiency, atmospheric)</t>
  </si>
  <si>
    <t>Code Standard - Hot water boiler (&gt; 2500 kBtuh, 80% combustion efficiency, atmospheric)</t>
  </si>
  <si>
    <t>Code Standard - Hot water boiler (&lt;300 kBtuh, 80% AFUE, atmospheric)</t>
  </si>
  <si>
    <t>Code Standard - Steam boiler (300-2500 kBtuh, 75% thermal efficiency, atmospheric)</t>
  </si>
  <si>
    <t>Code Standard - Steam boiler (&gt; 2500 kBtuh, 80% combustion efficiency, atmospheric)</t>
  </si>
  <si>
    <t>Code Standard - Steam boiler (&lt;300 kBtuh, 75% AFUE, atmospheric)</t>
  </si>
  <si>
    <t>Labor Base Wage Rate Table</t>
  </si>
  <si>
    <t>Reference</t>
  </si>
  <si>
    <t>Sector</t>
  </si>
  <si>
    <t>Measure Category</t>
  </si>
  <si>
    <t>Measure Subcategory</t>
  </si>
  <si>
    <t>Base Labor Rate</t>
  </si>
  <si>
    <t>Non Res</t>
  </si>
  <si>
    <t>HVAC</t>
  </si>
  <si>
    <t>Boiler</t>
  </si>
  <si>
    <t>Climate Multiplier Table:</t>
  </si>
  <si>
    <t>Climate Zone</t>
  </si>
  <si>
    <t>Reference City</t>
  </si>
  <si>
    <t>Material</t>
  </si>
  <si>
    <t>Installation</t>
  </si>
  <si>
    <t>Eureka</t>
  </si>
  <si>
    <t>Santa Rosa</t>
  </si>
  <si>
    <t>San Francisco</t>
  </si>
  <si>
    <t>San Jose</t>
  </si>
  <si>
    <t>San Luis Obispo</t>
  </si>
  <si>
    <t>Santa Barbara</t>
  </si>
  <si>
    <t>San Diego</t>
  </si>
  <si>
    <t>Santa Ana</t>
  </si>
  <si>
    <t>Los Angeles</t>
  </si>
  <si>
    <t>Riverside</t>
  </si>
  <si>
    <t>Redding</t>
  </si>
  <si>
    <t>Sacramento</t>
  </si>
  <si>
    <t>Fresno</t>
  </si>
  <si>
    <t>Mojave</t>
  </si>
  <si>
    <t>Palm Springs</t>
  </si>
  <si>
    <t>Susanville</t>
  </si>
  <si>
    <t>Average</t>
  </si>
  <si>
    <t>Base Case</t>
  </si>
  <si>
    <t>Average Incremental Measure Cost</t>
  </si>
  <si>
    <t>Average Gross Measure Cost</t>
  </si>
  <si>
    <t>2012 Vendor Survey Data</t>
  </si>
  <si>
    <t>Process Heating Boiler Cost Data</t>
  </si>
  <si>
    <t>Hot Water Tier 1 (non-condensing)</t>
  </si>
  <si>
    <t>Hot Water Tier 2 (condensing)</t>
  </si>
  <si>
    <t>All</t>
  </si>
  <si>
    <t>Process Heating Boilers</t>
  </si>
  <si>
    <t>Recommendations for 2012 Workpaper</t>
  </si>
  <si>
    <t xml:space="preserve">Hot water Tier 2 includes direct contact water heaters replacing process hot water boilers </t>
  </si>
  <si>
    <t>Hot water, Tier 1</t>
  </si>
  <si>
    <t>Hot water, Tier 2</t>
  </si>
  <si>
    <t>SCG Rebates</t>
  </si>
  <si>
    <t>N/A</t>
  </si>
  <si>
    <t>&gt;= 85%</t>
  </si>
  <si>
    <t>Tier 1</t>
  </si>
  <si>
    <t>Tier 2</t>
  </si>
  <si>
    <t>Average of DEER and 2012 Vendor Survey Data</t>
  </si>
  <si>
    <t>http://www.buyplumbingonline.com/</t>
  </si>
  <si>
    <t>tonsofdeal.com</t>
  </si>
  <si>
    <t>Home Depot, Pico Rivera</t>
  </si>
  <si>
    <t>http://www.prowaterheatersupply.com/</t>
  </si>
  <si>
    <t>www.Pexsupply.com</t>
  </si>
  <si>
    <t>http://www.tanklessking.com/</t>
  </si>
  <si>
    <t>Lowes, Pico Rivera</t>
  </si>
  <si>
    <t>HomePerfect.com</t>
  </si>
  <si>
    <t>WAM HomeCEnter via Amazon</t>
  </si>
  <si>
    <t>Column1</t>
  </si>
  <si>
    <t>Column2</t>
  </si>
  <si>
    <t>SaddlebackEnergy</t>
  </si>
  <si>
    <t>Bob Jones, Parker</t>
  </si>
  <si>
    <t>Count of Column2</t>
  </si>
  <si>
    <t>Total Count of Column2</t>
  </si>
  <si>
    <t>Not Shown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</si>
</sst>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  <numFmt numFmtId="167" formatCode="0.0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6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65" fontId="0" fillId="0" borderId="0" xfId="0" applyNumberFormat="1"/>
    <xf numFmtId="164" fontId="6" fillId="0" borderId="0" xfId="0" applyNumberFormat="1" applyFont="1" applyFill="1" applyBorder="1" applyAlignment="1">
      <alignment horizontal="right"/>
    </xf>
    <xf numFmtId="0" fontId="7" fillId="0" borderId="0" xfId="1" applyAlignment="1" applyProtection="1"/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left"/>
    </xf>
    <xf numFmtId="0" fontId="0" fillId="0" borderId="0" xfId="0" applyBorder="1"/>
    <xf numFmtId="164" fontId="6" fillId="0" borderId="0" xfId="0" applyNumberFormat="1" applyFont="1" applyFill="1" applyBorder="1" applyAlignment="1">
      <alignment horizontal="left"/>
    </xf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166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2" xfId="0" applyNumberFormat="1" applyBorder="1"/>
    <xf numFmtId="166" fontId="0" fillId="0" borderId="8" xfId="0" applyNumberFormat="1" applyBorder="1"/>
    <xf numFmtId="0" fontId="0" fillId="0" borderId="9" xfId="0" applyBorder="1"/>
    <xf numFmtId="0" fontId="0" fillId="0" borderId="5" xfId="0" applyNumberFormat="1" applyBorder="1"/>
    <xf numFmtId="0" fontId="0" fillId="0" borderId="0" xfId="0" applyNumberFormat="1"/>
    <xf numFmtId="0" fontId="0" fillId="0" borderId="10" xfId="0" applyNumberFormat="1" applyBorder="1"/>
    <xf numFmtId="0" fontId="0" fillId="0" borderId="11" xfId="0" applyBorder="1"/>
    <xf numFmtId="0" fontId="0" fillId="0" borderId="4" xfId="0" applyNumberFormat="1" applyBorder="1"/>
    <xf numFmtId="0" fontId="0" fillId="0" borderId="12" xfId="0" applyNumberFormat="1" applyBorder="1"/>
    <xf numFmtId="0" fontId="0" fillId="0" borderId="13" xfId="0" applyNumberFormat="1" applyBorder="1"/>
    <xf numFmtId="0" fontId="9" fillId="0" borderId="0" xfId="0" applyFont="1" applyAlignment="1">
      <alignment horizontal="center" wrapText="1"/>
    </xf>
    <xf numFmtId="0" fontId="10" fillId="0" borderId="0" xfId="0" applyFont="1"/>
    <xf numFmtId="0" fontId="9" fillId="0" borderId="0" xfId="0" applyFont="1"/>
    <xf numFmtId="0" fontId="8" fillId="0" borderId="0" xfId="2" applyFont="1"/>
    <xf numFmtId="0" fontId="13" fillId="0" borderId="0" xfId="2" applyFont="1" applyAlignment="1">
      <alignment horizontal="center"/>
    </xf>
    <xf numFmtId="0" fontId="13" fillId="0" borderId="0" xfId="2" applyFont="1"/>
    <xf numFmtId="0" fontId="8" fillId="0" borderId="0" xfId="2" applyFont="1" applyAlignment="1">
      <alignment horizontal="center"/>
    </xf>
    <xf numFmtId="0" fontId="13" fillId="0" borderId="0" xfId="2" applyFont="1" applyFill="1"/>
    <xf numFmtId="0" fontId="13" fillId="0" borderId="0" xfId="0" applyFont="1" applyFill="1"/>
    <xf numFmtId="0" fontId="13" fillId="3" borderId="1" xfId="0" applyFont="1" applyFill="1" applyBorder="1" applyAlignment="1">
      <alignment horizontal="center" wrapText="1"/>
    </xf>
    <xf numFmtId="166" fontId="14" fillId="2" borderId="1" xfId="3" applyNumberFormat="1" applyFont="1" applyFill="1" applyBorder="1" applyAlignment="1">
      <alignment horizontal="center" wrapText="1"/>
    </xf>
    <xf numFmtId="0" fontId="14" fillId="2" borderId="1" xfId="3" applyFont="1" applyFill="1" applyBorder="1" applyAlignment="1">
      <alignment horizontal="center" wrapText="1"/>
    </xf>
    <xf numFmtId="0" fontId="15" fillId="4" borderId="1" xfId="3" applyFont="1" applyFill="1" applyBorder="1" applyAlignment="1">
      <alignment horizontal="left"/>
    </xf>
    <xf numFmtId="0" fontId="15" fillId="4" borderId="1" xfId="3" applyFont="1" applyFill="1" applyBorder="1" applyAlignment="1">
      <alignment horizontal="center"/>
    </xf>
    <xf numFmtId="166" fontId="15" fillId="4" borderId="1" xfId="3" applyNumberFormat="1" applyFont="1" applyFill="1" applyBorder="1" applyAlignment="1">
      <alignment horizontal="center" vertical="top"/>
    </xf>
    <xf numFmtId="4" fontId="15" fillId="4" borderId="1" xfId="3" applyNumberFormat="1" applyFont="1" applyFill="1" applyBorder="1" applyAlignment="1">
      <alignment horizontal="center" vertical="top"/>
    </xf>
    <xf numFmtId="0" fontId="8" fillId="4" borderId="1" xfId="2" applyFont="1" applyFill="1" applyBorder="1" applyAlignment="1">
      <alignment horizontal="center"/>
    </xf>
    <xf numFmtId="0" fontId="8" fillId="4" borderId="1" xfId="4" applyFont="1" applyFill="1" applyBorder="1" applyAlignment="1">
      <alignment horizontal="left"/>
    </xf>
    <xf numFmtId="166" fontId="8" fillId="4" borderId="1" xfId="4" applyNumberFormat="1" applyFont="1" applyFill="1" applyBorder="1" applyAlignment="1">
      <alignment horizontal="right"/>
    </xf>
    <xf numFmtId="0" fontId="15" fillId="0" borderId="0" xfId="3" applyFont="1" applyFill="1" applyBorder="1" applyAlignment="1">
      <alignment horizontal="left" vertical="top"/>
    </xf>
    <xf numFmtId="0" fontId="15" fillId="0" borderId="0" xfId="3" applyFont="1" applyFill="1" applyBorder="1" applyAlignment="1">
      <alignment horizontal="center" wrapText="1"/>
    </xf>
    <xf numFmtId="164" fontId="14" fillId="0" borderId="0" xfId="3" applyNumberFormat="1" applyFont="1" applyFill="1" applyBorder="1" applyAlignment="1">
      <alignment horizontal="center" vertical="top"/>
    </xf>
    <xf numFmtId="4" fontId="14" fillId="0" borderId="0" xfId="3" applyNumberFormat="1" applyFont="1" applyFill="1" applyBorder="1" applyAlignment="1">
      <alignment horizontal="left" vertical="top"/>
    </xf>
    <xf numFmtId="4" fontId="14" fillId="0" borderId="0" xfId="3" applyNumberFormat="1" applyFont="1" applyFill="1" applyBorder="1" applyAlignment="1">
      <alignment horizontal="center" vertical="top"/>
    </xf>
    <xf numFmtId="0" fontId="14" fillId="0" borderId="0" xfId="3" applyFont="1" applyFill="1" applyBorder="1" applyAlignment="1">
      <alignment horizontal="center" wrapText="1"/>
    </xf>
    <xf numFmtId="0" fontId="13" fillId="0" borderId="0" xfId="2" applyFont="1" applyFill="1" applyBorder="1" applyAlignment="1">
      <alignment horizontal="center"/>
    </xf>
    <xf numFmtId="0" fontId="13" fillId="0" borderId="0" xfId="2" applyFont="1" applyFill="1" applyBorder="1" applyAlignment="1">
      <alignment horizontal="left"/>
    </xf>
    <xf numFmtId="0" fontId="15" fillId="4" borderId="1" xfId="3" applyFont="1" applyFill="1" applyBorder="1" applyAlignment="1">
      <alignment horizontal="center" wrapText="1"/>
    </xf>
    <xf numFmtId="166" fontId="15" fillId="4" borderId="1" xfId="3" applyNumberFormat="1" applyFont="1" applyFill="1" applyBorder="1" applyAlignment="1">
      <alignment horizontal="center"/>
    </xf>
    <xf numFmtId="0" fontId="8" fillId="0" borderId="0" xfId="2" applyFont="1" applyFill="1"/>
    <xf numFmtId="1" fontId="8" fillId="4" borderId="1" xfId="2" applyNumberFormat="1" applyFont="1" applyFill="1" applyBorder="1" applyAlignment="1">
      <alignment horizontal="center"/>
    </xf>
    <xf numFmtId="0" fontId="8" fillId="4" borderId="1" xfId="2" applyFont="1" applyFill="1" applyBorder="1"/>
    <xf numFmtId="167" fontId="8" fillId="4" borderId="1" xfId="2" applyNumberFormat="1" applyFont="1" applyFill="1" applyBorder="1" applyAlignment="1">
      <alignment horizontal="center"/>
    </xf>
    <xf numFmtId="0" fontId="12" fillId="0" borderId="0" xfId="0" applyFont="1" applyAlignment="1">
      <alignment horizontal="left" vertical="center"/>
    </xf>
    <xf numFmtId="166" fontId="15" fillId="5" borderId="1" xfId="3" applyNumberFormat="1" applyFont="1" applyFill="1" applyBorder="1" applyAlignment="1">
      <alignment horizontal="center" vertical="top"/>
    </xf>
    <xf numFmtId="166" fontId="15" fillId="6" borderId="1" xfId="3" applyNumberFormat="1" applyFont="1" applyFill="1" applyBorder="1" applyAlignment="1">
      <alignment horizontal="center" vertical="top"/>
    </xf>
    <xf numFmtId="0" fontId="11" fillId="0" borderId="0" xfId="0" applyFont="1"/>
    <xf numFmtId="0" fontId="12" fillId="0" borderId="0" xfId="0" applyFont="1"/>
    <xf numFmtId="0" fontId="12" fillId="0" borderId="1" xfId="0" applyFont="1" applyBorder="1" applyAlignment="1">
      <alignment horizontal="left" vertical="center"/>
    </xf>
    <xf numFmtId="0" fontId="12" fillId="0" borderId="1" xfId="0" applyFont="1" applyBorder="1"/>
    <xf numFmtId="9" fontId="12" fillId="0" borderId="1" xfId="0" applyNumberFormat="1" applyFont="1" applyBorder="1" applyAlignment="1">
      <alignment horizontal="left"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/>
    </xf>
    <xf numFmtId="9" fontId="5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Alignment="1">
      <alignment horizontal="center"/>
    </xf>
    <xf numFmtId="166" fontId="0" fillId="7" borderId="2" xfId="0" applyNumberFormat="1" applyFill="1" applyBorder="1"/>
    <xf numFmtId="0" fontId="0" fillId="7" borderId="5" xfId="0" applyNumberFormat="1" applyFill="1" applyBorder="1"/>
    <xf numFmtId="166" fontId="0" fillId="7" borderId="8" xfId="0" applyNumberFormat="1" applyFill="1" applyBorder="1"/>
    <xf numFmtId="0" fontId="0" fillId="7" borderId="0" xfId="0" applyNumberFormat="1" applyFill="1"/>
    <xf numFmtId="166" fontId="0" fillId="8" borderId="8" xfId="0" applyNumberFormat="1" applyFill="1" applyBorder="1"/>
    <xf numFmtId="0" fontId="0" fillId="8" borderId="0" xfId="0" applyNumberFormat="1" applyFill="1"/>
    <xf numFmtId="166" fontId="0" fillId="9" borderId="8" xfId="0" applyNumberFormat="1" applyFill="1" applyBorder="1"/>
    <xf numFmtId="0" fontId="0" fillId="9" borderId="0" xfId="0" applyNumberFormat="1" applyFill="1"/>
    <xf numFmtId="0" fontId="11" fillId="0" borderId="14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19" xfId="0" applyFont="1" applyBorder="1" applyAlignment="1">
      <alignment horizontal="right" wrapText="1"/>
    </xf>
    <xf numFmtId="0" fontId="12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9" fillId="0" borderId="19" xfId="0" applyFont="1" applyBorder="1"/>
    <xf numFmtId="0" fontId="0" fillId="0" borderId="20" xfId="0" applyBorder="1"/>
    <xf numFmtId="0" fontId="12" fillId="0" borderId="19" xfId="0" applyFont="1" applyBorder="1" applyAlignment="1">
      <alignment horizontal="left" vertical="center"/>
    </xf>
    <xf numFmtId="8" fontId="6" fillId="0" borderId="0" xfId="0" applyNumberFormat="1" applyFont="1" applyBorder="1" applyAlignment="1">
      <alignment horizontal="center" vertical="center"/>
    </xf>
    <xf numFmtId="8" fontId="6" fillId="0" borderId="20" xfId="0" applyNumberFormat="1" applyFont="1" applyBorder="1" applyAlignment="1">
      <alignment horizontal="center" vertical="center"/>
    </xf>
    <xf numFmtId="8" fontId="0" fillId="0" borderId="0" xfId="0" applyNumberForma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166" fontId="6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left" vertical="center"/>
    </xf>
    <xf numFmtId="8" fontId="9" fillId="0" borderId="22" xfId="0" applyNumberFormat="1" applyFont="1" applyBorder="1" applyAlignment="1">
      <alignment horizontal="center" vertical="center"/>
    </xf>
    <xf numFmtId="164" fontId="6" fillId="0" borderId="0" xfId="0" applyNumberFormat="1" applyFont="1" applyFill="1" applyAlignment="1">
      <alignment horizontal="left"/>
    </xf>
    <xf numFmtId="164" fontId="6" fillId="0" borderId="0" xfId="0" applyNumberFormat="1" applyFont="1" applyFill="1" applyAlignment="1">
      <alignment horizontal="right"/>
    </xf>
    <xf numFmtId="0" fontId="6" fillId="0" borderId="0" xfId="1" applyFont="1" applyAlignment="1" applyProtection="1"/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6" fillId="0" borderId="8" xfId="0" applyFont="1" applyBorder="1"/>
    <xf numFmtId="8" fontId="9" fillId="0" borderId="0" xfId="0" applyNumberFormat="1" applyFont="1" applyBorder="1" applyAlignment="1">
      <alignment horizontal="center" vertical="center"/>
    </xf>
    <xf numFmtId="166" fontId="9" fillId="0" borderId="20" xfId="0" applyNumberFormat="1" applyFont="1" applyBorder="1" applyAlignment="1">
      <alignment horizontal="center" vertical="center"/>
    </xf>
    <xf numFmtId="8" fontId="9" fillId="0" borderId="23" xfId="0" applyNumberFormat="1" applyFont="1" applyBorder="1" applyAlignment="1">
      <alignment horizontal="center" vertical="center"/>
    </xf>
    <xf numFmtId="0" fontId="0" fillId="0" borderId="0" xfId="0" applyFill="1"/>
    <xf numFmtId="166" fontId="0" fillId="0" borderId="0" xfId="0" applyNumberFormat="1" applyFill="1"/>
    <xf numFmtId="0" fontId="7" fillId="0" borderId="0" xfId="1" applyFill="1" applyAlignment="1" applyProtection="1"/>
    <xf numFmtId="3" fontId="0" fillId="0" borderId="0" xfId="0" applyNumberFormat="1" applyFill="1"/>
    <xf numFmtId="0" fontId="7" fillId="0" borderId="0" xfId="1" applyFont="1" applyFill="1" applyAlignment="1" applyProtection="1"/>
    <xf numFmtId="0" fontId="2" fillId="0" borderId="0" xfId="5" applyFont="1" applyFill="1"/>
    <xf numFmtId="164" fontId="2" fillId="0" borderId="0" xfId="5" applyNumberFormat="1" applyFont="1" applyFill="1"/>
    <xf numFmtId="166" fontId="2" fillId="0" borderId="0" xfId="5" applyNumberFormat="1" applyFont="1" applyFill="1"/>
    <xf numFmtId="0" fontId="6" fillId="0" borderId="0" xfId="0" applyFont="1" applyFill="1"/>
    <xf numFmtId="166" fontId="15" fillId="10" borderId="1" xfId="3" applyNumberFormat="1" applyFont="1" applyFill="1" applyBorder="1" applyAlignment="1">
      <alignment horizontal="center" vertical="top"/>
    </xf>
    <xf numFmtId="0" fontId="8" fillId="4" borderId="15" xfId="2" applyFont="1" applyFill="1" applyBorder="1" applyAlignment="1">
      <alignment horizontal="center"/>
    </xf>
    <xf numFmtId="0" fontId="8" fillId="4" borderId="16" xfId="2" applyFont="1" applyFill="1" applyBorder="1" applyAlignment="1">
      <alignment horizontal="center"/>
    </xf>
  </cellXfs>
  <cellStyles count="13">
    <cellStyle name="Comma 2" xfId="6"/>
    <cellStyle name="Comma 2 2" xfId="10"/>
    <cellStyle name="Currency 2" xfId="7"/>
    <cellStyle name="Currency 2 2" xfId="11"/>
    <cellStyle name="Hyperlink" xfId="1" builtinId="8"/>
    <cellStyle name="Normal" xfId="0" builtinId="0"/>
    <cellStyle name="Normal 2" xfId="4"/>
    <cellStyle name="Normal 3" xfId="5"/>
    <cellStyle name="Normal 3 2" xfId="9"/>
    <cellStyle name="Normal 6" xfId="2"/>
    <cellStyle name="Normal_Sheet1" xfId="3"/>
    <cellStyle name="Percent 2" xfId="8"/>
    <cellStyle name="Percent 2 2" xfId="12"/>
  </cellStyles>
  <dxfs count="11">
    <dxf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0.0%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&quot;$&quot;#,##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9.8969072164948685E-2"/>
          <c:y val="8.9041244784830026E-2"/>
          <c:w val="0.57731958762886593"/>
          <c:h val="0.7568505806710536"/>
        </c:manualLayout>
      </c:layout>
      <c:scatterChart>
        <c:scatterStyle val="lineMarker"/>
        <c:varyColors val="0"/>
        <c:ser>
          <c:idx val="0"/>
          <c:order val="0"/>
          <c:tx>
            <c:v>Low Efficiency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0"/>
            <c:dispEq val="0"/>
          </c:trendline>
          <c:xVal>
            <c:numRef>
              <c:f>Database!$E$2:$E$14</c:f>
              <c:numCache>
                <c:formatCode>General</c:formatCode>
                <c:ptCount val="13"/>
                <c:pt idx="0">
                  <c:v>112.5</c:v>
                </c:pt>
                <c:pt idx="1">
                  <c:v>262.5</c:v>
                </c:pt>
                <c:pt idx="2">
                  <c:v>299.99900000000002</c:v>
                </c:pt>
                <c:pt idx="3">
                  <c:v>299.99900000000002</c:v>
                </c:pt>
                <c:pt idx="4">
                  <c:v>262.5</c:v>
                </c:pt>
                <c:pt idx="5">
                  <c:v>112.5</c:v>
                </c:pt>
                <c:pt idx="6">
                  <c:v>144</c:v>
                </c:pt>
                <c:pt idx="7">
                  <c:v>144</c:v>
                </c:pt>
                <c:pt idx="8">
                  <c:v>1680</c:v>
                </c:pt>
                <c:pt idx="9">
                  <c:v>2730</c:v>
                </c:pt>
                <c:pt idx="10">
                  <c:v>135</c:v>
                </c:pt>
                <c:pt idx="11">
                  <c:v>150</c:v>
                </c:pt>
                <c:pt idx="12">
                  <c:v>180</c:v>
                </c:pt>
              </c:numCache>
            </c:numRef>
          </c:xVal>
          <c:yVal>
            <c:numRef>
              <c:f>Database!$K$2:$K$14</c:f>
              <c:numCache>
                <c:formatCode>"$"#,##0.00</c:formatCode>
                <c:ptCount val="13"/>
                <c:pt idx="0">
                  <c:v>20.622222222222224</c:v>
                </c:pt>
                <c:pt idx="1">
                  <c:v>12.236190476190476</c:v>
                </c:pt>
                <c:pt idx="2">
                  <c:v>11.446704822349407</c:v>
                </c:pt>
                <c:pt idx="3">
                  <c:v>11.846706155687185</c:v>
                </c:pt>
                <c:pt idx="4">
                  <c:v>12.65904761904762</c:v>
                </c:pt>
                <c:pt idx="5">
                  <c:v>21.591111111111111</c:v>
                </c:pt>
                <c:pt idx="6">
                  <c:v>28.048611111111111</c:v>
                </c:pt>
                <c:pt idx="7">
                  <c:v>24.576388888888889</c:v>
                </c:pt>
                <c:pt idx="8">
                  <c:v>9.0083035714285717</c:v>
                </c:pt>
                <c:pt idx="9">
                  <c:v>8.8205128205128212</c:v>
                </c:pt>
                <c:pt idx="10">
                  <c:v>3.3777777777777778</c:v>
                </c:pt>
                <c:pt idx="11">
                  <c:v>4.1133333333333333</c:v>
                </c:pt>
                <c:pt idx="12">
                  <c:v>4.4333333333333336</c:v>
                </c:pt>
              </c:numCache>
            </c:numRef>
          </c:yVal>
          <c:smooth val="0"/>
        </c:ser>
        <c:ser>
          <c:idx val="1"/>
          <c:order val="1"/>
          <c:tx>
            <c:v>High Efficiency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0"/>
            <c:dispEq val="0"/>
          </c:trendline>
          <c:xVal>
            <c:numRef>
              <c:f>Database!$E$15:$E$23</c:f>
              <c:numCache>
                <c:formatCode>General</c:formatCode>
                <c:ptCount val="9"/>
                <c:pt idx="0">
                  <c:v>1800</c:v>
                </c:pt>
                <c:pt idx="1">
                  <c:v>1800</c:v>
                </c:pt>
                <c:pt idx="2">
                  <c:v>180</c:v>
                </c:pt>
                <c:pt idx="3">
                  <c:v>140</c:v>
                </c:pt>
                <c:pt idx="4">
                  <c:v>199</c:v>
                </c:pt>
                <c:pt idx="5">
                  <c:v>1999</c:v>
                </c:pt>
                <c:pt idx="6">
                  <c:v>180</c:v>
                </c:pt>
                <c:pt idx="7">
                  <c:v>180</c:v>
                </c:pt>
                <c:pt idx="8">
                  <c:v>199.9</c:v>
                </c:pt>
              </c:numCache>
            </c:numRef>
          </c:xVal>
          <c:yVal>
            <c:numRef>
              <c:f>Database!$K$15:$K$23</c:f>
              <c:numCache>
                <c:formatCode>"$"#,##0.00</c:formatCode>
                <c:ptCount val="9"/>
                <c:pt idx="0">
                  <c:v>4.5705555555555559</c:v>
                </c:pt>
                <c:pt idx="1">
                  <c:v>4.5705555555555559</c:v>
                </c:pt>
                <c:pt idx="2">
                  <c:v>4.6076666666666668</c:v>
                </c:pt>
                <c:pt idx="3">
                  <c:v>4.8820714285714288</c:v>
                </c:pt>
                <c:pt idx="4">
                  <c:v>5.2078894472361803</c:v>
                </c:pt>
                <c:pt idx="5">
                  <c:v>5.3776888444222113</c:v>
                </c:pt>
                <c:pt idx="6">
                  <c:v>5.5277777777777777</c:v>
                </c:pt>
                <c:pt idx="7">
                  <c:v>5.8410000000000002</c:v>
                </c:pt>
                <c:pt idx="8">
                  <c:v>5.9979989994997496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52192"/>
        <c:axId val="150974464"/>
      </c:scatterChart>
      <c:valAx>
        <c:axId val="15095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974464"/>
        <c:crosses val="autoZero"/>
        <c:crossBetween val="midCat"/>
      </c:valAx>
      <c:valAx>
        <c:axId val="150974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9521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195876288659911"/>
          <c:y val="0.21232912666738574"/>
          <c:w val="0.25154639175257731"/>
          <c:h val="0.510274691690935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438150</xdr:colOff>
      <xdr:row>4</xdr:row>
      <xdr:rowOff>0</xdr:rowOff>
    </xdr:from>
    <xdr:to>
      <xdr:col>21</xdr:col>
      <xdr:colOff>180975</xdr:colOff>
      <xdr:row>21</xdr:row>
      <xdr:rowOff>28575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an Paek" refreshedDate="41050.560807175927" createdVersion="3" refreshedVersion="3" minRefreshableVersion="3" recordCount="108">
  <cacheSource type="worksheet">
    <worksheetSource name="Table1[#All]"/>
  </cacheSource>
  <cacheFields count="13">
    <cacheField name="Column1" numFmtId="0">
      <sharedItems containsNonDate="0" containsString="0" containsBlank="1"/>
    </cacheField>
    <cacheField name="Column2" numFmtId="0">
      <sharedItems containsBlank="1"/>
    </cacheField>
    <cacheField name="Type" numFmtId="164">
      <sharedItems containsBlank="1"/>
    </cacheField>
    <cacheField name="Ignition" numFmtId="0">
      <sharedItems containsBlank="1"/>
    </cacheField>
    <cacheField name="Fuel Input, kBtu/hr" numFmtId="0">
      <sharedItems containsString="0" containsBlank="1" containsNumber="1" minValue="50" maxValue="16500"/>
    </cacheField>
    <cacheField name="Category" numFmtId="0">
      <sharedItems containsBlank="1" count="8">
        <s v="Small Steam"/>
        <s v="Medium Steam"/>
        <s v="Large Steam"/>
        <s v="Small Hot Water"/>
        <s v="Medium Hot Water"/>
        <s v="Large Hot Water"/>
        <m/>
        <s v="Small " u="1"/>
      </sharedItems>
    </cacheField>
    <cacheField name="Efficiency Class" numFmtId="0">
      <sharedItems containsBlank="1" count="6">
        <s v="Baseline"/>
        <s v="Tier 1"/>
        <s v="Tier 2"/>
        <m/>
        <s v="High" u="1"/>
        <s v="Condensing" u="1"/>
      </sharedItems>
    </cacheField>
    <cacheField name="Efficiency" numFmtId="0">
      <sharedItems containsString="0" containsBlank="1" containsNumber="1" minValue="0.78" maxValue="0.97"/>
    </cacheField>
    <cacheField name="AFUE" numFmtId="0">
      <sharedItems containsString="0" containsBlank="1" containsNumber="1" containsInteger="1" minValue="0" maxValue="1"/>
    </cacheField>
    <cacheField name="Price" numFmtId="0">
      <sharedItems containsString="0" containsBlank="1" containsNumber="1" minValue="456" maxValue="173400"/>
    </cacheField>
    <cacheField name="Cost/kBtu" numFmtId="166">
      <sharedItems containsString="0" containsBlank="1" containsNumber="1" minValue="3.3777777777777778" maxValue="56.5"/>
    </cacheField>
    <cacheField name="Source" numFmtId="0">
      <sharedItems containsBlank="1"/>
    </cacheField>
    <cacheField name="Commen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">
  <r>
    <m/>
    <s v="Not Shown"/>
    <s v="Steam"/>
    <s v="Pilot"/>
    <n v="112.5"/>
    <x v="0"/>
    <x v="0"/>
    <n v="0.78"/>
    <n v="1"/>
    <n v="2320"/>
    <n v="20.622222222222224"/>
    <s v="http://ingramswaterandair.com"/>
    <m/>
  </r>
  <r>
    <m/>
    <s v="Not Shown"/>
    <s v="Steam"/>
    <s v="Pilot"/>
    <n v="262.5"/>
    <x v="0"/>
    <x v="0"/>
    <n v="0.78"/>
    <n v="1"/>
    <n v="3212"/>
    <n v="12.236190476190476"/>
    <s v="http://ingramswaterandair.com"/>
    <m/>
  </r>
  <r>
    <m/>
    <s v="Not Shown"/>
    <s v="Steam"/>
    <s v="Pilot"/>
    <n v="299.99900000000002"/>
    <x v="0"/>
    <x v="0"/>
    <n v="0.78"/>
    <n v="1"/>
    <n v="3434"/>
    <n v="11.446704822349407"/>
    <s v="http://ingramswaterandair.com"/>
    <m/>
  </r>
  <r>
    <m/>
    <s v="Not Shown"/>
    <s v="Steam"/>
    <s v="Electronic"/>
    <n v="299.99900000000002"/>
    <x v="0"/>
    <x v="0"/>
    <n v="0.81"/>
    <n v="1"/>
    <n v="3554"/>
    <n v="11.846706155687185"/>
    <s v="http://ingramswaterandair.com"/>
    <m/>
  </r>
  <r>
    <m/>
    <s v="Not Shown"/>
    <s v="Steam"/>
    <s v="Electronic"/>
    <n v="262.5"/>
    <x v="0"/>
    <x v="0"/>
    <n v="0.82"/>
    <n v="1"/>
    <n v="3323"/>
    <n v="12.65904761904762"/>
    <s v="http://ingramswaterandair.com"/>
    <m/>
  </r>
  <r>
    <m/>
    <s v="Not Shown"/>
    <s v="Steam"/>
    <s v="Electronic"/>
    <n v="112.5"/>
    <x v="0"/>
    <x v="0"/>
    <n v="0.82"/>
    <n v="1"/>
    <n v="2429"/>
    <n v="21.591111111111111"/>
    <s v="http://ingramswaterandair.com"/>
    <m/>
  </r>
  <r>
    <m/>
    <s v="Not Shown"/>
    <s v="Steam"/>
    <s v="Electronic"/>
    <n v="144"/>
    <x v="0"/>
    <x v="0"/>
    <n v="0.82099999999999995"/>
    <n v="1"/>
    <n v="4039"/>
    <n v="28.048611111111111"/>
    <s v="http://ingramswaterandair.com"/>
    <m/>
  </r>
  <r>
    <m/>
    <s v="Not Shown"/>
    <s v="Steam"/>
    <s v="Electronic"/>
    <n v="144"/>
    <x v="0"/>
    <x v="1"/>
    <n v="0.89600000000000002"/>
    <n v="1"/>
    <n v="3539"/>
    <n v="24.576388888888889"/>
    <s v="http://ingramswaterandair.com"/>
    <m/>
  </r>
  <r>
    <m/>
    <s v="Not Shown"/>
    <s v="Steam"/>
    <s v="Electronic"/>
    <n v="1680"/>
    <x v="1"/>
    <x v="0"/>
    <n v="0.8"/>
    <n v="1"/>
    <n v="15133.95"/>
    <n v="9.0083035714285717"/>
    <s v="http://ecomfort.com/"/>
    <m/>
  </r>
  <r>
    <m/>
    <s v="Not Shown"/>
    <s v="Steam"/>
    <s v="Electronic"/>
    <n v="2730"/>
    <x v="2"/>
    <x v="0"/>
    <n v="0.8"/>
    <n v="1"/>
    <n v="24080"/>
    <n v="8.8205128205128212"/>
    <s v="http://ecomfort.com/"/>
    <m/>
  </r>
  <r>
    <m/>
    <s v="Not Shown"/>
    <s v="Hot Water"/>
    <m/>
    <n v="135"/>
    <x v="3"/>
    <x v="0"/>
    <n v="0.84"/>
    <m/>
    <n v="456"/>
    <n v="3.3777777777777778"/>
    <m/>
    <m/>
  </r>
  <r>
    <m/>
    <s v="Not Shown"/>
    <s v="Hot Water"/>
    <m/>
    <n v="150"/>
    <x v="3"/>
    <x v="0"/>
    <n v="0.82"/>
    <m/>
    <n v="617"/>
    <n v="4.1133333333333333"/>
    <s v="http://www.tanklessking.com/"/>
    <m/>
  </r>
  <r>
    <m/>
    <s v="Not Shown"/>
    <s v="Hot Water"/>
    <m/>
    <n v="180"/>
    <x v="3"/>
    <x v="0"/>
    <n v="0.82"/>
    <m/>
    <n v="798"/>
    <n v="4.4333333333333336"/>
    <s v="Home Depot, Pico Rivera"/>
    <m/>
  </r>
  <r>
    <m/>
    <s v="Not Shown"/>
    <s v="Hot Water"/>
    <m/>
    <n v="1800"/>
    <x v="4"/>
    <x v="0"/>
    <n v="0.84"/>
    <m/>
    <n v="8227"/>
    <n v="4.5705555555555559"/>
    <s v="SCG Rebates"/>
    <m/>
  </r>
  <r>
    <m/>
    <s v="Not Shown"/>
    <s v="Hot Water"/>
    <m/>
    <n v="1800"/>
    <x v="4"/>
    <x v="0"/>
    <n v="0.84"/>
    <m/>
    <n v="8227"/>
    <n v="4.5705555555555559"/>
    <s v="SCG Rebates"/>
    <m/>
  </r>
  <r>
    <m/>
    <s v="Not Shown"/>
    <s v="Hot Water"/>
    <m/>
    <n v="180"/>
    <x v="3"/>
    <x v="0"/>
    <n v="0.82"/>
    <m/>
    <n v="829.38"/>
    <n v="4.6076666666666668"/>
    <s v="http://www.buyplumbingonline.com/"/>
    <m/>
  </r>
  <r>
    <m/>
    <s v="Not Shown"/>
    <s v="Hot Water"/>
    <m/>
    <n v="140"/>
    <x v="3"/>
    <x v="0"/>
    <n v="0.81"/>
    <m/>
    <n v="683.49"/>
    <n v="4.8820714285714288"/>
    <s v="http://www.buyplumbingonline.com/"/>
    <m/>
  </r>
  <r>
    <m/>
    <s v="Not Shown"/>
    <s v="Hot Water"/>
    <m/>
    <n v="199"/>
    <x v="3"/>
    <x v="0"/>
    <n v="0.82"/>
    <m/>
    <n v="1036.3699999999999"/>
    <n v="5.2078894472361803"/>
    <s v="http://www.buyplumbingonline.com/"/>
    <m/>
  </r>
  <r>
    <m/>
    <s v="Not Shown"/>
    <s v="Hot Water"/>
    <m/>
    <n v="1999"/>
    <x v="4"/>
    <x v="0"/>
    <n v="0.83991995997999003"/>
    <m/>
    <n v="10750"/>
    <n v="5.3776888444222113"/>
    <s v="SCG Rebates"/>
    <m/>
  </r>
  <r>
    <m/>
    <s v="Not Shown"/>
    <s v="Hot Water"/>
    <m/>
    <n v="180"/>
    <x v="3"/>
    <x v="0"/>
    <n v="0.82"/>
    <m/>
    <n v="995"/>
    <n v="5.5277777777777777"/>
    <s v="Lowes, Pico Rivera"/>
    <m/>
  </r>
  <r>
    <m/>
    <s v="Not Shown"/>
    <s v="Hot Water"/>
    <m/>
    <n v="180"/>
    <x v="3"/>
    <x v="0"/>
    <n v="0.83"/>
    <m/>
    <n v="1051.3800000000001"/>
    <n v="5.8410000000000002"/>
    <s v="http://www.buyplumbingonline.com/"/>
    <m/>
  </r>
  <r>
    <m/>
    <s v="Not Shown"/>
    <s v="Hot Water"/>
    <m/>
    <n v="199.9"/>
    <x v="3"/>
    <x v="0"/>
    <n v="0.82"/>
    <m/>
    <n v="1199"/>
    <n v="5.9979989994997496"/>
    <s v="Home Depot, Pico Rivera"/>
    <m/>
  </r>
  <r>
    <m/>
    <s v="Not Shown"/>
    <s v="Hot Water"/>
    <m/>
    <n v="199"/>
    <x v="3"/>
    <x v="0"/>
    <n v="0.83"/>
    <m/>
    <n v="1291.58"/>
    <n v="6.4903517587939694"/>
    <s v="http://www.buyplumbingonline.com/"/>
    <m/>
  </r>
  <r>
    <m/>
    <s v="Not Shown"/>
    <s v="Hot Water"/>
    <m/>
    <n v="199.9"/>
    <x v="3"/>
    <x v="2"/>
    <n v="0.94"/>
    <m/>
    <n v="1427"/>
    <n v="7.1385692846423208"/>
    <s v="Home Depot, Pico Rivera"/>
    <m/>
  </r>
  <r>
    <m/>
    <s v="Not Shown"/>
    <s v="Hot Water"/>
    <m/>
    <n v="4999"/>
    <x v="5"/>
    <x v="1"/>
    <n v="0.88"/>
    <m/>
    <n v="36158.333333333336"/>
    <n v="7.2331132893245318"/>
    <s v="SCG Rebates"/>
    <m/>
  </r>
  <r>
    <m/>
    <s v="Not Shown"/>
    <s v="Hot Water"/>
    <m/>
    <n v="199"/>
    <x v="3"/>
    <x v="2"/>
    <n v="0.97"/>
    <m/>
    <n v="1568"/>
    <n v="7.8793969849246235"/>
    <s v="tonsofdeal.com"/>
    <m/>
  </r>
  <r>
    <m/>
    <s v="Not Shown"/>
    <s v="Hot Water"/>
    <m/>
    <n v="199.9"/>
    <x v="3"/>
    <x v="2"/>
    <n v="0.94"/>
    <m/>
    <n v="1591.11"/>
    <n v="7.9595297648824408"/>
    <s v="http://www.buyplumbingonline.com/"/>
    <m/>
  </r>
  <r>
    <m/>
    <s v="Not Shown"/>
    <s v="Hot Water"/>
    <m/>
    <n v="800"/>
    <x v="4"/>
    <x v="2"/>
    <n v="0.94"/>
    <m/>
    <n v="6500"/>
    <n v="8.125"/>
    <s v="SCG Rebates"/>
    <m/>
  </r>
  <r>
    <m/>
    <s v="Not Shown"/>
    <s v="Hot Water"/>
    <m/>
    <n v="1674"/>
    <x v="4"/>
    <x v="0"/>
    <n v="0.80167264038231778"/>
    <n v="0"/>
    <n v="13745"/>
    <n v="8.2108721624850656"/>
    <s v="http://ingramswaterandair.com"/>
    <m/>
  </r>
  <r>
    <m/>
    <s v="Not Shown"/>
    <s v="Hot Water"/>
    <m/>
    <n v="180"/>
    <x v="3"/>
    <x v="2"/>
    <n v="0.97"/>
    <m/>
    <n v="1490.88"/>
    <n v="8.2826666666666675"/>
    <s v="http://www.buyplumbingonline.com/"/>
    <m/>
  </r>
  <r>
    <m/>
    <s v="Not Shown"/>
    <s v="Hot Water"/>
    <m/>
    <n v="380"/>
    <x v="4"/>
    <x v="0"/>
    <n v="0.80200000000000005"/>
    <m/>
    <n v="3230"/>
    <n v="8.5"/>
    <s v="WAM HomeCEnter via Amazon"/>
    <m/>
  </r>
  <r>
    <m/>
    <s v="Not Shown"/>
    <s v="Hot Water"/>
    <s v="Electronic"/>
    <n v="2730"/>
    <x v="5"/>
    <x v="0"/>
    <n v="0.8"/>
    <n v="1"/>
    <n v="23529"/>
    <n v="8.6186813186813183"/>
    <s v="http://ecomfort.com/"/>
    <s v="Hot water storage"/>
  </r>
  <r>
    <m/>
    <s v="Not Shown"/>
    <s v="Hot Water"/>
    <m/>
    <n v="1750"/>
    <x v="4"/>
    <x v="1"/>
    <n v="0.85"/>
    <m/>
    <n v="15692"/>
    <n v="8.9668571428571422"/>
    <s v="SCG Rebates"/>
    <m/>
  </r>
  <r>
    <m/>
    <s v="Not Shown"/>
    <s v="Hot Water"/>
    <m/>
    <n v="157"/>
    <x v="3"/>
    <x v="2"/>
    <n v="0.97"/>
    <m/>
    <n v="1408.98"/>
    <n v="8.9743949044585989"/>
    <s v="http://www.buyplumbingonline.com/"/>
    <m/>
  </r>
  <r>
    <m/>
    <s v="Not Shown"/>
    <s v="Hot Water"/>
    <m/>
    <n v="990"/>
    <x v="4"/>
    <x v="0"/>
    <n v="0.84"/>
    <n v="0"/>
    <n v="9116"/>
    <n v="9.2080808080808083"/>
    <s v="SCG Rebates"/>
    <m/>
  </r>
  <r>
    <m/>
    <s v="Not Shown"/>
    <s v="Hot Water"/>
    <m/>
    <n v="120"/>
    <x v="3"/>
    <x v="2"/>
    <n v="0.91"/>
    <m/>
    <n v="1142.2"/>
    <n v="9.5183333333333344"/>
    <s v="http://www.buyplumbingonline.com/"/>
    <m/>
  </r>
  <r>
    <m/>
    <s v="Not Shown"/>
    <s v="Hot Water"/>
    <m/>
    <n v="250"/>
    <x v="3"/>
    <x v="0"/>
    <n v="0.84"/>
    <m/>
    <n v="2420.88"/>
    <n v="9.6835199999999997"/>
    <s v="http://www.buyplumbingonline.com/"/>
    <m/>
  </r>
  <r>
    <m/>
    <s v="Not Shown"/>
    <s v="Hot Water"/>
    <m/>
    <n v="1950"/>
    <x v="4"/>
    <x v="1"/>
    <n v="0.85099999999999998"/>
    <n v="0"/>
    <n v="20000"/>
    <n v="10.256410256410257"/>
    <s v="SCG Rebates"/>
    <m/>
  </r>
  <r>
    <m/>
    <s v="Not Shown"/>
    <s v="Hot Water"/>
    <m/>
    <n v="1100"/>
    <x v="4"/>
    <x v="0"/>
    <n v="0.84"/>
    <m/>
    <n v="11355"/>
    <n v="10.322727272727272"/>
    <s v="SCG Rebates"/>
    <m/>
  </r>
  <r>
    <m/>
    <s v="Not Shown"/>
    <s v="Hot Water"/>
    <s v="Pilot"/>
    <n v="250"/>
    <x v="3"/>
    <x v="0"/>
    <n v="0.8"/>
    <n v="1"/>
    <n v="2616"/>
    <n v="10.464"/>
    <s v="http://ingramswaterandair.com"/>
    <m/>
  </r>
  <r>
    <m/>
    <s v="Not Shown"/>
    <s v="Hot Water"/>
    <m/>
    <n v="240"/>
    <x v="3"/>
    <x v="0"/>
    <n v="0.82199999999999995"/>
    <m/>
    <n v="2578"/>
    <n v="10.741666666666667"/>
    <s v="HomePerfect.com"/>
    <m/>
  </r>
  <r>
    <m/>
    <s v="Not Shown"/>
    <s v="Hot Water"/>
    <m/>
    <n v="380"/>
    <x v="4"/>
    <x v="0"/>
    <n v="0.84"/>
    <m/>
    <n v="4425.51"/>
    <n v="11.646078947368421"/>
    <s v="http://www.buyplumbingonline.com/"/>
    <m/>
  </r>
  <r>
    <m/>
    <s v="Not Shown"/>
    <s v="Hot Water"/>
    <s v="Electronic"/>
    <n v="250"/>
    <x v="3"/>
    <x v="0"/>
    <n v="0.80500000000000005"/>
    <n v="1"/>
    <n v="2934"/>
    <n v="11.736000000000001"/>
    <s v="http://ingramswaterandair.com"/>
    <m/>
  </r>
  <r>
    <m/>
    <s v="Not Shown"/>
    <s v="Hot Water"/>
    <s v="Electronic"/>
    <n v="150"/>
    <x v="3"/>
    <x v="0"/>
    <n v="0.83"/>
    <n v="1"/>
    <n v="1773.19"/>
    <n v="11.821266666666666"/>
    <s v="http://buyplumbing.net"/>
    <s v="Tankless, compact for space heating"/>
  </r>
  <r>
    <m/>
    <s v="Not Shown"/>
    <s v="Steam"/>
    <m/>
    <n v="2136"/>
    <x v="1"/>
    <x v="0"/>
    <n v="0.80243445692883897"/>
    <n v="0"/>
    <n v="18828"/>
    <n v="8.8146067415730336"/>
    <s v="http://ingramswaterandair.com"/>
    <m/>
  </r>
  <r>
    <m/>
    <s v="Not Shown"/>
    <s v="Hot Water"/>
    <s v="Pilot"/>
    <n v="150"/>
    <x v="3"/>
    <x v="0"/>
    <n v="0.8"/>
    <n v="1"/>
    <n v="1776"/>
    <n v="11.84"/>
    <s v="http://ecomfort.com/"/>
    <m/>
  </r>
  <r>
    <m/>
    <s v="Not Shown"/>
    <s v="Steam"/>
    <m/>
    <n v="606"/>
    <x v="1"/>
    <x v="0"/>
    <n v="0.79702970297029707"/>
    <n v="0"/>
    <n v="7875"/>
    <n v="12.995049504950495"/>
    <s v="http://ingramswaterandair.com"/>
    <m/>
  </r>
  <r>
    <m/>
    <s v="Not Shown"/>
    <s v="Hot Water"/>
    <m/>
    <n v="606"/>
    <x v="4"/>
    <x v="0"/>
    <n v="0.79702970297029707"/>
    <n v="0"/>
    <n v="7232"/>
    <n v="11.933993399339935"/>
    <s v="http://ingramswaterandair.com"/>
    <m/>
  </r>
  <r>
    <m/>
    <s v="Not Shown"/>
    <s v="Hot Water"/>
    <m/>
    <n v="1999"/>
    <x v="4"/>
    <x v="0"/>
    <n v="0.84"/>
    <m/>
    <n v="25000"/>
    <n v="12.506253126563282"/>
    <s v="SCG Rebates"/>
    <m/>
  </r>
  <r>
    <m/>
    <s v="Not Shown"/>
    <s v="Steam"/>
    <m/>
    <n v="2367"/>
    <x v="1"/>
    <x v="0"/>
    <n v="0.80270384452893961"/>
    <n v="0"/>
    <n v="20096"/>
    <n v="8.4900718208703001"/>
    <s v="http://ingramswaterandair.com"/>
    <m/>
  </r>
  <r>
    <m/>
    <s v="Not Shown"/>
    <s v="Hot Water"/>
    <s v="Pilot"/>
    <n v="120"/>
    <x v="3"/>
    <x v="0"/>
    <n v="0.8"/>
    <n v="1"/>
    <n v="1534"/>
    <n v="12.783333333333333"/>
    <s v="http://ingramswaterandair.com"/>
    <m/>
  </r>
  <r>
    <m/>
    <s v="Not Shown"/>
    <s v="Steam"/>
    <m/>
    <n v="16500"/>
    <x v="2"/>
    <x v="0"/>
    <n v="0.82699999999999996"/>
    <n v="0"/>
    <n v="173400"/>
    <n v="10.50909090909091"/>
    <s v="SCG Rebates"/>
    <m/>
  </r>
  <r>
    <m/>
    <s v="Not Shown"/>
    <s v="Steam"/>
    <m/>
    <n v="1060"/>
    <x v="1"/>
    <x v="0"/>
    <n v="0.82"/>
    <n v="0"/>
    <n v="27500"/>
    <n v="25.943396226415093"/>
    <s v="SCG Rebates"/>
    <m/>
  </r>
  <r>
    <m/>
    <s v="Not Shown"/>
    <s v="Steam"/>
    <m/>
    <n v="2000"/>
    <x v="1"/>
    <x v="1"/>
    <n v="0.84199999999999997"/>
    <n v="0"/>
    <n v="36000"/>
    <n v="18"/>
    <s v="SCG Rebates"/>
    <m/>
  </r>
  <r>
    <m/>
    <s v="Not Shown"/>
    <s v="Steam"/>
    <m/>
    <n v="1995"/>
    <x v="1"/>
    <x v="0"/>
    <n v="0.82099999999999995"/>
    <n v="0"/>
    <n v="77520"/>
    <n v="38.857142857142854"/>
    <s v="SCG Rebates"/>
    <m/>
  </r>
  <r>
    <m/>
    <s v="Not Shown"/>
    <s v="Steam"/>
    <m/>
    <n v="1995"/>
    <x v="1"/>
    <x v="1"/>
    <n v="0.83299999999999996"/>
    <n v="0"/>
    <n v="70300"/>
    <n v="35.238095238095241"/>
    <s v="SCG Rebates"/>
    <m/>
  </r>
  <r>
    <m/>
    <s v="Not Shown"/>
    <s v="Steam"/>
    <m/>
    <n v="8300"/>
    <x v="2"/>
    <x v="1"/>
    <n v="0.83599999999999997"/>
    <n v="0"/>
    <n v="75980"/>
    <n v="9.1542168674698789"/>
    <s v="SCG Rebates"/>
    <m/>
  </r>
  <r>
    <m/>
    <s v="Not Shown"/>
    <s v="Steam"/>
    <m/>
    <n v="1969"/>
    <x v="1"/>
    <x v="1"/>
    <n v="0.83899999999999997"/>
    <n v="0"/>
    <n v="36819"/>
    <n v="18.699339766378873"/>
    <s v="SCG Rebates"/>
    <m/>
  </r>
  <r>
    <m/>
    <s v="Not Shown"/>
    <s v="Steam"/>
    <m/>
    <n v="8300"/>
    <x v="2"/>
    <x v="0"/>
    <n v="0.82399999999999995"/>
    <n v="0"/>
    <n v="98553"/>
    <n v="11.873855421686747"/>
    <s v="SCG Rebates"/>
    <m/>
  </r>
  <r>
    <m/>
    <s v="Not Shown"/>
    <s v="Hot Water"/>
    <m/>
    <n v="225"/>
    <x v="3"/>
    <x v="2"/>
    <n v="0.94"/>
    <m/>
    <n v="2886"/>
    <n v="12.826666666666666"/>
    <s v="http://www.prowaterheatersupply.com/"/>
    <m/>
  </r>
  <r>
    <m/>
    <s v="Not Shown"/>
    <s v="Hot Water"/>
    <s v="Electronic"/>
    <n v="150"/>
    <x v="3"/>
    <x v="0"/>
    <n v="0.83"/>
    <n v="1"/>
    <n v="1936"/>
    <n v="12.906666666666666"/>
    <s v="http://ecomfort.com/"/>
    <m/>
  </r>
  <r>
    <m/>
    <s v="Not Shown"/>
    <s v="Hot Water"/>
    <s v="Pilot"/>
    <n v="594"/>
    <x v="4"/>
    <x v="0"/>
    <n v="0.8"/>
    <n v="0"/>
    <n v="7693"/>
    <n v="12.951178451178452"/>
    <s v="http://ingramswaterandair.com"/>
    <m/>
  </r>
  <r>
    <m/>
    <s v="Not Shown"/>
    <s v="Hot Water"/>
    <s v="Pilot"/>
    <n v="175"/>
    <x v="3"/>
    <x v="0"/>
    <n v="0.8"/>
    <n v="1"/>
    <n v="2396"/>
    <n v="13.691428571428572"/>
    <s v="http://ingramswaterandair.com"/>
    <m/>
  </r>
  <r>
    <m/>
    <s v="Not Shown"/>
    <s v="Hot Water"/>
    <s v="Electronic"/>
    <n v="162"/>
    <x v="3"/>
    <x v="0"/>
    <n v="0.81400000000000006"/>
    <n v="1"/>
    <n v="2239"/>
    <n v="13.820987654320987"/>
    <s v="http://www.alpinehomeair.com/"/>
    <m/>
  </r>
  <r>
    <m/>
    <s v="Not Shown"/>
    <s v="Hot Water"/>
    <s v="Electronic"/>
    <n v="120"/>
    <x v="3"/>
    <x v="0"/>
    <n v="0.82"/>
    <n v="1"/>
    <n v="1706"/>
    <n v="14.216666666666667"/>
    <s v="http://ingramswaterandair.com"/>
    <m/>
  </r>
  <r>
    <m/>
    <s v="Not Shown"/>
    <s v="Hot Water"/>
    <s v="Pilot"/>
    <n v="162"/>
    <x v="3"/>
    <x v="0"/>
    <n v="0.80300000000000005"/>
    <n v="1"/>
    <n v="2307"/>
    <n v="14.24074074074074"/>
    <s v="http://www.alpinehomeair.com/"/>
    <m/>
  </r>
  <r>
    <m/>
    <s v="Not Shown"/>
    <s v="Hot Water"/>
    <m/>
    <n v="1250"/>
    <x v="4"/>
    <x v="1"/>
    <n v="0.85"/>
    <m/>
    <n v="18225.5"/>
    <n v="14.580399999999999"/>
    <s v="SCG Rebates"/>
    <m/>
  </r>
  <r>
    <m/>
    <s v="Not Shown"/>
    <s v="Hot Water"/>
    <s v="Electronic"/>
    <n v="128"/>
    <x v="3"/>
    <x v="0"/>
    <n v="0.82"/>
    <n v="1"/>
    <n v="1988"/>
    <n v="15.53125"/>
    <s v="http://www.alpinehomeair.com/"/>
    <m/>
  </r>
  <r>
    <m/>
    <s v="Not Shown"/>
    <s v="Hot Water"/>
    <s v="Pilot"/>
    <n v="128"/>
    <x v="3"/>
    <x v="0"/>
    <n v="0.8"/>
    <n v="1"/>
    <n v="2033"/>
    <n v="15.8828125"/>
    <s v="http://www.alpinehomeair.com/"/>
    <m/>
  </r>
  <r>
    <m/>
    <s v="Not Shown"/>
    <s v="Hot Water"/>
    <s v="Electronic"/>
    <n v="162"/>
    <x v="3"/>
    <x v="0"/>
    <n v="0.82499999999999996"/>
    <n v="1"/>
    <n v="2741"/>
    <n v="16.919753086419753"/>
    <s v="http://www.alpinehomeair.com/"/>
    <m/>
  </r>
  <r>
    <m/>
    <s v="Not Shown"/>
    <s v="Hot Water"/>
    <s v="Electronic"/>
    <n v="128"/>
    <x v="3"/>
    <x v="0"/>
    <n v="0.82799999999999996"/>
    <n v="1"/>
    <n v="2179"/>
    <n v="17.0234375"/>
    <s v="http://www.alpinehomeair.com/"/>
    <m/>
  </r>
  <r>
    <m/>
    <s v="Not Shown"/>
    <s v="Hot Water"/>
    <s v="Electronic"/>
    <n v="200"/>
    <x v="3"/>
    <x v="2"/>
    <n v="0.9"/>
    <n v="1"/>
    <n v="3758"/>
    <n v="18.79"/>
    <s v="http://ingramswaterandair.com"/>
    <m/>
  </r>
  <r>
    <m/>
    <s v="Not Shown"/>
    <s v="Hot Water"/>
    <s v="Electronic"/>
    <n v="500"/>
    <x v="4"/>
    <x v="2"/>
    <n v="0.95"/>
    <n v="1"/>
    <n v="9760"/>
    <n v="19.52"/>
    <s v="http://www.buyplumbing.net/"/>
    <m/>
  </r>
  <r>
    <m/>
    <s v="Not Shown"/>
    <s v="Hot Water"/>
    <s v="Electronic"/>
    <n v="399"/>
    <x v="4"/>
    <x v="2"/>
    <n v="0.95099999999999996"/>
    <n v="1"/>
    <n v="7796"/>
    <n v="19.538847117794486"/>
    <s v="http://ingramswaterandair.com"/>
    <m/>
  </r>
  <r>
    <m/>
    <s v="Not Shown"/>
    <s v="Hot Water"/>
    <m/>
    <n v="1999"/>
    <x v="4"/>
    <x v="1"/>
    <n v="0.86"/>
    <n v="0"/>
    <n v="40818.5"/>
    <n v="20.419459729864933"/>
    <s v="SCG Rebates"/>
    <m/>
  </r>
  <r>
    <m/>
    <s v="Not Shown"/>
    <s v="Hot Water"/>
    <m/>
    <n v="2000"/>
    <x v="4"/>
    <x v="1"/>
    <n v="0.85599999999999998"/>
    <n v="0"/>
    <n v="40995"/>
    <n v="20.497499999999999"/>
    <s v="SCG Rebates"/>
    <m/>
  </r>
  <r>
    <m/>
    <s v="Not Shown"/>
    <s v="Hot Water"/>
    <s v="Electronic"/>
    <n v="70"/>
    <x v="3"/>
    <x v="0"/>
    <n v="0.82"/>
    <n v="1"/>
    <n v="1448"/>
    <n v="20.685714285714287"/>
    <s v="http://ingramswaterandair.com"/>
    <m/>
  </r>
  <r>
    <m/>
    <s v="Not Shown"/>
    <s v="Hot Water"/>
    <s v="Electronic"/>
    <n v="225"/>
    <x v="3"/>
    <x v="2"/>
    <n v="0.94199999999999995"/>
    <n v="1"/>
    <n v="4723"/>
    <n v="20.99111111111111"/>
    <s v="http://www.alpinehomeair.com/"/>
    <m/>
  </r>
  <r>
    <m/>
    <s v="Not Shown"/>
    <s v="Hot Water"/>
    <s v="Electronic"/>
    <n v="199"/>
    <x v="3"/>
    <x v="2"/>
    <n v="0.95099999999999996"/>
    <n v="1"/>
    <n v="4304"/>
    <n v="21.628140703517587"/>
    <s v="http://ingramswaterandair.com"/>
    <m/>
  </r>
  <r>
    <m/>
    <s v="Not Shown"/>
    <s v="Hot Water"/>
    <s v="Electronic"/>
    <n v="150"/>
    <x v="3"/>
    <x v="2"/>
    <n v="0.93100000000000005"/>
    <n v="1"/>
    <n v="3375"/>
    <n v="22.5"/>
    <s v="http://www.alpinehomeair.com/"/>
    <m/>
  </r>
  <r>
    <m/>
    <s v="Not Shown"/>
    <s v="Hot Water"/>
    <s v="Electronic"/>
    <n v="200"/>
    <x v="3"/>
    <x v="2"/>
    <n v="0.95"/>
    <n v="1"/>
    <n v="4575"/>
    <n v="22.875"/>
    <s v="http://ingramswaterandair.com"/>
    <s v="modulating"/>
  </r>
  <r>
    <m/>
    <s v="Not Shown"/>
    <s v="Hot Water"/>
    <m/>
    <n v="205"/>
    <x v="3"/>
    <x v="2"/>
    <n v="0.97"/>
    <m/>
    <n v="4696"/>
    <n v="22.907317073170731"/>
    <m/>
    <m/>
  </r>
  <r>
    <m/>
    <s v="Not Shown"/>
    <s v="Hot Water"/>
    <m/>
    <n v="500"/>
    <x v="4"/>
    <x v="2"/>
    <n v="0.96"/>
    <m/>
    <n v="13123.95"/>
    <n v="26.247900000000001"/>
    <s v="www.Pexsupply.com"/>
    <m/>
  </r>
  <r>
    <m/>
    <s v="Not Shown"/>
    <s v="Hot Water"/>
    <m/>
    <n v="285"/>
    <x v="3"/>
    <x v="2"/>
    <n v="0.95"/>
    <n v="1"/>
    <n v="7728"/>
    <n v="27.11578947368421"/>
    <s v="http://ingramswaterandair.com"/>
    <m/>
  </r>
  <r>
    <m/>
    <s v="Not Shown"/>
    <s v="Hot Water"/>
    <s v="Electronic"/>
    <n v="140"/>
    <x v="3"/>
    <x v="2"/>
    <n v="0.95099999999999996"/>
    <n v="1"/>
    <n v="3904"/>
    <n v="27.885714285714286"/>
    <s v="http://ingramswaterandair.com"/>
    <m/>
  </r>
  <r>
    <m/>
    <s v="Not Shown"/>
    <s v="Hot Water"/>
    <s v="Pilot"/>
    <n v="61"/>
    <x v="3"/>
    <x v="0"/>
    <n v="0.8"/>
    <n v="1"/>
    <n v="1709"/>
    <n v="28.016393442622952"/>
    <s v="http://www.alpinehomeair.com/"/>
    <m/>
  </r>
  <r>
    <m/>
    <s v="Not Shown"/>
    <s v="Hot Water"/>
    <s v="Electronic"/>
    <n v="61"/>
    <x v="3"/>
    <x v="0"/>
    <n v="0.82599999999999996"/>
    <n v="1"/>
    <n v="1717"/>
    <n v="28.147540983606557"/>
    <s v="http://www.alpinehomeair.com/"/>
    <m/>
  </r>
  <r>
    <m/>
    <s v="Not Shown"/>
    <s v="Hot Water"/>
    <s v="Electronic"/>
    <n v="574"/>
    <x v="4"/>
    <x v="2"/>
    <n v="0.94299999999999995"/>
    <n v="0"/>
    <n v="16195"/>
    <n v="28.214285714285715"/>
    <s v="http://www.pexsupply.com/Lochinvar-KBN701-660100-BTU-Knight-XL-High-Efficiency-Boiler"/>
    <m/>
  </r>
  <r>
    <m/>
    <s v="Not Shown"/>
    <s v="Hot Water"/>
    <s v="Electronic"/>
    <n v="120"/>
    <x v="3"/>
    <x v="2"/>
    <n v="0.95199999999999996"/>
    <n v="1"/>
    <n v="3502"/>
    <n v="29.183333333333334"/>
    <s v="http://www.alpinehomeair.com/"/>
    <m/>
  </r>
  <r>
    <m/>
    <s v="Not Shown"/>
    <s v="Hot Water"/>
    <s v="Electronic"/>
    <n v="125"/>
    <x v="3"/>
    <x v="2"/>
    <n v="0.9"/>
    <n v="1"/>
    <n v="3758"/>
    <n v="30.064"/>
    <s v="http://ingramswaterandair.com"/>
    <m/>
  </r>
  <r>
    <m/>
    <s v="Not Shown"/>
    <s v="Hot Water"/>
    <s v="Electronic"/>
    <n v="61"/>
    <x v="3"/>
    <x v="0"/>
    <n v="0.83299999999999996"/>
    <n v="1"/>
    <n v="1907"/>
    <n v="31.262295081967213"/>
    <s v="http://www.alpinehomeair.com/"/>
    <m/>
  </r>
  <r>
    <m/>
    <s v="Not Shown"/>
    <s v="Hot Water"/>
    <s v="Electronic"/>
    <n v="80"/>
    <x v="3"/>
    <x v="2"/>
    <n v="0.95099999999999996"/>
    <n v="1"/>
    <n v="2926"/>
    <n v="36.575000000000003"/>
    <s v="http://ingramswaterandair.com"/>
    <m/>
  </r>
  <r>
    <m/>
    <s v="Not Shown"/>
    <s v="Hot Water"/>
    <s v="Electronic"/>
    <n v="75"/>
    <x v="3"/>
    <x v="2"/>
    <n v="0.9"/>
    <n v="1"/>
    <n v="3518"/>
    <n v="46.906666666666666"/>
    <s v="http://ingramswaterandair.com"/>
    <s v="Includes circulator not included on Munchkin"/>
  </r>
  <r>
    <m/>
    <s v="Not Shown"/>
    <s v="Hot Water"/>
    <s v="Electronic"/>
    <n v="70"/>
    <x v="3"/>
    <x v="2"/>
    <n v="0.93100000000000005"/>
    <n v="1"/>
    <n v="3347"/>
    <n v="47.814285714285717"/>
    <s v="http://www.alpinehomeair.com/"/>
    <m/>
  </r>
  <r>
    <m/>
    <s v="Not Shown"/>
    <s v="Hot Water"/>
    <s v="Electronic"/>
    <n v="50"/>
    <x v="3"/>
    <x v="2"/>
    <n v="0.95099999999999996"/>
    <n v="1"/>
    <n v="2825"/>
    <n v="56.5"/>
    <s v="http://ingramswaterandair.com"/>
    <m/>
  </r>
  <r>
    <m/>
    <s v="Not Shown"/>
    <s v="Hot Water"/>
    <m/>
    <n v="3000"/>
    <x v="5"/>
    <x v="0"/>
    <n v="0.8"/>
    <m/>
    <n v="54200"/>
    <n v="18.066666666666666"/>
    <s v="SaddlebackEnergy"/>
    <m/>
  </r>
  <r>
    <m/>
    <s v="Not Shown"/>
    <s v="Hot Water"/>
    <m/>
    <n v="4500"/>
    <x v="5"/>
    <x v="1"/>
    <n v="0.85"/>
    <m/>
    <n v="83520"/>
    <n v="18.559999999999999"/>
    <s v="Bob Jones, Parker"/>
    <m/>
  </r>
  <r>
    <m/>
    <s v="Not Shown"/>
    <s v="Hot Water"/>
    <m/>
    <n v="6800"/>
    <x v="5"/>
    <x v="1"/>
    <n v="0.85"/>
    <m/>
    <n v="126208"/>
    <n v="18.559999999999999"/>
    <s v="Bob Jones, Parker"/>
    <m/>
  </r>
  <r>
    <m/>
    <s v="Not Shown"/>
    <s v="Hot Water"/>
    <m/>
    <n v="2160"/>
    <x v="4"/>
    <x v="1"/>
    <n v="0.85"/>
    <m/>
    <n v="40090"/>
    <n v="18.560185185185187"/>
    <s v="Bob Jones, Parker"/>
    <m/>
  </r>
  <r>
    <m/>
    <s v="Not Shown"/>
    <s v="Hot Water"/>
    <m/>
    <n v="2000"/>
    <x v="4"/>
    <x v="0"/>
    <n v="0.8"/>
    <m/>
    <n v="38500"/>
    <n v="19.25"/>
    <s v="SaddlebackEnergy"/>
    <m/>
  </r>
  <r>
    <m/>
    <s v="Not Shown"/>
    <s v="Hot Water"/>
    <m/>
    <n v="2700"/>
    <x v="5"/>
    <x v="2"/>
    <n v="0.9"/>
    <m/>
    <n v="56500"/>
    <n v="20.925925925925927"/>
    <s v="SaddlebackEnergy"/>
    <m/>
  </r>
  <r>
    <m/>
    <s v="Not Shown"/>
    <s v="Hot Water"/>
    <m/>
    <n v="2160"/>
    <x v="4"/>
    <x v="2"/>
    <n v="0.96"/>
    <m/>
    <n v="48600"/>
    <n v="22.5"/>
    <s v="Bob Jones, Parker"/>
    <m/>
  </r>
  <r>
    <m/>
    <s v="Not Shown"/>
    <s v="Hot Water"/>
    <m/>
    <n v="4500"/>
    <x v="5"/>
    <x v="2"/>
    <n v="0.96"/>
    <m/>
    <n v="101250"/>
    <n v="22.5"/>
    <s v="Bob Jones, Parker"/>
    <m/>
  </r>
  <r>
    <m/>
    <s v="Not Shown"/>
    <s v="Hot Water"/>
    <m/>
    <n v="6800"/>
    <x v="5"/>
    <x v="2"/>
    <n v="0.96"/>
    <m/>
    <n v="153000"/>
    <n v="22.5"/>
    <s v="Bob Jones, Parker"/>
    <m/>
  </r>
  <r>
    <m/>
    <s v="Not Shown"/>
    <s v="Hot Water"/>
    <m/>
    <n v="1500"/>
    <x v="4"/>
    <x v="0"/>
    <n v="0.8"/>
    <m/>
    <n v="34400"/>
    <n v="22.933333333333334"/>
    <s v="SaddlebackEnergy"/>
    <m/>
  </r>
  <r>
    <m/>
    <s v="Not Shown"/>
    <s v="Hot Water"/>
    <m/>
    <n v="2000"/>
    <x v="4"/>
    <x v="2"/>
    <n v="0.9"/>
    <m/>
    <n v="47900"/>
    <n v="23.95"/>
    <s v="SaddlebackEnergy"/>
    <m/>
  </r>
  <r>
    <m/>
    <s v="Not Shown"/>
    <s v="Hot Water"/>
    <m/>
    <n v="1500"/>
    <x v="4"/>
    <x v="2"/>
    <n v="0.9"/>
    <m/>
    <n v="46100"/>
    <n v="30.733333333333334"/>
    <s v="SaddlebackEnergy"/>
    <m/>
  </r>
  <r>
    <m/>
    <m/>
    <m/>
    <m/>
    <m/>
    <x v="6"/>
    <x v="3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a" updatedVersion="3" minRefreshableVersion="3" asteriskTotals="1" showMemberPropertyTips="0" useAutoFormatting="1" itemPrintTitles="1" createdVersion="4" indent="0" compact="0" compactData="0" gridDropZones="1">
  <location ref="A3:F18" firstHeaderRow="1" firstDataRow="2" firstDataCol="2"/>
  <pivotFields count="13">
    <pivotField compact="0" outline="0" showAll="0" defaultSubtotal="0"/>
    <pivotField dataField="1" compact="0" outline="0" showAll="0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9">
        <item x="6"/>
        <item x="0"/>
        <item x="1"/>
        <item x="2"/>
        <item x="3"/>
        <item x="4"/>
        <item x="5"/>
        <item m="1" x="7"/>
        <item t="default"/>
      </items>
    </pivotField>
    <pivotField axis="axisCol" compact="0" outline="0" showAll="0" defaultSubtotal="0">
      <items count="6">
        <item x="0"/>
        <item h="1" m="1" x="5"/>
        <item m="1" x="4"/>
        <item x="1"/>
        <item x="2"/>
        <item h="1" x="3"/>
      </items>
    </pivotField>
    <pivotField compact="0" numFmtId="165" outline="0" subtotalTop="0" showAll="0" includeNewItemsInFilter="1"/>
    <pivotField compact="0" outline="0" subtotalTop="0" showAll="0" includeNewItemsInFilter="1"/>
    <pivotField compact="0" numFmtId="164" outline="0" subtotalTop="0" showAll="0" includeNewItemsInFilter="1"/>
    <pivotField dataField="1" compact="0" numFmtId="164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5"/>
    <field x="-2"/>
  </rowFields>
  <rowItems count="14"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 t="grand">
      <x/>
    </i>
    <i t="grand" i="1">
      <x/>
    </i>
  </rowItems>
  <colFields count="1">
    <field x="6"/>
  </colFields>
  <colItems count="4">
    <i>
      <x/>
    </i>
    <i>
      <x v="3"/>
    </i>
    <i>
      <x v="4"/>
    </i>
    <i t="grand">
      <x/>
    </i>
  </colItems>
  <dataFields count="2">
    <dataField name="Average of Cost/kBtu" fld="10" subtotal="average" baseField="0" baseItem="0" numFmtId="166"/>
    <dataField name="Count of Column2" fld="1" subtotal="count" baseField="0" baseItem="0"/>
  </dataField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M109" totalsRowShown="0" headerRowDxfId="10">
  <autoFilter ref="A1:M109"/>
  <tableColumns count="13">
    <tableColumn id="1" name="Column1" dataDxfId="9"/>
    <tableColumn id="2" name="Column2"/>
    <tableColumn id="3" name="Type" dataDxfId="8"/>
    <tableColumn id="4" name="Ignition" dataDxfId="7"/>
    <tableColumn id="5" name="Fuel Input, kBtu/hr"/>
    <tableColumn id="6" name="Category" dataDxfId="6">
      <calculatedColumnFormula>IF(E2&lt;300,CONCATENATE("Small ",C2),IF(AND(E2&gt;=300,E2&lt;2500),CONCATENATE("Medium ",C2),CONCATENATE("Large ",C2)))</calculatedColumnFormula>
    </tableColumn>
    <tableColumn id="7" name="Efficiency Class" dataDxfId="5">
      <calculatedColumnFormula>IF(C2="Steam",IF(H2&gt;=0.83,"High","Baseline"),IF(H2&gt;=0.9,"Condensing",IF(H2&lt;0.85,"Baseline","High")))</calculatedColumnFormula>
    </tableColumn>
    <tableColumn id="8" name="Efficiency" dataDxfId="4"/>
    <tableColumn id="9" name="AFUE" dataDxfId="3"/>
    <tableColumn id="10" name="Price" dataDxfId="2"/>
    <tableColumn id="11" name="Cost/kBtu" dataDxfId="1">
      <calculatedColumnFormula>J2/E2</calculatedColumnFormula>
    </tableColumn>
    <tableColumn id="12" name="Source" dataDxfId="0" dataCellStyle="Hyperlink"/>
    <tableColumn id="13" name="Commen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ingramswaterandair.com/" TargetMode="External"/><Relationship Id="rId13" Type="http://schemas.openxmlformats.org/officeDocument/2006/relationships/hyperlink" Target="http://ingramswaterandair.com/" TargetMode="External"/><Relationship Id="rId18" Type="http://schemas.openxmlformats.org/officeDocument/2006/relationships/hyperlink" Target="http://ecomfort.com/" TargetMode="External"/><Relationship Id="rId26" Type="http://schemas.openxmlformats.org/officeDocument/2006/relationships/hyperlink" Target="http://www.alpinehomeair.com/" TargetMode="External"/><Relationship Id="rId39" Type="http://schemas.openxmlformats.org/officeDocument/2006/relationships/hyperlink" Target="http://ingramswaterandair.com/" TargetMode="External"/><Relationship Id="rId3" Type="http://schemas.openxmlformats.org/officeDocument/2006/relationships/hyperlink" Target="http://ecomfort.com/" TargetMode="External"/><Relationship Id="rId21" Type="http://schemas.openxmlformats.org/officeDocument/2006/relationships/hyperlink" Target="http://ecomfort.com/" TargetMode="External"/><Relationship Id="rId34" Type="http://schemas.openxmlformats.org/officeDocument/2006/relationships/hyperlink" Target="http://www.buyplumbingonline.com/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://ingramswaterandair.com/" TargetMode="External"/><Relationship Id="rId12" Type="http://schemas.openxmlformats.org/officeDocument/2006/relationships/hyperlink" Target="http://ingramswaterandair.com/" TargetMode="External"/><Relationship Id="rId17" Type="http://schemas.openxmlformats.org/officeDocument/2006/relationships/hyperlink" Target="http://ingramswaterandair.com/" TargetMode="External"/><Relationship Id="rId25" Type="http://schemas.openxmlformats.org/officeDocument/2006/relationships/hyperlink" Target="http://www.alpinehomeair.com/" TargetMode="External"/><Relationship Id="rId33" Type="http://schemas.openxmlformats.org/officeDocument/2006/relationships/hyperlink" Target="http://www.buyplumbingonline.com/" TargetMode="External"/><Relationship Id="rId38" Type="http://schemas.openxmlformats.org/officeDocument/2006/relationships/hyperlink" Target="http://www.prowaterheatersupply.com/" TargetMode="External"/><Relationship Id="rId2" Type="http://schemas.openxmlformats.org/officeDocument/2006/relationships/hyperlink" Target="http://ingramswaterandair.com/" TargetMode="External"/><Relationship Id="rId16" Type="http://schemas.openxmlformats.org/officeDocument/2006/relationships/hyperlink" Target="http://ingramswaterandair.com/" TargetMode="External"/><Relationship Id="rId20" Type="http://schemas.openxmlformats.org/officeDocument/2006/relationships/hyperlink" Target="http://ecomfort.com/" TargetMode="External"/><Relationship Id="rId29" Type="http://schemas.openxmlformats.org/officeDocument/2006/relationships/hyperlink" Target="http://www.alpinehomeair.com/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ingramswaterandair.com/" TargetMode="External"/><Relationship Id="rId6" Type="http://schemas.openxmlformats.org/officeDocument/2006/relationships/hyperlink" Target="http://ingramswaterandair.com/" TargetMode="External"/><Relationship Id="rId11" Type="http://schemas.openxmlformats.org/officeDocument/2006/relationships/hyperlink" Target="http://ingramswaterandair.com/" TargetMode="External"/><Relationship Id="rId24" Type="http://schemas.openxmlformats.org/officeDocument/2006/relationships/hyperlink" Target="http://www.alpinehomeair.com/" TargetMode="External"/><Relationship Id="rId32" Type="http://schemas.openxmlformats.org/officeDocument/2006/relationships/hyperlink" Target="http://www.tanklessking.com/" TargetMode="External"/><Relationship Id="rId37" Type="http://schemas.openxmlformats.org/officeDocument/2006/relationships/hyperlink" Target="http://www.pexsupply.com/" TargetMode="External"/><Relationship Id="rId40" Type="http://schemas.openxmlformats.org/officeDocument/2006/relationships/hyperlink" Target="http://ingramswaterandair.com/" TargetMode="External"/><Relationship Id="rId5" Type="http://schemas.openxmlformats.org/officeDocument/2006/relationships/hyperlink" Target="http://ingramswaterandair.com/" TargetMode="External"/><Relationship Id="rId15" Type="http://schemas.openxmlformats.org/officeDocument/2006/relationships/hyperlink" Target="http://ingramswaterandair.com/" TargetMode="External"/><Relationship Id="rId23" Type="http://schemas.openxmlformats.org/officeDocument/2006/relationships/hyperlink" Target="http://buyplumbing.net/" TargetMode="External"/><Relationship Id="rId28" Type="http://schemas.openxmlformats.org/officeDocument/2006/relationships/hyperlink" Target="http://www.alpinehomeair.com/" TargetMode="External"/><Relationship Id="rId36" Type="http://schemas.openxmlformats.org/officeDocument/2006/relationships/hyperlink" Target="http://www.buyplumbingonline.com/" TargetMode="External"/><Relationship Id="rId10" Type="http://schemas.openxmlformats.org/officeDocument/2006/relationships/hyperlink" Target="http://ingramswaterandair.com/" TargetMode="External"/><Relationship Id="rId19" Type="http://schemas.openxmlformats.org/officeDocument/2006/relationships/hyperlink" Target="http://ingramswaterandair.com/" TargetMode="External"/><Relationship Id="rId31" Type="http://schemas.openxmlformats.org/officeDocument/2006/relationships/hyperlink" Target="http://www.buyplumbingonline.com/" TargetMode="External"/><Relationship Id="rId4" Type="http://schemas.openxmlformats.org/officeDocument/2006/relationships/hyperlink" Target="http://ecomfort.com/" TargetMode="External"/><Relationship Id="rId9" Type="http://schemas.openxmlformats.org/officeDocument/2006/relationships/hyperlink" Target="http://ingramswaterandair.com/" TargetMode="External"/><Relationship Id="rId14" Type="http://schemas.openxmlformats.org/officeDocument/2006/relationships/hyperlink" Target="http://ingramswaterandair.com/" TargetMode="External"/><Relationship Id="rId22" Type="http://schemas.openxmlformats.org/officeDocument/2006/relationships/hyperlink" Target="http://www.buyplumbing.net/" TargetMode="External"/><Relationship Id="rId27" Type="http://schemas.openxmlformats.org/officeDocument/2006/relationships/hyperlink" Target="http://www.alpinehomeair.com/" TargetMode="External"/><Relationship Id="rId30" Type="http://schemas.openxmlformats.org/officeDocument/2006/relationships/hyperlink" Target="http://www.buyplumbingonline.com/" TargetMode="External"/><Relationship Id="rId35" Type="http://schemas.openxmlformats.org/officeDocument/2006/relationships/hyperlink" Target="http://www.buyplumbingonline.com/" TargetMode="External"/><Relationship Id="rId4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F10" sqref="F10"/>
    </sheetView>
  </sheetViews>
  <sheetFormatPr defaultRowHeight="12.75" x14ac:dyDescent="0.2"/>
  <cols>
    <col min="2" max="2" width="31.42578125" customWidth="1"/>
    <col min="3" max="3" width="16.28515625" customWidth="1"/>
    <col min="4" max="4" width="10.42578125" style="4" customWidth="1"/>
    <col min="5" max="5" width="20.42578125" customWidth="1"/>
  </cols>
  <sheetData>
    <row r="1" spans="1:10" ht="20.25" x14ac:dyDescent="0.3">
      <c r="A1" s="1" t="s">
        <v>178</v>
      </c>
      <c r="B1" s="2"/>
      <c r="C1" s="2"/>
      <c r="D1" s="3"/>
      <c r="E1" s="2"/>
      <c r="F1" s="2"/>
      <c r="G1" s="2"/>
      <c r="H1" s="2"/>
      <c r="I1" s="2"/>
      <c r="J1" s="2"/>
    </row>
    <row r="2" spans="1:10" x14ac:dyDescent="0.2">
      <c r="A2" s="2"/>
      <c r="B2" s="2"/>
      <c r="C2" s="2"/>
      <c r="D2" s="3"/>
      <c r="E2" s="2"/>
      <c r="F2" s="2"/>
      <c r="G2" s="2"/>
      <c r="H2" s="2"/>
      <c r="I2" s="2"/>
      <c r="J2" s="2"/>
    </row>
    <row r="3" spans="1:10" x14ac:dyDescent="0.2">
      <c r="A3" s="2"/>
    </row>
    <row r="4" spans="1:10" x14ac:dyDescent="0.2">
      <c r="A4" s="68" t="s">
        <v>179</v>
      </c>
      <c r="B4" s="69"/>
      <c r="C4" s="69"/>
      <c r="D4" s="69"/>
      <c r="E4" s="69"/>
      <c r="F4" s="69"/>
    </row>
    <row r="5" spans="1:10" x14ac:dyDescent="0.2">
      <c r="A5" s="68"/>
      <c r="B5" s="69" t="s">
        <v>180</v>
      </c>
      <c r="C5" s="69"/>
      <c r="D5" s="69"/>
      <c r="E5" s="69"/>
      <c r="F5" s="69"/>
    </row>
    <row r="6" spans="1:10" x14ac:dyDescent="0.2">
      <c r="A6" s="68"/>
      <c r="B6" s="69"/>
      <c r="C6" s="69"/>
      <c r="D6" s="69"/>
      <c r="E6" s="69"/>
      <c r="F6" s="69"/>
    </row>
    <row r="7" spans="1:10" x14ac:dyDescent="0.2">
      <c r="A7" s="69"/>
      <c r="B7" s="70"/>
      <c r="C7" s="70" t="s">
        <v>0</v>
      </c>
      <c r="D7" s="70" t="s">
        <v>2</v>
      </c>
      <c r="E7" s="70" t="s">
        <v>1</v>
      </c>
      <c r="F7" s="70" t="s">
        <v>3</v>
      </c>
    </row>
    <row r="8" spans="1:10" x14ac:dyDescent="0.2">
      <c r="A8" s="69"/>
      <c r="B8" s="70" t="s">
        <v>181</v>
      </c>
      <c r="C8" s="70" t="s">
        <v>177</v>
      </c>
      <c r="D8" s="71" t="s">
        <v>5</v>
      </c>
      <c r="E8" s="72">
        <v>0.8</v>
      </c>
      <c r="F8" s="72" t="s">
        <v>185</v>
      </c>
    </row>
    <row r="9" spans="1:10" x14ac:dyDescent="0.2">
      <c r="A9" s="69"/>
      <c r="B9" s="70" t="s">
        <v>182</v>
      </c>
      <c r="C9" s="70" t="s">
        <v>177</v>
      </c>
      <c r="D9" s="71" t="s">
        <v>5</v>
      </c>
      <c r="E9" s="72">
        <v>0.8</v>
      </c>
      <c r="F9" s="72" t="s">
        <v>6</v>
      </c>
    </row>
    <row r="10" spans="1:10" x14ac:dyDescent="0.2">
      <c r="A10" s="69"/>
      <c r="B10" s="70" t="s">
        <v>17</v>
      </c>
      <c r="C10" s="70" t="s">
        <v>177</v>
      </c>
      <c r="D10" s="71" t="s">
        <v>5</v>
      </c>
      <c r="E10" s="72">
        <v>0.8</v>
      </c>
      <c r="F10" s="72" t="s">
        <v>7</v>
      </c>
    </row>
    <row r="11" spans="1:10" x14ac:dyDescent="0.2">
      <c r="A11" s="69"/>
      <c r="B11" s="69"/>
      <c r="C11" s="69"/>
      <c r="D11" s="69"/>
      <c r="E11" s="69"/>
      <c r="F11" s="69"/>
    </row>
    <row r="12" spans="1:10" x14ac:dyDescent="0.2">
      <c r="A12" s="73"/>
      <c r="B12" s="74"/>
      <c r="C12" s="74"/>
      <c r="D12" s="75"/>
      <c r="E12" s="73"/>
      <c r="F12" s="75"/>
      <c r="G12" s="11"/>
    </row>
    <row r="13" spans="1:10" x14ac:dyDescent="0.2">
      <c r="A13" s="73"/>
      <c r="B13" s="11"/>
      <c r="C13" s="11"/>
      <c r="D13" s="76"/>
      <c r="E13" s="11"/>
      <c r="F13" s="11"/>
      <c r="G13" s="11"/>
    </row>
    <row r="14" spans="1:10" x14ac:dyDescent="0.2">
      <c r="A14" s="73"/>
      <c r="B14" s="5"/>
      <c r="C14" s="11"/>
      <c r="D14" s="76"/>
      <c r="E14" s="11"/>
      <c r="F14" s="11"/>
      <c r="G14" s="11"/>
    </row>
    <row r="15" spans="1:10" x14ac:dyDescent="0.2">
      <c r="A15" s="11"/>
      <c r="B15" s="5"/>
      <c r="C15" s="11"/>
      <c r="D15" s="76"/>
      <c r="E15" s="11"/>
      <c r="F15" s="11"/>
      <c r="G15" s="11"/>
    </row>
    <row r="16" spans="1:10" x14ac:dyDescent="0.2">
      <c r="A16" s="11"/>
      <c r="B16" s="11"/>
      <c r="C16" s="11"/>
      <c r="D16" s="76"/>
      <c r="E16" s="11"/>
      <c r="F16" s="11"/>
      <c r="G16" s="11"/>
    </row>
  </sheetData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4" zoomScale="85" zoomScaleNormal="85" workbookViewId="0">
      <selection activeCell="D14" sqref="D14"/>
    </sheetView>
  </sheetViews>
  <sheetFormatPr defaultRowHeight="12.75" x14ac:dyDescent="0.2"/>
  <cols>
    <col min="1" max="1" width="32.28515625" customWidth="1"/>
    <col min="2" max="2" width="18.85546875" customWidth="1"/>
    <col min="3" max="3" width="16.140625" customWidth="1"/>
    <col min="4" max="9" width="13.85546875" customWidth="1"/>
  </cols>
  <sheetData>
    <row r="1" spans="1:4" ht="23.25" x14ac:dyDescent="0.35">
      <c r="A1" s="33" t="s">
        <v>174</v>
      </c>
    </row>
    <row r="4" spans="1:4" x14ac:dyDescent="0.2">
      <c r="A4" s="34" t="s">
        <v>45</v>
      </c>
    </row>
    <row r="5" spans="1:4" x14ac:dyDescent="0.2">
      <c r="A5" s="34"/>
    </row>
    <row r="6" spans="1:4" ht="25.5" x14ac:dyDescent="0.2">
      <c r="A6" s="86" t="s">
        <v>46</v>
      </c>
      <c r="B6" s="87" t="s">
        <v>175</v>
      </c>
      <c r="C6" s="87" t="s">
        <v>176</v>
      </c>
      <c r="D6" s="88" t="s">
        <v>17</v>
      </c>
    </row>
    <row r="7" spans="1:4" x14ac:dyDescent="0.2">
      <c r="A7" s="89" t="s">
        <v>47</v>
      </c>
      <c r="B7" s="90" t="s">
        <v>177</v>
      </c>
      <c r="C7" s="90" t="s">
        <v>177</v>
      </c>
      <c r="D7" s="91" t="s">
        <v>177</v>
      </c>
    </row>
    <row r="8" spans="1:4" x14ac:dyDescent="0.2">
      <c r="A8" s="92" t="s">
        <v>48</v>
      </c>
      <c r="B8" s="11"/>
      <c r="C8" s="11"/>
      <c r="D8" s="93"/>
    </row>
    <row r="9" spans="1:4" x14ac:dyDescent="0.2">
      <c r="A9" s="94" t="s">
        <v>170</v>
      </c>
      <c r="B9" s="95">
        <f>AVERAGE('2008 DEER'!Q13,'2008 DEER'!Q14)</f>
        <v>9.33</v>
      </c>
      <c r="C9" s="95">
        <f>B9</f>
        <v>9.33</v>
      </c>
      <c r="D9" s="96" t="s">
        <v>184</v>
      </c>
    </row>
    <row r="10" spans="1:4" x14ac:dyDescent="0.2">
      <c r="A10" s="94" t="s">
        <v>172</v>
      </c>
      <c r="B10" s="95">
        <f>AVERAGE('2008 DEER'!O13,'2008 DEER'!O14)</f>
        <v>10.719999999999999</v>
      </c>
      <c r="C10" s="95" t="s">
        <v>184</v>
      </c>
      <c r="D10" s="96" t="s">
        <v>184</v>
      </c>
    </row>
    <row r="11" spans="1:4" x14ac:dyDescent="0.2">
      <c r="A11" s="94" t="s">
        <v>171</v>
      </c>
      <c r="B11" s="97">
        <f>B10-B9</f>
        <v>1.3899999999999988</v>
      </c>
      <c r="C11" s="95" t="s">
        <v>184</v>
      </c>
      <c r="D11" s="96" t="s">
        <v>184</v>
      </c>
    </row>
    <row r="12" spans="1:4" x14ac:dyDescent="0.2">
      <c r="A12" s="92" t="s">
        <v>173</v>
      </c>
      <c r="B12" s="11"/>
      <c r="C12" s="11"/>
      <c r="D12" s="93"/>
    </row>
    <row r="13" spans="1:4" x14ac:dyDescent="0.2">
      <c r="A13" s="94" t="s">
        <v>170</v>
      </c>
      <c r="B13" s="98">
        <f>(C31+C33+C35)/3</f>
        <v>12.220267647562991</v>
      </c>
      <c r="C13" s="98">
        <f>(C33+C31+C35)/3</f>
        <v>12.220267647562991</v>
      </c>
      <c r="D13" s="99">
        <f>(C25+C27+C29)/3</f>
        <v>14.891364954611459</v>
      </c>
    </row>
    <row r="14" spans="1:4" x14ac:dyDescent="0.2">
      <c r="A14" s="94" t="s">
        <v>172</v>
      </c>
      <c r="B14" s="98">
        <f>(D33+D35)/2</f>
        <v>15.165586574413881</v>
      </c>
      <c r="C14" s="98">
        <f>(E33+E31)/2</f>
        <v>22.946261955982592</v>
      </c>
      <c r="D14" s="99">
        <f>(D25+D27+D29)/3</f>
        <v>19.236583585950047</v>
      </c>
    </row>
    <row r="15" spans="1:4" x14ac:dyDescent="0.2">
      <c r="A15" s="94" t="s">
        <v>171</v>
      </c>
      <c r="B15" s="108">
        <f>B14-B13</f>
        <v>2.9453189268508897</v>
      </c>
      <c r="C15" s="108">
        <f>C14-C13</f>
        <v>10.725994308419601</v>
      </c>
      <c r="D15" s="109">
        <f>D14-D13</f>
        <v>4.3452186313385877</v>
      </c>
    </row>
    <row r="16" spans="1:4" x14ac:dyDescent="0.2">
      <c r="A16" s="92" t="s">
        <v>188</v>
      </c>
      <c r="B16" s="108"/>
      <c r="C16" s="108"/>
      <c r="D16" s="109"/>
    </row>
    <row r="17" spans="1:6" x14ac:dyDescent="0.2">
      <c r="A17" s="94" t="s">
        <v>170</v>
      </c>
      <c r="B17" s="95">
        <f t="shared" ref="B17:D18" si="0">IF(AND(ISNUMBER(B13),ISNUMBER(B9)),(B9+B13)/2,MAX(B9,B13))</f>
        <v>10.775133823781495</v>
      </c>
      <c r="C17" s="95">
        <f t="shared" si="0"/>
        <v>10.775133823781495</v>
      </c>
      <c r="D17" s="96">
        <f t="shared" si="0"/>
        <v>14.891364954611459</v>
      </c>
    </row>
    <row r="18" spans="1:6" x14ac:dyDescent="0.2">
      <c r="A18" s="94" t="s">
        <v>172</v>
      </c>
      <c r="B18" s="95">
        <f t="shared" si="0"/>
        <v>12.942793287206939</v>
      </c>
      <c r="C18" s="95">
        <f t="shared" si="0"/>
        <v>22.946261955982592</v>
      </c>
      <c r="D18" s="96">
        <f t="shared" si="0"/>
        <v>19.236583585950047</v>
      </c>
    </row>
    <row r="19" spans="1:6" x14ac:dyDescent="0.2">
      <c r="A19" s="100" t="s">
        <v>171</v>
      </c>
      <c r="B19" s="101">
        <f>B18-B17</f>
        <v>2.1676594634254442</v>
      </c>
      <c r="C19" s="101">
        <f>C18-C17</f>
        <v>12.171128132201098</v>
      </c>
      <c r="D19" s="110">
        <f>D18-D17</f>
        <v>4.3452186313385877</v>
      </c>
    </row>
    <row r="20" spans="1:6" x14ac:dyDescent="0.2">
      <c r="A20" s="65"/>
    </row>
    <row r="21" spans="1:6" x14ac:dyDescent="0.2">
      <c r="A21" s="65"/>
    </row>
    <row r="23" spans="1:6" x14ac:dyDescent="0.2">
      <c r="A23" s="15"/>
      <c r="B23" s="19"/>
      <c r="C23" s="13" t="s">
        <v>44</v>
      </c>
      <c r="D23" s="19"/>
      <c r="E23" s="19"/>
      <c r="F23" s="20"/>
    </row>
    <row r="24" spans="1:6" x14ac:dyDescent="0.2">
      <c r="A24" s="13" t="s">
        <v>31</v>
      </c>
      <c r="B24" s="13" t="s">
        <v>40</v>
      </c>
      <c r="C24" s="15" t="s">
        <v>15</v>
      </c>
      <c r="D24" s="107" t="s">
        <v>186</v>
      </c>
      <c r="E24" s="107" t="s">
        <v>187</v>
      </c>
      <c r="F24" s="14" t="s">
        <v>33</v>
      </c>
    </row>
    <row r="25" spans="1:6" x14ac:dyDescent="0.2">
      <c r="A25" s="15" t="s">
        <v>34</v>
      </c>
      <c r="B25" s="15" t="s">
        <v>32</v>
      </c>
      <c r="C25" s="78">
        <f>GETPIVOTDATA("Average of Cost/kBtu",'Pivot Table'!$A$3,"Category","Small Steam","Efficiency Class","Baseline")</f>
        <v>16.921513359674162</v>
      </c>
      <c r="D25" s="80">
        <f>GETPIVOTDATA("Average of Cost/kBtu",'Pivot Table'!$A$3,"Category","Small Steam","Efficiency Class","Tier 1")</f>
        <v>24.576388888888889</v>
      </c>
      <c r="E25" s="84"/>
      <c r="F25" s="16">
        <v>17.878372800826003</v>
      </c>
    </row>
    <row r="26" spans="1:6" x14ac:dyDescent="0.2">
      <c r="A26" s="24"/>
      <c r="B26" s="18" t="s">
        <v>41</v>
      </c>
      <c r="C26" s="79">
        <f>GETPIVOTDATA("Count of Column2",'Pivot Table'!$A$3,"Category","Small Steam","Efficiency Class","Baseline")</f>
        <v>7</v>
      </c>
      <c r="D26" s="81">
        <f>GETPIVOTDATA("Count of Column2",'Pivot Table'!$A$3,"Category","Small Steam","Efficiency Class","Tier 1")</f>
        <v>1</v>
      </c>
      <c r="E26" s="85"/>
      <c r="F26" s="27">
        <v>8</v>
      </c>
    </row>
    <row r="27" spans="1:6" x14ac:dyDescent="0.2">
      <c r="A27" s="15" t="s">
        <v>35</v>
      </c>
      <c r="B27" s="15" t="s">
        <v>32</v>
      </c>
      <c r="C27" s="78">
        <f>GETPIVOTDATA("Average of Cost/kBtu",'Pivot Table'!$A$3,"Category","Medium Steam","Efficiency Class","Baseline")</f>
        <v>17.351428453730055</v>
      </c>
      <c r="D27" s="80">
        <f>GETPIVOTDATA("Average of Cost/kBtu",'Pivot Table'!$A$3,"Category","Medium Steam","Efficiency Class","Tier 1")</f>
        <v>23.979145001491371</v>
      </c>
      <c r="E27" s="84"/>
      <c r="F27" s="16">
        <v>19.560667302983827</v>
      </c>
    </row>
    <row r="28" spans="1:6" x14ac:dyDescent="0.2">
      <c r="A28" s="24"/>
      <c r="B28" s="18" t="s">
        <v>41</v>
      </c>
      <c r="C28" s="79">
        <f>GETPIVOTDATA("Count of Column2",'Pivot Table'!$A$3,"Category","Medium Steam","Efficiency Class","Baseline")</f>
        <v>6</v>
      </c>
      <c r="D28" s="81">
        <f>GETPIVOTDATA("Count of Column2",'Pivot Table'!$A$3,"Category","Medium Steam","Efficiency Class","Tier 1")</f>
        <v>3</v>
      </c>
      <c r="E28" s="85"/>
      <c r="F28" s="27">
        <v>9</v>
      </c>
    </row>
    <row r="29" spans="1:6" x14ac:dyDescent="0.2">
      <c r="A29" s="15" t="s">
        <v>36</v>
      </c>
      <c r="B29" s="15" t="s">
        <v>32</v>
      </c>
      <c r="C29" s="78">
        <f>GETPIVOTDATA("Average of Cost/kBtu",'Pivot Table'!$A$3,"Category","Large Steam","Efficiency Class","Baseline")</f>
        <v>10.40115305043016</v>
      </c>
      <c r="D29" s="80">
        <f>GETPIVOTDATA("Average of Cost/kBtu",'Pivot Table'!$A$3,"Category","Large Steam","Efficiency Class","Tier 1")</f>
        <v>9.1542168674698789</v>
      </c>
      <c r="E29" s="84"/>
      <c r="F29" s="16">
        <v>10.08941900469009</v>
      </c>
    </row>
    <row r="30" spans="1:6" x14ac:dyDescent="0.2">
      <c r="A30" s="24"/>
      <c r="B30" s="18" t="s">
        <v>41</v>
      </c>
      <c r="C30" s="79">
        <f>GETPIVOTDATA("Count of Column2",'Pivot Table'!$A$3,"Category","Large Steam","Efficiency Class","Baseline")</f>
        <v>3</v>
      </c>
      <c r="D30" s="81">
        <f>GETPIVOTDATA("Count of Column2",'Pivot Table'!$A$3,"Category","Large Steam","Efficiency Class","Tier 1")</f>
        <v>1</v>
      </c>
      <c r="E30" s="85"/>
      <c r="F30" s="27">
        <v>4</v>
      </c>
    </row>
    <row r="31" spans="1:6" x14ac:dyDescent="0.2">
      <c r="A31" s="15" t="s">
        <v>37</v>
      </c>
      <c r="B31" s="15" t="s">
        <v>32</v>
      </c>
      <c r="C31" s="78">
        <f>GETPIVOTDATA("Average of Cost/kBtu",'Pivot Table'!$A$3,"Category","Small Hot Water","Efficiency Class","Baseline")</f>
        <v>12.396489145660377</v>
      </c>
      <c r="D31" s="82"/>
      <c r="E31" s="80">
        <f>GETPIVOTDATA("Average of Cost/kBtu",'Pivot Table'!$A$3,"Category","Small Hot Water","Efficiency Class","Tier 2")</f>
        <v>23.538853141288488</v>
      </c>
      <c r="F31" s="16">
        <v>22.8973976925312</v>
      </c>
    </row>
    <row r="32" spans="1:6" x14ac:dyDescent="0.2">
      <c r="A32" s="24"/>
      <c r="B32" s="18" t="s">
        <v>41</v>
      </c>
      <c r="C32" s="79">
        <f>GETPIVOTDATA("Count of Column2",'Pivot Table'!$A$3,"Category","Small Hot Water","Efficiency Class","Baseline")</f>
        <v>30</v>
      </c>
      <c r="D32" s="83"/>
      <c r="E32" s="81">
        <v>13</v>
      </c>
      <c r="F32" s="27">
        <v>31</v>
      </c>
    </row>
    <row r="33" spans="1:6" x14ac:dyDescent="0.2">
      <c r="A33" s="15" t="s">
        <v>38</v>
      </c>
      <c r="B33" s="15" t="s">
        <v>32</v>
      </c>
      <c r="C33" s="78">
        <f>GETPIVOTDATA("Average of Cost/kBtu",'Pivot Table'!$A$3,"Category","Medium Hot Water","Efficiency Class","Baseline")</f>
        <v>10.921639804354605</v>
      </c>
      <c r="D33" s="80">
        <f>GETPIVOTDATA("Average of Cost/kBtu",'Pivot Table'!$A$3,"Category","Medium Hot Water","Efficiency Class","Tier 1")</f>
        <v>15.546802052386253</v>
      </c>
      <c r="E33" s="80">
        <f>GETPIVOTDATA("Average of Cost/kBtu",'Pivot Table'!$A$3,"Category","Medium Hot Water","Efficiency Class","Tier 2")</f>
        <v>22.353670770676693</v>
      </c>
      <c r="F33" s="16">
        <v>16.075062763943968</v>
      </c>
    </row>
    <row r="34" spans="1:6" x14ac:dyDescent="0.2">
      <c r="A34" s="24"/>
      <c r="B34" s="18" t="s">
        <v>41</v>
      </c>
      <c r="C34" s="79">
        <f>GETPIVOTDATA("Count of Column2",'Pivot Table'!$A$3,"Category","Medium Hot Water","Efficiency Class","Baseline")</f>
        <v>13</v>
      </c>
      <c r="D34" s="81">
        <f>GETPIVOTDATA("Count of Column2",'Pivot Table'!$A$3,"Category","Medium Hot Water","Efficiency Class","Tier 1")</f>
        <v>6</v>
      </c>
      <c r="E34" s="81">
        <v>3</v>
      </c>
      <c r="F34" s="27">
        <v>10</v>
      </c>
    </row>
    <row r="35" spans="1:6" x14ac:dyDescent="0.2">
      <c r="A35" s="15" t="s">
        <v>39</v>
      </c>
      <c r="B35" s="15" t="s">
        <v>32</v>
      </c>
      <c r="C35" s="78">
        <f>GETPIVOTDATA("Average of Cost/kBtu",'Pivot Table'!$A$3,"Category","Large Hot Water","Efficiency Class","Baseline")</f>
        <v>13.342673992673992</v>
      </c>
      <c r="D35" s="80">
        <f>GETPIVOTDATA("Average of Cost/kBtu",'Pivot Table'!$A$3,"Category","Large Hot Water","Efficiency Class","Tier 1")</f>
        <v>14.784371096441509</v>
      </c>
      <c r="E35" s="82"/>
      <c r="F35" s="16">
        <v>8.6186813186813183</v>
      </c>
    </row>
    <row r="36" spans="1:6" x14ac:dyDescent="0.2">
      <c r="A36" s="24"/>
      <c r="B36" s="18" t="s">
        <v>41</v>
      </c>
      <c r="C36" s="79">
        <f>GETPIVOTDATA("Count of Column2",'Pivot Table'!$A$3,"Category","Large Hot Water","Efficiency Class","Baseline")</f>
        <v>2</v>
      </c>
      <c r="D36" s="81">
        <f>GETPIVOTDATA("Count of Column2",'Pivot Table'!$A$3,"Category","Large Hot Water","Efficiency Class","Tier 1")</f>
        <v>3</v>
      </c>
      <c r="E36" s="83"/>
      <c r="F36" s="27">
        <v>1</v>
      </c>
    </row>
    <row r="37" spans="1:6" x14ac:dyDescent="0.2">
      <c r="A37" s="15" t="s">
        <v>42</v>
      </c>
      <c r="B37" s="19"/>
      <c r="C37" s="22">
        <f>GETPIVOTDATA("Average of Cost/kBtu",'Pivot Table'!$A$3,"Efficiency Class","Baseline")</f>
        <v>13.021704314805888</v>
      </c>
      <c r="D37" s="23">
        <f>GETPIVOTDATA("Average of Cost/kBtu",'Pivot Table'!$A$3,"Efficiency Class","Tier 1")</f>
        <v>17.378711883176784</v>
      </c>
      <c r="E37" s="23">
        <v>29.756385882524572</v>
      </c>
      <c r="F37" s="16">
        <v>19.660623834584307</v>
      </c>
    </row>
    <row r="38" spans="1:6" x14ac:dyDescent="0.2">
      <c r="A38" s="17" t="s">
        <v>43</v>
      </c>
      <c r="B38" s="28"/>
      <c r="C38" s="29">
        <v>39</v>
      </c>
      <c r="D38" s="30">
        <f>GETPIVOTDATA("Count of Column2",'Pivot Table'!$A$3,"Efficiency Class","Tier 1")</f>
        <v>14</v>
      </c>
      <c r="E38" s="30">
        <v>16</v>
      </c>
      <c r="F38" s="31">
        <v>63</v>
      </c>
    </row>
  </sheetData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8"/>
  <sheetViews>
    <sheetView workbookViewId="0">
      <selection activeCell="C9" sqref="C9"/>
    </sheetView>
  </sheetViews>
  <sheetFormatPr defaultRowHeight="12.75" x14ac:dyDescent="0.2"/>
  <cols>
    <col min="1" max="2" width="18.7109375" bestFit="1" customWidth="1"/>
    <col min="3" max="5" width="16.7109375" bestFit="1" customWidth="1"/>
    <col min="6" max="6" width="10.5703125" customWidth="1"/>
    <col min="7" max="7" width="10.5703125" bestFit="1" customWidth="1"/>
    <col min="8" max="8" width="16.7109375" bestFit="1" customWidth="1"/>
    <col min="9" max="9" width="10.5703125" bestFit="1" customWidth="1"/>
    <col min="10" max="28" width="11.140625" bestFit="1" customWidth="1"/>
    <col min="29" max="29" width="10.5703125" bestFit="1" customWidth="1"/>
  </cols>
  <sheetData>
    <row r="3" spans="1:6" x14ac:dyDescent="0.2">
      <c r="A3" s="15"/>
      <c r="B3" s="19"/>
      <c r="C3" s="13" t="s">
        <v>44</v>
      </c>
      <c r="D3" s="19"/>
      <c r="E3" s="19"/>
      <c r="F3" s="20"/>
    </row>
    <row r="4" spans="1:6" x14ac:dyDescent="0.2">
      <c r="A4" s="13" t="s">
        <v>31</v>
      </c>
      <c r="B4" s="13" t="s">
        <v>40</v>
      </c>
      <c r="C4" s="15" t="s">
        <v>15</v>
      </c>
      <c r="D4" s="21" t="s">
        <v>186</v>
      </c>
      <c r="E4" s="21" t="s">
        <v>187</v>
      </c>
      <c r="F4" s="14" t="s">
        <v>33</v>
      </c>
    </row>
    <row r="5" spans="1:6" x14ac:dyDescent="0.2">
      <c r="A5" s="15" t="s">
        <v>34</v>
      </c>
      <c r="B5" s="15" t="s">
        <v>32</v>
      </c>
      <c r="C5" s="22">
        <v>16.921513359674162</v>
      </c>
      <c r="D5" s="23">
        <v>24.576388888888889</v>
      </c>
      <c r="E5" s="23"/>
      <c r="F5" s="16">
        <v>17.878372800826003</v>
      </c>
    </row>
    <row r="6" spans="1:6" x14ac:dyDescent="0.2">
      <c r="A6" s="24"/>
      <c r="B6" s="18" t="s">
        <v>202</v>
      </c>
      <c r="C6" s="25">
        <v>7</v>
      </c>
      <c r="D6" s="26">
        <v>1</v>
      </c>
      <c r="E6" s="26"/>
      <c r="F6" s="27">
        <v>8</v>
      </c>
    </row>
    <row r="7" spans="1:6" x14ac:dyDescent="0.2">
      <c r="A7" s="15" t="s">
        <v>35</v>
      </c>
      <c r="B7" s="15" t="s">
        <v>32</v>
      </c>
      <c r="C7" s="22">
        <v>17.351428453730055</v>
      </c>
      <c r="D7" s="23">
        <v>23.979145001491371</v>
      </c>
      <c r="E7" s="23"/>
      <c r="F7" s="16">
        <v>19.560667302983827</v>
      </c>
    </row>
    <row r="8" spans="1:6" x14ac:dyDescent="0.2">
      <c r="A8" s="24"/>
      <c r="B8" s="18" t="s">
        <v>202</v>
      </c>
      <c r="C8" s="25">
        <v>6</v>
      </c>
      <c r="D8" s="26">
        <v>3</v>
      </c>
      <c r="E8" s="26"/>
      <c r="F8" s="27">
        <v>9</v>
      </c>
    </row>
    <row r="9" spans="1:6" x14ac:dyDescent="0.2">
      <c r="A9" s="15" t="s">
        <v>36</v>
      </c>
      <c r="B9" s="15" t="s">
        <v>32</v>
      </c>
      <c r="C9" s="22">
        <v>10.40115305043016</v>
      </c>
      <c r="D9" s="23">
        <v>9.1542168674698789</v>
      </c>
      <c r="E9" s="23"/>
      <c r="F9" s="16">
        <v>10.08941900469009</v>
      </c>
    </row>
    <row r="10" spans="1:6" x14ac:dyDescent="0.2">
      <c r="A10" s="24"/>
      <c r="B10" s="18" t="s">
        <v>202</v>
      </c>
      <c r="C10" s="25">
        <v>3</v>
      </c>
      <c r="D10" s="26">
        <v>1</v>
      </c>
      <c r="E10" s="26"/>
      <c r="F10" s="27">
        <v>4</v>
      </c>
    </row>
    <row r="11" spans="1:6" x14ac:dyDescent="0.2">
      <c r="A11" s="15" t="s">
        <v>37</v>
      </c>
      <c r="B11" s="15" t="s">
        <v>32</v>
      </c>
      <c r="C11" s="22">
        <v>12.396489145660377</v>
      </c>
      <c r="D11" s="23"/>
      <c r="E11" s="23">
        <v>23.538853141288488</v>
      </c>
      <c r="F11" s="16">
        <v>16.984521379154302</v>
      </c>
    </row>
    <row r="12" spans="1:6" x14ac:dyDescent="0.2">
      <c r="A12" s="24"/>
      <c r="B12" s="18" t="s">
        <v>202</v>
      </c>
      <c r="C12" s="25">
        <v>30</v>
      </c>
      <c r="D12" s="26"/>
      <c r="E12" s="26">
        <v>21</v>
      </c>
      <c r="F12" s="27">
        <v>51</v>
      </c>
    </row>
    <row r="13" spans="1:6" x14ac:dyDescent="0.2">
      <c r="A13" s="15" t="s">
        <v>38</v>
      </c>
      <c r="B13" s="15" t="s">
        <v>32</v>
      </c>
      <c r="C13" s="22">
        <v>10.921639804354605</v>
      </c>
      <c r="D13" s="23">
        <v>15.546802052386253</v>
      </c>
      <c r="E13" s="23">
        <v>22.353670770676693</v>
      </c>
      <c r="F13" s="16">
        <v>15.336722071716331</v>
      </c>
    </row>
    <row r="14" spans="1:6" x14ac:dyDescent="0.2">
      <c r="A14" s="24"/>
      <c r="B14" s="18" t="s">
        <v>202</v>
      </c>
      <c r="C14" s="25">
        <v>13</v>
      </c>
      <c r="D14" s="26">
        <v>6</v>
      </c>
      <c r="E14" s="26">
        <v>8</v>
      </c>
      <c r="F14" s="27">
        <v>27</v>
      </c>
    </row>
    <row r="15" spans="1:6" x14ac:dyDescent="0.2">
      <c r="A15" s="15" t="s">
        <v>39</v>
      </c>
      <c r="B15" s="15" t="s">
        <v>32</v>
      </c>
      <c r="C15" s="22">
        <v>13.342673992673992</v>
      </c>
      <c r="D15" s="23">
        <v>14.784371096441509</v>
      </c>
      <c r="E15" s="23">
        <v>21.975308641975307</v>
      </c>
      <c r="F15" s="16">
        <v>17.120548400074803</v>
      </c>
    </row>
    <row r="16" spans="1:6" x14ac:dyDescent="0.2">
      <c r="A16" s="24"/>
      <c r="B16" s="18" t="s">
        <v>202</v>
      </c>
      <c r="C16" s="25">
        <v>2</v>
      </c>
      <c r="D16" s="26">
        <v>3</v>
      </c>
      <c r="E16" s="26">
        <v>3</v>
      </c>
      <c r="F16" s="27">
        <v>8</v>
      </c>
    </row>
    <row r="17" spans="1:6" x14ac:dyDescent="0.2">
      <c r="A17" s="15" t="s">
        <v>42</v>
      </c>
      <c r="B17" s="19"/>
      <c r="C17" s="22">
        <v>13.021704314805888</v>
      </c>
      <c r="D17" s="23">
        <v>17.378711883176784</v>
      </c>
      <c r="E17" s="23">
        <v>23.095975251824928</v>
      </c>
      <c r="F17" s="16">
        <v>16.604646146037677</v>
      </c>
    </row>
    <row r="18" spans="1:6" x14ac:dyDescent="0.2">
      <c r="A18" s="17" t="s">
        <v>203</v>
      </c>
      <c r="B18" s="28"/>
      <c r="C18" s="29">
        <v>61</v>
      </c>
      <c r="D18" s="30">
        <v>14</v>
      </c>
      <c r="E18" s="30">
        <v>32</v>
      </c>
      <c r="F18" s="31">
        <v>107</v>
      </c>
    </row>
  </sheetData>
  <phoneticPr fontId="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zoomScaleNormal="100" workbookViewId="0">
      <selection activeCell="A97" sqref="A97:XFD108"/>
    </sheetView>
  </sheetViews>
  <sheetFormatPr defaultRowHeight="12.75" x14ac:dyDescent="0.2"/>
  <cols>
    <col min="1" max="1" width="15" customWidth="1"/>
    <col min="2" max="2" width="13.28515625" customWidth="1"/>
    <col min="3" max="3" width="28.42578125" customWidth="1"/>
    <col min="4" max="4" width="10.140625" customWidth="1"/>
    <col min="5" max="5" width="19.7109375" customWidth="1"/>
    <col min="6" max="6" width="17.7109375" customWidth="1"/>
    <col min="7" max="7" width="17" customWidth="1"/>
    <col min="8" max="8" width="11.7109375" customWidth="1"/>
    <col min="9" max="9" width="10.42578125" customWidth="1"/>
    <col min="10" max="10" width="25.140625" customWidth="1"/>
    <col min="11" max="11" width="18.42578125" customWidth="1"/>
    <col min="12" max="12" width="26.85546875" customWidth="1"/>
    <col min="13" max="13" width="12.5703125" customWidth="1"/>
  </cols>
  <sheetData>
    <row r="1" spans="1:13" s="32" customFormat="1" x14ac:dyDescent="0.2">
      <c r="A1" s="32" t="s">
        <v>198</v>
      </c>
      <c r="B1" s="32" t="s">
        <v>199</v>
      </c>
      <c r="C1" s="32" t="s">
        <v>11</v>
      </c>
      <c r="D1" s="32" t="s">
        <v>22</v>
      </c>
      <c r="E1" s="32" t="s">
        <v>9</v>
      </c>
      <c r="F1" s="32" t="s">
        <v>31</v>
      </c>
      <c r="G1" s="32" t="s">
        <v>44</v>
      </c>
      <c r="H1" s="32" t="s">
        <v>10</v>
      </c>
      <c r="I1" s="32" t="s">
        <v>4</v>
      </c>
      <c r="J1" s="32" t="s">
        <v>12</v>
      </c>
      <c r="K1" s="32" t="s">
        <v>14</v>
      </c>
      <c r="L1" s="32" t="s">
        <v>13</v>
      </c>
      <c r="M1" s="32" t="s">
        <v>21</v>
      </c>
    </row>
    <row r="2" spans="1:13" x14ac:dyDescent="0.2">
      <c r="A2" s="12"/>
      <c r="B2" s="119" t="s">
        <v>204</v>
      </c>
      <c r="C2" s="12" t="s">
        <v>17</v>
      </c>
      <c r="D2" s="12" t="s">
        <v>23</v>
      </c>
      <c r="E2">
        <v>112.5</v>
      </c>
      <c r="F2" s="9" t="str">
        <f t="shared" ref="F2:F11" si="0">IF(E2&lt;300,CONCATENATE("Small ",C2),IF(AND(E2&gt;=300,E2&lt;2500),CONCATENATE("Medium ",C2),CONCATENATE("Large ",C2)))</f>
        <v>Small Steam</v>
      </c>
      <c r="G2" s="77" t="str">
        <f t="shared" ref="G2:G11" si="1">IF(C2="Steam",IF(H2&gt;=0.83,"Tier 1","Baseline"),IF(H2&gt;=0.9,"Tier 2",IF(H2&lt;0.85,"Baseline","Tier 1")))</f>
        <v>Baseline</v>
      </c>
      <c r="H2" s="6">
        <v>0.78</v>
      </c>
      <c r="I2" s="9">
        <v>1</v>
      </c>
      <c r="J2" s="7">
        <v>2320</v>
      </c>
      <c r="K2" s="105">
        <f t="shared" ref="K2:K11" si="2">J2/E2</f>
        <v>20.622222222222224</v>
      </c>
      <c r="L2" s="8" t="s">
        <v>8</v>
      </c>
    </row>
    <row r="3" spans="1:13" x14ac:dyDescent="0.2">
      <c r="A3" s="12"/>
      <c r="B3" s="119" t="s">
        <v>204</v>
      </c>
      <c r="C3" s="12" t="s">
        <v>17</v>
      </c>
      <c r="D3" s="12" t="s">
        <v>23</v>
      </c>
      <c r="E3">
        <v>262.5</v>
      </c>
      <c r="F3" s="9" t="str">
        <f t="shared" si="0"/>
        <v>Small Steam</v>
      </c>
      <c r="G3" s="77" t="str">
        <f t="shared" si="1"/>
        <v>Baseline</v>
      </c>
      <c r="H3" s="6">
        <v>0.78</v>
      </c>
      <c r="I3" s="9">
        <v>1</v>
      </c>
      <c r="J3" s="7">
        <v>3212</v>
      </c>
      <c r="K3" s="105">
        <f t="shared" si="2"/>
        <v>12.236190476190476</v>
      </c>
      <c r="L3" s="8" t="s">
        <v>8</v>
      </c>
    </row>
    <row r="4" spans="1:13" x14ac:dyDescent="0.2">
      <c r="A4" s="12"/>
      <c r="B4" s="119" t="s">
        <v>204</v>
      </c>
      <c r="C4" s="12" t="s">
        <v>17</v>
      </c>
      <c r="D4" s="12" t="s">
        <v>23</v>
      </c>
      <c r="E4">
        <v>299.99900000000002</v>
      </c>
      <c r="F4" s="9" t="str">
        <f t="shared" si="0"/>
        <v>Small Steam</v>
      </c>
      <c r="G4" s="77" t="str">
        <f t="shared" si="1"/>
        <v>Baseline</v>
      </c>
      <c r="H4" s="6">
        <v>0.78</v>
      </c>
      <c r="I4" s="9">
        <v>1</v>
      </c>
      <c r="J4" s="7">
        <v>3434</v>
      </c>
      <c r="K4" s="105">
        <f t="shared" si="2"/>
        <v>11.446704822349407</v>
      </c>
      <c r="L4" s="8" t="s">
        <v>8</v>
      </c>
    </row>
    <row r="5" spans="1:13" x14ac:dyDescent="0.2">
      <c r="A5" s="12"/>
      <c r="B5" s="119" t="s">
        <v>204</v>
      </c>
      <c r="C5" s="12" t="s">
        <v>17</v>
      </c>
      <c r="D5" s="12" t="s">
        <v>24</v>
      </c>
      <c r="E5">
        <v>299.99900000000002</v>
      </c>
      <c r="F5" s="9" t="str">
        <f t="shared" si="0"/>
        <v>Small Steam</v>
      </c>
      <c r="G5" s="77" t="str">
        <f t="shared" si="1"/>
        <v>Baseline</v>
      </c>
      <c r="H5" s="6">
        <v>0.81</v>
      </c>
      <c r="I5" s="9">
        <v>1</v>
      </c>
      <c r="J5" s="7">
        <v>3554</v>
      </c>
      <c r="K5" s="105">
        <f t="shared" si="2"/>
        <v>11.846706155687185</v>
      </c>
      <c r="L5" s="8" t="s">
        <v>8</v>
      </c>
    </row>
    <row r="6" spans="1:13" x14ac:dyDescent="0.2">
      <c r="A6" s="12"/>
      <c r="B6" s="119" t="s">
        <v>204</v>
      </c>
      <c r="C6" s="12" t="s">
        <v>17</v>
      </c>
      <c r="D6" s="12" t="s">
        <v>24</v>
      </c>
      <c r="E6">
        <v>262.5</v>
      </c>
      <c r="F6" s="9" t="str">
        <f t="shared" si="0"/>
        <v>Small Steam</v>
      </c>
      <c r="G6" s="77" t="str">
        <f t="shared" si="1"/>
        <v>Baseline</v>
      </c>
      <c r="H6" s="6">
        <v>0.82</v>
      </c>
      <c r="I6" s="9">
        <v>1</v>
      </c>
      <c r="J6" s="7">
        <v>3323</v>
      </c>
      <c r="K6" s="105">
        <f t="shared" si="2"/>
        <v>12.65904761904762</v>
      </c>
      <c r="L6" s="8" t="s">
        <v>8</v>
      </c>
    </row>
    <row r="7" spans="1:13" x14ac:dyDescent="0.2">
      <c r="A7" s="12"/>
      <c r="B7" s="119" t="s">
        <v>204</v>
      </c>
      <c r="C7" s="12" t="s">
        <v>17</v>
      </c>
      <c r="D7" s="12" t="s">
        <v>24</v>
      </c>
      <c r="E7">
        <v>112.5</v>
      </c>
      <c r="F7" s="9" t="str">
        <f t="shared" si="0"/>
        <v>Small Steam</v>
      </c>
      <c r="G7" s="77" t="str">
        <f t="shared" si="1"/>
        <v>Baseline</v>
      </c>
      <c r="H7" s="6">
        <v>0.82</v>
      </c>
      <c r="I7" s="9">
        <v>1</v>
      </c>
      <c r="J7" s="7">
        <v>2429</v>
      </c>
      <c r="K7" s="105">
        <f t="shared" si="2"/>
        <v>21.591111111111111</v>
      </c>
      <c r="L7" s="8" t="s">
        <v>8</v>
      </c>
    </row>
    <row r="8" spans="1:13" x14ac:dyDescent="0.2">
      <c r="A8" s="12"/>
      <c r="B8" s="119" t="s">
        <v>204</v>
      </c>
      <c r="C8" s="12" t="s">
        <v>17</v>
      </c>
      <c r="D8" s="12" t="s">
        <v>24</v>
      </c>
      <c r="E8">
        <v>144</v>
      </c>
      <c r="F8" s="9" t="str">
        <f t="shared" si="0"/>
        <v>Small Steam</v>
      </c>
      <c r="G8" s="77" t="str">
        <f t="shared" si="1"/>
        <v>Baseline</v>
      </c>
      <c r="H8" s="6">
        <v>0.82099999999999995</v>
      </c>
      <c r="I8" s="9">
        <v>1</v>
      </c>
      <c r="J8" s="7">
        <v>4039</v>
      </c>
      <c r="K8" s="105">
        <f t="shared" si="2"/>
        <v>28.048611111111111</v>
      </c>
      <c r="L8" s="8" t="s">
        <v>8</v>
      </c>
    </row>
    <row r="9" spans="1:13" x14ac:dyDescent="0.2">
      <c r="A9" s="12"/>
      <c r="B9" s="119" t="s">
        <v>204</v>
      </c>
      <c r="C9" s="12" t="s">
        <v>17</v>
      </c>
      <c r="D9" s="12" t="s">
        <v>24</v>
      </c>
      <c r="E9">
        <v>144</v>
      </c>
      <c r="F9" s="9" t="str">
        <f t="shared" si="0"/>
        <v>Small Steam</v>
      </c>
      <c r="G9" s="77" t="str">
        <f t="shared" si="1"/>
        <v>Tier 1</v>
      </c>
      <c r="H9" s="6">
        <v>0.89600000000000002</v>
      </c>
      <c r="I9" s="9">
        <v>1</v>
      </c>
      <c r="J9" s="7">
        <v>3539</v>
      </c>
      <c r="K9" s="105">
        <f t="shared" si="2"/>
        <v>24.576388888888889</v>
      </c>
      <c r="L9" s="8" t="s">
        <v>8</v>
      </c>
    </row>
    <row r="10" spans="1:13" x14ac:dyDescent="0.2">
      <c r="A10" s="12"/>
      <c r="B10" s="119" t="s">
        <v>204</v>
      </c>
      <c r="C10" s="12" t="s">
        <v>17</v>
      </c>
      <c r="D10" s="12" t="s">
        <v>24</v>
      </c>
      <c r="E10">
        <v>1680</v>
      </c>
      <c r="F10" s="9" t="str">
        <f t="shared" si="0"/>
        <v>Medium Steam</v>
      </c>
      <c r="G10" s="77" t="str">
        <f t="shared" si="1"/>
        <v>Baseline</v>
      </c>
      <c r="H10" s="6">
        <v>0.8</v>
      </c>
      <c r="I10" s="9">
        <v>1</v>
      </c>
      <c r="J10" s="7">
        <v>15133.95</v>
      </c>
      <c r="K10" s="105">
        <f t="shared" si="2"/>
        <v>9.0083035714285717</v>
      </c>
      <c r="L10" s="8" t="s">
        <v>18</v>
      </c>
    </row>
    <row r="11" spans="1:13" x14ac:dyDescent="0.2">
      <c r="A11" s="12"/>
      <c r="B11" s="119" t="s">
        <v>204</v>
      </c>
      <c r="C11" s="12" t="s">
        <v>17</v>
      </c>
      <c r="D11" s="12" t="s">
        <v>24</v>
      </c>
      <c r="E11">
        <v>2730</v>
      </c>
      <c r="F11" s="9" t="str">
        <f t="shared" si="0"/>
        <v>Large Steam</v>
      </c>
      <c r="G11" s="77" t="str">
        <f t="shared" si="1"/>
        <v>Baseline</v>
      </c>
      <c r="H11" s="6">
        <v>0.8</v>
      </c>
      <c r="I11" s="9">
        <v>1</v>
      </c>
      <c r="J11" s="7">
        <v>24080</v>
      </c>
      <c r="K11" s="105">
        <f t="shared" si="2"/>
        <v>8.8205128205128212</v>
      </c>
      <c r="L11" s="8" t="s">
        <v>18</v>
      </c>
    </row>
    <row r="12" spans="1:13" x14ac:dyDescent="0.2">
      <c r="A12" s="111"/>
      <c r="B12" s="119" t="s">
        <v>204</v>
      </c>
      <c r="C12" s="102" t="s">
        <v>16</v>
      </c>
      <c r="D12" s="111"/>
      <c r="E12" s="111">
        <v>135</v>
      </c>
      <c r="F12" s="9" t="str">
        <f t="shared" ref="F12:F43" si="3">IF(E12&lt;300,CONCATENATE("Small ",C12),IF(AND(E12&gt;=300,E12&lt;2500),CONCATENATE("Medium ",C12),CONCATENATE("Large ",C12)))</f>
        <v>Small Hot Water</v>
      </c>
      <c r="G12" s="77" t="str">
        <f t="shared" ref="G12:G43" si="4">IF(C12="Steam",IF(H12&gt;=0.83,"Tier 1","Baseline"),IF(H12&gt;=0.9,"Tier 2",IF(H12&lt;0.85,"Baseline","Tier 1")))</f>
        <v>Baseline</v>
      </c>
      <c r="H12" s="111">
        <v>0.84</v>
      </c>
      <c r="I12" s="111"/>
      <c r="J12" s="112">
        <v>456</v>
      </c>
      <c r="K12" s="112">
        <f t="shared" ref="K12:K35" si="5">J12/E12</f>
        <v>3.3777777777777778</v>
      </c>
      <c r="L12" s="113"/>
      <c r="M12" s="111"/>
    </row>
    <row r="13" spans="1:13" x14ac:dyDescent="0.2">
      <c r="A13" s="111"/>
      <c r="B13" s="119" t="s">
        <v>204</v>
      </c>
      <c r="C13" s="102" t="s">
        <v>16</v>
      </c>
      <c r="D13" s="111"/>
      <c r="E13" s="111">
        <v>150</v>
      </c>
      <c r="F13" s="9" t="str">
        <f t="shared" si="3"/>
        <v>Small Hot Water</v>
      </c>
      <c r="G13" s="77" t="str">
        <f t="shared" si="4"/>
        <v>Baseline</v>
      </c>
      <c r="H13" s="111">
        <v>0.82</v>
      </c>
      <c r="I13" s="111"/>
      <c r="J13" s="112">
        <v>617</v>
      </c>
      <c r="K13" s="112">
        <f t="shared" si="5"/>
        <v>4.1133333333333333</v>
      </c>
      <c r="L13" s="113" t="s">
        <v>194</v>
      </c>
      <c r="M13" s="111"/>
    </row>
    <row r="14" spans="1:13" x14ac:dyDescent="0.2">
      <c r="A14" s="111"/>
      <c r="B14" s="119" t="s">
        <v>204</v>
      </c>
      <c r="C14" s="102" t="s">
        <v>16</v>
      </c>
      <c r="D14" s="111"/>
      <c r="E14" s="111">
        <v>180</v>
      </c>
      <c r="F14" s="9" t="str">
        <f t="shared" si="3"/>
        <v>Small Hot Water</v>
      </c>
      <c r="G14" s="77" t="str">
        <f t="shared" si="4"/>
        <v>Baseline</v>
      </c>
      <c r="H14" s="111">
        <v>0.82</v>
      </c>
      <c r="I14" s="111"/>
      <c r="J14" s="112">
        <v>798</v>
      </c>
      <c r="K14" s="112">
        <f t="shared" si="5"/>
        <v>4.4333333333333336</v>
      </c>
      <c r="L14" s="112" t="s">
        <v>191</v>
      </c>
      <c r="M14" s="111"/>
    </row>
    <row r="15" spans="1:13" ht="15" x14ac:dyDescent="0.25">
      <c r="A15" s="116"/>
      <c r="B15" s="119" t="s">
        <v>204</v>
      </c>
      <c r="C15" s="102" t="s">
        <v>16</v>
      </c>
      <c r="D15" s="111"/>
      <c r="E15" s="116">
        <v>1800</v>
      </c>
      <c r="F15" s="9" t="str">
        <f t="shared" si="3"/>
        <v>Medium Hot Water</v>
      </c>
      <c r="G15" s="77" t="str">
        <f t="shared" si="4"/>
        <v>Baseline</v>
      </c>
      <c r="H15" s="111">
        <v>0.84</v>
      </c>
      <c r="I15" s="111"/>
      <c r="J15" s="117">
        <v>8227</v>
      </c>
      <c r="K15" s="118">
        <f t="shared" si="5"/>
        <v>4.5705555555555559</v>
      </c>
      <c r="L15" s="116" t="s">
        <v>183</v>
      </c>
      <c r="M15" s="111"/>
    </row>
    <row r="16" spans="1:13" ht="15" x14ac:dyDescent="0.25">
      <c r="A16" s="116"/>
      <c r="B16" s="119" t="s">
        <v>204</v>
      </c>
      <c r="C16" s="102" t="s">
        <v>16</v>
      </c>
      <c r="D16" s="111"/>
      <c r="E16" s="116">
        <v>1800</v>
      </c>
      <c r="F16" s="9" t="str">
        <f t="shared" si="3"/>
        <v>Medium Hot Water</v>
      </c>
      <c r="G16" s="77" t="str">
        <f t="shared" si="4"/>
        <v>Baseline</v>
      </c>
      <c r="H16" s="111">
        <v>0.84</v>
      </c>
      <c r="I16" s="111"/>
      <c r="J16" s="117">
        <v>8227</v>
      </c>
      <c r="K16" s="118">
        <f t="shared" si="5"/>
        <v>4.5705555555555559</v>
      </c>
      <c r="L16" s="116" t="s">
        <v>183</v>
      </c>
      <c r="M16" s="111"/>
    </row>
    <row r="17" spans="1:13" x14ac:dyDescent="0.2">
      <c r="A17" s="111"/>
      <c r="B17" s="119" t="s">
        <v>204</v>
      </c>
      <c r="C17" s="102" t="s">
        <v>16</v>
      </c>
      <c r="D17" s="111"/>
      <c r="E17" s="111">
        <v>180</v>
      </c>
      <c r="F17" s="9" t="str">
        <f t="shared" si="3"/>
        <v>Small Hot Water</v>
      </c>
      <c r="G17" s="77" t="str">
        <f t="shared" si="4"/>
        <v>Baseline</v>
      </c>
      <c r="H17" s="111">
        <v>0.82</v>
      </c>
      <c r="I17" s="111"/>
      <c r="J17" s="112">
        <f>764.33+65.05</f>
        <v>829.38</v>
      </c>
      <c r="K17" s="112">
        <f t="shared" si="5"/>
        <v>4.6076666666666668</v>
      </c>
      <c r="L17" s="113" t="s">
        <v>189</v>
      </c>
      <c r="M17" s="111"/>
    </row>
    <row r="18" spans="1:13" x14ac:dyDescent="0.2">
      <c r="A18" s="111"/>
      <c r="B18" s="119" t="s">
        <v>204</v>
      </c>
      <c r="C18" s="102" t="s">
        <v>16</v>
      </c>
      <c r="D18" s="111"/>
      <c r="E18" s="111">
        <v>140</v>
      </c>
      <c r="F18" s="9" t="str">
        <f t="shared" si="3"/>
        <v>Small Hot Water</v>
      </c>
      <c r="G18" s="77" t="str">
        <f t="shared" si="4"/>
        <v>Baseline</v>
      </c>
      <c r="H18" s="111">
        <v>0.81</v>
      </c>
      <c r="I18" s="111"/>
      <c r="J18" s="112">
        <f>648+35.49</f>
        <v>683.49</v>
      </c>
      <c r="K18" s="112">
        <f t="shared" si="5"/>
        <v>4.8820714285714288</v>
      </c>
      <c r="L18" s="113" t="s">
        <v>189</v>
      </c>
      <c r="M18" s="111"/>
    </row>
    <row r="19" spans="1:13" x14ac:dyDescent="0.2">
      <c r="A19" s="111"/>
      <c r="B19" s="119" t="s">
        <v>204</v>
      </c>
      <c r="C19" s="102" t="s">
        <v>16</v>
      </c>
      <c r="D19" s="111"/>
      <c r="E19" s="111">
        <v>199</v>
      </c>
      <c r="F19" s="9" t="str">
        <f t="shared" si="3"/>
        <v>Small Hot Water</v>
      </c>
      <c r="G19" s="77" t="str">
        <f t="shared" si="4"/>
        <v>Baseline</v>
      </c>
      <c r="H19" s="111">
        <v>0.82</v>
      </c>
      <c r="I19" s="111"/>
      <c r="J19" s="112">
        <f>971.9+64.47</f>
        <v>1036.3699999999999</v>
      </c>
      <c r="K19" s="112">
        <f t="shared" si="5"/>
        <v>5.2078894472361803</v>
      </c>
      <c r="L19" s="113" t="s">
        <v>189</v>
      </c>
      <c r="M19" s="111"/>
    </row>
    <row r="20" spans="1:13" ht="15" x14ac:dyDescent="0.25">
      <c r="A20" s="116"/>
      <c r="B20" s="119" t="s">
        <v>204</v>
      </c>
      <c r="C20" s="102" t="s">
        <v>16</v>
      </c>
      <c r="D20" s="111"/>
      <c r="E20" s="116">
        <v>1999</v>
      </c>
      <c r="F20" s="9" t="str">
        <f t="shared" si="3"/>
        <v>Medium Hot Water</v>
      </c>
      <c r="G20" s="77" t="str">
        <f t="shared" si="4"/>
        <v>Baseline</v>
      </c>
      <c r="H20" s="111">
        <v>0.83991995997999003</v>
      </c>
      <c r="I20" s="111"/>
      <c r="J20" s="117">
        <v>10750</v>
      </c>
      <c r="K20" s="118">
        <f t="shared" si="5"/>
        <v>5.3776888444222113</v>
      </c>
      <c r="L20" s="116" t="s">
        <v>183</v>
      </c>
      <c r="M20" s="111"/>
    </row>
    <row r="21" spans="1:13" x14ac:dyDescent="0.2">
      <c r="A21" s="111"/>
      <c r="B21" s="119" t="s">
        <v>204</v>
      </c>
      <c r="C21" s="102" t="s">
        <v>16</v>
      </c>
      <c r="D21" s="111"/>
      <c r="E21" s="111">
        <v>180</v>
      </c>
      <c r="F21" s="9" t="str">
        <f t="shared" si="3"/>
        <v>Small Hot Water</v>
      </c>
      <c r="G21" s="77" t="str">
        <f t="shared" si="4"/>
        <v>Baseline</v>
      </c>
      <c r="H21" s="111">
        <v>0.82</v>
      </c>
      <c r="I21" s="111"/>
      <c r="J21" s="112">
        <v>995</v>
      </c>
      <c r="K21" s="112">
        <f t="shared" si="5"/>
        <v>5.5277777777777777</v>
      </c>
      <c r="L21" s="112" t="s">
        <v>195</v>
      </c>
      <c r="M21" s="111"/>
    </row>
    <row r="22" spans="1:13" x14ac:dyDescent="0.2">
      <c r="A22" s="111"/>
      <c r="B22" s="119" t="s">
        <v>204</v>
      </c>
      <c r="C22" s="102" t="s">
        <v>16</v>
      </c>
      <c r="D22" s="111"/>
      <c r="E22" s="111">
        <v>180</v>
      </c>
      <c r="F22" s="9" t="str">
        <f t="shared" si="3"/>
        <v>Small Hot Water</v>
      </c>
      <c r="G22" s="77" t="str">
        <f t="shared" si="4"/>
        <v>Baseline</v>
      </c>
      <c r="H22" s="111">
        <v>0.83</v>
      </c>
      <c r="I22" s="111"/>
      <c r="J22" s="112">
        <f>1005.99+45.39</f>
        <v>1051.3800000000001</v>
      </c>
      <c r="K22" s="112">
        <f t="shared" si="5"/>
        <v>5.8410000000000002</v>
      </c>
      <c r="L22" s="113" t="s">
        <v>189</v>
      </c>
      <c r="M22" s="111"/>
    </row>
    <row r="23" spans="1:13" x14ac:dyDescent="0.2">
      <c r="A23" s="111"/>
      <c r="B23" s="119" t="s">
        <v>204</v>
      </c>
      <c r="C23" s="102" t="s">
        <v>16</v>
      </c>
      <c r="D23" s="111"/>
      <c r="E23" s="111">
        <v>199.9</v>
      </c>
      <c r="F23" s="9" t="str">
        <f t="shared" si="3"/>
        <v>Small Hot Water</v>
      </c>
      <c r="G23" s="77" t="str">
        <f t="shared" si="4"/>
        <v>Baseline</v>
      </c>
      <c r="H23" s="111">
        <v>0.82</v>
      </c>
      <c r="I23" s="111"/>
      <c r="J23" s="112">
        <v>1199</v>
      </c>
      <c r="K23" s="112">
        <f t="shared" si="5"/>
        <v>5.9979989994997496</v>
      </c>
      <c r="L23" s="112" t="s">
        <v>191</v>
      </c>
      <c r="M23" s="111"/>
    </row>
    <row r="24" spans="1:13" x14ac:dyDescent="0.2">
      <c r="A24" s="111"/>
      <c r="B24" s="119" t="s">
        <v>204</v>
      </c>
      <c r="C24" s="102" t="s">
        <v>16</v>
      </c>
      <c r="D24" s="111"/>
      <c r="E24" s="111">
        <v>199</v>
      </c>
      <c r="F24" s="9" t="str">
        <f t="shared" si="3"/>
        <v>Small Hot Water</v>
      </c>
      <c r="G24" s="77" t="str">
        <f t="shared" si="4"/>
        <v>Baseline</v>
      </c>
      <c r="H24" s="111">
        <v>0.83</v>
      </c>
      <c r="I24" s="111"/>
      <c r="J24" s="112">
        <f>1222.79+68.79</f>
        <v>1291.58</v>
      </c>
      <c r="K24" s="112">
        <f t="shared" si="5"/>
        <v>6.4903517587939694</v>
      </c>
      <c r="L24" s="113" t="s">
        <v>189</v>
      </c>
      <c r="M24" s="111"/>
    </row>
    <row r="25" spans="1:13" x14ac:dyDescent="0.2">
      <c r="A25" s="111"/>
      <c r="B25" s="119" t="s">
        <v>204</v>
      </c>
      <c r="C25" s="102" t="s">
        <v>16</v>
      </c>
      <c r="D25" s="111"/>
      <c r="E25" s="111">
        <v>199.9</v>
      </c>
      <c r="F25" s="9" t="str">
        <f t="shared" si="3"/>
        <v>Small Hot Water</v>
      </c>
      <c r="G25" s="77" t="str">
        <f t="shared" si="4"/>
        <v>Tier 2</v>
      </c>
      <c r="H25" s="111">
        <v>0.94</v>
      </c>
      <c r="I25" s="111"/>
      <c r="J25" s="112">
        <v>1427</v>
      </c>
      <c r="K25" s="112">
        <f t="shared" si="5"/>
        <v>7.1385692846423208</v>
      </c>
      <c r="L25" s="112" t="s">
        <v>191</v>
      </c>
      <c r="M25" s="111"/>
    </row>
    <row r="26" spans="1:13" ht="15" x14ac:dyDescent="0.25">
      <c r="A26" s="116"/>
      <c r="B26" s="119" t="s">
        <v>204</v>
      </c>
      <c r="C26" s="102" t="s">
        <v>16</v>
      </c>
      <c r="D26" s="111"/>
      <c r="E26" s="116">
        <v>4999</v>
      </c>
      <c r="F26" s="9" t="str">
        <f t="shared" si="3"/>
        <v>Large Hot Water</v>
      </c>
      <c r="G26" s="77" t="str">
        <f t="shared" si="4"/>
        <v>Tier 1</v>
      </c>
      <c r="H26" s="111">
        <v>0.88</v>
      </c>
      <c r="I26" s="111"/>
      <c r="J26" s="117">
        <v>36158.333333333336</v>
      </c>
      <c r="K26" s="118">
        <f t="shared" si="5"/>
        <v>7.2331132893245318</v>
      </c>
      <c r="L26" s="116" t="s">
        <v>183</v>
      </c>
      <c r="M26" s="111"/>
    </row>
    <row r="27" spans="1:13" x14ac:dyDescent="0.2">
      <c r="A27" s="111"/>
      <c r="B27" s="119" t="s">
        <v>204</v>
      </c>
      <c r="C27" s="102" t="s">
        <v>16</v>
      </c>
      <c r="D27" s="111"/>
      <c r="E27" s="111">
        <v>199</v>
      </c>
      <c r="F27" s="9" t="str">
        <f t="shared" si="3"/>
        <v>Small Hot Water</v>
      </c>
      <c r="G27" s="77" t="str">
        <f t="shared" si="4"/>
        <v>Tier 2</v>
      </c>
      <c r="H27" s="111">
        <v>0.97</v>
      </c>
      <c r="I27" s="111"/>
      <c r="J27" s="112">
        <v>1568</v>
      </c>
      <c r="K27" s="112">
        <f t="shared" si="5"/>
        <v>7.8793969849246235</v>
      </c>
      <c r="L27" s="111" t="s">
        <v>190</v>
      </c>
      <c r="M27" s="111"/>
    </row>
    <row r="28" spans="1:13" x14ac:dyDescent="0.2">
      <c r="A28" s="111"/>
      <c r="B28" s="119" t="s">
        <v>204</v>
      </c>
      <c r="C28" s="102" t="s">
        <v>16</v>
      </c>
      <c r="D28" s="111"/>
      <c r="E28" s="111">
        <v>199.9</v>
      </c>
      <c r="F28" s="9" t="str">
        <f t="shared" si="3"/>
        <v>Small Hot Water</v>
      </c>
      <c r="G28" s="77" t="str">
        <f t="shared" si="4"/>
        <v>Tier 2</v>
      </c>
      <c r="H28" s="111">
        <v>0.94</v>
      </c>
      <c r="I28" s="111"/>
      <c r="J28" s="112">
        <f>1511.79+79.32</f>
        <v>1591.11</v>
      </c>
      <c r="K28" s="112">
        <f t="shared" si="5"/>
        <v>7.9595297648824408</v>
      </c>
      <c r="L28" s="113" t="s">
        <v>189</v>
      </c>
      <c r="M28" s="111"/>
    </row>
    <row r="29" spans="1:13" ht="15" x14ac:dyDescent="0.25">
      <c r="A29" s="116"/>
      <c r="B29" s="119" t="s">
        <v>204</v>
      </c>
      <c r="C29" s="102" t="s">
        <v>16</v>
      </c>
      <c r="D29" s="111"/>
      <c r="E29" s="116">
        <v>800</v>
      </c>
      <c r="F29" s="9" t="str">
        <f t="shared" si="3"/>
        <v>Medium Hot Water</v>
      </c>
      <c r="G29" s="77" t="str">
        <f t="shared" si="4"/>
        <v>Tier 2</v>
      </c>
      <c r="H29" s="111">
        <v>0.94</v>
      </c>
      <c r="I29" s="111"/>
      <c r="J29" s="117">
        <v>6500</v>
      </c>
      <c r="K29" s="118">
        <f t="shared" si="5"/>
        <v>8.125</v>
      </c>
      <c r="L29" s="116" t="s">
        <v>183</v>
      </c>
      <c r="M29" s="111"/>
    </row>
    <row r="30" spans="1:13" x14ac:dyDescent="0.2">
      <c r="A30" s="12"/>
      <c r="B30" s="119" t="s">
        <v>204</v>
      </c>
      <c r="C30" s="12" t="s">
        <v>16</v>
      </c>
      <c r="D30" s="12"/>
      <c r="E30">
        <v>1674</v>
      </c>
      <c r="F30" s="9" t="str">
        <f t="shared" si="3"/>
        <v>Medium Hot Water</v>
      </c>
      <c r="G30" s="77" t="str">
        <f t="shared" si="4"/>
        <v>Baseline</v>
      </c>
      <c r="H30" s="6">
        <f>1342/1674</f>
        <v>0.80167264038231778</v>
      </c>
      <c r="I30" s="9">
        <v>0</v>
      </c>
      <c r="J30" s="7">
        <v>13745</v>
      </c>
      <c r="K30" s="105">
        <f t="shared" si="5"/>
        <v>8.2108721624850656</v>
      </c>
      <c r="L30" s="8" t="s">
        <v>8</v>
      </c>
    </row>
    <row r="31" spans="1:13" x14ac:dyDescent="0.2">
      <c r="A31" s="111"/>
      <c r="B31" s="119" t="s">
        <v>204</v>
      </c>
      <c r="C31" s="102" t="s">
        <v>16</v>
      </c>
      <c r="D31" s="111"/>
      <c r="E31" s="111">
        <v>180</v>
      </c>
      <c r="F31" s="9" t="str">
        <f t="shared" si="3"/>
        <v>Small Hot Water</v>
      </c>
      <c r="G31" s="77" t="str">
        <f t="shared" si="4"/>
        <v>Tier 2</v>
      </c>
      <c r="H31" s="111">
        <v>0.97</v>
      </c>
      <c r="I31" s="111"/>
      <c r="J31" s="112">
        <f>1405.89+84.99</f>
        <v>1490.88</v>
      </c>
      <c r="K31" s="112">
        <f t="shared" si="5"/>
        <v>8.2826666666666675</v>
      </c>
      <c r="L31" s="113" t="s">
        <v>189</v>
      </c>
      <c r="M31" s="111"/>
    </row>
    <row r="32" spans="1:13" x14ac:dyDescent="0.2">
      <c r="A32" s="111"/>
      <c r="B32" s="119" t="s">
        <v>204</v>
      </c>
      <c r="C32" s="102" t="s">
        <v>16</v>
      </c>
      <c r="D32" s="111"/>
      <c r="E32" s="114">
        <v>380</v>
      </c>
      <c r="F32" s="9" t="str">
        <f t="shared" si="3"/>
        <v>Medium Hot Water</v>
      </c>
      <c r="G32" s="77" t="str">
        <f t="shared" si="4"/>
        <v>Baseline</v>
      </c>
      <c r="H32" s="111">
        <v>0.80200000000000005</v>
      </c>
      <c r="I32" s="111"/>
      <c r="J32" s="112">
        <v>3230</v>
      </c>
      <c r="K32" s="112">
        <f t="shared" si="5"/>
        <v>8.5</v>
      </c>
      <c r="L32" s="111" t="s">
        <v>197</v>
      </c>
      <c r="M32" s="111"/>
    </row>
    <row r="33" spans="1:13" x14ac:dyDescent="0.2">
      <c r="A33" s="12"/>
      <c r="B33" s="119" t="s">
        <v>204</v>
      </c>
      <c r="C33" s="12" t="s">
        <v>16</v>
      </c>
      <c r="D33" s="12" t="s">
        <v>24</v>
      </c>
      <c r="E33">
        <v>2730</v>
      </c>
      <c r="F33" s="9" t="str">
        <f t="shared" si="3"/>
        <v>Large Hot Water</v>
      </c>
      <c r="G33" s="77" t="str">
        <f t="shared" si="4"/>
        <v>Baseline</v>
      </c>
      <c r="H33" s="6">
        <v>0.8</v>
      </c>
      <c r="I33" s="9">
        <v>1</v>
      </c>
      <c r="J33" s="7">
        <v>23529</v>
      </c>
      <c r="K33" s="105">
        <f t="shared" si="5"/>
        <v>8.6186813186813183</v>
      </c>
      <c r="L33" s="8" t="s">
        <v>18</v>
      </c>
      <c r="M33" t="s">
        <v>26</v>
      </c>
    </row>
    <row r="34" spans="1:13" ht="15" x14ac:dyDescent="0.25">
      <c r="A34" s="116"/>
      <c r="B34" s="119" t="s">
        <v>204</v>
      </c>
      <c r="C34" s="102" t="s">
        <v>16</v>
      </c>
      <c r="D34" s="111"/>
      <c r="E34" s="116">
        <v>1750</v>
      </c>
      <c r="F34" s="9" t="str">
        <f t="shared" si="3"/>
        <v>Medium Hot Water</v>
      </c>
      <c r="G34" s="77" t="str">
        <f t="shared" si="4"/>
        <v>Tier 1</v>
      </c>
      <c r="H34" s="111">
        <v>0.85</v>
      </c>
      <c r="I34" s="111"/>
      <c r="J34" s="117">
        <v>15692</v>
      </c>
      <c r="K34" s="118">
        <f t="shared" si="5"/>
        <v>8.9668571428571422</v>
      </c>
      <c r="L34" s="116" t="s">
        <v>183</v>
      </c>
      <c r="M34" s="111"/>
    </row>
    <row r="35" spans="1:13" x14ac:dyDescent="0.2">
      <c r="A35" s="111"/>
      <c r="B35" s="119" t="s">
        <v>204</v>
      </c>
      <c r="C35" s="102" t="s">
        <v>16</v>
      </c>
      <c r="D35" s="111"/>
      <c r="E35" s="111">
        <v>157</v>
      </c>
      <c r="F35" s="9" t="str">
        <f t="shared" si="3"/>
        <v>Small Hot Water</v>
      </c>
      <c r="G35" s="77" t="str">
        <f t="shared" si="4"/>
        <v>Tier 2</v>
      </c>
      <c r="H35" s="111">
        <v>0.97</v>
      </c>
      <c r="I35" s="111"/>
      <c r="J35" s="112">
        <f>1408.98</f>
        <v>1408.98</v>
      </c>
      <c r="K35" s="112">
        <f t="shared" si="5"/>
        <v>8.9743949044585989</v>
      </c>
      <c r="L35" s="113" t="s">
        <v>189</v>
      </c>
      <c r="M35" s="111"/>
    </row>
    <row r="36" spans="1:13" x14ac:dyDescent="0.2">
      <c r="A36" s="102"/>
      <c r="B36" s="119" t="s">
        <v>204</v>
      </c>
      <c r="C36" s="102" t="s">
        <v>16</v>
      </c>
      <c r="D36" s="102"/>
      <c r="E36">
        <v>990</v>
      </c>
      <c r="F36" s="9" t="str">
        <f t="shared" si="3"/>
        <v>Medium Hot Water</v>
      </c>
      <c r="G36" s="77" t="str">
        <f t="shared" si="4"/>
        <v>Baseline</v>
      </c>
      <c r="H36" s="6">
        <v>0.84</v>
      </c>
      <c r="I36" s="9">
        <v>0</v>
      </c>
      <c r="J36" s="103">
        <v>9116</v>
      </c>
      <c r="K36" s="106">
        <v>9.2080808080808083</v>
      </c>
      <c r="L36" s="104" t="s">
        <v>183</v>
      </c>
    </row>
    <row r="37" spans="1:13" x14ac:dyDescent="0.2">
      <c r="A37" s="111"/>
      <c r="B37" s="119" t="s">
        <v>204</v>
      </c>
      <c r="C37" s="102" t="s">
        <v>16</v>
      </c>
      <c r="D37" s="111"/>
      <c r="E37" s="111">
        <v>120</v>
      </c>
      <c r="F37" s="9" t="str">
        <f t="shared" si="3"/>
        <v>Small Hot Water</v>
      </c>
      <c r="G37" s="77" t="str">
        <f t="shared" si="4"/>
        <v>Tier 2</v>
      </c>
      <c r="H37" s="111">
        <v>0.91</v>
      </c>
      <c r="I37" s="111"/>
      <c r="J37" s="112">
        <f>1087.81+54.39</f>
        <v>1142.2</v>
      </c>
      <c r="K37" s="112">
        <f>J37/E37</f>
        <v>9.5183333333333344</v>
      </c>
      <c r="L37" s="113" t="s">
        <v>189</v>
      </c>
      <c r="M37" s="111"/>
    </row>
    <row r="38" spans="1:13" x14ac:dyDescent="0.2">
      <c r="A38" s="111"/>
      <c r="B38" s="119" t="s">
        <v>204</v>
      </c>
      <c r="C38" s="102" t="s">
        <v>16</v>
      </c>
      <c r="D38" s="111"/>
      <c r="E38" s="111">
        <v>250</v>
      </c>
      <c r="F38" s="9" t="str">
        <f t="shared" si="3"/>
        <v>Small Hot Water</v>
      </c>
      <c r="G38" s="77" t="str">
        <f t="shared" si="4"/>
        <v>Baseline</v>
      </c>
      <c r="H38" s="111">
        <v>0.84</v>
      </c>
      <c r="I38" s="111"/>
      <c r="J38" s="112">
        <f>2356.59+64.29</f>
        <v>2420.88</v>
      </c>
      <c r="K38" s="112">
        <f>J38/E38</f>
        <v>9.6835199999999997</v>
      </c>
      <c r="L38" s="113" t="s">
        <v>189</v>
      </c>
      <c r="M38" s="111"/>
    </row>
    <row r="39" spans="1:13" x14ac:dyDescent="0.2">
      <c r="A39" s="102"/>
      <c r="B39" s="119" t="s">
        <v>204</v>
      </c>
      <c r="C39" s="102" t="s">
        <v>16</v>
      </c>
      <c r="D39" s="102"/>
      <c r="E39">
        <v>1950</v>
      </c>
      <c r="F39" s="9" t="str">
        <f t="shared" si="3"/>
        <v>Medium Hot Water</v>
      </c>
      <c r="G39" s="77" t="str">
        <f t="shared" si="4"/>
        <v>Tier 1</v>
      </c>
      <c r="H39" s="6">
        <v>0.85099999999999998</v>
      </c>
      <c r="I39" s="9">
        <v>0</v>
      </c>
      <c r="J39" s="103">
        <v>20000</v>
      </c>
      <c r="K39" s="106">
        <v>10.256410256410257</v>
      </c>
      <c r="L39" s="104" t="s">
        <v>183</v>
      </c>
    </row>
    <row r="40" spans="1:13" ht="15" x14ac:dyDescent="0.25">
      <c r="A40" s="116"/>
      <c r="B40" s="119" t="s">
        <v>204</v>
      </c>
      <c r="C40" s="102" t="s">
        <v>16</v>
      </c>
      <c r="D40" s="111"/>
      <c r="E40" s="116">
        <v>1100</v>
      </c>
      <c r="F40" s="9" t="str">
        <f t="shared" si="3"/>
        <v>Medium Hot Water</v>
      </c>
      <c r="G40" s="77" t="str">
        <f t="shared" si="4"/>
        <v>Baseline</v>
      </c>
      <c r="H40" s="111">
        <v>0.84</v>
      </c>
      <c r="I40" s="111"/>
      <c r="J40" s="117">
        <v>11355</v>
      </c>
      <c r="K40" s="118">
        <f t="shared" ref="K40:K52" si="6">J40/E40</f>
        <v>10.322727272727272</v>
      </c>
      <c r="L40" s="116" t="s">
        <v>183</v>
      </c>
      <c r="M40" s="111"/>
    </row>
    <row r="41" spans="1:13" x14ac:dyDescent="0.2">
      <c r="A41" s="12"/>
      <c r="B41" s="119" t="s">
        <v>204</v>
      </c>
      <c r="C41" s="12" t="s">
        <v>16</v>
      </c>
      <c r="D41" s="12" t="s">
        <v>23</v>
      </c>
      <c r="E41">
        <v>250</v>
      </c>
      <c r="F41" s="9" t="str">
        <f t="shared" si="3"/>
        <v>Small Hot Water</v>
      </c>
      <c r="G41" s="77" t="str">
        <f t="shared" si="4"/>
        <v>Baseline</v>
      </c>
      <c r="H41" s="6">
        <v>0.8</v>
      </c>
      <c r="I41" s="9">
        <v>1</v>
      </c>
      <c r="J41" s="7">
        <v>2616</v>
      </c>
      <c r="K41" s="105">
        <f t="shared" si="6"/>
        <v>10.464</v>
      </c>
      <c r="L41" s="8" t="s">
        <v>8</v>
      </c>
    </row>
    <row r="42" spans="1:13" x14ac:dyDescent="0.2">
      <c r="A42" s="111"/>
      <c r="B42" s="119" t="s">
        <v>204</v>
      </c>
      <c r="C42" s="102" t="s">
        <v>16</v>
      </c>
      <c r="D42" s="111"/>
      <c r="E42" s="114">
        <v>240</v>
      </c>
      <c r="F42" s="9" t="str">
        <f t="shared" si="3"/>
        <v>Small Hot Water</v>
      </c>
      <c r="G42" s="77" t="str">
        <f t="shared" si="4"/>
        <v>Baseline</v>
      </c>
      <c r="H42" s="111">
        <v>0.82199999999999995</v>
      </c>
      <c r="I42" s="111"/>
      <c r="J42" s="112">
        <v>2578</v>
      </c>
      <c r="K42" s="112">
        <f t="shared" si="6"/>
        <v>10.741666666666667</v>
      </c>
      <c r="L42" s="115" t="s">
        <v>196</v>
      </c>
      <c r="M42" s="111"/>
    </row>
    <row r="43" spans="1:13" x14ac:dyDescent="0.2">
      <c r="A43" s="111"/>
      <c r="B43" s="119" t="s">
        <v>204</v>
      </c>
      <c r="C43" s="102" t="s">
        <v>16</v>
      </c>
      <c r="D43" s="111"/>
      <c r="E43" s="111">
        <v>380</v>
      </c>
      <c r="F43" s="9" t="str">
        <f t="shared" si="3"/>
        <v>Medium Hot Water</v>
      </c>
      <c r="G43" s="77" t="str">
        <f t="shared" si="4"/>
        <v>Baseline</v>
      </c>
      <c r="H43" s="111">
        <v>0.84</v>
      </c>
      <c r="I43" s="111"/>
      <c r="J43" s="112">
        <f>4322.52+102.99</f>
        <v>4425.51</v>
      </c>
      <c r="K43" s="112">
        <f t="shared" si="6"/>
        <v>11.646078947368421</v>
      </c>
      <c r="L43" s="113" t="s">
        <v>189</v>
      </c>
      <c r="M43" s="111"/>
    </row>
    <row r="44" spans="1:13" x14ac:dyDescent="0.2">
      <c r="A44" s="12"/>
      <c r="B44" s="119" t="s">
        <v>204</v>
      </c>
      <c r="C44" s="12" t="s">
        <v>16</v>
      </c>
      <c r="D44" s="12" t="s">
        <v>24</v>
      </c>
      <c r="E44">
        <v>250</v>
      </c>
      <c r="F44" s="9" t="str">
        <f t="shared" ref="F44:F75" si="7">IF(E44&lt;300,CONCATENATE("Small ",C44),IF(AND(E44&gt;=300,E44&lt;2500),CONCATENATE("Medium ",C44),CONCATENATE("Large ",C44)))</f>
        <v>Small Hot Water</v>
      </c>
      <c r="G44" s="77" t="str">
        <f t="shared" ref="G44:G75" si="8">IF(C44="Steam",IF(H44&gt;=0.83,"Tier 1","Baseline"),IF(H44&gt;=0.9,"Tier 2",IF(H44&lt;0.85,"Baseline","Tier 1")))</f>
        <v>Baseline</v>
      </c>
      <c r="H44" s="6">
        <v>0.80500000000000005</v>
      </c>
      <c r="I44" s="9">
        <v>1</v>
      </c>
      <c r="J44" s="7">
        <v>2934</v>
      </c>
      <c r="K44" s="105">
        <f t="shared" si="6"/>
        <v>11.736000000000001</v>
      </c>
      <c r="L44" s="8" t="s">
        <v>8</v>
      </c>
    </row>
    <row r="45" spans="1:13" x14ac:dyDescent="0.2">
      <c r="A45" s="12"/>
      <c r="B45" s="119" t="s">
        <v>204</v>
      </c>
      <c r="C45" s="12" t="s">
        <v>16</v>
      </c>
      <c r="D45" s="12" t="s">
        <v>24</v>
      </c>
      <c r="E45">
        <v>150</v>
      </c>
      <c r="F45" s="9" t="str">
        <f t="shared" si="7"/>
        <v>Small Hot Water</v>
      </c>
      <c r="G45" s="77" t="str">
        <f t="shared" si="8"/>
        <v>Baseline</v>
      </c>
      <c r="H45" s="6">
        <v>0.83</v>
      </c>
      <c r="I45" s="9">
        <v>1</v>
      </c>
      <c r="J45" s="7">
        <v>1773.19</v>
      </c>
      <c r="K45" s="105">
        <f t="shared" si="6"/>
        <v>11.821266666666666</v>
      </c>
      <c r="L45" s="8" t="s">
        <v>28</v>
      </c>
      <c r="M45" t="s">
        <v>29</v>
      </c>
    </row>
    <row r="46" spans="1:13" x14ac:dyDescent="0.2">
      <c r="A46" s="12"/>
      <c r="B46" s="119" t="s">
        <v>204</v>
      </c>
      <c r="C46" s="12" t="s">
        <v>17</v>
      </c>
      <c r="D46" s="12"/>
      <c r="E46">
        <v>2136</v>
      </c>
      <c r="F46" s="9" t="str">
        <f t="shared" si="7"/>
        <v>Medium Steam</v>
      </c>
      <c r="G46" s="77" t="str">
        <f t="shared" si="8"/>
        <v>Baseline</v>
      </c>
      <c r="H46" s="6">
        <f>1714/2136</f>
        <v>0.80243445692883897</v>
      </c>
      <c r="I46" s="9">
        <v>0</v>
      </c>
      <c r="J46" s="7">
        <v>18828</v>
      </c>
      <c r="K46" s="105">
        <f t="shared" si="6"/>
        <v>8.8146067415730336</v>
      </c>
      <c r="L46" s="8" t="s">
        <v>8</v>
      </c>
    </row>
    <row r="47" spans="1:13" x14ac:dyDescent="0.2">
      <c r="A47" s="12"/>
      <c r="B47" s="119" t="s">
        <v>204</v>
      </c>
      <c r="C47" s="12" t="s">
        <v>16</v>
      </c>
      <c r="D47" s="12" t="s">
        <v>23</v>
      </c>
      <c r="E47">
        <v>150</v>
      </c>
      <c r="F47" s="9" t="str">
        <f t="shared" si="7"/>
        <v>Small Hot Water</v>
      </c>
      <c r="G47" s="77" t="str">
        <f t="shared" si="8"/>
        <v>Baseline</v>
      </c>
      <c r="H47" s="6">
        <v>0.8</v>
      </c>
      <c r="I47" s="9">
        <v>1</v>
      </c>
      <c r="J47" s="7">
        <v>1776</v>
      </c>
      <c r="K47" s="105">
        <f t="shared" si="6"/>
        <v>11.84</v>
      </c>
      <c r="L47" s="8" t="s">
        <v>18</v>
      </c>
    </row>
    <row r="48" spans="1:13" x14ac:dyDescent="0.2">
      <c r="A48" s="12"/>
      <c r="B48" s="119" t="s">
        <v>204</v>
      </c>
      <c r="C48" s="12" t="s">
        <v>17</v>
      </c>
      <c r="D48" s="12"/>
      <c r="E48">
        <v>606</v>
      </c>
      <c r="F48" s="9" t="str">
        <f t="shared" si="7"/>
        <v>Medium Steam</v>
      </c>
      <c r="G48" s="77" t="str">
        <f t="shared" si="8"/>
        <v>Baseline</v>
      </c>
      <c r="H48" s="6">
        <f>483/606</f>
        <v>0.79702970297029707</v>
      </c>
      <c r="I48" s="9">
        <v>0</v>
      </c>
      <c r="J48" s="7">
        <v>7875</v>
      </c>
      <c r="K48" s="105">
        <f t="shared" si="6"/>
        <v>12.995049504950495</v>
      </c>
      <c r="L48" s="8" t="s">
        <v>8</v>
      </c>
    </row>
    <row r="49" spans="1:13" x14ac:dyDescent="0.2">
      <c r="A49" s="12"/>
      <c r="B49" s="119" t="s">
        <v>204</v>
      </c>
      <c r="C49" s="12" t="s">
        <v>16</v>
      </c>
      <c r="D49" s="12"/>
      <c r="E49">
        <v>606</v>
      </c>
      <c r="F49" s="9" t="str">
        <f t="shared" si="7"/>
        <v>Medium Hot Water</v>
      </c>
      <c r="G49" s="77" t="str">
        <f t="shared" si="8"/>
        <v>Baseline</v>
      </c>
      <c r="H49" s="6">
        <f>483/606</f>
        <v>0.79702970297029707</v>
      </c>
      <c r="I49" s="9">
        <v>0</v>
      </c>
      <c r="J49" s="7">
        <v>7232</v>
      </c>
      <c r="K49" s="105">
        <f t="shared" si="6"/>
        <v>11.933993399339935</v>
      </c>
      <c r="L49" s="8" t="s">
        <v>8</v>
      </c>
    </row>
    <row r="50" spans="1:13" ht="15" x14ac:dyDescent="0.25">
      <c r="A50" s="116"/>
      <c r="B50" s="119" t="s">
        <v>204</v>
      </c>
      <c r="C50" s="102" t="s">
        <v>16</v>
      </c>
      <c r="D50" s="111"/>
      <c r="E50" s="116">
        <v>1999</v>
      </c>
      <c r="F50" s="9" t="str">
        <f t="shared" si="7"/>
        <v>Medium Hot Water</v>
      </c>
      <c r="G50" s="77" t="str">
        <f t="shared" si="8"/>
        <v>Baseline</v>
      </c>
      <c r="H50" s="111">
        <v>0.84</v>
      </c>
      <c r="I50" s="111"/>
      <c r="J50" s="117">
        <v>25000</v>
      </c>
      <c r="K50" s="118">
        <f t="shared" si="6"/>
        <v>12.506253126563282</v>
      </c>
      <c r="L50" s="116" t="s">
        <v>183</v>
      </c>
      <c r="M50" s="111"/>
    </row>
    <row r="51" spans="1:13" x14ac:dyDescent="0.2">
      <c r="A51" s="12"/>
      <c r="B51" s="119" t="s">
        <v>204</v>
      </c>
      <c r="C51" s="12" t="s">
        <v>17</v>
      </c>
      <c r="D51" s="12"/>
      <c r="E51">
        <v>2367</v>
      </c>
      <c r="F51" s="9" t="str">
        <f t="shared" si="7"/>
        <v>Medium Steam</v>
      </c>
      <c r="G51" s="77" t="str">
        <f t="shared" si="8"/>
        <v>Baseline</v>
      </c>
      <c r="H51" s="6">
        <f>1900/2367</f>
        <v>0.80270384452893961</v>
      </c>
      <c r="I51" s="9">
        <v>0</v>
      </c>
      <c r="J51" s="7">
        <v>20096</v>
      </c>
      <c r="K51" s="105">
        <f t="shared" si="6"/>
        <v>8.4900718208703001</v>
      </c>
      <c r="L51" s="8" t="s">
        <v>8</v>
      </c>
    </row>
    <row r="52" spans="1:13" x14ac:dyDescent="0.2">
      <c r="A52" s="12"/>
      <c r="B52" s="119" t="s">
        <v>204</v>
      </c>
      <c r="C52" s="12" t="s">
        <v>16</v>
      </c>
      <c r="D52" s="12" t="s">
        <v>23</v>
      </c>
      <c r="E52">
        <v>120</v>
      </c>
      <c r="F52" s="9" t="str">
        <f t="shared" si="7"/>
        <v>Small Hot Water</v>
      </c>
      <c r="G52" s="77" t="str">
        <f t="shared" si="8"/>
        <v>Baseline</v>
      </c>
      <c r="H52" s="6">
        <v>0.8</v>
      </c>
      <c r="I52" s="9">
        <v>1</v>
      </c>
      <c r="J52" s="7">
        <v>1534</v>
      </c>
      <c r="K52" s="105">
        <f t="shared" si="6"/>
        <v>12.783333333333333</v>
      </c>
      <c r="L52" s="8" t="s">
        <v>8</v>
      </c>
    </row>
    <row r="53" spans="1:13" x14ac:dyDescent="0.2">
      <c r="A53" s="102"/>
      <c r="B53" s="119" t="s">
        <v>204</v>
      </c>
      <c r="C53" s="102" t="s">
        <v>17</v>
      </c>
      <c r="D53" s="102"/>
      <c r="E53">
        <v>16500</v>
      </c>
      <c r="F53" s="9" t="str">
        <f t="shared" si="7"/>
        <v>Large Steam</v>
      </c>
      <c r="G53" s="77" t="str">
        <f t="shared" si="8"/>
        <v>Baseline</v>
      </c>
      <c r="H53" s="6">
        <v>0.82699999999999996</v>
      </c>
      <c r="I53" s="9">
        <v>0</v>
      </c>
      <c r="J53" s="103">
        <v>173400</v>
      </c>
      <c r="K53" s="106">
        <v>10.50909090909091</v>
      </c>
      <c r="L53" s="104" t="s">
        <v>183</v>
      </c>
    </row>
    <row r="54" spans="1:13" x14ac:dyDescent="0.2">
      <c r="A54" s="102"/>
      <c r="B54" s="119" t="s">
        <v>204</v>
      </c>
      <c r="C54" s="102" t="s">
        <v>17</v>
      </c>
      <c r="D54" s="102"/>
      <c r="E54">
        <v>1060</v>
      </c>
      <c r="F54" s="9" t="str">
        <f t="shared" si="7"/>
        <v>Medium Steam</v>
      </c>
      <c r="G54" s="77" t="str">
        <f t="shared" si="8"/>
        <v>Baseline</v>
      </c>
      <c r="H54" s="6">
        <v>0.82</v>
      </c>
      <c r="I54" s="9">
        <v>0</v>
      </c>
      <c r="J54" s="103">
        <v>27500</v>
      </c>
      <c r="K54" s="106">
        <v>25.943396226415093</v>
      </c>
      <c r="L54" s="104" t="s">
        <v>183</v>
      </c>
    </row>
    <row r="55" spans="1:13" x14ac:dyDescent="0.2">
      <c r="A55" s="102"/>
      <c r="B55" s="119" t="s">
        <v>204</v>
      </c>
      <c r="C55" s="102" t="s">
        <v>17</v>
      </c>
      <c r="D55" s="102"/>
      <c r="E55">
        <v>2000</v>
      </c>
      <c r="F55" s="9" t="str">
        <f t="shared" si="7"/>
        <v>Medium Steam</v>
      </c>
      <c r="G55" s="77" t="str">
        <f t="shared" si="8"/>
        <v>Tier 1</v>
      </c>
      <c r="H55" s="6">
        <v>0.84199999999999997</v>
      </c>
      <c r="I55" s="9">
        <v>0</v>
      </c>
      <c r="J55" s="103">
        <v>36000</v>
      </c>
      <c r="K55" s="106">
        <v>18</v>
      </c>
      <c r="L55" s="104" t="s">
        <v>183</v>
      </c>
    </row>
    <row r="56" spans="1:13" x14ac:dyDescent="0.2">
      <c r="A56" s="102"/>
      <c r="B56" s="119" t="s">
        <v>204</v>
      </c>
      <c r="C56" s="102" t="s">
        <v>17</v>
      </c>
      <c r="D56" s="102"/>
      <c r="E56">
        <v>1995</v>
      </c>
      <c r="F56" s="9" t="str">
        <f t="shared" si="7"/>
        <v>Medium Steam</v>
      </c>
      <c r="G56" s="77" t="str">
        <f t="shared" si="8"/>
        <v>Baseline</v>
      </c>
      <c r="H56" s="6">
        <v>0.82099999999999995</v>
      </c>
      <c r="I56" s="9">
        <v>0</v>
      </c>
      <c r="J56" s="103">
        <v>77520</v>
      </c>
      <c r="K56" s="106">
        <v>38.857142857142854</v>
      </c>
      <c r="L56" s="104" t="s">
        <v>183</v>
      </c>
    </row>
    <row r="57" spans="1:13" x14ac:dyDescent="0.2">
      <c r="A57" s="102"/>
      <c r="B57" s="119" t="s">
        <v>204</v>
      </c>
      <c r="C57" s="102" t="s">
        <v>17</v>
      </c>
      <c r="D57" s="102"/>
      <c r="E57">
        <v>1995</v>
      </c>
      <c r="F57" s="9" t="str">
        <f t="shared" si="7"/>
        <v>Medium Steam</v>
      </c>
      <c r="G57" s="77" t="str">
        <f t="shared" si="8"/>
        <v>Tier 1</v>
      </c>
      <c r="H57" s="6">
        <v>0.83299999999999996</v>
      </c>
      <c r="I57" s="9">
        <v>0</v>
      </c>
      <c r="J57" s="103">
        <v>70300</v>
      </c>
      <c r="K57" s="106">
        <v>35.238095238095241</v>
      </c>
      <c r="L57" s="104" t="s">
        <v>183</v>
      </c>
    </row>
    <row r="58" spans="1:13" x14ac:dyDescent="0.2">
      <c r="A58" s="102"/>
      <c r="B58" s="119" t="s">
        <v>204</v>
      </c>
      <c r="C58" s="102" t="s">
        <v>17</v>
      </c>
      <c r="D58" s="102"/>
      <c r="E58">
        <v>8300</v>
      </c>
      <c r="F58" s="9" t="str">
        <f t="shared" si="7"/>
        <v>Large Steam</v>
      </c>
      <c r="G58" s="77" t="str">
        <f t="shared" si="8"/>
        <v>Tier 1</v>
      </c>
      <c r="H58" s="6">
        <v>0.83599999999999997</v>
      </c>
      <c r="I58" s="9">
        <v>0</v>
      </c>
      <c r="J58" s="103">
        <v>75980</v>
      </c>
      <c r="K58" s="106">
        <v>9.1542168674698789</v>
      </c>
      <c r="L58" s="104" t="s">
        <v>183</v>
      </c>
    </row>
    <row r="59" spans="1:13" x14ac:dyDescent="0.2">
      <c r="A59" s="102"/>
      <c r="B59" s="119" t="s">
        <v>204</v>
      </c>
      <c r="C59" s="102" t="s">
        <v>17</v>
      </c>
      <c r="D59" s="102"/>
      <c r="E59">
        <v>1969</v>
      </c>
      <c r="F59" s="9" t="str">
        <f t="shared" si="7"/>
        <v>Medium Steam</v>
      </c>
      <c r="G59" s="77" t="str">
        <f t="shared" si="8"/>
        <v>Tier 1</v>
      </c>
      <c r="H59" s="6">
        <v>0.83899999999999997</v>
      </c>
      <c r="I59" s="9">
        <v>0</v>
      </c>
      <c r="J59" s="103">
        <v>36819</v>
      </c>
      <c r="K59" s="106">
        <v>18.699339766378873</v>
      </c>
      <c r="L59" s="104" t="s">
        <v>183</v>
      </c>
    </row>
    <row r="60" spans="1:13" x14ac:dyDescent="0.2">
      <c r="A60" s="102"/>
      <c r="B60" s="119" t="s">
        <v>204</v>
      </c>
      <c r="C60" s="102" t="s">
        <v>17</v>
      </c>
      <c r="D60" s="102"/>
      <c r="E60">
        <v>8300</v>
      </c>
      <c r="F60" s="9" t="str">
        <f t="shared" si="7"/>
        <v>Large Steam</v>
      </c>
      <c r="G60" s="77" t="str">
        <f t="shared" si="8"/>
        <v>Baseline</v>
      </c>
      <c r="H60" s="6">
        <v>0.82399999999999995</v>
      </c>
      <c r="I60" s="9">
        <v>0</v>
      </c>
      <c r="J60" s="103">
        <v>98553</v>
      </c>
      <c r="K60" s="106">
        <v>11.873855421686747</v>
      </c>
      <c r="L60" s="104" t="s">
        <v>183</v>
      </c>
    </row>
    <row r="61" spans="1:13" x14ac:dyDescent="0.2">
      <c r="A61" s="111"/>
      <c r="B61" s="119" t="s">
        <v>204</v>
      </c>
      <c r="C61" s="102" t="s">
        <v>16</v>
      </c>
      <c r="D61" s="111"/>
      <c r="E61" s="114">
        <v>225</v>
      </c>
      <c r="F61" s="9" t="str">
        <f t="shared" si="7"/>
        <v>Small Hot Water</v>
      </c>
      <c r="G61" s="77" t="str">
        <f t="shared" si="8"/>
        <v>Tier 2</v>
      </c>
      <c r="H61" s="111">
        <v>0.94</v>
      </c>
      <c r="I61" s="111"/>
      <c r="J61" s="112">
        <v>2886</v>
      </c>
      <c r="K61" s="112">
        <f t="shared" ref="K61:K75" si="9">J61/E61</f>
        <v>12.826666666666666</v>
      </c>
      <c r="L61" s="113" t="s">
        <v>192</v>
      </c>
      <c r="M61" s="111"/>
    </row>
    <row r="62" spans="1:13" x14ac:dyDescent="0.2">
      <c r="A62" s="12"/>
      <c r="B62" s="119" t="s">
        <v>204</v>
      </c>
      <c r="C62" s="12" t="s">
        <v>16</v>
      </c>
      <c r="D62" s="12" t="s">
        <v>24</v>
      </c>
      <c r="E62">
        <v>150</v>
      </c>
      <c r="F62" s="9" t="str">
        <f t="shared" si="7"/>
        <v>Small Hot Water</v>
      </c>
      <c r="G62" s="77" t="str">
        <f t="shared" si="8"/>
        <v>Baseline</v>
      </c>
      <c r="H62" s="6">
        <v>0.83</v>
      </c>
      <c r="I62" s="9">
        <v>1</v>
      </c>
      <c r="J62" s="7">
        <v>1936</v>
      </c>
      <c r="K62" s="105">
        <f t="shared" si="9"/>
        <v>12.906666666666666</v>
      </c>
      <c r="L62" s="8" t="s">
        <v>18</v>
      </c>
    </row>
    <row r="63" spans="1:13" x14ac:dyDescent="0.2">
      <c r="A63" s="12"/>
      <c r="B63" s="119" t="s">
        <v>204</v>
      </c>
      <c r="C63" s="12" t="s">
        <v>16</v>
      </c>
      <c r="D63" s="12" t="s">
        <v>23</v>
      </c>
      <c r="E63">
        <v>594</v>
      </c>
      <c r="F63" s="9" t="str">
        <f t="shared" si="7"/>
        <v>Medium Hot Water</v>
      </c>
      <c r="G63" s="77" t="str">
        <f t="shared" si="8"/>
        <v>Baseline</v>
      </c>
      <c r="H63" s="6">
        <v>0.8</v>
      </c>
      <c r="I63" s="9">
        <v>0</v>
      </c>
      <c r="J63" s="7">
        <v>7693</v>
      </c>
      <c r="K63" s="105">
        <f t="shared" si="9"/>
        <v>12.951178451178452</v>
      </c>
      <c r="L63" s="8" t="s">
        <v>8</v>
      </c>
    </row>
    <row r="64" spans="1:13" x14ac:dyDescent="0.2">
      <c r="A64" s="12"/>
      <c r="B64" s="119" t="s">
        <v>204</v>
      </c>
      <c r="C64" s="12" t="s">
        <v>16</v>
      </c>
      <c r="D64" s="12" t="s">
        <v>23</v>
      </c>
      <c r="E64">
        <v>175</v>
      </c>
      <c r="F64" s="9" t="str">
        <f t="shared" si="7"/>
        <v>Small Hot Water</v>
      </c>
      <c r="G64" s="77" t="str">
        <f t="shared" si="8"/>
        <v>Baseline</v>
      </c>
      <c r="H64" s="6">
        <v>0.8</v>
      </c>
      <c r="I64" s="9">
        <v>1</v>
      </c>
      <c r="J64" s="7">
        <v>2396</v>
      </c>
      <c r="K64" s="105">
        <f t="shared" si="9"/>
        <v>13.691428571428572</v>
      </c>
      <c r="L64" s="8" t="s">
        <v>8</v>
      </c>
    </row>
    <row r="65" spans="1:13" s="111" customFormat="1" x14ac:dyDescent="0.2">
      <c r="A65" s="12"/>
      <c r="B65" s="119" t="s">
        <v>204</v>
      </c>
      <c r="C65" s="12" t="s">
        <v>16</v>
      </c>
      <c r="D65" s="12" t="s">
        <v>24</v>
      </c>
      <c r="E65">
        <v>162</v>
      </c>
      <c r="F65" s="9" t="str">
        <f t="shared" si="7"/>
        <v>Small Hot Water</v>
      </c>
      <c r="G65" s="77" t="str">
        <f t="shared" si="8"/>
        <v>Baseline</v>
      </c>
      <c r="H65" s="6">
        <v>0.81400000000000006</v>
      </c>
      <c r="I65" s="9">
        <v>1</v>
      </c>
      <c r="J65" s="7">
        <v>2239</v>
      </c>
      <c r="K65" s="105">
        <f t="shared" si="9"/>
        <v>13.820987654320987</v>
      </c>
      <c r="L65" s="8" t="s">
        <v>30</v>
      </c>
      <c r="M65"/>
    </row>
    <row r="66" spans="1:13" s="111" customFormat="1" x14ac:dyDescent="0.2">
      <c r="A66" s="12"/>
      <c r="B66" s="119" t="s">
        <v>204</v>
      </c>
      <c r="C66" s="12" t="s">
        <v>16</v>
      </c>
      <c r="D66" s="12" t="s">
        <v>24</v>
      </c>
      <c r="E66">
        <v>120</v>
      </c>
      <c r="F66" s="9" t="str">
        <f t="shared" si="7"/>
        <v>Small Hot Water</v>
      </c>
      <c r="G66" s="77" t="str">
        <f t="shared" si="8"/>
        <v>Baseline</v>
      </c>
      <c r="H66" s="6">
        <v>0.82</v>
      </c>
      <c r="I66" s="9">
        <v>1</v>
      </c>
      <c r="J66" s="7">
        <v>1706</v>
      </c>
      <c r="K66" s="105">
        <f t="shared" si="9"/>
        <v>14.216666666666667</v>
      </c>
      <c r="L66" s="8" t="s">
        <v>8</v>
      </c>
      <c r="M66"/>
    </row>
    <row r="67" spans="1:13" s="111" customFormat="1" x14ac:dyDescent="0.2">
      <c r="A67" s="12"/>
      <c r="B67" s="119" t="s">
        <v>204</v>
      </c>
      <c r="C67" s="12" t="s">
        <v>16</v>
      </c>
      <c r="D67" s="12" t="s">
        <v>23</v>
      </c>
      <c r="E67">
        <v>162</v>
      </c>
      <c r="F67" s="9" t="str">
        <f t="shared" si="7"/>
        <v>Small Hot Water</v>
      </c>
      <c r="G67" s="77" t="str">
        <f t="shared" si="8"/>
        <v>Baseline</v>
      </c>
      <c r="H67" s="6">
        <v>0.80300000000000005</v>
      </c>
      <c r="I67" s="9">
        <v>1</v>
      </c>
      <c r="J67" s="7">
        <v>2307</v>
      </c>
      <c r="K67" s="105">
        <f t="shared" si="9"/>
        <v>14.24074074074074</v>
      </c>
      <c r="L67" s="8" t="s">
        <v>30</v>
      </c>
      <c r="M67"/>
    </row>
    <row r="68" spans="1:13" s="111" customFormat="1" ht="15" x14ac:dyDescent="0.25">
      <c r="A68" s="116"/>
      <c r="B68" s="119" t="s">
        <v>204</v>
      </c>
      <c r="C68" s="102" t="s">
        <v>16</v>
      </c>
      <c r="E68" s="116">
        <v>1250</v>
      </c>
      <c r="F68" s="9" t="str">
        <f t="shared" si="7"/>
        <v>Medium Hot Water</v>
      </c>
      <c r="G68" s="77" t="str">
        <f t="shared" si="8"/>
        <v>Tier 1</v>
      </c>
      <c r="H68" s="111">
        <v>0.85</v>
      </c>
      <c r="J68" s="117">
        <v>18225.5</v>
      </c>
      <c r="K68" s="118">
        <f t="shared" si="9"/>
        <v>14.580399999999999</v>
      </c>
      <c r="L68" s="116" t="s">
        <v>183</v>
      </c>
    </row>
    <row r="69" spans="1:13" s="111" customFormat="1" x14ac:dyDescent="0.2">
      <c r="A69" s="12"/>
      <c r="B69" s="119" t="s">
        <v>204</v>
      </c>
      <c r="C69" s="12" t="s">
        <v>16</v>
      </c>
      <c r="D69" s="12" t="s">
        <v>24</v>
      </c>
      <c r="E69">
        <v>128</v>
      </c>
      <c r="F69" s="9" t="str">
        <f t="shared" si="7"/>
        <v>Small Hot Water</v>
      </c>
      <c r="G69" s="77" t="str">
        <f t="shared" si="8"/>
        <v>Baseline</v>
      </c>
      <c r="H69" s="6">
        <v>0.82</v>
      </c>
      <c r="I69" s="9">
        <v>1</v>
      </c>
      <c r="J69" s="7">
        <v>1988</v>
      </c>
      <c r="K69" s="105">
        <f t="shared" si="9"/>
        <v>15.53125</v>
      </c>
      <c r="L69" s="8" t="s">
        <v>30</v>
      </c>
      <c r="M69"/>
    </row>
    <row r="70" spans="1:13" s="111" customFormat="1" x14ac:dyDescent="0.2">
      <c r="A70" s="12"/>
      <c r="B70" s="119" t="s">
        <v>204</v>
      </c>
      <c r="C70" s="12" t="s">
        <v>16</v>
      </c>
      <c r="D70" s="12" t="s">
        <v>23</v>
      </c>
      <c r="E70">
        <v>128</v>
      </c>
      <c r="F70" s="9" t="str">
        <f t="shared" si="7"/>
        <v>Small Hot Water</v>
      </c>
      <c r="G70" s="77" t="str">
        <f t="shared" si="8"/>
        <v>Baseline</v>
      </c>
      <c r="H70" s="6">
        <v>0.8</v>
      </c>
      <c r="I70" s="9">
        <v>1</v>
      </c>
      <c r="J70" s="7">
        <v>2033</v>
      </c>
      <c r="K70" s="105">
        <f t="shared" si="9"/>
        <v>15.8828125</v>
      </c>
      <c r="L70" s="8" t="s">
        <v>30</v>
      </c>
      <c r="M70"/>
    </row>
    <row r="71" spans="1:13" s="111" customFormat="1" x14ac:dyDescent="0.2">
      <c r="A71" s="12"/>
      <c r="B71" s="119" t="s">
        <v>204</v>
      </c>
      <c r="C71" s="12" t="s">
        <v>16</v>
      </c>
      <c r="D71" s="12" t="s">
        <v>24</v>
      </c>
      <c r="E71">
        <v>162</v>
      </c>
      <c r="F71" s="9" t="str">
        <f t="shared" si="7"/>
        <v>Small Hot Water</v>
      </c>
      <c r="G71" s="77" t="str">
        <f t="shared" si="8"/>
        <v>Baseline</v>
      </c>
      <c r="H71" s="6">
        <v>0.82499999999999996</v>
      </c>
      <c r="I71" s="9">
        <v>1</v>
      </c>
      <c r="J71" s="7">
        <v>2741</v>
      </c>
      <c r="K71" s="105">
        <f t="shared" si="9"/>
        <v>16.919753086419753</v>
      </c>
      <c r="L71" s="8" t="s">
        <v>30</v>
      </c>
      <c r="M71"/>
    </row>
    <row r="72" spans="1:13" s="111" customFormat="1" x14ac:dyDescent="0.2">
      <c r="A72" s="12"/>
      <c r="B72" s="119" t="s">
        <v>204</v>
      </c>
      <c r="C72" s="12" t="s">
        <v>16</v>
      </c>
      <c r="D72" s="12" t="s">
        <v>24</v>
      </c>
      <c r="E72">
        <v>128</v>
      </c>
      <c r="F72" s="9" t="str">
        <f t="shared" si="7"/>
        <v>Small Hot Water</v>
      </c>
      <c r="G72" s="77" t="str">
        <f t="shared" si="8"/>
        <v>Baseline</v>
      </c>
      <c r="H72" s="6">
        <v>0.82799999999999996</v>
      </c>
      <c r="I72" s="9">
        <v>1</v>
      </c>
      <c r="J72" s="7">
        <v>2179</v>
      </c>
      <c r="K72" s="105">
        <f t="shared" si="9"/>
        <v>17.0234375</v>
      </c>
      <c r="L72" s="8" t="s">
        <v>30</v>
      </c>
      <c r="M72"/>
    </row>
    <row r="73" spans="1:13" s="111" customFormat="1" x14ac:dyDescent="0.2">
      <c r="A73" s="12"/>
      <c r="B73" s="119" t="s">
        <v>204</v>
      </c>
      <c r="C73" s="12" t="s">
        <v>16</v>
      </c>
      <c r="D73" s="12" t="s">
        <v>24</v>
      </c>
      <c r="E73">
        <v>200</v>
      </c>
      <c r="F73" s="9" t="str">
        <f t="shared" si="7"/>
        <v>Small Hot Water</v>
      </c>
      <c r="G73" s="77" t="str">
        <f t="shared" si="8"/>
        <v>Tier 2</v>
      </c>
      <c r="H73" s="6">
        <v>0.9</v>
      </c>
      <c r="I73" s="9">
        <v>1</v>
      </c>
      <c r="J73" s="7">
        <v>3758</v>
      </c>
      <c r="K73" s="105">
        <f t="shared" si="9"/>
        <v>18.79</v>
      </c>
      <c r="L73" s="8" t="s">
        <v>8</v>
      </c>
      <c r="M73"/>
    </row>
    <row r="74" spans="1:13" s="111" customFormat="1" x14ac:dyDescent="0.2">
      <c r="A74" s="12"/>
      <c r="B74" s="119" t="s">
        <v>204</v>
      </c>
      <c r="C74" s="12" t="s">
        <v>16</v>
      </c>
      <c r="D74" s="12" t="s">
        <v>24</v>
      </c>
      <c r="E74">
        <v>500</v>
      </c>
      <c r="F74" s="9" t="str">
        <f t="shared" si="7"/>
        <v>Medium Hot Water</v>
      </c>
      <c r="G74" s="77" t="str">
        <f t="shared" si="8"/>
        <v>Tier 2</v>
      </c>
      <c r="H74" s="6">
        <v>0.95</v>
      </c>
      <c r="I74" s="9">
        <v>1</v>
      </c>
      <c r="J74" s="7">
        <v>9760</v>
      </c>
      <c r="K74" s="105">
        <f t="shared" si="9"/>
        <v>19.52</v>
      </c>
      <c r="L74" s="8" t="s">
        <v>27</v>
      </c>
      <c r="M74"/>
    </row>
    <row r="75" spans="1:13" s="111" customFormat="1" x14ac:dyDescent="0.2">
      <c r="A75" s="10"/>
      <c r="B75" s="119" t="s">
        <v>204</v>
      </c>
      <c r="C75" s="12" t="s">
        <v>16</v>
      </c>
      <c r="D75" s="12" t="s">
        <v>24</v>
      </c>
      <c r="E75">
        <v>399</v>
      </c>
      <c r="F75" s="9" t="str">
        <f t="shared" si="7"/>
        <v>Medium Hot Water</v>
      </c>
      <c r="G75" s="77" t="str">
        <f t="shared" si="8"/>
        <v>Tier 2</v>
      </c>
      <c r="H75" s="6">
        <v>0.95099999999999996</v>
      </c>
      <c r="I75" s="9">
        <v>1</v>
      </c>
      <c r="J75" s="7">
        <v>7796</v>
      </c>
      <c r="K75" s="105">
        <f t="shared" si="9"/>
        <v>19.538847117794486</v>
      </c>
      <c r="L75" s="8" t="s">
        <v>8</v>
      </c>
      <c r="M75"/>
    </row>
    <row r="76" spans="1:13" s="111" customFormat="1" x14ac:dyDescent="0.2">
      <c r="A76" s="102"/>
      <c r="B76" s="119" t="s">
        <v>204</v>
      </c>
      <c r="C76" s="102" t="s">
        <v>16</v>
      </c>
      <c r="D76" s="102"/>
      <c r="E76">
        <v>1999</v>
      </c>
      <c r="F76" s="9" t="str">
        <f t="shared" ref="F76:F108" si="10">IF(E76&lt;300,CONCATENATE("Small ",C76),IF(AND(E76&gt;=300,E76&lt;2500),CONCATENATE("Medium ",C76),CONCATENATE("Large ",C76)))</f>
        <v>Medium Hot Water</v>
      </c>
      <c r="G76" s="77" t="str">
        <f t="shared" ref="G76:G108" si="11">IF(C76="Steam",IF(H76&gt;=0.83,"Tier 1","Baseline"),IF(H76&gt;=0.9,"Tier 2",IF(H76&lt;0.85,"Baseline","Tier 1")))</f>
        <v>Tier 1</v>
      </c>
      <c r="H76" s="6">
        <v>0.86</v>
      </c>
      <c r="I76" s="9">
        <v>0</v>
      </c>
      <c r="J76" s="103">
        <v>40818.5</v>
      </c>
      <c r="K76" s="106">
        <v>20.419459729864933</v>
      </c>
      <c r="L76" s="104" t="s">
        <v>183</v>
      </c>
      <c r="M76"/>
    </row>
    <row r="77" spans="1:13" s="111" customFormat="1" x14ac:dyDescent="0.2">
      <c r="A77" s="102"/>
      <c r="B77" s="119" t="s">
        <v>204</v>
      </c>
      <c r="C77" s="102" t="s">
        <v>16</v>
      </c>
      <c r="D77" s="102"/>
      <c r="E77">
        <v>2000</v>
      </c>
      <c r="F77" s="9" t="str">
        <f t="shared" si="10"/>
        <v>Medium Hot Water</v>
      </c>
      <c r="G77" s="77" t="str">
        <f t="shared" si="11"/>
        <v>Tier 1</v>
      </c>
      <c r="H77" s="6">
        <v>0.85599999999999998</v>
      </c>
      <c r="I77" s="9">
        <v>0</v>
      </c>
      <c r="J77" s="103">
        <v>40995</v>
      </c>
      <c r="K77" s="106">
        <v>20.497499999999999</v>
      </c>
      <c r="L77" s="104" t="s">
        <v>183</v>
      </c>
      <c r="M77"/>
    </row>
    <row r="78" spans="1:13" s="111" customFormat="1" x14ac:dyDescent="0.2">
      <c r="A78" s="12"/>
      <c r="B78" s="119" t="s">
        <v>204</v>
      </c>
      <c r="C78" s="12" t="s">
        <v>16</v>
      </c>
      <c r="D78" s="12" t="s">
        <v>24</v>
      </c>
      <c r="E78">
        <v>70</v>
      </c>
      <c r="F78" s="9" t="str">
        <f t="shared" si="10"/>
        <v>Small Hot Water</v>
      </c>
      <c r="G78" s="77" t="str">
        <f t="shared" si="11"/>
        <v>Baseline</v>
      </c>
      <c r="H78" s="6">
        <v>0.82</v>
      </c>
      <c r="I78" s="9">
        <v>1</v>
      </c>
      <c r="J78" s="7">
        <v>1448</v>
      </c>
      <c r="K78" s="105">
        <f t="shared" ref="K78:K108" si="12">J78/E78</f>
        <v>20.685714285714287</v>
      </c>
      <c r="L78" s="8" t="s">
        <v>8</v>
      </c>
      <c r="M78"/>
    </row>
    <row r="79" spans="1:13" s="111" customFormat="1" x14ac:dyDescent="0.2">
      <c r="A79" s="12"/>
      <c r="B79" s="119" t="s">
        <v>204</v>
      </c>
      <c r="C79" s="12" t="s">
        <v>16</v>
      </c>
      <c r="D79" t="s">
        <v>24</v>
      </c>
      <c r="E79">
        <v>225</v>
      </c>
      <c r="F79" s="9" t="str">
        <f t="shared" si="10"/>
        <v>Small Hot Water</v>
      </c>
      <c r="G79" s="77" t="str">
        <f t="shared" si="11"/>
        <v>Tier 2</v>
      </c>
      <c r="H79" s="6">
        <v>0.94199999999999995</v>
      </c>
      <c r="I79" s="9">
        <v>1</v>
      </c>
      <c r="J79" s="7">
        <v>4723</v>
      </c>
      <c r="K79" s="105">
        <f t="shared" si="12"/>
        <v>20.99111111111111</v>
      </c>
      <c r="L79" s="8" t="s">
        <v>30</v>
      </c>
      <c r="M79"/>
    </row>
    <row r="80" spans="1:13" s="111" customFormat="1" x14ac:dyDescent="0.2">
      <c r="A80" s="10"/>
      <c r="B80" s="119" t="s">
        <v>204</v>
      </c>
      <c r="C80" s="12" t="s">
        <v>16</v>
      </c>
      <c r="D80" s="12" t="s">
        <v>24</v>
      </c>
      <c r="E80">
        <v>199</v>
      </c>
      <c r="F80" s="9" t="str">
        <f t="shared" si="10"/>
        <v>Small Hot Water</v>
      </c>
      <c r="G80" s="77" t="str">
        <f t="shared" si="11"/>
        <v>Tier 2</v>
      </c>
      <c r="H80" s="6">
        <v>0.95099999999999996</v>
      </c>
      <c r="I80" s="9">
        <v>1</v>
      </c>
      <c r="J80" s="7">
        <v>4304</v>
      </c>
      <c r="K80" s="105">
        <f t="shared" si="12"/>
        <v>21.628140703517587</v>
      </c>
      <c r="L80" s="8" t="s">
        <v>8</v>
      </c>
      <c r="M80"/>
    </row>
    <row r="81" spans="1:13" s="111" customFormat="1" x14ac:dyDescent="0.2">
      <c r="A81" s="12"/>
      <c r="B81" s="119" t="s">
        <v>204</v>
      </c>
      <c r="C81" s="12" t="s">
        <v>16</v>
      </c>
      <c r="D81" t="s">
        <v>24</v>
      </c>
      <c r="E81">
        <v>150</v>
      </c>
      <c r="F81" s="9" t="str">
        <f t="shared" si="10"/>
        <v>Small Hot Water</v>
      </c>
      <c r="G81" s="77" t="str">
        <f t="shared" si="11"/>
        <v>Tier 2</v>
      </c>
      <c r="H81" s="6">
        <v>0.93100000000000005</v>
      </c>
      <c r="I81" s="9">
        <v>1</v>
      </c>
      <c r="J81" s="7">
        <v>3375</v>
      </c>
      <c r="K81" s="105">
        <f t="shared" si="12"/>
        <v>22.5</v>
      </c>
      <c r="L81" s="8" t="s">
        <v>30</v>
      </c>
      <c r="M81"/>
    </row>
    <row r="82" spans="1:13" s="111" customFormat="1" x14ac:dyDescent="0.2">
      <c r="A82" s="12"/>
      <c r="B82" s="119" t="s">
        <v>204</v>
      </c>
      <c r="C82" s="12" t="s">
        <v>16</v>
      </c>
      <c r="D82" s="12" t="s">
        <v>24</v>
      </c>
      <c r="E82">
        <v>200</v>
      </c>
      <c r="F82" s="9" t="str">
        <f t="shared" si="10"/>
        <v>Small Hot Water</v>
      </c>
      <c r="G82" s="77" t="str">
        <f t="shared" si="11"/>
        <v>Tier 2</v>
      </c>
      <c r="H82" s="6">
        <v>0.95</v>
      </c>
      <c r="I82" s="9">
        <v>1</v>
      </c>
      <c r="J82" s="7">
        <v>4575</v>
      </c>
      <c r="K82" s="105">
        <f t="shared" si="12"/>
        <v>22.875</v>
      </c>
      <c r="L82" s="8" t="s">
        <v>8</v>
      </c>
      <c r="M82" t="s">
        <v>20</v>
      </c>
    </row>
    <row r="83" spans="1:13" s="111" customFormat="1" x14ac:dyDescent="0.2">
      <c r="B83" s="119" t="s">
        <v>204</v>
      </c>
      <c r="C83" s="102" t="s">
        <v>16</v>
      </c>
      <c r="E83" s="114">
        <v>205</v>
      </c>
      <c r="F83" s="9" t="str">
        <f t="shared" si="10"/>
        <v>Small Hot Water</v>
      </c>
      <c r="G83" s="77" t="str">
        <f t="shared" si="11"/>
        <v>Tier 2</v>
      </c>
      <c r="H83" s="111">
        <v>0.97</v>
      </c>
      <c r="J83" s="112">
        <v>4696</v>
      </c>
      <c r="K83" s="112">
        <f t="shared" si="12"/>
        <v>22.907317073170731</v>
      </c>
      <c r="L83" s="113"/>
    </row>
    <row r="84" spans="1:13" s="111" customFormat="1" x14ac:dyDescent="0.2">
      <c r="B84" s="119" t="s">
        <v>204</v>
      </c>
      <c r="C84" s="102" t="s">
        <v>16</v>
      </c>
      <c r="E84" s="114">
        <v>500</v>
      </c>
      <c r="F84" s="9" t="str">
        <f t="shared" si="10"/>
        <v>Medium Hot Water</v>
      </c>
      <c r="G84" s="77" t="str">
        <f t="shared" si="11"/>
        <v>Tier 2</v>
      </c>
      <c r="H84" s="111">
        <v>0.96</v>
      </c>
      <c r="J84" s="112">
        <v>13123.95</v>
      </c>
      <c r="K84" s="112">
        <f t="shared" si="12"/>
        <v>26.247900000000001</v>
      </c>
      <c r="L84" s="113" t="s">
        <v>193</v>
      </c>
    </row>
    <row r="85" spans="1:13" s="111" customFormat="1" x14ac:dyDescent="0.2">
      <c r="A85" s="12"/>
      <c r="B85" s="119" t="s">
        <v>204</v>
      </c>
      <c r="C85" s="12" t="s">
        <v>16</v>
      </c>
      <c r="D85" s="12"/>
      <c r="E85">
        <v>285</v>
      </c>
      <c r="F85" s="9" t="str">
        <f t="shared" si="10"/>
        <v>Small Hot Water</v>
      </c>
      <c r="G85" s="77" t="str">
        <f t="shared" si="11"/>
        <v>Tier 2</v>
      </c>
      <c r="H85" s="6">
        <v>0.95</v>
      </c>
      <c r="I85" s="9">
        <v>1</v>
      </c>
      <c r="J85" s="7">
        <v>7728</v>
      </c>
      <c r="K85" s="105">
        <f t="shared" si="12"/>
        <v>27.11578947368421</v>
      </c>
      <c r="L85" s="8" t="s">
        <v>8</v>
      </c>
      <c r="M85"/>
    </row>
    <row r="86" spans="1:13" s="111" customFormat="1" x14ac:dyDescent="0.2">
      <c r="A86" s="10"/>
      <c r="B86" s="119" t="s">
        <v>204</v>
      </c>
      <c r="C86" s="12" t="s">
        <v>16</v>
      </c>
      <c r="D86" s="12" t="s">
        <v>24</v>
      </c>
      <c r="E86">
        <v>140</v>
      </c>
      <c r="F86" s="9" t="str">
        <f t="shared" si="10"/>
        <v>Small Hot Water</v>
      </c>
      <c r="G86" s="77" t="str">
        <f t="shared" si="11"/>
        <v>Tier 2</v>
      </c>
      <c r="H86" s="6">
        <v>0.95099999999999996</v>
      </c>
      <c r="I86" s="9">
        <v>1</v>
      </c>
      <c r="J86" s="7">
        <v>3904</v>
      </c>
      <c r="K86" s="105">
        <f t="shared" si="12"/>
        <v>27.885714285714286</v>
      </c>
      <c r="L86" s="8" t="s">
        <v>8</v>
      </c>
      <c r="M86"/>
    </row>
    <row r="87" spans="1:13" s="111" customFormat="1" x14ac:dyDescent="0.2">
      <c r="A87" s="12"/>
      <c r="B87" s="119" t="s">
        <v>204</v>
      </c>
      <c r="C87" s="12" t="s">
        <v>16</v>
      </c>
      <c r="D87" s="12" t="s">
        <v>23</v>
      </c>
      <c r="E87">
        <v>61</v>
      </c>
      <c r="F87" s="9" t="str">
        <f t="shared" si="10"/>
        <v>Small Hot Water</v>
      </c>
      <c r="G87" s="77" t="str">
        <f t="shared" si="11"/>
        <v>Baseline</v>
      </c>
      <c r="H87" s="6">
        <v>0.8</v>
      </c>
      <c r="I87" s="9">
        <v>1</v>
      </c>
      <c r="J87" s="7">
        <v>1709</v>
      </c>
      <c r="K87" s="105">
        <f t="shared" si="12"/>
        <v>28.016393442622952</v>
      </c>
      <c r="L87" s="8" t="s">
        <v>30</v>
      </c>
      <c r="M87"/>
    </row>
    <row r="88" spans="1:13" s="111" customFormat="1" x14ac:dyDescent="0.2">
      <c r="A88" s="12"/>
      <c r="B88" s="119" t="s">
        <v>204</v>
      </c>
      <c r="C88" s="12" t="s">
        <v>16</v>
      </c>
      <c r="D88" s="12" t="s">
        <v>24</v>
      </c>
      <c r="E88">
        <v>61</v>
      </c>
      <c r="F88" s="9" t="str">
        <f t="shared" si="10"/>
        <v>Small Hot Water</v>
      </c>
      <c r="G88" s="77" t="str">
        <f t="shared" si="11"/>
        <v>Baseline</v>
      </c>
      <c r="H88" s="6">
        <v>0.82599999999999996</v>
      </c>
      <c r="I88" s="9">
        <v>1</v>
      </c>
      <c r="J88" s="7">
        <v>1717</v>
      </c>
      <c r="K88" s="105">
        <f t="shared" si="12"/>
        <v>28.147540983606557</v>
      </c>
      <c r="L88" s="8" t="s">
        <v>30</v>
      </c>
      <c r="M88"/>
    </row>
    <row r="89" spans="1:13" s="111" customFormat="1" x14ac:dyDescent="0.2">
      <c r="A89" s="12"/>
      <c r="B89" s="119" t="s">
        <v>204</v>
      </c>
      <c r="C89" s="12" t="s">
        <v>16</v>
      </c>
      <c r="D89" s="12" t="s">
        <v>24</v>
      </c>
      <c r="E89">
        <v>574</v>
      </c>
      <c r="F89" s="9" t="str">
        <f t="shared" si="10"/>
        <v>Medium Hot Water</v>
      </c>
      <c r="G89" s="77" t="str">
        <f t="shared" si="11"/>
        <v>Tier 2</v>
      </c>
      <c r="H89" s="6">
        <v>0.94299999999999995</v>
      </c>
      <c r="I89" s="9">
        <v>0</v>
      </c>
      <c r="J89" s="7">
        <v>16195</v>
      </c>
      <c r="K89" s="105">
        <f t="shared" si="12"/>
        <v>28.214285714285715</v>
      </c>
      <c r="L89" t="s">
        <v>25</v>
      </c>
      <c r="M89"/>
    </row>
    <row r="90" spans="1:13" s="111" customFormat="1" x14ac:dyDescent="0.2">
      <c r="A90" s="12"/>
      <c r="B90" s="119" t="s">
        <v>204</v>
      </c>
      <c r="C90" s="12" t="s">
        <v>16</v>
      </c>
      <c r="D90" t="s">
        <v>24</v>
      </c>
      <c r="E90">
        <v>120</v>
      </c>
      <c r="F90" s="9" t="str">
        <f t="shared" si="10"/>
        <v>Small Hot Water</v>
      </c>
      <c r="G90" s="77" t="str">
        <f t="shared" si="11"/>
        <v>Tier 2</v>
      </c>
      <c r="H90" s="6">
        <v>0.95199999999999996</v>
      </c>
      <c r="I90" s="9">
        <v>1</v>
      </c>
      <c r="J90" s="7">
        <v>3502</v>
      </c>
      <c r="K90" s="105">
        <f t="shared" si="12"/>
        <v>29.183333333333334</v>
      </c>
      <c r="L90" s="8" t="s">
        <v>30</v>
      </c>
      <c r="M90"/>
    </row>
    <row r="91" spans="1:13" s="111" customFormat="1" x14ac:dyDescent="0.2">
      <c r="A91" s="12"/>
      <c r="B91" s="119" t="s">
        <v>204</v>
      </c>
      <c r="C91" s="12" t="s">
        <v>16</v>
      </c>
      <c r="D91" s="12" t="s">
        <v>24</v>
      </c>
      <c r="E91">
        <v>125</v>
      </c>
      <c r="F91" s="9" t="str">
        <f t="shared" si="10"/>
        <v>Small Hot Water</v>
      </c>
      <c r="G91" s="77" t="str">
        <f t="shared" si="11"/>
        <v>Tier 2</v>
      </c>
      <c r="H91" s="6">
        <v>0.9</v>
      </c>
      <c r="I91" s="9">
        <v>1</v>
      </c>
      <c r="J91" s="7">
        <v>3758</v>
      </c>
      <c r="K91" s="105">
        <f t="shared" si="12"/>
        <v>30.064</v>
      </c>
      <c r="L91" s="8" t="s">
        <v>8</v>
      </c>
      <c r="M91"/>
    </row>
    <row r="92" spans="1:13" s="111" customFormat="1" x14ac:dyDescent="0.2">
      <c r="A92" s="12"/>
      <c r="B92" s="119" t="s">
        <v>204</v>
      </c>
      <c r="C92" s="12" t="s">
        <v>16</v>
      </c>
      <c r="D92" s="12" t="s">
        <v>24</v>
      </c>
      <c r="E92">
        <v>61</v>
      </c>
      <c r="F92" s="9" t="str">
        <f t="shared" si="10"/>
        <v>Small Hot Water</v>
      </c>
      <c r="G92" s="77" t="str">
        <f t="shared" si="11"/>
        <v>Baseline</v>
      </c>
      <c r="H92" s="6">
        <v>0.83299999999999996</v>
      </c>
      <c r="I92" s="9">
        <v>1</v>
      </c>
      <c r="J92" s="7">
        <v>1907</v>
      </c>
      <c r="K92" s="105">
        <f t="shared" si="12"/>
        <v>31.262295081967213</v>
      </c>
      <c r="L92" s="8" t="s">
        <v>30</v>
      </c>
      <c r="M92"/>
    </row>
    <row r="93" spans="1:13" s="111" customFormat="1" x14ac:dyDescent="0.2">
      <c r="A93" s="10"/>
      <c r="B93" s="119" t="s">
        <v>204</v>
      </c>
      <c r="C93" s="12" t="s">
        <v>16</v>
      </c>
      <c r="D93" s="12" t="s">
        <v>24</v>
      </c>
      <c r="E93">
        <v>80</v>
      </c>
      <c r="F93" s="9" t="str">
        <f t="shared" si="10"/>
        <v>Small Hot Water</v>
      </c>
      <c r="G93" s="77" t="str">
        <f t="shared" si="11"/>
        <v>Tier 2</v>
      </c>
      <c r="H93" s="6">
        <v>0.95099999999999996</v>
      </c>
      <c r="I93" s="9">
        <v>1</v>
      </c>
      <c r="J93" s="7">
        <v>2926</v>
      </c>
      <c r="K93" s="105">
        <f t="shared" si="12"/>
        <v>36.575000000000003</v>
      </c>
      <c r="L93" s="8" t="s">
        <v>8</v>
      </c>
      <c r="M93"/>
    </row>
    <row r="94" spans="1:13" s="111" customFormat="1" x14ac:dyDescent="0.2">
      <c r="A94" s="12"/>
      <c r="B94" s="119" t="s">
        <v>204</v>
      </c>
      <c r="C94" s="12" t="s">
        <v>16</v>
      </c>
      <c r="D94" s="12" t="s">
        <v>24</v>
      </c>
      <c r="E94">
        <v>75</v>
      </c>
      <c r="F94" s="9" t="str">
        <f t="shared" si="10"/>
        <v>Small Hot Water</v>
      </c>
      <c r="G94" s="77" t="str">
        <f t="shared" si="11"/>
        <v>Tier 2</v>
      </c>
      <c r="H94" s="6">
        <v>0.9</v>
      </c>
      <c r="I94" s="9">
        <v>1</v>
      </c>
      <c r="J94" s="7">
        <v>3518</v>
      </c>
      <c r="K94" s="105">
        <f t="shared" si="12"/>
        <v>46.906666666666666</v>
      </c>
      <c r="L94" s="8" t="s">
        <v>8</v>
      </c>
      <c r="M94" t="s">
        <v>19</v>
      </c>
    </row>
    <row r="95" spans="1:13" s="111" customFormat="1" x14ac:dyDescent="0.2">
      <c r="A95" s="12"/>
      <c r="B95" s="119" t="s">
        <v>204</v>
      </c>
      <c r="C95" s="12" t="s">
        <v>16</v>
      </c>
      <c r="D95" t="s">
        <v>24</v>
      </c>
      <c r="E95">
        <v>70</v>
      </c>
      <c r="F95" s="9" t="str">
        <f t="shared" si="10"/>
        <v>Small Hot Water</v>
      </c>
      <c r="G95" s="77" t="str">
        <f t="shared" si="11"/>
        <v>Tier 2</v>
      </c>
      <c r="H95" s="6">
        <v>0.93100000000000005</v>
      </c>
      <c r="I95" s="9">
        <v>1</v>
      </c>
      <c r="J95" s="7">
        <v>3347</v>
      </c>
      <c r="K95" s="105">
        <f t="shared" si="12"/>
        <v>47.814285714285717</v>
      </c>
      <c r="L95" s="8" t="s">
        <v>30</v>
      </c>
      <c r="M95"/>
    </row>
    <row r="96" spans="1:13" s="111" customFormat="1" x14ac:dyDescent="0.2">
      <c r="A96" s="10"/>
      <c r="B96" s="119" t="s">
        <v>204</v>
      </c>
      <c r="C96" s="12" t="s">
        <v>16</v>
      </c>
      <c r="D96" s="12" t="s">
        <v>24</v>
      </c>
      <c r="E96">
        <v>50</v>
      </c>
      <c r="F96" s="9" t="str">
        <f t="shared" si="10"/>
        <v>Small Hot Water</v>
      </c>
      <c r="G96" s="77" t="str">
        <f t="shared" si="11"/>
        <v>Tier 2</v>
      </c>
      <c r="H96" s="6">
        <v>0.95099999999999996</v>
      </c>
      <c r="I96" s="9">
        <v>1</v>
      </c>
      <c r="J96" s="7">
        <v>2825</v>
      </c>
      <c r="K96" s="105">
        <f t="shared" si="12"/>
        <v>56.5</v>
      </c>
      <c r="L96" s="8" t="s">
        <v>8</v>
      </c>
      <c r="M96"/>
    </row>
    <row r="97" spans="1:13" s="111" customFormat="1" x14ac:dyDescent="0.2">
      <c r="A97" s="10"/>
      <c r="B97" s="119" t="s">
        <v>204</v>
      </c>
      <c r="C97" s="12" t="s">
        <v>16</v>
      </c>
      <c r="D97" s="12"/>
      <c r="E97">
        <v>3000</v>
      </c>
      <c r="F97" s="9" t="str">
        <f t="shared" si="10"/>
        <v>Large Hot Water</v>
      </c>
      <c r="G97" s="77" t="str">
        <f t="shared" si="11"/>
        <v>Baseline</v>
      </c>
      <c r="H97" s="6">
        <v>0.8</v>
      </c>
      <c r="I97" s="9"/>
      <c r="J97" s="7">
        <v>54200</v>
      </c>
      <c r="K97" s="105">
        <f t="shared" si="12"/>
        <v>18.066666666666666</v>
      </c>
      <c r="L97" s="8" t="s">
        <v>200</v>
      </c>
      <c r="M97"/>
    </row>
    <row r="98" spans="1:13" s="111" customFormat="1" x14ac:dyDescent="0.2">
      <c r="A98" s="10"/>
      <c r="B98" s="119" t="s">
        <v>204</v>
      </c>
      <c r="C98" s="12" t="s">
        <v>16</v>
      </c>
      <c r="D98" s="12"/>
      <c r="E98">
        <v>4500</v>
      </c>
      <c r="F98" s="9" t="str">
        <f t="shared" si="10"/>
        <v>Large Hot Water</v>
      </c>
      <c r="G98" s="77" t="str">
        <f t="shared" si="11"/>
        <v>Tier 1</v>
      </c>
      <c r="H98" s="6">
        <v>0.85</v>
      </c>
      <c r="I98" s="9"/>
      <c r="J98" s="7">
        <v>83520</v>
      </c>
      <c r="K98" s="105">
        <f t="shared" si="12"/>
        <v>18.559999999999999</v>
      </c>
      <c r="L98" s="8" t="s">
        <v>201</v>
      </c>
      <c r="M98"/>
    </row>
    <row r="99" spans="1:13" s="111" customFormat="1" x14ac:dyDescent="0.2">
      <c r="A99" s="10"/>
      <c r="B99" s="119" t="s">
        <v>204</v>
      </c>
      <c r="C99" s="12" t="s">
        <v>16</v>
      </c>
      <c r="D99" s="12"/>
      <c r="E99">
        <v>6800</v>
      </c>
      <c r="F99" s="9" t="str">
        <f t="shared" si="10"/>
        <v>Large Hot Water</v>
      </c>
      <c r="G99" s="77" t="str">
        <f t="shared" si="11"/>
        <v>Tier 1</v>
      </c>
      <c r="H99" s="6">
        <v>0.85</v>
      </c>
      <c r="I99" s="9"/>
      <c r="J99" s="7">
        <v>126208</v>
      </c>
      <c r="K99" s="105">
        <f t="shared" si="12"/>
        <v>18.559999999999999</v>
      </c>
      <c r="L99" s="8" t="s">
        <v>201</v>
      </c>
      <c r="M99"/>
    </row>
    <row r="100" spans="1:13" s="111" customFormat="1" x14ac:dyDescent="0.2">
      <c r="A100" s="10"/>
      <c r="B100" s="119" t="s">
        <v>204</v>
      </c>
      <c r="C100" s="12" t="s">
        <v>16</v>
      </c>
      <c r="D100" s="12"/>
      <c r="E100">
        <v>2160</v>
      </c>
      <c r="F100" s="9" t="str">
        <f t="shared" si="10"/>
        <v>Medium Hot Water</v>
      </c>
      <c r="G100" s="77" t="str">
        <f t="shared" si="11"/>
        <v>Tier 1</v>
      </c>
      <c r="H100" s="6">
        <v>0.85</v>
      </c>
      <c r="I100" s="9"/>
      <c r="J100" s="7">
        <v>40090</v>
      </c>
      <c r="K100" s="105">
        <f t="shared" si="12"/>
        <v>18.560185185185187</v>
      </c>
      <c r="L100" s="8" t="s">
        <v>201</v>
      </c>
      <c r="M100"/>
    </row>
    <row r="101" spans="1:13" s="111" customFormat="1" x14ac:dyDescent="0.2">
      <c r="A101" s="10"/>
      <c r="B101" s="119" t="s">
        <v>204</v>
      </c>
      <c r="C101" s="12" t="s">
        <v>16</v>
      </c>
      <c r="D101" s="12"/>
      <c r="E101">
        <v>2000</v>
      </c>
      <c r="F101" s="9" t="str">
        <f t="shared" si="10"/>
        <v>Medium Hot Water</v>
      </c>
      <c r="G101" s="77" t="str">
        <f t="shared" si="11"/>
        <v>Baseline</v>
      </c>
      <c r="H101" s="6">
        <v>0.8</v>
      </c>
      <c r="I101" s="9"/>
      <c r="J101" s="7">
        <v>38500</v>
      </c>
      <c r="K101" s="105">
        <f t="shared" si="12"/>
        <v>19.25</v>
      </c>
      <c r="L101" s="8" t="s">
        <v>200</v>
      </c>
      <c r="M101"/>
    </row>
    <row r="102" spans="1:13" s="111" customFormat="1" x14ac:dyDescent="0.2">
      <c r="A102" s="10"/>
      <c r="B102" s="119" t="s">
        <v>204</v>
      </c>
      <c r="C102" s="12" t="s">
        <v>16</v>
      </c>
      <c r="D102" s="12"/>
      <c r="E102">
        <v>2700</v>
      </c>
      <c r="F102" s="9" t="str">
        <f t="shared" si="10"/>
        <v>Large Hot Water</v>
      </c>
      <c r="G102" s="77" t="str">
        <f t="shared" si="11"/>
        <v>Tier 2</v>
      </c>
      <c r="H102" s="6">
        <v>0.9</v>
      </c>
      <c r="I102" s="9"/>
      <c r="J102" s="7">
        <v>56500</v>
      </c>
      <c r="K102" s="105">
        <f t="shared" si="12"/>
        <v>20.925925925925927</v>
      </c>
      <c r="L102" s="8" t="s">
        <v>200</v>
      </c>
      <c r="M102"/>
    </row>
    <row r="103" spans="1:13" s="111" customFormat="1" x14ac:dyDescent="0.2">
      <c r="A103" s="10"/>
      <c r="B103" s="119" t="s">
        <v>204</v>
      </c>
      <c r="C103" s="12" t="s">
        <v>16</v>
      </c>
      <c r="D103" s="12"/>
      <c r="E103">
        <v>2160</v>
      </c>
      <c r="F103" s="9" t="str">
        <f t="shared" si="10"/>
        <v>Medium Hot Water</v>
      </c>
      <c r="G103" s="77" t="str">
        <f t="shared" si="11"/>
        <v>Tier 2</v>
      </c>
      <c r="H103" s="6">
        <v>0.96</v>
      </c>
      <c r="I103" s="9"/>
      <c r="J103" s="7">
        <v>48600</v>
      </c>
      <c r="K103" s="105">
        <f t="shared" si="12"/>
        <v>22.5</v>
      </c>
      <c r="L103" s="8" t="s">
        <v>201</v>
      </c>
      <c r="M103"/>
    </row>
    <row r="104" spans="1:13" s="111" customFormat="1" x14ac:dyDescent="0.2">
      <c r="A104" s="10"/>
      <c r="B104" s="119" t="s">
        <v>204</v>
      </c>
      <c r="C104" s="12" t="s">
        <v>16</v>
      </c>
      <c r="D104" s="12"/>
      <c r="E104">
        <v>4500</v>
      </c>
      <c r="F104" s="9" t="str">
        <f t="shared" si="10"/>
        <v>Large Hot Water</v>
      </c>
      <c r="G104" s="77" t="str">
        <f t="shared" si="11"/>
        <v>Tier 2</v>
      </c>
      <c r="H104" s="6">
        <v>0.96</v>
      </c>
      <c r="I104" s="9"/>
      <c r="J104" s="7">
        <v>101250</v>
      </c>
      <c r="K104" s="105">
        <f t="shared" si="12"/>
        <v>22.5</v>
      </c>
      <c r="L104" s="8" t="s">
        <v>201</v>
      </c>
      <c r="M104"/>
    </row>
    <row r="105" spans="1:13" s="111" customFormat="1" x14ac:dyDescent="0.2">
      <c r="A105" s="10"/>
      <c r="B105" s="119" t="s">
        <v>204</v>
      </c>
      <c r="C105" s="12" t="s">
        <v>16</v>
      </c>
      <c r="D105" s="12"/>
      <c r="E105">
        <v>6800</v>
      </c>
      <c r="F105" s="9" t="str">
        <f t="shared" si="10"/>
        <v>Large Hot Water</v>
      </c>
      <c r="G105" s="77" t="str">
        <f t="shared" si="11"/>
        <v>Tier 2</v>
      </c>
      <c r="H105" s="6">
        <v>0.96</v>
      </c>
      <c r="I105" s="9"/>
      <c r="J105" s="7">
        <v>153000</v>
      </c>
      <c r="K105" s="105">
        <f t="shared" si="12"/>
        <v>22.5</v>
      </c>
      <c r="L105" s="8" t="s">
        <v>201</v>
      </c>
      <c r="M105"/>
    </row>
    <row r="106" spans="1:13" s="111" customFormat="1" x14ac:dyDescent="0.2">
      <c r="A106" s="10"/>
      <c r="B106" s="119" t="s">
        <v>204</v>
      </c>
      <c r="C106" s="12" t="s">
        <v>16</v>
      </c>
      <c r="D106" s="12"/>
      <c r="E106">
        <v>1500</v>
      </c>
      <c r="F106" s="9" t="str">
        <f t="shared" si="10"/>
        <v>Medium Hot Water</v>
      </c>
      <c r="G106" s="77" t="str">
        <f t="shared" si="11"/>
        <v>Baseline</v>
      </c>
      <c r="H106" s="6">
        <v>0.8</v>
      </c>
      <c r="I106" s="9"/>
      <c r="J106" s="7">
        <v>34400</v>
      </c>
      <c r="K106" s="105">
        <f t="shared" si="12"/>
        <v>22.933333333333334</v>
      </c>
      <c r="L106" s="8" t="s">
        <v>200</v>
      </c>
      <c r="M106"/>
    </row>
    <row r="107" spans="1:13" s="111" customFormat="1" x14ac:dyDescent="0.2">
      <c r="A107" s="10"/>
      <c r="B107" s="119" t="s">
        <v>204</v>
      </c>
      <c r="C107" s="12" t="s">
        <v>16</v>
      </c>
      <c r="D107" s="12"/>
      <c r="E107">
        <v>2000</v>
      </c>
      <c r="F107" s="9" t="str">
        <f t="shared" si="10"/>
        <v>Medium Hot Water</v>
      </c>
      <c r="G107" s="77" t="str">
        <f t="shared" si="11"/>
        <v>Tier 2</v>
      </c>
      <c r="H107" s="6">
        <v>0.9</v>
      </c>
      <c r="I107" s="9"/>
      <c r="J107" s="7">
        <v>47900</v>
      </c>
      <c r="K107" s="105">
        <f t="shared" si="12"/>
        <v>23.95</v>
      </c>
      <c r="L107" s="8" t="s">
        <v>200</v>
      </c>
      <c r="M107"/>
    </row>
    <row r="108" spans="1:13" s="111" customFormat="1" x14ac:dyDescent="0.2">
      <c r="A108" s="10"/>
      <c r="B108" s="119" t="s">
        <v>204</v>
      </c>
      <c r="C108" s="12" t="s">
        <v>16</v>
      </c>
      <c r="D108" s="12"/>
      <c r="E108">
        <v>1500</v>
      </c>
      <c r="F108" s="9" t="str">
        <f t="shared" si="10"/>
        <v>Medium Hot Water</v>
      </c>
      <c r="G108" s="77" t="str">
        <f t="shared" si="11"/>
        <v>Tier 2</v>
      </c>
      <c r="H108" s="6">
        <v>0.9</v>
      </c>
      <c r="I108" s="9"/>
      <c r="J108" s="7">
        <v>46100</v>
      </c>
      <c r="K108" s="105">
        <f t="shared" si="12"/>
        <v>30.733333333333334</v>
      </c>
      <c r="L108" s="8" t="s">
        <v>200</v>
      </c>
      <c r="M108"/>
    </row>
    <row r="109" spans="1:13" s="111" customFormat="1" x14ac:dyDescent="0.2">
      <c r="A109" s="10"/>
      <c r="B109" s="10"/>
      <c r="C109" s="12"/>
      <c r="D109" s="12"/>
      <c r="E109"/>
      <c r="F109" s="9"/>
      <c r="G109" s="77"/>
      <c r="H109" s="6"/>
      <c r="I109" s="9"/>
      <c r="J109" s="7"/>
      <c r="K109" s="105"/>
      <c r="L109" s="8"/>
      <c r="M109"/>
    </row>
  </sheetData>
  <phoneticPr fontId="8" type="noConversion"/>
  <hyperlinks>
    <hyperlink ref="L93" r:id="rId1" display="http://ingramswaterandair.com/"/>
    <hyperlink ref="L86" r:id="rId2" display="http://ingramswaterandair.com/"/>
    <hyperlink ref="L62" r:id="rId3"/>
    <hyperlink ref="L47" r:id="rId4"/>
    <hyperlink ref="L10:L11" r:id="rId5" display="http://ingramswaterandair.com/"/>
    <hyperlink ref="L78" r:id="rId6" display="http://ingramswaterandair.com/"/>
    <hyperlink ref="L52" r:id="rId7" display="http://ingramswaterandair.com/"/>
    <hyperlink ref="L6" r:id="rId8" display="http://ingramswaterandair.com/"/>
    <hyperlink ref="L15:L16" r:id="rId9" display="http://ingramswaterandair.com/"/>
    <hyperlink ref="L3" r:id="rId10" display="http://ingramswaterandair.com/"/>
    <hyperlink ref="L4" r:id="rId11" display="http://ingramswaterandair.com/"/>
    <hyperlink ref="L5" r:id="rId12" display="http://ingramswaterandair.com/"/>
    <hyperlink ref="L94" r:id="rId13" display="http://ingramswaterandair.com/"/>
    <hyperlink ref="L91" r:id="rId14" display="http://ingramswaterandair.com/"/>
    <hyperlink ref="L73" r:id="rId15" display="http://ingramswaterandair.com/"/>
    <hyperlink ref="L82" r:id="rId16" display="http://ingramswaterandair.com/"/>
    <hyperlink ref="L66" r:id="rId17" display="http://ingramswaterandair.com/"/>
    <hyperlink ref="L10" r:id="rId18"/>
    <hyperlink ref="L63" r:id="rId19" display="http://ingramswaterandair.com/"/>
    <hyperlink ref="L33" r:id="rId20"/>
    <hyperlink ref="L11" r:id="rId21"/>
    <hyperlink ref="L74" r:id="rId22"/>
    <hyperlink ref="L45" r:id="rId23"/>
    <hyperlink ref="L81" r:id="rId24"/>
    <hyperlink ref="L88" r:id="rId25"/>
    <hyperlink ref="L92" r:id="rId26"/>
    <hyperlink ref="L72" r:id="rId27"/>
    <hyperlink ref="L71" r:id="rId28"/>
    <hyperlink ref="L35:L36" r:id="rId29" display="http://www.alpinehomeair.com/"/>
    <hyperlink ref="L65:L68" r:id="rId30" display="http://www.buyplumbingonline.com/"/>
    <hyperlink ref="L31" r:id="rId31"/>
    <hyperlink ref="L13" r:id="rId32"/>
    <hyperlink ref="L70:L72" r:id="rId33" display="http://www.buyplumbingonline.com/"/>
    <hyperlink ref="L19" r:id="rId34"/>
    <hyperlink ref="L22" r:id="rId35"/>
    <hyperlink ref="L18" r:id="rId36"/>
    <hyperlink ref="L84" r:id="rId37"/>
    <hyperlink ref="L61" r:id="rId38"/>
    <hyperlink ref="L96" r:id="rId39" display="http://ingramswaterandair.com/"/>
    <hyperlink ref="L100:L101" r:id="rId40" display="http://ingramswaterandair.com/"/>
  </hyperlinks>
  <pageMargins left="0.75" right="0.75" top="1" bottom="1" header="0.5" footer="0.5"/>
  <pageSetup scale="67" fitToHeight="0" orientation="landscape" r:id="rId41"/>
  <headerFooter alignWithMargins="0"/>
  <drawing r:id="rId42"/>
  <tableParts count="1">
    <tablePart r:id="rId4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topLeftCell="B15" workbookViewId="0">
      <selection activeCell="D33" sqref="D33:D35"/>
    </sheetView>
  </sheetViews>
  <sheetFormatPr defaultRowHeight="12.75" x14ac:dyDescent="0.2"/>
  <cols>
    <col min="1" max="1" width="48.5703125" customWidth="1"/>
    <col min="2" max="2" width="45.42578125" customWidth="1"/>
    <col min="3" max="11" width="11.140625" customWidth="1"/>
    <col min="13" max="13" width="11.140625" customWidth="1"/>
    <col min="14" max="14" width="11.7109375" customWidth="1"/>
    <col min="15" max="15" width="11.140625" customWidth="1"/>
    <col min="16" max="16" width="12.42578125" customWidth="1"/>
    <col min="17" max="24" width="11.140625" customWidth="1"/>
  </cols>
  <sheetData>
    <row r="1" spans="1:25" x14ac:dyDescent="0.2">
      <c r="A1" s="36"/>
      <c r="B1" s="37"/>
      <c r="C1" s="37"/>
      <c r="D1" s="36"/>
      <c r="E1" s="35"/>
      <c r="F1" s="35"/>
      <c r="G1" s="35"/>
      <c r="H1" s="35"/>
      <c r="I1" s="35"/>
      <c r="J1" s="35"/>
      <c r="K1" s="35"/>
      <c r="L1" s="35"/>
      <c r="Y1" s="35"/>
    </row>
    <row r="2" spans="1:25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38"/>
    </row>
    <row r="3" spans="1:25" x14ac:dyDescent="0.2">
      <c r="A3" s="38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Y3" s="35"/>
    </row>
    <row r="4" spans="1:25" x14ac:dyDescent="0.2">
      <c r="A4" s="39" t="s">
        <v>49</v>
      </c>
      <c r="B4" s="39"/>
      <c r="C4" s="35"/>
      <c r="D4" s="35"/>
      <c r="E4" s="35"/>
      <c r="F4" s="35"/>
      <c r="G4" s="35"/>
      <c r="H4" s="35"/>
      <c r="I4" s="35"/>
      <c r="J4" s="35"/>
      <c r="K4" s="35"/>
      <c r="L4" s="35"/>
      <c r="M4" s="40" t="s">
        <v>50</v>
      </c>
      <c r="Y4" s="35"/>
    </row>
    <row r="5" spans="1:25" ht="67.5" x14ac:dyDescent="0.2">
      <c r="A5" s="41" t="s">
        <v>51</v>
      </c>
      <c r="B5" s="41" t="s">
        <v>52</v>
      </c>
      <c r="C5" s="41" t="s">
        <v>53</v>
      </c>
      <c r="D5" s="41" t="s">
        <v>54</v>
      </c>
      <c r="E5" s="41" t="s">
        <v>55</v>
      </c>
      <c r="F5" s="41" t="s">
        <v>56</v>
      </c>
      <c r="G5" s="41" t="s">
        <v>57</v>
      </c>
      <c r="H5" s="41" t="s">
        <v>58</v>
      </c>
      <c r="I5" s="41" t="s">
        <v>59</v>
      </c>
      <c r="J5" s="41" t="s">
        <v>60</v>
      </c>
      <c r="K5" s="41" t="s">
        <v>61</v>
      </c>
      <c r="L5" s="35"/>
      <c r="M5" s="42" t="s">
        <v>53</v>
      </c>
      <c r="N5" s="42" t="s">
        <v>62</v>
      </c>
      <c r="O5" s="42" t="s">
        <v>63</v>
      </c>
      <c r="P5" s="43" t="s">
        <v>64</v>
      </c>
      <c r="Q5" s="42" t="s">
        <v>65</v>
      </c>
      <c r="R5" s="42" t="s">
        <v>66</v>
      </c>
      <c r="S5" s="43" t="s">
        <v>67</v>
      </c>
      <c r="T5" s="43" t="s">
        <v>68</v>
      </c>
      <c r="U5" s="43" t="s">
        <v>69</v>
      </c>
      <c r="V5" s="43" t="s">
        <v>70</v>
      </c>
      <c r="W5" s="42" t="s">
        <v>71</v>
      </c>
      <c r="X5" s="42" t="s">
        <v>72</v>
      </c>
      <c r="Y5" s="35"/>
    </row>
    <row r="6" spans="1:25" x14ac:dyDescent="0.2">
      <c r="A6" s="44" t="s">
        <v>73</v>
      </c>
      <c r="B6" s="44" t="s">
        <v>74</v>
      </c>
      <c r="C6" s="45" t="s">
        <v>75</v>
      </c>
      <c r="D6" s="66">
        <v>11.85</v>
      </c>
      <c r="E6" s="47">
        <v>0.13700000000000001</v>
      </c>
      <c r="F6" s="46">
        <v>9.2995599999999996</v>
      </c>
      <c r="G6" s="47">
        <v>9.5000000000000001E-2</v>
      </c>
      <c r="H6" s="46">
        <v>6.4485999999999999</v>
      </c>
      <c r="I6" s="45" t="s">
        <v>76</v>
      </c>
      <c r="J6" s="48" t="s">
        <v>77</v>
      </c>
      <c r="K6" s="45" t="s">
        <v>78</v>
      </c>
      <c r="L6" s="35"/>
      <c r="M6" s="49" t="s">
        <v>75</v>
      </c>
      <c r="N6" s="49" t="s">
        <v>74</v>
      </c>
      <c r="O6" s="50">
        <v>11.85</v>
      </c>
      <c r="P6" s="49" t="s">
        <v>79</v>
      </c>
      <c r="Q6" s="50">
        <v>10.02</v>
      </c>
      <c r="R6" s="50">
        <v>1.83</v>
      </c>
      <c r="S6" s="49" t="s">
        <v>80</v>
      </c>
      <c r="T6" s="50" t="s">
        <v>81</v>
      </c>
      <c r="U6" s="50" t="s">
        <v>81</v>
      </c>
      <c r="V6" s="49" t="s">
        <v>80</v>
      </c>
      <c r="W6" s="50" t="s">
        <v>81</v>
      </c>
      <c r="X6" s="50" t="s">
        <v>81</v>
      </c>
      <c r="Y6" s="35"/>
    </row>
    <row r="7" spans="1:25" x14ac:dyDescent="0.2">
      <c r="A7" s="44" t="s">
        <v>82</v>
      </c>
      <c r="B7" s="44" t="s">
        <v>83</v>
      </c>
      <c r="C7" s="45" t="s">
        <v>75</v>
      </c>
      <c r="D7" s="66">
        <v>9.59</v>
      </c>
      <c r="E7" s="47">
        <v>7.3999999999999996E-2</v>
      </c>
      <c r="F7" s="46">
        <v>5.0231199999999996</v>
      </c>
      <c r="G7" s="47">
        <v>4.8000000000000001E-2</v>
      </c>
      <c r="H7" s="46">
        <v>3.2582399999999998</v>
      </c>
      <c r="I7" s="45" t="s">
        <v>76</v>
      </c>
      <c r="J7" s="48" t="s">
        <v>77</v>
      </c>
      <c r="K7" s="45" t="s">
        <v>78</v>
      </c>
      <c r="L7" s="35"/>
      <c r="M7" s="49" t="s">
        <v>75</v>
      </c>
      <c r="N7" s="49" t="s">
        <v>83</v>
      </c>
      <c r="O7" s="50">
        <v>9.59</v>
      </c>
      <c r="P7" s="49" t="s">
        <v>84</v>
      </c>
      <c r="Q7" s="50">
        <v>8.64</v>
      </c>
      <c r="R7" s="50">
        <v>0.94999999999999929</v>
      </c>
      <c r="S7" s="49" t="s">
        <v>80</v>
      </c>
      <c r="T7" s="50" t="s">
        <v>81</v>
      </c>
      <c r="U7" s="50" t="s">
        <v>81</v>
      </c>
      <c r="V7" s="49" t="s">
        <v>80</v>
      </c>
      <c r="W7" s="50" t="s">
        <v>81</v>
      </c>
      <c r="X7" s="50" t="s">
        <v>81</v>
      </c>
      <c r="Y7" s="35"/>
    </row>
    <row r="8" spans="1:25" x14ac:dyDescent="0.2">
      <c r="A8" s="44" t="s">
        <v>85</v>
      </c>
      <c r="B8" s="44" t="s">
        <v>86</v>
      </c>
      <c r="C8" s="45" t="s">
        <v>75</v>
      </c>
      <c r="D8" s="66">
        <v>21.09</v>
      </c>
      <c r="E8" s="47">
        <v>0.30199999999999999</v>
      </c>
      <c r="F8" s="46">
        <v>20.499759999999998</v>
      </c>
      <c r="G8" s="47">
        <v>0.2</v>
      </c>
      <c r="H8" s="46">
        <v>13.576000000000001</v>
      </c>
      <c r="I8" s="45" t="s">
        <v>76</v>
      </c>
      <c r="J8" s="48" t="s">
        <v>77</v>
      </c>
      <c r="K8" s="45" t="s">
        <v>78</v>
      </c>
      <c r="L8" s="35"/>
      <c r="M8" s="49" t="s">
        <v>75</v>
      </c>
      <c r="N8" s="49" t="s">
        <v>86</v>
      </c>
      <c r="O8" s="50">
        <v>21.09</v>
      </c>
      <c r="P8" s="49" t="s">
        <v>87</v>
      </c>
      <c r="Q8" s="50">
        <v>17.73</v>
      </c>
      <c r="R8" s="50">
        <v>3.3599999999999994</v>
      </c>
      <c r="S8" s="49" t="s">
        <v>80</v>
      </c>
      <c r="T8" s="50" t="s">
        <v>81</v>
      </c>
      <c r="U8" s="50" t="s">
        <v>81</v>
      </c>
      <c r="V8" s="49" t="s">
        <v>80</v>
      </c>
      <c r="W8" s="50" t="s">
        <v>81</v>
      </c>
      <c r="X8" s="50" t="s">
        <v>81</v>
      </c>
      <c r="Y8" s="35"/>
    </row>
    <row r="9" spans="1:25" x14ac:dyDescent="0.2">
      <c r="A9" s="44" t="s">
        <v>88</v>
      </c>
      <c r="B9" s="44" t="s">
        <v>89</v>
      </c>
      <c r="C9" s="45" t="s">
        <v>75</v>
      </c>
      <c r="D9" s="67">
        <v>12.2</v>
      </c>
      <c r="E9" s="47">
        <v>0.14599999999999999</v>
      </c>
      <c r="F9" s="46">
        <v>9.910479999999998</v>
      </c>
      <c r="G9" s="47">
        <v>0.104</v>
      </c>
      <c r="H9" s="46">
        <v>7.0595199999999991</v>
      </c>
      <c r="I9" s="45" t="s">
        <v>76</v>
      </c>
      <c r="J9" s="48" t="s">
        <v>77</v>
      </c>
      <c r="K9" s="45" t="s">
        <v>78</v>
      </c>
      <c r="L9" s="35"/>
      <c r="M9" s="49" t="s">
        <v>75</v>
      </c>
      <c r="N9" s="49" t="s">
        <v>89</v>
      </c>
      <c r="O9" s="50">
        <v>12.2</v>
      </c>
      <c r="P9" s="49" t="s">
        <v>90</v>
      </c>
      <c r="Q9" s="50" t="s">
        <v>81</v>
      </c>
      <c r="R9" s="50" t="s">
        <v>81</v>
      </c>
      <c r="S9" s="49" t="s">
        <v>80</v>
      </c>
      <c r="T9" s="50" t="s">
        <v>81</v>
      </c>
      <c r="U9" s="50" t="s">
        <v>81</v>
      </c>
      <c r="V9" s="49" t="s">
        <v>80</v>
      </c>
      <c r="W9" s="50" t="s">
        <v>81</v>
      </c>
      <c r="X9" s="50" t="s">
        <v>81</v>
      </c>
      <c r="Y9" s="35"/>
    </row>
    <row r="10" spans="1:25" x14ac:dyDescent="0.2">
      <c r="A10" s="44" t="s">
        <v>91</v>
      </c>
      <c r="B10" s="44" t="s">
        <v>92</v>
      </c>
      <c r="C10" s="45" t="s">
        <v>75</v>
      </c>
      <c r="D10" s="67">
        <v>11.09</v>
      </c>
      <c r="E10" s="47">
        <v>7.2999999999999995E-2</v>
      </c>
      <c r="F10" s="46">
        <v>4.955239999999999</v>
      </c>
      <c r="G10" s="47">
        <v>4.7E-2</v>
      </c>
      <c r="H10" s="46">
        <v>3.1903599999999996</v>
      </c>
      <c r="I10" s="45" t="s">
        <v>76</v>
      </c>
      <c r="J10" s="48" t="s">
        <v>77</v>
      </c>
      <c r="K10" s="45" t="s">
        <v>78</v>
      </c>
      <c r="L10" s="35"/>
      <c r="M10" s="49" t="s">
        <v>75</v>
      </c>
      <c r="N10" s="49" t="s">
        <v>93</v>
      </c>
      <c r="O10" s="50">
        <v>12.98</v>
      </c>
      <c r="P10" s="49" t="s">
        <v>94</v>
      </c>
      <c r="Q10" s="50" t="s">
        <v>81</v>
      </c>
      <c r="R10" s="50" t="s">
        <v>81</v>
      </c>
      <c r="S10" s="49" t="s">
        <v>80</v>
      </c>
      <c r="T10" s="50" t="s">
        <v>81</v>
      </c>
      <c r="U10" s="50" t="s">
        <v>81</v>
      </c>
      <c r="V10" s="49" t="s">
        <v>80</v>
      </c>
      <c r="W10" s="50" t="s">
        <v>81</v>
      </c>
      <c r="X10" s="50" t="s">
        <v>81</v>
      </c>
      <c r="Y10" s="35"/>
    </row>
    <row r="11" spans="1:25" x14ac:dyDescent="0.2">
      <c r="A11" s="44" t="s">
        <v>95</v>
      </c>
      <c r="B11" s="44" t="s">
        <v>96</v>
      </c>
      <c r="C11" s="45" t="s">
        <v>75</v>
      </c>
      <c r="D11" s="67">
        <v>20.9</v>
      </c>
      <c r="E11" s="47">
        <v>0.313</v>
      </c>
      <c r="F11" s="46">
        <v>21.24644</v>
      </c>
      <c r="G11" s="47">
        <v>0.21099999999999999</v>
      </c>
      <c r="H11" s="46">
        <v>14.322679999999998</v>
      </c>
      <c r="I11" s="45" t="s">
        <v>76</v>
      </c>
      <c r="J11" s="48" t="s">
        <v>77</v>
      </c>
      <c r="K11" s="45" t="s">
        <v>78</v>
      </c>
      <c r="L11" s="35"/>
      <c r="M11" s="49" t="s">
        <v>75</v>
      </c>
      <c r="N11" s="49" t="s">
        <v>97</v>
      </c>
      <c r="O11" s="50">
        <v>10.18</v>
      </c>
      <c r="P11" s="49" t="s">
        <v>98</v>
      </c>
      <c r="Q11" s="50" t="s">
        <v>81</v>
      </c>
      <c r="R11" s="50" t="s">
        <v>81</v>
      </c>
      <c r="S11" s="49" t="s">
        <v>80</v>
      </c>
      <c r="T11" s="50" t="s">
        <v>81</v>
      </c>
      <c r="U11" s="50" t="s">
        <v>81</v>
      </c>
      <c r="V11" s="49" t="s">
        <v>80</v>
      </c>
      <c r="W11" s="50" t="s">
        <v>81</v>
      </c>
      <c r="X11" s="50" t="s">
        <v>81</v>
      </c>
      <c r="Y11" s="35"/>
    </row>
    <row r="12" spans="1:25" x14ac:dyDescent="0.2">
      <c r="A12" s="44" t="s">
        <v>99</v>
      </c>
      <c r="B12" s="44" t="s">
        <v>99</v>
      </c>
      <c r="C12" s="45" t="s">
        <v>75</v>
      </c>
      <c r="D12" s="46">
        <v>10.02</v>
      </c>
      <c r="E12" s="47">
        <v>0.13700000000000001</v>
      </c>
      <c r="F12" s="46">
        <v>9.2995599999999996</v>
      </c>
      <c r="G12" s="47">
        <v>9.5000000000000001E-2</v>
      </c>
      <c r="H12" s="46">
        <v>6.4485999999999999</v>
      </c>
      <c r="I12" s="45" t="s">
        <v>76</v>
      </c>
      <c r="J12" s="48" t="s">
        <v>77</v>
      </c>
      <c r="K12" s="45" t="s">
        <v>78</v>
      </c>
      <c r="L12" s="35"/>
      <c r="M12" s="49" t="s">
        <v>75</v>
      </c>
      <c r="N12" s="49" t="s">
        <v>100</v>
      </c>
      <c r="O12" s="50">
        <v>29.54</v>
      </c>
      <c r="P12" s="49" t="s">
        <v>80</v>
      </c>
      <c r="Q12" s="50" t="s">
        <v>81</v>
      </c>
      <c r="R12" s="50" t="s">
        <v>81</v>
      </c>
      <c r="S12" s="49" t="s">
        <v>80</v>
      </c>
      <c r="T12" s="50" t="s">
        <v>81</v>
      </c>
      <c r="U12" s="50" t="s">
        <v>81</v>
      </c>
      <c r="V12" s="49" t="s">
        <v>80</v>
      </c>
      <c r="W12" s="50" t="s">
        <v>81</v>
      </c>
      <c r="X12" s="50" t="s">
        <v>81</v>
      </c>
      <c r="Y12" s="35"/>
    </row>
    <row r="13" spans="1:25" x14ac:dyDescent="0.2">
      <c r="A13" s="44" t="s">
        <v>101</v>
      </c>
      <c r="B13" s="44" t="s">
        <v>101</v>
      </c>
      <c r="C13" s="45" t="s">
        <v>75</v>
      </c>
      <c r="D13" s="46">
        <v>8.64</v>
      </c>
      <c r="E13" s="47">
        <v>7.3999999999999996E-2</v>
      </c>
      <c r="F13" s="46">
        <v>5.0231199999999996</v>
      </c>
      <c r="G13" s="47">
        <v>4.8000000000000001E-2</v>
      </c>
      <c r="H13" s="46">
        <v>3.2582399999999998</v>
      </c>
      <c r="I13" s="45" t="s">
        <v>76</v>
      </c>
      <c r="J13" s="48" t="s">
        <v>77</v>
      </c>
      <c r="K13" s="45" t="s">
        <v>78</v>
      </c>
      <c r="L13" s="35"/>
      <c r="M13" s="49" t="s">
        <v>75</v>
      </c>
      <c r="N13" s="49" t="s">
        <v>102</v>
      </c>
      <c r="O13" s="50">
        <v>11.85</v>
      </c>
      <c r="P13" s="49" t="s">
        <v>79</v>
      </c>
      <c r="Q13" s="50">
        <v>10.02</v>
      </c>
      <c r="R13" s="50">
        <v>1.83</v>
      </c>
      <c r="S13" s="49" t="s">
        <v>80</v>
      </c>
      <c r="T13" s="50" t="s">
        <v>81</v>
      </c>
      <c r="U13" s="50" t="s">
        <v>81</v>
      </c>
      <c r="V13" s="49" t="s">
        <v>80</v>
      </c>
      <c r="W13" s="50" t="s">
        <v>81</v>
      </c>
      <c r="X13" s="50" t="s">
        <v>81</v>
      </c>
      <c r="Y13" s="35"/>
    </row>
    <row r="14" spans="1:25" x14ac:dyDescent="0.2">
      <c r="A14" s="44" t="s">
        <v>103</v>
      </c>
      <c r="B14" s="44" t="s">
        <v>103</v>
      </c>
      <c r="C14" s="45" t="s">
        <v>75</v>
      </c>
      <c r="D14" s="46">
        <v>15.77</v>
      </c>
      <c r="E14" s="47">
        <v>0.30199999999999999</v>
      </c>
      <c r="F14" s="46">
        <v>20.499759999999998</v>
      </c>
      <c r="G14" s="47">
        <v>0.2</v>
      </c>
      <c r="H14" s="46">
        <v>13.576000000000001</v>
      </c>
      <c r="I14" s="45" t="s">
        <v>76</v>
      </c>
      <c r="J14" s="48" t="s">
        <v>77</v>
      </c>
      <c r="K14" s="45" t="s">
        <v>78</v>
      </c>
      <c r="L14" s="35"/>
      <c r="M14" s="49" t="s">
        <v>75</v>
      </c>
      <c r="N14" s="49" t="s">
        <v>104</v>
      </c>
      <c r="O14" s="50">
        <v>9.59</v>
      </c>
      <c r="P14" s="49" t="s">
        <v>84</v>
      </c>
      <c r="Q14" s="50">
        <v>8.64</v>
      </c>
      <c r="R14" s="50">
        <v>0.94999999999999929</v>
      </c>
      <c r="S14" s="49" t="s">
        <v>80</v>
      </c>
      <c r="T14" s="50" t="s">
        <v>81</v>
      </c>
      <c r="U14" s="50" t="s">
        <v>81</v>
      </c>
      <c r="V14" s="49" t="s">
        <v>80</v>
      </c>
      <c r="W14" s="50" t="s">
        <v>81</v>
      </c>
      <c r="X14" s="50" t="s">
        <v>81</v>
      </c>
      <c r="Y14" s="35"/>
    </row>
    <row r="15" spans="1:25" x14ac:dyDescent="0.2">
      <c r="A15" s="44" t="s">
        <v>105</v>
      </c>
      <c r="B15" s="44" t="s">
        <v>105</v>
      </c>
      <c r="C15" s="45" t="s">
        <v>75</v>
      </c>
      <c r="D15" s="46">
        <v>11.89</v>
      </c>
      <c r="E15" s="47">
        <v>0.14599999999999999</v>
      </c>
      <c r="F15" s="46">
        <v>9.910479999999998</v>
      </c>
      <c r="G15" s="47">
        <v>0.104</v>
      </c>
      <c r="H15" s="46">
        <v>7.0595199999999991</v>
      </c>
      <c r="I15" s="45" t="s">
        <v>76</v>
      </c>
      <c r="J15" s="48" t="s">
        <v>77</v>
      </c>
      <c r="K15" s="45" t="s">
        <v>78</v>
      </c>
      <c r="L15" s="35"/>
      <c r="M15" s="49" t="s">
        <v>75</v>
      </c>
      <c r="N15" s="49" t="s">
        <v>106</v>
      </c>
      <c r="O15" s="50">
        <v>21.09</v>
      </c>
      <c r="P15" s="49" t="s">
        <v>87</v>
      </c>
      <c r="Q15" s="50">
        <v>17.73</v>
      </c>
      <c r="R15" s="50">
        <v>3.3599999999999994</v>
      </c>
      <c r="S15" s="49" t="s">
        <v>80</v>
      </c>
      <c r="T15" s="50" t="s">
        <v>81</v>
      </c>
      <c r="U15" s="50" t="s">
        <v>81</v>
      </c>
      <c r="V15" s="49" t="s">
        <v>80</v>
      </c>
      <c r="W15" s="50" t="s">
        <v>81</v>
      </c>
      <c r="X15" s="50" t="s">
        <v>81</v>
      </c>
      <c r="Y15" s="35"/>
    </row>
    <row r="16" spans="1:25" x14ac:dyDescent="0.2">
      <c r="A16" s="44" t="s">
        <v>107</v>
      </c>
      <c r="B16" s="44" t="s">
        <v>107</v>
      </c>
      <c r="C16" s="45" t="s">
        <v>75</v>
      </c>
      <c r="D16" s="46">
        <v>10.37</v>
      </c>
      <c r="E16" s="47">
        <v>7.2999999999999995E-2</v>
      </c>
      <c r="F16" s="46">
        <v>4.955239999999999</v>
      </c>
      <c r="G16" s="47">
        <v>4.7E-2</v>
      </c>
      <c r="H16" s="46">
        <v>3.1903599999999996</v>
      </c>
      <c r="I16" s="45" t="s">
        <v>76</v>
      </c>
      <c r="J16" s="48" t="s">
        <v>77</v>
      </c>
      <c r="K16" s="45" t="s">
        <v>78</v>
      </c>
      <c r="L16" s="35"/>
      <c r="Y16" s="35"/>
    </row>
    <row r="17" spans="1:25" x14ac:dyDescent="0.2">
      <c r="A17" s="44" t="s">
        <v>108</v>
      </c>
      <c r="B17" s="44" t="s">
        <v>108</v>
      </c>
      <c r="C17" s="45" t="s">
        <v>75</v>
      </c>
      <c r="D17" s="46">
        <v>19.53</v>
      </c>
      <c r="E17" s="47">
        <v>0.313</v>
      </c>
      <c r="F17" s="46">
        <v>21.24644</v>
      </c>
      <c r="G17" s="47">
        <v>0.21099999999999999</v>
      </c>
      <c r="H17" s="46">
        <v>14.322679999999998</v>
      </c>
      <c r="I17" s="45" t="s">
        <v>76</v>
      </c>
      <c r="J17" s="48" t="s">
        <v>77</v>
      </c>
      <c r="K17" s="45" t="s">
        <v>78</v>
      </c>
      <c r="L17" s="35"/>
      <c r="Y17" s="35"/>
    </row>
    <row r="18" spans="1:25" x14ac:dyDescent="0.2">
      <c r="A18" s="44" t="s">
        <v>109</v>
      </c>
      <c r="B18" s="44" t="s">
        <v>93</v>
      </c>
      <c r="C18" s="45" t="s">
        <v>75</v>
      </c>
      <c r="D18" s="66">
        <v>12.98</v>
      </c>
      <c r="E18" s="47">
        <v>0.13700000000000001</v>
      </c>
      <c r="F18" s="46">
        <v>9.2995599999999996</v>
      </c>
      <c r="G18" s="47">
        <v>9.5000000000000001E-2</v>
      </c>
      <c r="H18" s="46">
        <v>6.4485999999999999</v>
      </c>
      <c r="I18" s="45" t="s">
        <v>76</v>
      </c>
      <c r="J18" s="48" t="s">
        <v>77</v>
      </c>
      <c r="K18" s="45" t="s">
        <v>78</v>
      </c>
      <c r="L18" s="35"/>
      <c r="Y18" s="35"/>
    </row>
    <row r="19" spans="1:25" x14ac:dyDescent="0.2">
      <c r="A19" s="44" t="s">
        <v>110</v>
      </c>
      <c r="B19" s="44" t="s">
        <v>97</v>
      </c>
      <c r="C19" s="45" t="s">
        <v>75</v>
      </c>
      <c r="D19" s="66">
        <v>10.18</v>
      </c>
      <c r="E19" s="47">
        <v>7.3999999999999996E-2</v>
      </c>
      <c r="F19" s="46">
        <v>5.0231199999999996</v>
      </c>
      <c r="G19" s="47">
        <v>4.8000000000000001E-2</v>
      </c>
      <c r="H19" s="46">
        <v>3.2582399999999998</v>
      </c>
      <c r="I19" s="45" t="s">
        <v>76</v>
      </c>
      <c r="J19" s="48" t="s">
        <v>77</v>
      </c>
      <c r="K19" s="45" t="s">
        <v>78</v>
      </c>
      <c r="L19" s="35"/>
      <c r="Y19" s="35"/>
    </row>
    <row r="20" spans="1:25" x14ac:dyDescent="0.2">
      <c r="A20" s="44" t="s">
        <v>111</v>
      </c>
      <c r="B20" s="44" t="s">
        <v>100</v>
      </c>
      <c r="C20" s="45" t="s">
        <v>75</v>
      </c>
      <c r="D20" s="66">
        <v>29.54</v>
      </c>
      <c r="E20" s="47">
        <v>0.30199999999999999</v>
      </c>
      <c r="F20" s="46">
        <v>20.499759999999998</v>
      </c>
      <c r="G20" s="47">
        <v>0.2</v>
      </c>
      <c r="H20" s="46">
        <v>13.576000000000001</v>
      </c>
      <c r="I20" s="45" t="s">
        <v>76</v>
      </c>
      <c r="J20" s="48" t="s">
        <v>77</v>
      </c>
      <c r="K20" s="45" t="s">
        <v>78</v>
      </c>
      <c r="L20" s="35"/>
      <c r="Y20" s="35"/>
    </row>
    <row r="21" spans="1:25" x14ac:dyDescent="0.2">
      <c r="A21" s="44" t="s">
        <v>112</v>
      </c>
      <c r="B21" s="44" t="s">
        <v>113</v>
      </c>
      <c r="C21" s="45" t="s">
        <v>75</v>
      </c>
      <c r="D21" s="67">
        <v>13.33</v>
      </c>
      <c r="E21" s="47">
        <v>0.14599999999999999</v>
      </c>
      <c r="F21" s="46">
        <v>9.910479999999998</v>
      </c>
      <c r="G21" s="47">
        <v>0.104</v>
      </c>
      <c r="H21" s="46">
        <v>7.0595199999999991</v>
      </c>
      <c r="I21" s="45" t="s">
        <v>76</v>
      </c>
      <c r="J21" s="48" t="s">
        <v>77</v>
      </c>
      <c r="K21" s="45" t="s">
        <v>78</v>
      </c>
      <c r="L21" s="35"/>
      <c r="Y21" s="35"/>
    </row>
    <row r="22" spans="1:25" x14ac:dyDescent="0.2">
      <c r="A22" s="44" t="s">
        <v>114</v>
      </c>
      <c r="B22" s="44" t="s">
        <v>115</v>
      </c>
      <c r="C22" s="45" t="s">
        <v>75</v>
      </c>
      <c r="D22" s="67">
        <v>12.11</v>
      </c>
      <c r="E22" s="47">
        <v>7.2999999999999995E-2</v>
      </c>
      <c r="F22" s="46">
        <v>4.955239999999999</v>
      </c>
      <c r="G22" s="47">
        <v>4.7E-2</v>
      </c>
      <c r="H22" s="46">
        <v>3.1903599999999996</v>
      </c>
      <c r="I22" s="45" t="s">
        <v>76</v>
      </c>
      <c r="J22" s="48" t="s">
        <v>77</v>
      </c>
      <c r="K22" s="45" t="s">
        <v>78</v>
      </c>
      <c r="L22" s="35"/>
      <c r="Y22" s="35"/>
    </row>
    <row r="23" spans="1:25" x14ac:dyDescent="0.2">
      <c r="A23" s="44" t="s">
        <v>116</v>
      </c>
      <c r="B23" s="44" t="s">
        <v>117</v>
      </c>
      <c r="C23" s="45" t="s">
        <v>75</v>
      </c>
      <c r="D23" s="67">
        <v>22.83</v>
      </c>
      <c r="E23" s="47">
        <v>0.313</v>
      </c>
      <c r="F23" s="46">
        <v>21.24644</v>
      </c>
      <c r="G23" s="47">
        <v>0.21099999999999999</v>
      </c>
      <c r="H23" s="46">
        <v>14.322679999999998</v>
      </c>
      <c r="I23" s="45" t="s">
        <v>76</v>
      </c>
      <c r="J23" s="48" t="s">
        <v>77</v>
      </c>
      <c r="K23" s="45" t="s">
        <v>78</v>
      </c>
      <c r="L23" s="35"/>
      <c r="Y23" s="35"/>
    </row>
    <row r="24" spans="1:25" x14ac:dyDescent="0.2">
      <c r="A24" s="44" t="s">
        <v>118</v>
      </c>
      <c r="B24" s="44" t="s">
        <v>118</v>
      </c>
      <c r="C24" s="45" t="s">
        <v>75</v>
      </c>
      <c r="D24" s="46">
        <v>10.02</v>
      </c>
      <c r="E24" s="47">
        <v>0.13700000000000001</v>
      </c>
      <c r="F24" s="46">
        <v>9.2995599999999996</v>
      </c>
      <c r="G24" s="47">
        <v>9.5000000000000001E-2</v>
      </c>
      <c r="H24" s="46">
        <v>6.4485999999999999</v>
      </c>
      <c r="I24" s="45" t="s">
        <v>76</v>
      </c>
      <c r="J24" s="48" t="s">
        <v>77</v>
      </c>
      <c r="K24" s="45" t="s">
        <v>78</v>
      </c>
      <c r="L24" s="35"/>
      <c r="Y24" s="35"/>
    </row>
    <row r="25" spans="1:25" x14ac:dyDescent="0.2">
      <c r="A25" s="44" t="s">
        <v>119</v>
      </c>
      <c r="B25" s="44" t="s">
        <v>119</v>
      </c>
      <c r="C25" s="45" t="s">
        <v>75</v>
      </c>
      <c r="D25" s="46">
        <v>8.64</v>
      </c>
      <c r="E25" s="47">
        <v>7.3999999999999996E-2</v>
      </c>
      <c r="F25" s="46">
        <v>5.0231199999999996</v>
      </c>
      <c r="G25" s="47">
        <v>4.8000000000000001E-2</v>
      </c>
      <c r="H25" s="46">
        <v>3.2582399999999998</v>
      </c>
      <c r="I25" s="45" t="s">
        <v>76</v>
      </c>
      <c r="J25" s="48" t="s">
        <v>77</v>
      </c>
      <c r="K25" s="45" t="s">
        <v>78</v>
      </c>
      <c r="L25" s="35"/>
      <c r="Y25" s="35"/>
    </row>
    <row r="26" spans="1:25" x14ac:dyDescent="0.2">
      <c r="A26" s="44" t="s">
        <v>120</v>
      </c>
      <c r="B26" s="44" t="s">
        <v>120</v>
      </c>
      <c r="C26" s="45" t="s">
        <v>75</v>
      </c>
      <c r="D26" s="46">
        <v>15.77</v>
      </c>
      <c r="E26" s="47">
        <v>0.30199999999999999</v>
      </c>
      <c r="F26" s="46">
        <v>20.499759999999998</v>
      </c>
      <c r="G26" s="47">
        <v>0.2</v>
      </c>
      <c r="H26" s="46">
        <v>13.576000000000001</v>
      </c>
      <c r="I26" s="45" t="s">
        <v>76</v>
      </c>
      <c r="J26" s="48" t="s">
        <v>77</v>
      </c>
      <c r="K26" s="45" t="s">
        <v>78</v>
      </c>
      <c r="L26" s="35"/>
      <c r="Y26" s="35"/>
    </row>
    <row r="27" spans="1:25" x14ac:dyDescent="0.2">
      <c r="A27" s="44" t="s">
        <v>121</v>
      </c>
      <c r="B27" s="44" t="s">
        <v>121</v>
      </c>
      <c r="C27" s="45" t="s">
        <v>75</v>
      </c>
      <c r="D27" s="46">
        <v>11.89</v>
      </c>
      <c r="E27" s="47">
        <v>0.14599999999999999</v>
      </c>
      <c r="F27" s="46">
        <v>9.910479999999998</v>
      </c>
      <c r="G27" s="47">
        <v>0.104</v>
      </c>
      <c r="H27" s="46">
        <v>7.0595199999999991</v>
      </c>
      <c r="I27" s="45" t="s">
        <v>76</v>
      </c>
      <c r="J27" s="48" t="s">
        <v>77</v>
      </c>
      <c r="K27" s="45" t="s">
        <v>78</v>
      </c>
      <c r="L27" s="35"/>
      <c r="Y27" s="35"/>
    </row>
    <row r="28" spans="1:25" x14ac:dyDescent="0.2">
      <c r="A28" s="44" t="s">
        <v>122</v>
      </c>
      <c r="B28" s="44" t="s">
        <v>122</v>
      </c>
      <c r="C28" s="45" t="s">
        <v>75</v>
      </c>
      <c r="D28" s="46">
        <v>10.37</v>
      </c>
      <c r="E28" s="47">
        <v>7.2999999999999995E-2</v>
      </c>
      <c r="F28" s="46">
        <v>4.955239999999999</v>
      </c>
      <c r="G28" s="47">
        <v>4.7E-2</v>
      </c>
      <c r="H28" s="46">
        <v>3.1903599999999996</v>
      </c>
      <c r="I28" s="45" t="s">
        <v>76</v>
      </c>
      <c r="J28" s="48" t="s">
        <v>77</v>
      </c>
      <c r="K28" s="45" t="s">
        <v>78</v>
      </c>
      <c r="L28" s="35"/>
      <c r="Y28" s="35"/>
    </row>
    <row r="29" spans="1:25" x14ac:dyDescent="0.2">
      <c r="A29" s="44" t="s">
        <v>123</v>
      </c>
      <c r="B29" s="44" t="s">
        <v>123</v>
      </c>
      <c r="C29" s="45" t="s">
        <v>75</v>
      </c>
      <c r="D29" s="46">
        <v>19.53</v>
      </c>
      <c r="E29" s="47">
        <v>0.313</v>
      </c>
      <c r="F29" s="46">
        <v>21.24644</v>
      </c>
      <c r="G29" s="47">
        <v>0.21099999999999999</v>
      </c>
      <c r="H29" s="46">
        <v>14.322679999999998</v>
      </c>
      <c r="I29" s="45" t="s">
        <v>76</v>
      </c>
      <c r="J29" s="48" t="s">
        <v>77</v>
      </c>
      <c r="K29" s="45" t="s">
        <v>78</v>
      </c>
      <c r="L29" s="35"/>
      <c r="Y29" s="35"/>
    </row>
    <row r="30" spans="1:25" x14ac:dyDescent="0.2">
      <c r="A30" s="44" t="s">
        <v>124</v>
      </c>
      <c r="B30" s="44" t="s">
        <v>102</v>
      </c>
      <c r="C30" s="45" t="s">
        <v>75</v>
      </c>
      <c r="D30" s="120">
        <v>11.85</v>
      </c>
      <c r="E30" s="47">
        <v>0.13700000000000001</v>
      </c>
      <c r="F30" s="46">
        <v>9.2995599999999996</v>
      </c>
      <c r="G30" s="47">
        <v>9.5000000000000001E-2</v>
      </c>
      <c r="H30" s="46">
        <v>6.4485999999999999</v>
      </c>
      <c r="I30" s="45" t="s">
        <v>76</v>
      </c>
      <c r="J30" s="48" t="s">
        <v>77</v>
      </c>
      <c r="K30" s="45" t="s">
        <v>78</v>
      </c>
      <c r="L30" s="35"/>
      <c r="Y30" s="35"/>
    </row>
    <row r="31" spans="1:25" x14ac:dyDescent="0.2">
      <c r="A31" s="44" t="s">
        <v>125</v>
      </c>
      <c r="B31" s="44" t="s">
        <v>104</v>
      </c>
      <c r="C31" s="45" t="s">
        <v>75</v>
      </c>
      <c r="D31" s="120">
        <v>9.59</v>
      </c>
      <c r="E31" s="47">
        <v>7.3999999999999996E-2</v>
      </c>
      <c r="F31" s="46">
        <v>5.0231199999999996</v>
      </c>
      <c r="G31" s="47">
        <v>4.8000000000000001E-2</v>
      </c>
      <c r="H31" s="46">
        <v>3.2582399999999998</v>
      </c>
      <c r="I31" s="45" t="s">
        <v>76</v>
      </c>
      <c r="J31" s="48" t="s">
        <v>77</v>
      </c>
      <c r="K31" s="45" t="s">
        <v>78</v>
      </c>
      <c r="L31" s="35"/>
      <c r="Y31" s="35"/>
    </row>
    <row r="32" spans="1:25" x14ac:dyDescent="0.2">
      <c r="A32" s="44" t="s">
        <v>126</v>
      </c>
      <c r="B32" s="44" t="s">
        <v>106</v>
      </c>
      <c r="C32" s="45" t="s">
        <v>75</v>
      </c>
      <c r="D32" s="120">
        <v>21.09</v>
      </c>
      <c r="E32" s="47">
        <v>0.30199999999999999</v>
      </c>
      <c r="F32" s="46">
        <v>20.499759999999998</v>
      </c>
      <c r="G32" s="47">
        <v>0.2</v>
      </c>
      <c r="H32" s="46">
        <v>13.576000000000001</v>
      </c>
      <c r="I32" s="45" t="s">
        <v>76</v>
      </c>
      <c r="J32" s="48" t="s">
        <v>77</v>
      </c>
      <c r="K32" s="45" t="s">
        <v>78</v>
      </c>
      <c r="L32" s="35"/>
      <c r="Y32" s="35"/>
    </row>
    <row r="33" spans="1:25" x14ac:dyDescent="0.2">
      <c r="A33" s="44" t="s">
        <v>127</v>
      </c>
      <c r="B33" s="44" t="s">
        <v>128</v>
      </c>
      <c r="C33" s="45" t="s">
        <v>75</v>
      </c>
      <c r="D33" s="120">
        <v>12.2</v>
      </c>
      <c r="E33" s="47">
        <v>0.14599999999999999</v>
      </c>
      <c r="F33" s="46">
        <v>9.910479999999998</v>
      </c>
      <c r="G33" s="47">
        <v>0.104</v>
      </c>
      <c r="H33" s="46">
        <v>7.0595199999999991</v>
      </c>
      <c r="I33" s="45" t="s">
        <v>76</v>
      </c>
      <c r="J33" s="48" t="s">
        <v>77</v>
      </c>
      <c r="K33" s="45" t="s">
        <v>78</v>
      </c>
      <c r="L33" s="35"/>
      <c r="Y33" s="35"/>
    </row>
    <row r="34" spans="1:25" x14ac:dyDescent="0.2">
      <c r="A34" s="44" t="s">
        <v>129</v>
      </c>
      <c r="B34" s="44" t="s">
        <v>130</v>
      </c>
      <c r="C34" s="45" t="s">
        <v>75</v>
      </c>
      <c r="D34" s="120">
        <v>11.09</v>
      </c>
      <c r="E34" s="47">
        <v>7.2999999999999995E-2</v>
      </c>
      <c r="F34" s="46">
        <v>4.955239999999999</v>
      </c>
      <c r="G34" s="47">
        <v>4.7E-2</v>
      </c>
      <c r="H34" s="46">
        <v>3.1903599999999996</v>
      </c>
      <c r="I34" s="45" t="s">
        <v>76</v>
      </c>
      <c r="J34" s="48" t="s">
        <v>77</v>
      </c>
      <c r="K34" s="45" t="s">
        <v>78</v>
      </c>
      <c r="L34" s="35"/>
      <c r="Y34" s="35"/>
    </row>
    <row r="35" spans="1:25" x14ac:dyDescent="0.2">
      <c r="A35" s="44" t="s">
        <v>131</v>
      </c>
      <c r="B35" s="44" t="s">
        <v>132</v>
      </c>
      <c r="C35" s="45" t="s">
        <v>75</v>
      </c>
      <c r="D35" s="120">
        <v>20.9</v>
      </c>
      <c r="E35" s="47">
        <v>0.313</v>
      </c>
      <c r="F35" s="46">
        <v>21.24644</v>
      </c>
      <c r="G35" s="47">
        <v>0.21099999999999999</v>
      </c>
      <c r="H35" s="46">
        <v>14.322679999999998</v>
      </c>
      <c r="I35" s="45" t="s">
        <v>76</v>
      </c>
      <c r="J35" s="48" t="s">
        <v>77</v>
      </c>
      <c r="K35" s="45" t="s">
        <v>78</v>
      </c>
      <c r="L35" s="35"/>
      <c r="Y35" s="35"/>
    </row>
    <row r="36" spans="1:25" x14ac:dyDescent="0.2">
      <c r="A36" s="44" t="s">
        <v>133</v>
      </c>
      <c r="B36" s="44" t="s">
        <v>133</v>
      </c>
      <c r="C36" s="45" t="s">
        <v>75</v>
      </c>
      <c r="D36" s="66">
        <v>10.02</v>
      </c>
      <c r="E36" s="47">
        <v>0.13700000000000001</v>
      </c>
      <c r="F36" s="46">
        <v>9.2995599999999996</v>
      </c>
      <c r="G36" s="47">
        <v>9.5000000000000001E-2</v>
      </c>
      <c r="H36" s="46">
        <v>6.4485999999999999</v>
      </c>
      <c r="I36" s="45" t="s">
        <v>76</v>
      </c>
      <c r="J36" s="48" t="s">
        <v>77</v>
      </c>
      <c r="K36" s="45" t="s">
        <v>78</v>
      </c>
      <c r="L36" s="35"/>
      <c r="Y36" s="35"/>
    </row>
    <row r="37" spans="1:25" x14ac:dyDescent="0.2">
      <c r="A37" s="44" t="s">
        <v>134</v>
      </c>
      <c r="B37" s="44" t="s">
        <v>134</v>
      </c>
      <c r="C37" s="45" t="s">
        <v>75</v>
      </c>
      <c r="D37" s="66">
        <v>9.15</v>
      </c>
      <c r="E37" s="47">
        <v>7.3999999999999996E-2</v>
      </c>
      <c r="F37" s="46">
        <v>5.0231199999999996</v>
      </c>
      <c r="G37" s="47">
        <v>4.8000000000000001E-2</v>
      </c>
      <c r="H37" s="46">
        <v>3.2582399999999998</v>
      </c>
      <c r="I37" s="45" t="s">
        <v>76</v>
      </c>
      <c r="J37" s="48" t="s">
        <v>77</v>
      </c>
      <c r="K37" s="45" t="s">
        <v>78</v>
      </c>
      <c r="L37" s="35"/>
      <c r="Y37" s="35"/>
    </row>
    <row r="38" spans="1:25" x14ac:dyDescent="0.2">
      <c r="A38" s="44" t="s">
        <v>135</v>
      </c>
      <c r="B38" s="44" t="s">
        <v>135</v>
      </c>
      <c r="C38" s="45" t="s">
        <v>75</v>
      </c>
      <c r="D38" s="66">
        <v>17.11</v>
      </c>
      <c r="E38" s="47">
        <v>0.30199999999999999</v>
      </c>
      <c r="F38" s="46">
        <v>20.499759999999998</v>
      </c>
      <c r="G38" s="47">
        <v>0.2</v>
      </c>
      <c r="H38" s="46">
        <v>13.576000000000001</v>
      </c>
      <c r="I38" s="45" t="s">
        <v>76</v>
      </c>
      <c r="J38" s="48" t="s">
        <v>77</v>
      </c>
      <c r="K38" s="45" t="s">
        <v>78</v>
      </c>
      <c r="L38" s="35"/>
      <c r="Y38" s="35"/>
    </row>
    <row r="39" spans="1:25" x14ac:dyDescent="0.2">
      <c r="A39" s="44" t="s">
        <v>136</v>
      </c>
      <c r="B39" s="44" t="s">
        <v>136</v>
      </c>
      <c r="C39" s="45" t="s">
        <v>75</v>
      </c>
      <c r="D39" s="67">
        <v>11.89</v>
      </c>
      <c r="E39" s="47">
        <v>0.14599999999999999</v>
      </c>
      <c r="F39" s="46">
        <v>9.910479999999998</v>
      </c>
      <c r="G39" s="47">
        <v>0.104</v>
      </c>
      <c r="H39" s="46">
        <v>7.0595199999999991</v>
      </c>
      <c r="I39" s="45" t="s">
        <v>76</v>
      </c>
      <c r="J39" s="48" t="s">
        <v>77</v>
      </c>
      <c r="K39" s="45" t="s">
        <v>78</v>
      </c>
      <c r="L39" s="35"/>
      <c r="Y39" s="35"/>
    </row>
    <row r="40" spans="1:25" x14ac:dyDescent="0.2">
      <c r="A40" s="44" t="s">
        <v>137</v>
      </c>
      <c r="B40" s="44" t="s">
        <v>137</v>
      </c>
      <c r="C40" s="45" t="s">
        <v>75</v>
      </c>
      <c r="D40" s="67">
        <v>11.09</v>
      </c>
      <c r="E40" s="47">
        <v>7.2999999999999995E-2</v>
      </c>
      <c r="F40" s="46">
        <v>4.955239999999999</v>
      </c>
      <c r="G40" s="47">
        <v>4.7E-2</v>
      </c>
      <c r="H40" s="46">
        <v>3.1903599999999996</v>
      </c>
      <c r="I40" s="45" t="s">
        <v>76</v>
      </c>
      <c r="J40" s="48" t="s">
        <v>77</v>
      </c>
      <c r="K40" s="45" t="s">
        <v>78</v>
      </c>
      <c r="L40" s="35"/>
      <c r="Y40" s="35"/>
    </row>
    <row r="41" spans="1:25" x14ac:dyDescent="0.2">
      <c r="A41" s="44" t="s">
        <v>138</v>
      </c>
      <c r="B41" s="44" t="s">
        <v>138</v>
      </c>
      <c r="C41" s="45" t="s">
        <v>75</v>
      </c>
      <c r="D41" s="67">
        <v>19.53</v>
      </c>
      <c r="E41" s="47">
        <v>0.313</v>
      </c>
      <c r="F41" s="46">
        <v>21.24644</v>
      </c>
      <c r="G41" s="47">
        <v>0.21099999999999999</v>
      </c>
      <c r="H41" s="46">
        <v>14.322679999999998</v>
      </c>
      <c r="I41" s="45" t="s">
        <v>76</v>
      </c>
      <c r="J41" s="48" t="s">
        <v>77</v>
      </c>
      <c r="K41" s="45" t="s">
        <v>78</v>
      </c>
      <c r="L41" s="35"/>
      <c r="Y41" s="35"/>
    </row>
    <row r="42" spans="1:25" x14ac:dyDescent="0.2">
      <c r="A42" s="38"/>
      <c r="B42" s="51"/>
      <c r="C42" s="52"/>
      <c r="D42" s="53"/>
      <c r="E42" s="54"/>
      <c r="F42" s="55"/>
      <c r="G42" s="56"/>
      <c r="H42" s="57"/>
      <c r="I42" s="35"/>
      <c r="J42" s="35"/>
      <c r="K42" s="35"/>
      <c r="L42" s="35"/>
      <c r="Y42" s="35"/>
    </row>
    <row r="43" spans="1:25" x14ac:dyDescent="0.2">
      <c r="A43" s="38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Y43" s="35"/>
    </row>
    <row r="44" spans="1:25" x14ac:dyDescent="0.2">
      <c r="A44" s="38"/>
      <c r="B44" s="58" t="s">
        <v>139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Y44" s="35"/>
    </row>
    <row r="45" spans="1:25" ht="33.75" x14ac:dyDescent="0.2">
      <c r="A45" s="35"/>
      <c r="B45" s="41" t="s">
        <v>140</v>
      </c>
      <c r="C45" s="41" t="s">
        <v>141</v>
      </c>
      <c r="D45" s="41" t="s">
        <v>142</v>
      </c>
      <c r="E45" s="41" t="s">
        <v>143</v>
      </c>
      <c r="F45" s="41" t="s">
        <v>53</v>
      </c>
      <c r="G45" s="41" t="s">
        <v>144</v>
      </c>
      <c r="H45" s="35"/>
      <c r="I45" s="35"/>
      <c r="J45" s="35"/>
      <c r="K45" s="35"/>
      <c r="L45" s="35"/>
      <c r="Y45" s="35"/>
    </row>
    <row r="46" spans="1:25" ht="45" x14ac:dyDescent="0.2">
      <c r="A46" s="38"/>
      <c r="B46" s="48" t="s">
        <v>77</v>
      </c>
      <c r="C46" s="48" t="s">
        <v>145</v>
      </c>
      <c r="D46" s="48" t="s">
        <v>146</v>
      </c>
      <c r="E46" s="48" t="s">
        <v>147</v>
      </c>
      <c r="F46" s="59" t="s">
        <v>75</v>
      </c>
      <c r="G46" s="60">
        <v>67.88</v>
      </c>
      <c r="H46" s="35"/>
      <c r="I46" s="35"/>
      <c r="J46" s="35"/>
      <c r="K46" s="35"/>
      <c r="L46" s="35"/>
      <c r="Y46" s="35"/>
    </row>
    <row r="47" spans="1:25" x14ac:dyDescent="0.2">
      <c r="A47" s="38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Y47" s="35"/>
    </row>
    <row r="48" spans="1:25" x14ac:dyDescent="0.2">
      <c r="A48" s="38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Y48" s="35"/>
    </row>
    <row r="49" spans="1:25" x14ac:dyDescent="0.2">
      <c r="A49" s="38"/>
      <c r="B49" s="58" t="s">
        <v>148</v>
      </c>
      <c r="C49" s="61"/>
      <c r="D49" s="35"/>
      <c r="E49" s="35"/>
      <c r="F49" s="35"/>
      <c r="G49" s="35"/>
      <c r="H49" s="35"/>
      <c r="I49" s="35"/>
      <c r="J49" s="35"/>
      <c r="K49" s="35"/>
      <c r="L49" s="35"/>
      <c r="Y49" s="35"/>
    </row>
    <row r="50" spans="1:25" ht="22.5" x14ac:dyDescent="0.2">
      <c r="A50" s="38"/>
      <c r="B50" s="41" t="s">
        <v>149</v>
      </c>
      <c r="C50" s="41" t="s">
        <v>150</v>
      </c>
      <c r="D50" s="41" t="s">
        <v>151</v>
      </c>
      <c r="E50" s="41" t="s">
        <v>152</v>
      </c>
      <c r="F50" s="35"/>
      <c r="G50" s="35"/>
      <c r="H50" s="35"/>
      <c r="I50" s="35"/>
      <c r="J50" s="35"/>
      <c r="K50" s="35"/>
      <c r="L50" s="35"/>
      <c r="Y50" s="35"/>
    </row>
    <row r="51" spans="1:25" x14ac:dyDescent="0.2">
      <c r="A51" s="38"/>
      <c r="B51" s="62">
        <v>1</v>
      </c>
      <c r="C51" s="63" t="s">
        <v>153</v>
      </c>
      <c r="D51" s="64">
        <v>0.98899999999999999</v>
      </c>
      <c r="E51" s="64">
        <v>0.96199999999999997</v>
      </c>
      <c r="F51" s="35"/>
      <c r="G51" s="35"/>
      <c r="H51" s="35"/>
      <c r="I51" s="35"/>
      <c r="J51" s="35"/>
      <c r="K51" s="35"/>
      <c r="L51" s="35"/>
      <c r="Y51" s="35"/>
    </row>
    <row r="52" spans="1:25" x14ac:dyDescent="0.2">
      <c r="A52" s="38"/>
      <c r="B52" s="48">
        <v>2</v>
      </c>
      <c r="C52" s="63" t="s">
        <v>154</v>
      </c>
      <c r="D52" s="64">
        <v>0.93899999999999995</v>
      </c>
      <c r="E52" s="64">
        <v>1.1499999999999999</v>
      </c>
      <c r="F52" s="35"/>
      <c r="G52" s="35"/>
      <c r="H52" s="35"/>
      <c r="I52" s="35"/>
      <c r="J52" s="35"/>
      <c r="K52" s="35"/>
      <c r="L52" s="35"/>
      <c r="Y52" s="35"/>
    </row>
    <row r="53" spans="1:25" x14ac:dyDescent="0.2">
      <c r="A53" s="38"/>
      <c r="B53" s="48">
        <v>3</v>
      </c>
      <c r="C53" s="63" t="s">
        <v>155</v>
      </c>
      <c r="D53" s="64">
        <v>1.0269999999999999</v>
      </c>
      <c r="E53" s="64">
        <v>1.5129999999999999</v>
      </c>
      <c r="F53" s="35"/>
      <c r="G53" s="35"/>
      <c r="H53" s="35"/>
      <c r="I53" s="35"/>
      <c r="J53" s="35"/>
      <c r="K53" s="35"/>
      <c r="L53" s="35"/>
      <c r="Y53" s="35"/>
    </row>
    <row r="54" spans="1:25" x14ac:dyDescent="0.2">
      <c r="A54" s="38"/>
      <c r="B54" s="48">
        <v>4</v>
      </c>
      <c r="C54" s="63" t="s">
        <v>156</v>
      </c>
      <c r="D54" s="64">
        <v>1.024</v>
      </c>
      <c r="E54" s="64">
        <v>1.3779999999999999</v>
      </c>
      <c r="F54" s="35"/>
      <c r="G54" s="35"/>
      <c r="H54" s="35"/>
      <c r="I54" s="35"/>
      <c r="J54" s="35"/>
      <c r="K54" s="35"/>
      <c r="L54" s="35"/>
      <c r="Y54" s="35"/>
    </row>
    <row r="55" spans="1:25" x14ac:dyDescent="0.2">
      <c r="A55" s="38"/>
      <c r="B55" s="48">
        <v>5</v>
      </c>
      <c r="C55" s="63" t="s">
        <v>157</v>
      </c>
      <c r="D55" s="64">
        <v>0.88</v>
      </c>
      <c r="E55" s="64">
        <v>0.99299999999999999</v>
      </c>
      <c r="F55" s="35"/>
      <c r="G55" s="35"/>
      <c r="H55" s="35"/>
      <c r="I55" s="35"/>
      <c r="J55" s="35"/>
      <c r="K55" s="35"/>
      <c r="L55" s="35"/>
      <c r="Y55" s="35"/>
    </row>
    <row r="56" spans="1:25" x14ac:dyDescent="0.2">
      <c r="A56" s="38"/>
      <c r="B56" s="48">
        <v>6</v>
      </c>
      <c r="C56" s="63" t="s">
        <v>158</v>
      </c>
      <c r="D56" s="64">
        <v>0.87</v>
      </c>
      <c r="E56" s="64">
        <v>1.0720000000000001</v>
      </c>
      <c r="F56" s="35"/>
      <c r="G56" s="35"/>
      <c r="H56" s="35"/>
      <c r="I56" s="35"/>
      <c r="J56" s="35"/>
      <c r="K56" s="35"/>
      <c r="L56" s="35"/>
      <c r="Y56" s="35"/>
    </row>
    <row r="57" spans="1:25" x14ac:dyDescent="0.2">
      <c r="A57" s="38"/>
      <c r="B57" s="48">
        <v>7</v>
      </c>
      <c r="C57" s="63" t="s">
        <v>159</v>
      </c>
      <c r="D57" s="64">
        <v>1</v>
      </c>
      <c r="E57" s="64">
        <v>0.97799999999999998</v>
      </c>
      <c r="F57" s="35"/>
      <c r="G57" s="35"/>
      <c r="H57" s="35"/>
      <c r="I57" s="35"/>
      <c r="J57" s="35"/>
      <c r="K57" s="35"/>
      <c r="L57" s="35"/>
      <c r="Y57" s="35"/>
    </row>
    <row r="58" spans="1:25" x14ac:dyDescent="0.2">
      <c r="A58" s="38"/>
      <c r="B58" s="48">
        <v>8</v>
      </c>
      <c r="C58" s="63" t="s">
        <v>160</v>
      </c>
      <c r="D58" s="64">
        <v>0.93600000000000005</v>
      </c>
      <c r="E58" s="64">
        <v>1.05</v>
      </c>
      <c r="F58" s="35"/>
      <c r="G58" s="35"/>
      <c r="H58" s="35"/>
      <c r="I58" s="35"/>
      <c r="J58" s="35"/>
      <c r="K58" s="35"/>
      <c r="L58" s="35"/>
      <c r="Y58" s="35"/>
    </row>
    <row r="59" spans="1:25" x14ac:dyDescent="0.2">
      <c r="A59" s="38"/>
      <c r="B59" s="48">
        <v>9</v>
      </c>
      <c r="C59" s="63" t="s">
        <v>161</v>
      </c>
      <c r="D59" s="64">
        <v>0.96299999999999997</v>
      </c>
      <c r="E59" s="64">
        <v>1.1379999999999999</v>
      </c>
      <c r="F59" s="35"/>
      <c r="G59" s="35"/>
      <c r="H59" s="35"/>
      <c r="I59" s="35"/>
      <c r="J59" s="35"/>
      <c r="K59" s="35"/>
      <c r="L59" s="35"/>
      <c r="Y59" s="35"/>
    </row>
    <row r="60" spans="1:25" x14ac:dyDescent="0.2">
      <c r="A60" s="38"/>
      <c r="B60" s="48">
        <v>10</v>
      </c>
      <c r="C60" s="63" t="s">
        <v>162</v>
      </c>
      <c r="D60" s="64">
        <v>0.90400000000000003</v>
      </c>
      <c r="E60" s="64">
        <v>1.0289999999999999</v>
      </c>
      <c r="F60" s="35"/>
      <c r="G60" s="35"/>
      <c r="H60" s="35"/>
      <c r="I60" s="35"/>
      <c r="J60" s="35"/>
      <c r="K60" s="35"/>
      <c r="L60" s="35"/>
      <c r="Y60" s="35"/>
    </row>
    <row r="61" spans="1:25" x14ac:dyDescent="0.2">
      <c r="A61" s="38"/>
      <c r="B61" s="48">
        <v>11</v>
      </c>
      <c r="C61" s="63" t="s">
        <v>163</v>
      </c>
      <c r="D61" s="64">
        <v>0.98399999999999999</v>
      </c>
      <c r="E61" s="64">
        <v>1.048</v>
      </c>
      <c r="F61" s="35"/>
      <c r="G61" s="35"/>
      <c r="H61" s="35"/>
      <c r="I61" s="35"/>
      <c r="J61" s="35"/>
      <c r="K61" s="35"/>
      <c r="L61" s="35"/>
      <c r="Y61" s="35"/>
    </row>
    <row r="62" spans="1:25" x14ac:dyDescent="0.2">
      <c r="A62" s="38"/>
      <c r="B62" s="48">
        <v>12</v>
      </c>
      <c r="C62" s="63" t="s">
        <v>164</v>
      </c>
      <c r="D62" s="64">
        <v>0.97299999999999998</v>
      </c>
      <c r="E62" s="64">
        <v>1.048</v>
      </c>
      <c r="F62" s="35"/>
      <c r="G62" s="35"/>
      <c r="H62" s="35"/>
      <c r="I62" s="35"/>
      <c r="J62" s="35"/>
      <c r="K62" s="35"/>
      <c r="L62" s="35"/>
      <c r="Y62" s="35"/>
    </row>
    <row r="63" spans="1:25" x14ac:dyDescent="0.2">
      <c r="A63" s="38"/>
      <c r="B63" s="48">
        <v>13</v>
      </c>
      <c r="C63" s="63" t="s">
        <v>165</v>
      </c>
      <c r="D63" s="64">
        <v>0.89400000000000002</v>
      </c>
      <c r="E63" s="64">
        <v>0.94399999999999995</v>
      </c>
      <c r="F63" s="35"/>
      <c r="G63" s="35"/>
      <c r="H63" s="35"/>
      <c r="I63" s="35"/>
      <c r="J63" s="35"/>
      <c r="K63" s="35"/>
      <c r="L63" s="35"/>
      <c r="Y63" s="35"/>
    </row>
    <row r="64" spans="1:25" x14ac:dyDescent="0.2">
      <c r="A64" s="38"/>
      <c r="B64" s="48">
        <v>14</v>
      </c>
      <c r="C64" s="63" t="s">
        <v>166</v>
      </c>
      <c r="D64" s="64">
        <v>0.879</v>
      </c>
      <c r="E64" s="64">
        <v>0.97899999999999998</v>
      </c>
      <c r="F64" s="35"/>
      <c r="G64" s="35"/>
      <c r="H64" s="35"/>
      <c r="I64" s="35"/>
      <c r="J64" s="35"/>
      <c r="K64" s="35"/>
      <c r="L64" s="35"/>
      <c r="Y64" s="35"/>
    </row>
    <row r="65" spans="1:25" x14ac:dyDescent="0.2">
      <c r="A65" s="38"/>
      <c r="B65" s="48">
        <v>15</v>
      </c>
      <c r="C65" s="63" t="s">
        <v>167</v>
      </c>
      <c r="D65" s="64">
        <v>0.93600000000000005</v>
      </c>
      <c r="E65" s="64">
        <v>1.0289999999999999</v>
      </c>
      <c r="F65" s="35"/>
      <c r="G65" s="35"/>
      <c r="H65" s="35"/>
      <c r="I65" s="35"/>
      <c r="J65" s="35"/>
      <c r="K65" s="35"/>
      <c r="L65" s="35"/>
      <c r="Y65" s="35"/>
    </row>
    <row r="66" spans="1:25" x14ac:dyDescent="0.2">
      <c r="A66" s="38"/>
      <c r="B66" s="48">
        <v>16</v>
      </c>
      <c r="C66" s="63" t="s">
        <v>168</v>
      </c>
      <c r="D66" s="64">
        <v>0.98699999999999999</v>
      </c>
      <c r="E66" s="64">
        <v>1.048</v>
      </c>
      <c r="F66" s="35"/>
      <c r="G66" s="35"/>
      <c r="H66" s="35"/>
      <c r="I66" s="35"/>
      <c r="J66" s="35"/>
      <c r="K66" s="35"/>
      <c r="L66" s="35"/>
      <c r="Y66" s="35"/>
    </row>
    <row r="67" spans="1:25" x14ac:dyDescent="0.2">
      <c r="A67" s="35"/>
      <c r="B67" s="121" t="s">
        <v>169</v>
      </c>
      <c r="C67" s="122"/>
      <c r="D67" s="64">
        <f>AVERAGE(D51:D66)</f>
        <v>0.94906250000000003</v>
      </c>
      <c r="E67" s="64">
        <f>AVERAGE(E51:E66)</f>
        <v>1.0849375000000001</v>
      </c>
      <c r="F67" s="35"/>
      <c r="G67" s="35"/>
      <c r="H67" s="35"/>
      <c r="I67" s="35"/>
      <c r="J67" s="35"/>
      <c r="K67" s="35"/>
      <c r="L67" s="35"/>
      <c r="Y67" s="35"/>
    </row>
    <row r="68" spans="1:25" x14ac:dyDescent="0.2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Y68" s="35"/>
    </row>
    <row r="69" spans="1:25" x14ac:dyDescent="0.2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Y69" s="35"/>
    </row>
    <row r="70" spans="1:25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Y70" s="35"/>
    </row>
    <row r="71" spans="1:25" x14ac:dyDescent="0.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Y71" s="35"/>
    </row>
    <row r="72" spans="1:25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Y72" s="35"/>
    </row>
    <row r="73" spans="1:25" x14ac:dyDescent="0.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Y73" s="35"/>
    </row>
    <row r="74" spans="1:25" x14ac:dyDescent="0.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Y74" s="35"/>
    </row>
    <row r="75" spans="1:25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Y75" s="35"/>
    </row>
    <row r="76" spans="1:25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Y76" s="35"/>
    </row>
    <row r="77" spans="1:25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Y77" s="35"/>
    </row>
    <row r="78" spans="1:25" x14ac:dyDescent="0.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Y78" s="35"/>
    </row>
    <row r="79" spans="1:25" x14ac:dyDescent="0.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Y79" s="35"/>
    </row>
    <row r="80" spans="1:25" x14ac:dyDescent="0.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Y80" s="35"/>
    </row>
    <row r="81" spans="1:25" x14ac:dyDescent="0.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Y81" s="35"/>
    </row>
    <row r="82" spans="1:25" x14ac:dyDescent="0.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Y82" s="35"/>
    </row>
    <row r="83" spans="1:25" x14ac:dyDescent="0.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Y83" s="35"/>
    </row>
    <row r="84" spans="1:25" x14ac:dyDescent="0.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Y84" s="35"/>
    </row>
    <row r="85" spans="1:25" x14ac:dyDescent="0.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Y85" s="35"/>
    </row>
    <row r="86" spans="1:25" x14ac:dyDescent="0.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Y86" s="35"/>
    </row>
    <row r="87" spans="1:25" x14ac:dyDescent="0.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Y87" s="35"/>
    </row>
    <row r="88" spans="1:25" x14ac:dyDescent="0.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Y88" s="35"/>
    </row>
    <row r="89" spans="1:25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Y89" s="35"/>
    </row>
    <row r="90" spans="1:25" x14ac:dyDescent="0.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Y90" s="35"/>
    </row>
    <row r="91" spans="1:25" x14ac:dyDescent="0.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Y91" s="35"/>
    </row>
    <row r="92" spans="1:25" x14ac:dyDescent="0.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Y92" s="35"/>
    </row>
  </sheetData>
  <mergeCells count="1">
    <mergeCell ref="B67:C6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CE8B4B-DC48-4EEE-ADA7-643A76675F0E}"/>
</file>

<file path=customXml/itemProps2.xml><?xml version="1.0" encoding="utf-8"?>
<ds:datastoreItem xmlns:ds="http://schemas.openxmlformats.org/officeDocument/2006/customXml" ds:itemID="{71D9248D-9B82-4F07-B4DA-B3D410327153}"/>
</file>

<file path=customXml/itemProps3.xml><?xml version="1.0" encoding="utf-8"?>
<ds:datastoreItem xmlns:ds="http://schemas.openxmlformats.org/officeDocument/2006/customXml" ds:itemID="{A96CE703-CE7C-48F2-B296-24E01899EE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Bins</vt:lpstr>
      <vt:lpstr>Summary</vt:lpstr>
      <vt:lpstr>Pivot Table</vt:lpstr>
      <vt:lpstr>Database</vt:lpstr>
      <vt:lpstr>2008 DEER</vt:lpstr>
      <vt:lpstr>Database!Print_Area</vt:lpstr>
    </vt:vector>
  </TitlesOfParts>
  <Company>ICF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ICF</dc:creator>
  <cp:lastModifiedBy>Wan, Linda</cp:lastModifiedBy>
  <cp:lastPrinted>2012-04-04T23:55:56Z</cp:lastPrinted>
  <dcterms:created xsi:type="dcterms:W3CDTF">2012-03-14T19:09:23Z</dcterms:created>
  <dcterms:modified xsi:type="dcterms:W3CDTF">2016-03-04T00:46:19Z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