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225"/>
  </bookViews>
  <sheets>
    <sheet name="cost summary" sheetId="6" r:id="rId1"/>
    <sheet name="cost calculations" sheetId="5" r:id="rId2"/>
    <sheet name="MFG A" sheetId="2" r:id="rId3"/>
    <sheet name="MFG B" sheetId="3" r:id="rId4"/>
    <sheet name="RS MEANS_Pkg HVAC Install" sheetId="4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0" i="4" l="1"/>
  <c r="P20" i="4"/>
  <c r="N20" i="4"/>
  <c r="Z18" i="4"/>
  <c r="Y18" i="4"/>
  <c r="X18" i="4"/>
  <c r="W18" i="4"/>
  <c r="AA18" i="4" s="1"/>
  <c r="U18" i="4"/>
  <c r="Q18" i="4"/>
  <c r="P18" i="4"/>
  <c r="O18" i="4"/>
  <c r="N18" i="4"/>
  <c r="R18" i="4" s="1"/>
  <c r="L18" i="4"/>
  <c r="Z17" i="4"/>
  <c r="Y17" i="4"/>
  <c r="X17" i="4"/>
  <c r="W17" i="4"/>
  <c r="AA17" i="4" s="1"/>
  <c r="U17" i="4"/>
  <c r="Q17" i="4"/>
  <c r="P17" i="4"/>
  <c r="O17" i="4"/>
  <c r="N17" i="4"/>
  <c r="R17" i="4" s="1"/>
  <c r="L17" i="4"/>
  <c r="Z16" i="4"/>
  <c r="Y16" i="4"/>
  <c r="X16" i="4"/>
  <c r="W16" i="4"/>
  <c r="AA16" i="4" s="1"/>
  <c r="U16" i="4"/>
  <c r="C5" i="4" s="1"/>
  <c r="Q16" i="4"/>
  <c r="P16" i="4"/>
  <c r="O16" i="4"/>
  <c r="N16" i="4"/>
  <c r="R16" i="4" s="1"/>
  <c r="L16" i="4"/>
  <c r="Z15" i="4"/>
  <c r="Y15" i="4"/>
  <c r="X15" i="4"/>
  <c r="W15" i="4"/>
  <c r="AA15" i="4" s="1"/>
  <c r="U15" i="4"/>
  <c r="Q15" i="4"/>
  <c r="P15" i="4"/>
  <c r="O15" i="4"/>
  <c r="N15" i="4"/>
  <c r="R15" i="4" s="1"/>
  <c r="L15" i="4"/>
  <c r="Z14" i="4"/>
  <c r="Y14" i="4"/>
  <c r="X14" i="4"/>
  <c r="W14" i="4"/>
  <c r="AA14" i="4" s="1"/>
  <c r="U14" i="4"/>
  <c r="Q14" i="4"/>
  <c r="P14" i="4"/>
  <c r="O14" i="4"/>
  <c r="N14" i="4"/>
  <c r="R14" i="4" s="1"/>
  <c r="L14" i="4"/>
  <c r="Z13" i="4"/>
  <c r="Z20" i="4" s="1"/>
  <c r="Y13" i="4"/>
  <c r="X13" i="4"/>
  <c r="X20" i="4" s="1"/>
  <c r="W13" i="4"/>
  <c r="W20" i="4" s="1"/>
  <c r="U13" i="4"/>
  <c r="C4" i="4" s="1"/>
  <c r="B5" i="5" s="1"/>
  <c r="Q13" i="4"/>
  <c r="Q20" i="4" s="1"/>
  <c r="P13" i="4"/>
  <c r="O13" i="4"/>
  <c r="O20" i="4" s="1"/>
  <c r="N13" i="4"/>
  <c r="R13" i="4" s="1"/>
  <c r="L13" i="4"/>
  <c r="B5" i="4"/>
  <c r="B4" i="4"/>
  <c r="P41" i="3"/>
  <c r="P40" i="3"/>
  <c r="E15" i="5" s="1"/>
  <c r="I16" i="6" s="1"/>
  <c r="J4" i="3"/>
  <c r="J5" i="3" s="1"/>
  <c r="L3" i="3"/>
  <c r="I3" i="3"/>
  <c r="L7" i="2"/>
  <c r="L8" i="2" s="1"/>
  <c r="M6" i="2"/>
  <c r="K6" i="2"/>
  <c r="K7" i="2" s="1"/>
  <c r="M5" i="2"/>
  <c r="M4" i="2"/>
  <c r="M3" i="2"/>
  <c r="S53" i="5"/>
  <c r="I49" i="5"/>
  <c r="G33" i="5" s="1"/>
  <c r="H33" i="5" s="1"/>
  <c r="F49" i="5"/>
  <c r="I48" i="5"/>
  <c r="G32" i="5" s="1"/>
  <c r="H32" i="5" s="1"/>
  <c r="F48" i="5"/>
  <c r="E32" i="5" s="1"/>
  <c r="I47" i="5"/>
  <c r="G31" i="5" s="1"/>
  <c r="H31" i="5" s="1"/>
  <c r="F47" i="5"/>
  <c r="I46" i="5"/>
  <c r="G30" i="5" s="1"/>
  <c r="H30" i="5" s="1"/>
  <c r="F46" i="5"/>
  <c r="E30" i="5" s="1"/>
  <c r="F30" i="5" s="1"/>
  <c r="I45" i="5"/>
  <c r="G29" i="5" s="1"/>
  <c r="H29" i="5" s="1"/>
  <c r="F45" i="5"/>
  <c r="F44" i="5"/>
  <c r="I43" i="5"/>
  <c r="G27" i="5" s="1"/>
  <c r="H27" i="5" s="1"/>
  <c r="H43" i="5"/>
  <c r="H44" i="5" s="1"/>
  <c r="G43" i="5"/>
  <c r="G44" i="5" s="1"/>
  <c r="I44" i="5" s="1"/>
  <c r="G28" i="5" s="1"/>
  <c r="H28" i="5" s="1"/>
  <c r="F43" i="5"/>
  <c r="I42" i="5"/>
  <c r="G26" i="5" s="1"/>
  <c r="H26" i="5" s="1"/>
  <c r="G42" i="5"/>
  <c r="F42" i="5"/>
  <c r="E26" i="5" s="1"/>
  <c r="G41" i="5"/>
  <c r="F41" i="5"/>
  <c r="I41" i="5" s="1"/>
  <c r="G25" i="5" s="1"/>
  <c r="H25" i="5" s="1"/>
  <c r="G40" i="5"/>
  <c r="F40" i="5"/>
  <c r="E24" i="5" s="1"/>
  <c r="F24" i="5" s="1"/>
  <c r="G39" i="5"/>
  <c r="I39" i="5" s="1"/>
  <c r="G23" i="5" s="1"/>
  <c r="H23" i="5" s="1"/>
  <c r="F39" i="5"/>
  <c r="F33" i="5"/>
  <c r="E33" i="5"/>
  <c r="F31" i="5"/>
  <c r="E31" i="5"/>
  <c r="F29" i="5"/>
  <c r="E29" i="5"/>
  <c r="F28" i="5"/>
  <c r="E28" i="5"/>
  <c r="F27" i="5"/>
  <c r="E27" i="5"/>
  <c r="T26" i="5"/>
  <c r="R26" i="5"/>
  <c r="S26" i="5" s="1"/>
  <c r="Q26" i="5"/>
  <c r="T25" i="5"/>
  <c r="R25" i="5"/>
  <c r="S25" i="5" s="1"/>
  <c r="Q25" i="5"/>
  <c r="F25" i="5"/>
  <c r="E25" i="5"/>
  <c r="T24" i="5"/>
  <c r="Q24" i="5"/>
  <c r="T23" i="5"/>
  <c r="R23" i="5"/>
  <c r="S23" i="5" s="1"/>
  <c r="E23" i="5"/>
  <c r="D12" i="5" s="1"/>
  <c r="F13" i="6" s="1"/>
  <c r="T22" i="5"/>
  <c r="S22" i="5"/>
  <c r="R22" i="5"/>
  <c r="B7" i="5"/>
  <c r="B6" i="5"/>
  <c r="B8" i="5" s="1"/>
  <c r="J6" i="3" l="1"/>
  <c r="I5" i="3"/>
  <c r="L5" i="3" s="1"/>
  <c r="F26" i="5"/>
  <c r="D13" i="5"/>
  <c r="R20" i="4"/>
  <c r="G17" i="5"/>
  <c r="G13" i="5"/>
  <c r="G16" i="5"/>
  <c r="E14" i="5"/>
  <c r="G12" i="5"/>
  <c r="Q3" i="5"/>
  <c r="G15" i="5"/>
  <c r="E16" i="5"/>
  <c r="G14" i="5"/>
  <c r="E12" i="5"/>
  <c r="F17" i="6"/>
  <c r="H15" i="6"/>
  <c r="D15" i="5"/>
  <c r="F18" i="6"/>
  <c r="F14" i="6"/>
  <c r="F12" i="6"/>
  <c r="F12" i="5"/>
  <c r="H12" i="5" s="1"/>
  <c r="F15" i="6"/>
  <c r="F16" i="6"/>
  <c r="F32" i="5"/>
  <c r="D14" i="5"/>
  <c r="M7" i="2"/>
  <c r="K8" i="2"/>
  <c r="M8" i="2" s="1"/>
  <c r="E13" i="5"/>
  <c r="I12" i="6" s="1"/>
  <c r="E17" i="5"/>
  <c r="F23" i="5"/>
  <c r="I4" i="3"/>
  <c r="L4" i="3" s="1"/>
  <c r="AA13" i="4"/>
  <c r="AA20" i="4" s="1"/>
  <c r="I40" i="5"/>
  <c r="G24" i="5" s="1"/>
  <c r="H24" i="5" s="1"/>
  <c r="I18" i="6" l="1"/>
  <c r="I14" i="6"/>
  <c r="F14" i="5"/>
  <c r="H14" i="5" s="1"/>
  <c r="D17" i="5"/>
  <c r="H16" i="6"/>
  <c r="F15" i="5"/>
  <c r="H15" i="5" s="1"/>
  <c r="E15" i="6"/>
  <c r="C15" i="6" s="1"/>
  <c r="I13" i="6"/>
  <c r="I17" i="6"/>
  <c r="J7" i="3"/>
  <c r="I6" i="3"/>
  <c r="L6" i="3" s="1"/>
  <c r="D16" i="5"/>
  <c r="F13" i="5"/>
  <c r="H13" i="5" s="1"/>
  <c r="H12" i="6"/>
  <c r="D12" i="6" s="1"/>
  <c r="C12" i="6" s="1"/>
  <c r="G18" i="6"/>
  <c r="G14" i="6"/>
  <c r="G12" i="6"/>
  <c r="G15" i="6"/>
  <c r="G16" i="6"/>
  <c r="G13" i="6"/>
  <c r="G17" i="6"/>
  <c r="I15" i="6"/>
  <c r="D15" i="6" s="1"/>
  <c r="F17" i="5" l="1"/>
  <c r="H17" i="5" s="1"/>
  <c r="H18" i="6"/>
  <c r="H14" i="6"/>
  <c r="D14" i="6" s="1"/>
  <c r="C14" i="6" s="1"/>
  <c r="J8" i="3"/>
  <c r="I8" i="3" s="1"/>
  <c r="L8" i="3" s="1"/>
  <c r="I7" i="3"/>
  <c r="L7" i="3" s="1"/>
  <c r="H13" i="6"/>
  <c r="D13" i="6" s="1"/>
  <c r="C13" i="6" s="1"/>
  <c r="F16" i="5"/>
  <c r="H16" i="5" s="1"/>
  <c r="H17" i="6"/>
  <c r="E16" i="6"/>
  <c r="C16" i="6" s="1"/>
  <c r="D16" i="6"/>
  <c r="E17" i="6" l="1"/>
  <c r="C17" i="6" s="1"/>
  <c r="D17" i="6"/>
  <c r="E18" i="6"/>
  <c r="C18" i="6" s="1"/>
  <c r="D18" i="6"/>
</calcChain>
</file>

<file path=xl/sharedStrings.xml><?xml version="1.0" encoding="utf-8"?>
<sst xmlns="http://schemas.openxmlformats.org/spreadsheetml/2006/main" count="348" uniqueCount="160">
  <si>
    <t>Baseline</t>
  </si>
  <si>
    <t>EER</t>
  </si>
  <si>
    <t>Ton</t>
  </si>
  <si>
    <t>Type</t>
  </si>
  <si>
    <t>HP</t>
  </si>
  <si>
    <t>Measure</t>
  </si>
  <si>
    <t>Description</t>
  </si>
  <si>
    <t>EER = 10, COP = 3 (&lt;65,000 Btu/h)</t>
  </si>
  <si>
    <t>WO17</t>
  </si>
  <si>
    <t>Labor ($/ton)</t>
  </si>
  <si>
    <t>MatlCost ($/ton)</t>
  </si>
  <si>
    <t>EER = 10, COP = 3 (&lt;65,000 Btu/h), economizer, CO2 sensor</t>
  </si>
  <si>
    <t>Nominal Tonnage</t>
  </si>
  <si>
    <t>CoolingCapacity95F</t>
  </si>
  <si>
    <t>EER95F</t>
  </si>
  <si>
    <t>IPLV</t>
  </si>
  <si>
    <t>Phase</t>
  </si>
  <si>
    <t>heatingCapacity47F</t>
  </si>
  <si>
    <t>COP47F</t>
  </si>
  <si>
    <t>ModelStatus</t>
  </si>
  <si>
    <t>Unit Cost</t>
  </si>
  <si>
    <t>10.00</t>
  </si>
  <si>
    <t/>
  </si>
  <si>
    <t>1</t>
  </si>
  <si>
    <t>3.00</t>
  </si>
  <si>
    <t>Active</t>
  </si>
  <si>
    <t>47000</t>
  </si>
  <si>
    <t>44000</t>
  </si>
  <si>
    <t>11.00</t>
  </si>
  <si>
    <t>14.5</t>
  </si>
  <si>
    <t>3.30</t>
  </si>
  <si>
    <t>3.40</t>
  </si>
  <si>
    <t>15.0</t>
  </si>
  <si>
    <t>Cost Summary - MFG A</t>
  </si>
  <si>
    <t>3.25</t>
  </si>
  <si>
    <t>11.50</t>
  </si>
  <si>
    <t>Econo Cost</t>
  </si>
  <si>
    <t>DCV Cost</t>
  </si>
  <si>
    <t>Total Cost w/ DCV</t>
  </si>
  <si>
    <t>HVAC Install Hours</t>
  </si>
  <si>
    <t>Labor Type</t>
  </si>
  <si>
    <t>Average Labor Rate ($/ hr)</t>
  </si>
  <si>
    <t>Avg Labor Rate w/ O&amp;P ($/ hr)</t>
  </si>
  <si>
    <t>Standard Union</t>
  </si>
  <si>
    <t>Open Shop</t>
  </si>
  <si>
    <t xml:space="preserve">               Data Release : Year 2017</t>
  </si>
  <si>
    <t>Unit Cost Estimate</t>
  </si>
  <si>
    <t xml:space="preserve">               Quantity             </t>
  </si>
  <si>
    <t xml:space="preserve">               LineNumber             </t>
  </si>
  <si>
    <t xml:space="preserve">               Line Source             </t>
  </si>
  <si>
    <t xml:space="preserve">Labor Type               SubContracted Ind.             </t>
  </si>
  <si>
    <t xml:space="preserve">               Description             </t>
  </si>
  <si>
    <t xml:space="preserve">               Crew             </t>
  </si>
  <si>
    <t xml:space="preserve">               Daily Output             </t>
  </si>
  <si>
    <t xml:space="preserve">               Labor Hours             </t>
  </si>
  <si>
    <t xml:space="preserve">               Unit             </t>
  </si>
  <si>
    <t xml:space="preserve">               Material             </t>
  </si>
  <si>
    <t xml:space="preserve">               Labor             </t>
  </si>
  <si>
    <t>Labor Costs/ Hour</t>
  </si>
  <si>
    <t xml:space="preserve">               Equipment             </t>
  </si>
  <si>
    <t xml:space="preserve">               Total             </t>
  </si>
  <si>
    <t xml:space="preserve">               Ext. Mat.             </t>
  </si>
  <si>
    <t xml:space="preserve">               Ext. Labor             </t>
  </si>
  <si>
    <t xml:space="preserve">               Ext. Equip.             </t>
  </si>
  <si>
    <t xml:space="preserve">               Ext. Total             </t>
  </si>
  <si>
    <t xml:space="preserve">               Mat. O&amp;P             </t>
  </si>
  <si>
    <t xml:space="preserve">               Labor O&amp;P             </t>
  </si>
  <si>
    <t xml:space="preserve">               Labor O&amp;P     ($/ hr)        </t>
  </si>
  <si>
    <t xml:space="preserve">               Equip. O&amp;P             </t>
  </si>
  <si>
    <t xml:space="preserve">               Total O&amp;P             </t>
  </si>
  <si>
    <t xml:space="preserve">               Ext. Mat. O&amp;P             </t>
  </si>
  <si>
    <t xml:space="preserve">               Ext. Labor O&amp;P             </t>
  </si>
  <si>
    <t xml:space="preserve">               Ext. Equip. O&amp;P             </t>
  </si>
  <si>
    <t xml:space="preserve">               Ext. Total O&amp;P             </t>
  </si>
  <si>
    <t xml:space="preserve">               Labor Type             </t>
  </si>
  <si>
    <t xml:space="preserve">               Data Release             </t>
  </si>
  <si>
    <t xml:space="preserve">               CCI Location             </t>
  </si>
  <si>
    <t xml:space="preserve">               Notes             </t>
  </si>
  <si>
    <t>237433101100</t>
  </si>
  <si>
    <t>Rooftop air conditioner, single zone, electric cool, gas heat, 3 ton cooling, 60 MBH heating, includes, standard controls, curb and economizer</t>
  </si>
  <si>
    <t>Q5</t>
  </si>
  <si>
    <t>Ea.</t>
  </si>
  <si>
    <t>STD</t>
  </si>
  <si>
    <t>Year 2017</t>
  </si>
  <si>
    <t>CALIFORNIA / SACRAMENTO (942,956-958)</t>
  </si>
  <si>
    <t>237433101120</t>
  </si>
  <si>
    <t>Rooftop air conditioner, single zone, electric cool, gas heat, 4 ton cooling, 95 MBH heating, includes, standard controls, curb and economizer</t>
  </si>
  <si>
    <t>237433101140</t>
  </si>
  <si>
    <t>Rooftop air conditioner, single zone, electric cool, gas heat, 5 ton cooling, 112 MBH heating, includes, standard controls, curb and economizer</t>
  </si>
  <si>
    <t>OPN</t>
  </si>
  <si>
    <t>SPVHP Cost Summary</t>
  </si>
  <si>
    <t>MFG A</t>
  </si>
  <si>
    <t>MFG B</t>
  </si>
  <si>
    <t>Curb</t>
  </si>
  <si>
    <t>Economizer</t>
  </si>
  <si>
    <t>DCV</t>
  </si>
  <si>
    <t>NA</t>
  </si>
  <si>
    <t>Total Cost</t>
  </si>
  <si>
    <t xml:space="preserve">MFG A </t>
  </si>
  <si>
    <t>Included in Base Cost</t>
  </si>
  <si>
    <t>$/Ton</t>
  </si>
  <si>
    <t xml:space="preserve">Unit &amp; Curb Cost </t>
  </si>
  <si>
    <t>Included in Unit Cost</t>
  </si>
  <si>
    <t>MFG</t>
  </si>
  <si>
    <t>Base Unit Cost</t>
  </si>
  <si>
    <t>Base Cost</t>
  </si>
  <si>
    <t>Advanced Control Cost</t>
  </si>
  <si>
    <t>Economizer - Avg Cost Premium (MFG A &amp; B)</t>
  </si>
  <si>
    <t>DCV - Avg Cost Premium (MFG A &amp; B)</t>
  </si>
  <si>
    <t>EER = 11, COP = 3.3, assumed 3.5 Ton</t>
  </si>
  <si>
    <t>EER = 11.5, COP = 3.3, assumed 3.5 Ton</t>
  </si>
  <si>
    <t>EER = 11, COP = 3.25, assumed 3.5 Ton, economizer, CO2 sensor</t>
  </si>
  <si>
    <t>EER = 11.5, COP = 3.25, assumed 3.5 Ton, economizer, CO2 sensor</t>
  </si>
  <si>
    <t>Assumed Unit Size (Tons)</t>
  </si>
  <si>
    <t>IMC Assumptions</t>
  </si>
  <si>
    <t>Assumed Labor Cost ($/hr)*</t>
  </si>
  <si>
    <t>* RS MEANS 2017 - Union Shop</t>
  </si>
  <si>
    <t>Economizer**</t>
  </si>
  <si>
    <t>** Average of Cost Provided ($1,200 &amp; $1,600)</t>
  </si>
  <si>
    <t>Model Variation</t>
  </si>
  <si>
    <t>T6</t>
  </si>
  <si>
    <t>T5</t>
  </si>
  <si>
    <t>T4</t>
  </si>
  <si>
    <t>T3</t>
  </si>
  <si>
    <t>T2</t>
  </si>
  <si>
    <t>T1</t>
  </si>
  <si>
    <t>Installed IMC ($/ton)</t>
  </si>
  <si>
    <t>Controls - AvG Cost Premium (MFG A &amp; B)</t>
  </si>
  <si>
    <t>Installation Type</t>
  </si>
  <si>
    <t>Full and Incremental Costs</t>
  </si>
  <si>
    <t>Full Measure Cost</t>
  </si>
  <si>
    <t>1st Baseline</t>
  </si>
  <si>
    <t>2nd Baseline</t>
  </si>
  <si>
    <t>Full and Incremental Cost Equations</t>
  </si>
  <si>
    <t>Incremental Measure Cost</t>
  </si>
  <si>
    <t>ROB</t>
  </si>
  <si>
    <t>Measure Option</t>
  </si>
  <si>
    <t>RET</t>
  </si>
  <si>
    <t>(MEC + MLC) - (BEC +BLC)</t>
  </si>
  <si>
    <t>N/A</t>
  </si>
  <si>
    <t>MEC + MLC</t>
  </si>
  <si>
    <t>MEC = Measure Equipment Cost; MLC = Measure Labor Cost</t>
  </si>
  <si>
    <t>BEC = Base Case Equipment Cost; BLC = Base Case Labor Cost</t>
  </si>
  <si>
    <t>11.00 EER, 3.25 COP</t>
  </si>
  <si>
    <t>11.00 EER, 3.25 COP, econ &amp; DCV</t>
  </si>
  <si>
    <t>11.50 EER, 3.25 COP, econ &amp; DCV</t>
  </si>
  <si>
    <t>10.00 EER, 3.00 COP</t>
  </si>
  <si>
    <t>10.00 EER, 3.00 COP, econ &amp; DCV</t>
  </si>
  <si>
    <t>BEC</t>
  </si>
  <si>
    <t>BLC</t>
  </si>
  <si>
    <t>MEC</t>
  </si>
  <si>
    <t>MLC</t>
  </si>
  <si>
    <t>Labor Cost ($)</t>
  </si>
  <si>
    <t>Equipment Cost ($)</t>
  </si>
  <si>
    <t>SPVHP install</t>
  </si>
  <si>
    <t>DCV install</t>
  </si>
  <si>
    <t>Labor Hours:</t>
  </si>
  <si>
    <t>Install sensor</t>
  </si>
  <si>
    <t>Measure and set min/max ventilation + functional test</t>
  </si>
  <si>
    <t>(DCV labor estimates based on Work Paper SCE13HC061 and judgement)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</si>
</sst>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Tahoma"/>
      <family val="2"/>
    </font>
    <font>
      <sz val="10"/>
      <color theme="1"/>
      <name val="Arial"/>
      <family val="2"/>
    </font>
    <font>
      <sz val="10"/>
      <color rgb="FF000000"/>
      <name val="Segoe U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Border="1"/>
    <xf numFmtId="0" fontId="1" fillId="0" borderId="0" xfId="0" applyFont="1" applyFill="1" applyBorder="1" applyAlignment="1">
      <alignment vertical="center"/>
    </xf>
    <xf numFmtId="44" fontId="0" fillId="0" borderId="0" xfId="1" applyFont="1"/>
    <xf numFmtId="0" fontId="0" fillId="0" borderId="13" xfId="0" applyBorder="1"/>
    <xf numFmtId="0" fontId="2" fillId="0" borderId="0" xfId="0" applyFont="1"/>
    <xf numFmtId="44" fontId="0" fillId="0" borderId="0" xfId="0" applyNumberFormat="1"/>
    <xf numFmtId="0" fontId="0" fillId="0" borderId="0" xfId="0" quotePrefix="1"/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2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/>
    </xf>
    <xf numFmtId="164" fontId="0" fillId="0" borderId="16" xfId="0" applyNumberForma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164" fontId="0" fillId="2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164" fontId="0" fillId="3" borderId="9" xfId="0" applyNumberFormat="1" applyFill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3" fontId="0" fillId="3" borderId="11" xfId="0" applyNumberForma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164" fontId="0" fillId="3" borderId="11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0" fontId="1" fillId="0" borderId="0" xfId="0" applyFont="1"/>
    <xf numFmtId="0" fontId="2" fillId="0" borderId="3" xfId="0" applyFont="1" applyBorder="1"/>
    <xf numFmtId="0" fontId="0" fillId="0" borderId="4" xfId="0" applyBorder="1"/>
    <xf numFmtId="0" fontId="0" fillId="0" borderId="5" xfId="0" applyBorder="1"/>
    <xf numFmtId="0" fontId="6" fillId="0" borderId="0" xfId="0" applyNumberFormat="1" applyFont="1" applyFill="1" applyBorder="1" applyAlignment="1" applyProtection="1">
      <alignment horizontal="left"/>
    </xf>
    <xf numFmtId="0" fontId="6" fillId="0" borderId="18" xfId="0" applyNumberFormat="1" applyFont="1" applyFill="1" applyBorder="1" applyAlignment="1" applyProtection="1">
      <alignment horizontal="center" vertical="center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6" fillId="0" borderId="21" xfId="0" applyNumberFormat="1" applyFont="1" applyFill="1" applyBorder="1" applyAlignment="1" applyProtection="1">
      <alignment horizontal="center" vertical="center"/>
    </xf>
    <xf numFmtId="166" fontId="6" fillId="0" borderId="16" xfId="0" applyNumberFormat="1" applyFont="1" applyFill="1" applyBorder="1" applyAlignment="1" applyProtection="1">
      <alignment horizontal="center" vertical="center" wrapText="1"/>
    </xf>
    <xf numFmtId="166" fontId="6" fillId="0" borderId="22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166" fontId="6" fillId="0" borderId="11" xfId="0" applyNumberFormat="1" applyFont="1" applyFill="1" applyBorder="1" applyAlignment="1" applyProtection="1">
      <alignment horizontal="center" vertical="center" wrapText="1"/>
    </xf>
    <xf numFmtId="166" fontId="6" fillId="0" borderId="12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/>
    </xf>
    <xf numFmtId="0" fontId="6" fillId="4" borderId="9" xfId="0" applyNumberFormat="1" applyFont="1" applyFill="1" applyBorder="1" applyAlignment="1" applyProtection="1">
      <alignment horizontal="left" vertical="top" wrapText="1"/>
    </xf>
    <xf numFmtId="0" fontId="6" fillId="4" borderId="9" xfId="0" applyNumberFormat="1" applyFont="1" applyFill="1" applyBorder="1" applyAlignment="1" applyProtection="1">
      <alignment horizontal="left"/>
    </xf>
    <xf numFmtId="0" fontId="6" fillId="5" borderId="9" xfId="0" applyNumberFormat="1" applyFont="1" applyFill="1" applyBorder="1" applyAlignment="1" applyProtection="1">
      <alignment horizontal="left" vertical="top" wrapText="1"/>
    </xf>
    <xf numFmtId="0" fontId="6" fillId="4" borderId="23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center" wrapText="1"/>
    </xf>
    <xf numFmtId="49" fontId="7" fillId="0" borderId="9" xfId="0" applyNumberFormat="1" applyFont="1" applyFill="1" applyBorder="1" applyAlignment="1" applyProtection="1">
      <alignment horizontal="left"/>
    </xf>
    <xf numFmtId="0" fontId="7" fillId="0" borderId="9" xfId="0" applyNumberFormat="1" applyFont="1" applyFill="1" applyBorder="1" applyAlignment="1" applyProtection="1">
      <alignment wrapText="1"/>
    </xf>
    <xf numFmtId="44" fontId="7" fillId="0" borderId="9" xfId="0" applyNumberFormat="1" applyFont="1" applyFill="1" applyBorder="1" applyAlignment="1" applyProtection="1">
      <alignment horizontal="right"/>
    </xf>
    <xf numFmtId="44" fontId="7" fillId="5" borderId="9" xfId="0" applyNumberFormat="1" applyFont="1" applyFill="1" applyBorder="1" applyAlignment="1" applyProtection="1">
      <alignment horizontal="right" vertical="center"/>
    </xf>
    <xf numFmtId="44" fontId="7" fillId="5" borderId="9" xfId="0" applyNumberFormat="1" applyFont="1" applyFill="1" applyBorder="1" applyAlignment="1" applyProtection="1">
      <alignment horizontal="right"/>
    </xf>
    <xf numFmtId="0" fontId="7" fillId="0" borderId="23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horizontal="left" wrapText="1"/>
    </xf>
    <xf numFmtId="44" fontId="6" fillId="0" borderId="0" xfId="0" applyNumberFormat="1" applyFont="1" applyFill="1" applyBorder="1" applyAlignment="1" applyProtection="1">
      <alignment horizontal="right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9" xfId="0" applyBorder="1"/>
    <xf numFmtId="0" fontId="0" fillId="0" borderId="16" xfId="0" applyBorder="1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4" fontId="0" fillId="0" borderId="0" xfId="0" applyNumberFormat="1"/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7" xfId="0" applyBorder="1"/>
    <xf numFmtId="0" fontId="0" fillId="0" borderId="11" xfId="0" applyBorder="1"/>
    <xf numFmtId="0" fontId="0" fillId="0" borderId="23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164" fontId="0" fillId="0" borderId="8" xfId="0" applyNumberFormat="1" applyBorder="1"/>
    <xf numFmtId="164" fontId="0" fillId="0" borderId="2" xfId="0" applyNumberFormat="1" applyBorder="1"/>
    <xf numFmtId="164" fontId="0" fillId="0" borderId="12" xfId="0" applyNumberFormat="1" applyBorder="1"/>
    <xf numFmtId="0" fontId="0" fillId="0" borderId="2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164" fontId="0" fillId="0" borderId="22" xfId="0" applyNumberFormat="1" applyBorder="1"/>
    <xf numFmtId="0" fontId="1" fillId="0" borderId="1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19" xfId="0" applyFont="1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Continuous" vertical="center"/>
    </xf>
    <xf numFmtId="0" fontId="0" fillId="2" borderId="11" xfId="0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Continuous" vertical="center"/>
    </xf>
    <xf numFmtId="164" fontId="0" fillId="3" borderId="11" xfId="0" applyNumberFormat="1" applyFill="1" applyBorder="1" applyAlignment="1">
      <alignment horizontal="centerContinuous" vertical="center"/>
    </xf>
    <xf numFmtId="165" fontId="0" fillId="0" borderId="9" xfId="1" applyNumberFormat="1" applyFont="1" applyBorder="1"/>
    <xf numFmtId="44" fontId="0" fillId="0" borderId="9" xfId="0" applyNumberFormat="1" applyBorder="1"/>
    <xf numFmtId="0" fontId="0" fillId="0" borderId="6" xfId="0" applyBorder="1"/>
    <xf numFmtId="165" fontId="0" fillId="0" borderId="7" xfId="1" applyNumberFormat="1" applyFont="1" applyBorder="1"/>
    <xf numFmtId="0" fontId="0" fillId="0" borderId="10" xfId="0" applyBorder="1"/>
    <xf numFmtId="165" fontId="0" fillId="0" borderId="11" xfId="1" applyNumberFormat="1" applyFont="1" applyBorder="1"/>
    <xf numFmtId="0" fontId="0" fillId="0" borderId="14" xfId="0" applyBorder="1"/>
    <xf numFmtId="165" fontId="0" fillId="0" borderId="16" xfId="1" applyNumberFormat="1" applyFont="1" applyBorder="1"/>
    <xf numFmtId="0" fontId="0" fillId="0" borderId="18" xfId="0" applyBorder="1"/>
    <xf numFmtId="0" fontId="1" fillId="0" borderId="19" xfId="0" applyFont="1" applyFill="1" applyBorder="1" applyAlignment="1">
      <alignment vertical="center"/>
    </xf>
    <xf numFmtId="0" fontId="0" fillId="0" borderId="21" xfId="0" applyBorder="1"/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164" fontId="0" fillId="2" borderId="9" xfId="0" applyNumberFormat="1" applyFill="1" applyBorder="1" applyAlignment="1">
      <alignment horizontal="centerContinuous" vertical="center" wrapText="1"/>
    </xf>
    <xf numFmtId="164" fontId="0" fillId="3" borderId="7" xfId="0" applyNumberFormat="1" applyFill="1" applyBorder="1" applyAlignment="1">
      <alignment horizontal="centerContinuous" vertical="center" wrapText="1"/>
    </xf>
    <xf numFmtId="164" fontId="0" fillId="3" borderId="11" xfId="0" applyNumberFormat="1" applyFill="1" applyBorder="1" applyAlignment="1">
      <alignment horizontal="centerContinuous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Continuous" vertical="center" wrapText="1"/>
    </xf>
    <xf numFmtId="164" fontId="0" fillId="2" borderId="7" xfId="0" applyNumberFormat="1" applyFill="1" applyBorder="1" applyAlignment="1">
      <alignment horizontal="centerContinuous" vertical="center"/>
    </xf>
    <xf numFmtId="164" fontId="0" fillId="0" borderId="16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Continuous" vertical="center" wrapText="1"/>
    </xf>
    <xf numFmtId="164" fontId="0" fillId="2" borderId="11" xfId="0" applyNumberFormat="1" applyFill="1" applyBorder="1" applyAlignment="1">
      <alignment horizontal="centerContinuous" vertical="center"/>
    </xf>
    <xf numFmtId="164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24" xfId="0" applyNumberForma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1" fillId="0" borderId="29" xfId="0" applyFont="1" applyFill="1" applyBorder="1" applyAlignment="1">
      <alignment vertical="center"/>
    </xf>
    <xf numFmtId="44" fontId="0" fillId="0" borderId="28" xfId="0" applyNumberFormat="1" applyBorder="1"/>
    <xf numFmtId="44" fontId="0" fillId="0" borderId="23" xfId="0" applyNumberFormat="1" applyBorder="1"/>
    <xf numFmtId="44" fontId="0" fillId="0" borderId="26" xfId="0" applyNumberFormat="1" applyBorder="1"/>
    <xf numFmtId="44" fontId="0" fillId="0" borderId="25" xfId="0" applyNumberFormat="1" applyBorder="1"/>
    <xf numFmtId="44" fontId="0" fillId="0" borderId="27" xfId="0" applyNumberFormat="1" applyBorder="1"/>
    <xf numFmtId="166" fontId="0" fillId="0" borderId="8" xfId="0" applyNumberFormat="1" applyBorder="1"/>
    <xf numFmtId="166" fontId="0" fillId="0" borderId="12" xfId="0" applyNumberFormat="1" applyBorder="1"/>
    <xf numFmtId="166" fontId="0" fillId="0" borderId="2" xfId="0" applyNumberFormat="1" applyBorder="1"/>
    <xf numFmtId="165" fontId="0" fillId="0" borderId="24" xfId="1" applyNumberFormat="1" applyFont="1" applyBorder="1"/>
    <xf numFmtId="166" fontId="0" fillId="0" borderId="22" xfId="0" applyNumberFormat="1" applyBorder="1"/>
    <xf numFmtId="164" fontId="0" fillId="0" borderId="1" xfId="0" applyNumberFormat="1" applyBorder="1"/>
    <xf numFmtId="164" fontId="0" fillId="0" borderId="13" xfId="0" applyNumberFormat="1" applyBorder="1"/>
    <xf numFmtId="166" fontId="0" fillId="0" borderId="15" xfId="0" applyNumberFormat="1" applyBorder="1"/>
    <xf numFmtId="164" fontId="0" fillId="0" borderId="6" xfId="0" applyNumberFormat="1" applyBorder="1"/>
    <xf numFmtId="164" fontId="0" fillId="0" borderId="10" xfId="0" applyNumberFormat="1" applyBorder="1"/>
    <xf numFmtId="164" fontId="0" fillId="0" borderId="21" xfId="0" applyNumberFormat="1" applyBorder="1"/>
    <xf numFmtId="0" fontId="0" fillId="0" borderId="9" xfId="0" applyBorder="1" applyAlignment="1">
      <alignment horizontal="center" wrapText="1"/>
    </xf>
    <xf numFmtId="0" fontId="0" fillId="2" borderId="32" xfId="0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165" fontId="0" fillId="0" borderId="9" xfId="0" applyNumberFormat="1" applyBorder="1"/>
    <xf numFmtId="0" fontId="4" fillId="0" borderId="9" xfId="0" applyFont="1" applyBorder="1"/>
    <xf numFmtId="165" fontId="5" fillId="0" borderId="9" xfId="0" applyNumberFormat="1" applyFont="1" applyBorder="1"/>
    <xf numFmtId="165" fontId="0" fillId="0" borderId="16" xfId="0" applyNumberFormat="1" applyBorder="1"/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4" xfId="0" applyFill="1" applyBorder="1" applyAlignment="1"/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9" xfId="0" applyFont="1" applyBorder="1" applyAlignment="1">
      <alignment vertical="top"/>
    </xf>
    <xf numFmtId="0" fontId="13" fillId="0" borderId="9" xfId="0" applyFont="1" applyBorder="1" applyAlignment="1">
      <alignment vertical="top" wrapText="1"/>
    </xf>
    <xf numFmtId="0" fontId="12" fillId="0" borderId="41" xfId="0" applyFont="1" applyBorder="1" applyAlignment="1">
      <alignment vertical="top"/>
    </xf>
    <xf numFmtId="166" fontId="13" fillId="0" borderId="9" xfId="0" applyNumberFormat="1" applyFont="1" applyBorder="1" applyAlignment="1">
      <alignment vertical="top" wrapText="1"/>
    </xf>
    <xf numFmtId="166" fontId="13" fillId="0" borderId="9" xfId="1" applyNumberFormat="1" applyFont="1" applyBorder="1" applyAlignment="1">
      <alignment vertical="top"/>
    </xf>
    <xf numFmtId="166" fontId="13" fillId="0" borderId="9" xfId="0" applyNumberFormat="1" applyFont="1" applyBorder="1" applyAlignment="1">
      <alignment vertical="top"/>
    </xf>
    <xf numFmtId="164" fontId="0" fillId="0" borderId="7" xfId="0" applyNumberFormat="1" applyBorder="1"/>
    <xf numFmtId="164" fontId="0" fillId="0" borderId="25" xfId="0" applyNumberFormat="1" applyBorder="1"/>
    <xf numFmtId="164" fontId="0" fillId="0" borderId="9" xfId="0" applyNumberFormat="1" applyBorder="1"/>
    <xf numFmtId="164" fontId="0" fillId="0" borderId="23" xfId="0" applyNumberFormat="1" applyBorder="1"/>
    <xf numFmtId="164" fontId="0" fillId="0" borderId="11" xfId="0" applyNumberFormat="1" applyBorder="1"/>
    <xf numFmtId="164" fontId="0" fillId="0" borderId="27" xfId="0" applyNumberFormat="1" applyBorder="1"/>
    <xf numFmtId="0" fontId="0" fillId="0" borderId="0" xfId="0" applyAlignment="1">
      <alignment horizontal="right"/>
    </xf>
    <xf numFmtId="0" fontId="0" fillId="0" borderId="6" xfId="0" applyFill="1" applyBorder="1" applyAlignment="1">
      <alignment horizontal="center" vertical="center" wrapText="1"/>
    </xf>
    <xf numFmtId="165" fontId="0" fillId="0" borderId="7" xfId="0" applyNumberFormat="1" applyBorder="1"/>
    <xf numFmtId="44" fontId="0" fillId="0" borderId="7" xfId="0" applyNumberFormat="1" applyBorder="1"/>
    <xf numFmtId="165" fontId="0" fillId="0" borderId="8" xfId="0" applyNumberFormat="1" applyBorder="1"/>
    <xf numFmtId="165" fontId="0" fillId="0" borderId="2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5" fillId="0" borderId="11" xfId="0" applyNumberFormat="1" applyFont="1" applyBorder="1"/>
    <xf numFmtId="165" fontId="0" fillId="0" borderId="42" xfId="0" applyNumberFormat="1" applyBorder="1"/>
    <xf numFmtId="44" fontId="0" fillId="0" borderId="11" xfId="0" applyNumberFormat="1" applyBorder="1"/>
    <xf numFmtId="165" fontId="0" fillId="0" borderId="12" xfId="0" applyNumberFormat="1" applyBorder="1"/>
    <xf numFmtId="0" fontId="12" fillId="6" borderId="9" xfId="0" applyFont="1" applyFill="1" applyBorder="1" applyAlignment="1">
      <alignment vertical="top" wrapText="1"/>
    </xf>
    <xf numFmtId="0" fontId="12" fillId="6" borderId="9" xfId="0" applyFont="1" applyFill="1" applyBorder="1" applyAlignment="1">
      <alignment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43</xdr:row>
      <xdr:rowOff>0</xdr:rowOff>
    </xdr:from>
    <xdr:to>
      <xdr:col>26</xdr:col>
      <xdr:colOff>119718</xdr:colOff>
      <xdr:row>86</xdr:row>
      <xdr:rowOff>91074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A9DCE77-E8BA-44DD-B8FB-309969C7F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91550" y="8658225"/>
          <a:ext cx="7434918" cy="8282574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0</xdr:row>
      <xdr:rowOff>0</xdr:rowOff>
    </xdr:from>
    <xdr:to>
      <xdr:col>26</xdr:col>
      <xdr:colOff>113371</xdr:colOff>
      <xdr:row>42</xdr:row>
      <xdr:rowOff>68819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E0D3340-E171-4BA3-A1D0-CD74CC672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91550" y="0"/>
          <a:ext cx="7428571" cy="8536544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28</xdr:col>
      <xdr:colOff>161925</xdr:colOff>
      <xdr:row>93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653CC14C-46C7-422A-9FFA-AE59DBF72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1550" y="17230725"/>
          <a:ext cx="869632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336550</xdr:colOff>
      <xdr:row>0</xdr:row>
      <xdr:rowOff>0</xdr:rowOff>
    </xdr:from>
    <xdr:to>
      <xdr:col>26</xdr:col>
      <xdr:colOff>430798</xdr:colOff>
      <xdr:row>30</xdr:row>
      <xdr:rowOff>129414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5363FEA-87E2-40C4-9570-9C620672B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61350" y="0"/>
          <a:ext cx="8019048" cy="6085714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37</xdr:col>
      <xdr:colOff>428625</xdr:colOff>
      <xdr:row>36</xdr:row>
      <xdr:rowOff>180975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4C732897-4CF3-4C34-B787-BAE25D3A5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6353175"/>
          <a:ext cx="1444942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/>
  </sheetViews>
  <sheetFormatPr defaultRowHeight="15" x14ac:dyDescent="0.25"/>
  <cols>
    <col min="1" max="1" width="13.28515625" style="202" customWidth="1"/>
    <col min="2" max="2" width="26.7109375" style="202" customWidth="1"/>
    <col min="3" max="3" width="26.7109375" style="201" customWidth="1"/>
    <col min="4" max="5" width="26.7109375" style="202" customWidth="1"/>
    <col min="6" max="6" width="9.140625" style="202" customWidth="1"/>
    <col min="7" max="16384" width="9.140625" style="202"/>
  </cols>
  <sheetData>
    <row r="1" spans="1:9" x14ac:dyDescent="0.25">
      <c r="A1" s="200" t="s">
        <v>133</v>
      </c>
      <c r="B1" s="200"/>
    </row>
    <row r="2" spans="1:9" s="203" customFormat="1" ht="12.75" x14ac:dyDescent="0.25">
      <c r="A2" s="230" t="s">
        <v>128</v>
      </c>
      <c r="B2" s="231" t="s">
        <v>134</v>
      </c>
      <c r="C2" s="231" t="s">
        <v>130</v>
      </c>
      <c r="D2" s="231"/>
    </row>
    <row r="3" spans="1:9" s="204" customFormat="1" ht="12.75" x14ac:dyDescent="0.25">
      <c r="A3" s="230"/>
      <c r="B3" s="231"/>
      <c r="C3" s="206" t="s">
        <v>131</v>
      </c>
      <c r="D3" s="206" t="s">
        <v>132</v>
      </c>
    </row>
    <row r="4" spans="1:9" s="204" customFormat="1" ht="12.75" x14ac:dyDescent="0.25">
      <c r="A4" s="207" t="s">
        <v>135</v>
      </c>
      <c r="B4" s="206" t="s">
        <v>138</v>
      </c>
      <c r="C4" s="206" t="s">
        <v>138</v>
      </c>
      <c r="D4" s="206" t="s">
        <v>139</v>
      </c>
    </row>
    <row r="5" spans="1:9" s="204" customFormat="1" ht="12.75" x14ac:dyDescent="0.25">
      <c r="A5" s="207" t="s">
        <v>137</v>
      </c>
      <c r="B5" s="206" t="s">
        <v>138</v>
      </c>
      <c r="C5" s="206" t="s">
        <v>140</v>
      </c>
      <c r="D5" s="206" t="s">
        <v>138</v>
      </c>
    </row>
    <row r="6" spans="1:9" s="204" customFormat="1" ht="12.75" x14ac:dyDescent="0.25">
      <c r="A6" s="204" t="s">
        <v>141</v>
      </c>
    </row>
    <row r="7" spans="1:9" s="204" customFormat="1" ht="12.75" x14ac:dyDescent="0.25">
      <c r="A7" s="204" t="s">
        <v>142</v>
      </c>
    </row>
    <row r="8" spans="1:9" s="204" customFormat="1" ht="12.75" x14ac:dyDescent="0.25">
      <c r="C8" s="205"/>
    </row>
    <row r="9" spans="1:9" x14ac:dyDescent="0.25">
      <c r="A9" s="200" t="s">
        <v>129</v>
      </c>
      <c r="B9" s="200"/>
    </row>
    <row r="10" spans="1:9" s="203" customFormat="1" ht="12.75" x14ac:dyDescent="0.25">
      <c r="A10" s="230" t="s">
        <v>128</v>
      </c>
      <c r="B10" s="230" t="s">
        <v>136</v>
      </c>
      <c r="C10" s="231" t="s">
        <v>134</v>
      </c>
      <c r="D10" s="231" t="s">
        <v>130</v>
      </c>
      <c r="E10" s="231"/>
      <c r="F10" s="208"/>
    </row>
    <row r="11" spans="1:9" s="204" customFormat="1" ht="12.75" x14ac:dyDescent="0.25">
      <c r="A11" s="230"/>
      <c r="B11" s="230"/>
      <c r="C11" s="231"/>
      <c r="D11" s="206" t="s">
        <v>131</v>
      </c>
      <c r="E11" s="206" t="s">
        <v>132</v>
      </c>
      <c r="F11" s="203" t="s">
        <v>148</v>
      </c>
      <c r="G11" s="203" t="s">
        <v>149</v>
      </c>
      <c r="H11" s="203" t="s">
        <v>150</v>
      </c>
      <c r="I11" s="203" t="s">
        <v>151</v>
      </c>
    </row>
    <row r="12" spans="1:9" s="204" customFormat="1" ht="12.75" x14ac:dyDescent="0.25">
      <c r="A12" s="207" t="s">
        <v>135</v>
      </c>
      <c r="B12" s="206" t="s">
        <v>143</v>
      </c>
      <c r="C12" s="209">
        <f>D12</f>
        <v>794.44714285714269</v>
      </c>
      <c r="D12" s="210">
        <f>((H12+I12)-(F12+G12))/3.5</f>
        <v>794.44714285714269</v>
      </c>
      <c r="E12" s="211" t="s">
        <v>139</v>
      </c>
      <c r="F12" s="204">
        <f>'cost calculations'!$D$12</f>
        <v>3993.5066666666667</v>
      </c>
      <c r="G12" s="204">
        <f>'cost calculations'!$E$12</f>
        <v>875.14604710919275</v>
      </c>
      <c r="H12" s="204">
        <f>'cost calculations'!D13</f>
        <v>6774.0716666666667</v>
      </c>
      <c r="I12" s="204">
        <f>'cost calculations'!E13</f>
        <v>875.14604710919275</v>
      </c>
    </row>
    <row r="13" spans="1:9" s="204" customFormat="1" ht="12.75" x14ac:dyDescent="0.25">
      <c r="A13" s="207" t="s">
        <v>135</v>
      </c>
      <c r="B13" s="206" t="s">
        <v>144</v>
      </c>
      <c r="C13" s="209">
        <f>D13</f>
        <v>1257.7194795554187</v>
      </c>
      <c r="D13" s="210">
        <f t="shared" ref="D13:D14" si="0">((H13+I13)-(F13+G13))/3.5</f>
        <v>1257.7194795554187</v>
      </c>
      <c r="E13" s="211" t="s">
        <v>139</v>
      </c>
      <c r="F13" s="204">
        <f>'cost calculations'!$D$12</f>
        <v>3993.5066666666667</v>
      </c>
      <c r="G13" s="204">
        <f>'cost calculations'!$E$12</f>
        <v>875.14604710919275</v>
      </c>
      <c r="H13" s="204">
        <f>'cost calculations'!D16</f>
        <v>8176.7383333333337</v>
      </c>
      <c r="I13" s="204">
        <f>'cost calculations'!E16</f>
        <v>1093.9325588864908</v>
      </c>
    </row>
    <row r="14" spans="1:9" s="204" customFormat="1" ht="12.75" x14ac:dyDescent="0.25">
      <c r="A14" s="207" t="s">
        <v>135</v>
      </c>
      <c r="B14" s="206" t="s">
        <v>145</v>
      </c>
      <c r="C14" s="209">
        <f>D14</f>
        <v>1188.2804319363711</v>
      </c>
      <c r="D14" s="210">
        <f t="shared" si="0"/>
        <v>1188.2804319363711</v>
      </c>
      <c r="E14" s="211" t="s">
        <v>139</v>
      </c>
      <c r="F14" s="204">
        <f>'cost calculations'!$D$12</f>
        <v>3993.5066666666667</v>
      </c>
      <c r="G14" s="204">
        <f>'cost calculations'!$E$12</f>
        <v>875.14604710919275</v>
      </c>
      <c r="H14" s="204">
        <f>'cost calculations'!D17</f>
        <v>7933.7016666666668</v>
      </c>
      <c r="I14" s="204">
        <f>'cost calculations'!E17</f>
        <v>1093.9325588864908</v>
      </c>
    </row>
    <row r="15" spans="1:9" s="204" customFormat="1" ht="12.75" x14ac:dyDescent="0.25">
      <c r="A15" s="207" t="s">
        <v>137</v>
      </c>
      <c r="B15" s="206" t="s">
        <v>146</v>
      </c>
      <c r="C15" s="209">
        <f>E15</f>
        <v>0</v>
      </c>
      <c r="D15" s="209">
        <f>(H15+I15)/3.5</f>
        <v>1391.0436325073883</v>
      </c>
      <c r="E15" s="209">
        <f>((H15+I15)-(F15+G15))/3.5</f>
        <v>0</v>
      </c>
      <c r="F15" s="204">
        <f>'cost calculations'!$D$12</f>
        <v>3993.5066666666667</v>
      </c>
      <c r="G15" s="204">
        <f>'cost calculations'!$E$12</f>
        <v>875.14604710919275</v>
      </c>
      <c r="H15" s="204">
        <f>'cost calculations'!$D$12</f>
        <v>3993.5066666666667</v>
      </c>
      <c r="I15" s="204">
        <f>'cost calculations'!$E$12</f>
        <v>875.14604710919275</v>
      </c>
    </row>
    <row r="16" spans="1:9" s="204" customFormat="1" ht="12.75" x14ac:dyDescent="0.25">
      <c r="A16" s="207" t="s">
        <v>137</v>
      </c>
      <c r="B16" s="206" t="s">
        <v>147</v>
      </c>
      <c r="C16" s="209">
        <f t="shared" ref="C16:C18" si="1">E16</f>
        <v>463.27233669827575</v>
      </c>
      <c r="D16" s="209">
        <f t="shared" ref="D16:D18" si="2">(H16+I16)/3.5</f>
        <v>1854.315969205664</v>
      </c>
      <c r="E16" s="209">
        <f t="shared" ref="E16:E18" si="3">((H16+I16)-(F16+G16))/3.5</f>
        <v>463.27233669827575</v>
      </c>
      <c r="F16" s="204">
        <f>'cost calculations'!$D$12</f>
        <v>3993.5066666666667</v>
      </c>
      <c r="G16" s="204">
        <f>'cost calculations'!$E$12</f>
        <v>875.14604710919275</v>
      </c>
      <c r="H16" s="204">
        <f>'cost calculations'!D15</f>
        <v>5396.1733333333332</v>
      </c>
      <c r="I16" s="204">
        <f>'cost calculations'!E15</f>
        <v>1093.9325588864908</v>
      </c>
    </row>
    <row r="17" spans="1:9" s="204" customFormat="1" ht="12.75" x14ac:dyDescent="0.25">
      <c r="A17" s="207" t="s">
        <v>137</v>
      </c>
      <c r="B17" s="206" t="s">
        <v>144</v>
      </c>
      <c r="C17" s="209">
        <f t="shared" si="1"/>
        <v>1257.7194795554187</v>
      </c>
      <c r="D17" s="209">
        <f t="shared" si="2"/>
        <v>2648.7631120628071</v>
      </c>
      <c r="E17" s="209">
        <f t="shared" si="3"/>
        <v>1257.7194795554187</v>
      </c>
      <c r="F17" s="204">
        <f>'cost calculations'!$D$12</f>
        <v>3993.5066666666667</v>
      </c>
      <c r="G17" s="204">
        <f>'cost calculations'!$E$12</f>
        <v>875.14604710919275</v>
      </c>
      <c r="H17" s="204">
        <f>'cost calculations'!D16</f>
        <v>8176.7383333333337</v>
      </c>
      <c r="I17" s="204">
        <f>'cost calculations'!E16</f>
        <v>1093.9325588864908</v>
      </c>
    </row>
    <row r="18" spans="1:9" s="204" customFormat="1" ht="12.75" x14ac:dyDescent="0.25">
      <c r="A18" s="207" t="s">
        <v>137</v>
      </c>
      <c r="B18" s="206" t="s">
        <v>145</v>
      </c>
      <c r="C18" s="209">
        <f t="shared" si="1"/>
        <v>1188.2804319363711</v>
      </c>
      <c r="D18" s="209">
        <f t="shared" si="2"/>
        <v>2579.3240644437597</v>
      </c>
      <c r="E18" s="209">
        <f t="shared" si="3"/>
        <v>1188.2804319363711</v>
      </c>
      <c r="F18" s="204">
        <f>'cost calculations'!$D$12</f>
        <v>3993.5066666666667</v>
      </c>
      <c r="G18" s="204">
        <f>'cost calculations'!$E$12</f>
        <v>875.14604710919275</v>
      </c>
      <c r="H18" s="204">
        <f>'cost calculations'!D17</f>
        <v>7933.7016666666668</v>
      </c>
      <c r="I18" s="204">
        <f>'cost calculations'!E17</f>
        <v>1093.9325588864908</v>
      </c>
    </row>
  </sheetData>
  <mergeCells count="7">
    <mergeCell ref="A2:A3"/>
    <mergeCell ref="B2:B3"/>
    <mergeCell ref="C2:D2"/>
    <mergeCell ref="A10:A11"/>
    <mergeCell ref="B10:B11"/>
    <mergeCell ref="C10:C11"/>
    <mergeCell ref="D10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="90" zoomScaleNormal="90" workbookViewId="0">
      <selection activeCell="D16" sqref="D16"/>
    </sheetView>
  </sheetViews>
  <sheetFormatPr defaultRowHeight="15" x14ac:dyDescent="0.25"/>
  <cols>
    <col min="1" max="1" width="23.7109375" customWidth="1"/>
    <col min="2" max="2" width="17.28515625" bestFit="1" customWidth="1"/>
    <col min="3" max="3" width="59.28515625" bestFit="1" customWidth="1"/>
    <col min="4" max="4" width="13.140625" bestFit="1" customWidth="1"/>
    <col min="5" max="5" width="13.85546875" customWidth="1"/>
    <col min="6" max="6" width="12.140625" customWidth="1"/>
    <col min="7" max="7" width="13" customWidth="1"/>
    <col min="8" max="8" width="11.140625" customWidth="1"/>
    <col min="9" max="9" width="13" customWidth="1"/>
    <col min="10" max="10" width="17.42578125" customWidth="1"/>
    <col min="11" max="11" width="7.5703125" bestFit="1" customWidth="1"/>
    <col min="12" max="12" width="10.7109375" bestFit="1" customWidth="1"/>
    <col min="14" max="14" width="15.140625" bestFit="1" customWidth="1"/>
    <col min="15" max="15" width="24.42578125" bestFit="1" customWidth="1"/>
    <col min="16" max="16" width="62" bestFit="1" customWidth="1"/>
    <col min="17" max="17" width="14" customWidth="1"/>
    <col min="21" max="21" width="11.140625" customWidth="1"/>
    <col min="22" max="22" width="25.5703125" customWidth="1"/>
  </cols>
  <sheetData>
    <row r="1" spans="1:17" ht="18.75" x14ac:dyDescent="0.3">
      <c r="A1" s="8" t="s">
        <v>90</v>
      </c>
      <c r="F1" s="80"/>
    </row>
    <row r="2" spans="1:17" x14ac:dyDescent="0.25">
      <c r="F2" s="81"/>
    </row>
    <row r="3" spans="1:17" x14ac:dyDescent="0.25">
      <c r="A3" s="49" t="s">
        <v>114</v>
      </c>
      <c r="Q3" s="9">
        <f>B5*8</f>
        <v>875.14604710919275</v>
      </c>
    </row>
    <row r="4" spans="1:17" ht="19.5" customHeight="1" x14ac:dyDescent="0.25">
      <c r="A4" s="176" t="s">
        <v>113</v>
      </c>
      <c r="B4" s="17">
        <v>3.5</v>
      </c>
      <c r="J4" s="5"/>
    </row>
    <row r="5" spans="1:17" ht="30" x14ac:dyDescent="0.25">
      <c r="A5" s="176" t="s">
        <v>115</v>
      </c>
      <c r="B5" s="152">
        <f>'RS MEANS_Pkg HVAC Install'!C4</f>
        <v>109.39325588864909</v>
      </c>
      <c r="H5" s="5"/>
      <c r="I5" s="5"/>
    </row>
    <row r="6" spans="1:17" ht="31.5" customHeight="1" x14ac:dyDescent="0.25">
      <c r="A6" s="176" t="s">
        <v>107</v>
      </c>
      <c r="B6" s="152">
        <f>AVERAGE(1200,1600,400)</f>
        <v>1066.6666666666667</v>
      </c>
      <c r="J6" s="6"/>
    </row>
    <row r="7" spans="1:17" ht="30.95" customHeight="1" x14ac:dyDescent="0.25">
      <c r="A7" s="176" t="s">
        <v>108</v>
      </c>
      <c r="B7" s="152">
        <f>AVERAGE(500,172)</f>
        <v>336</v>
      </c>
      <c r="J7" s="6"/>
    </row>
    <row r="8" spans="1:17" ht="30" x14ac:dyDescent="0.25">
      <c r="A8" s="176" t="s">
        <v>127</v>
      </c>
      <c r="B8" s="152">
        <f>SUM(B6:B7)</f>
        <v>1402.6666666666667</v>
      </c>
      <c r="J8" s="6"/>
    </row>
    <row r="9" spans="1:17" x14ac:dyDescent="0.25">
      <c r="A9" s="199" t="s">
        <v>116</v>
      </c>
    </row>
    <row r="10" spans="1:17" ht="15.75" thickBot="1" x14ac:dyDescent="0.3">
      <c r="A10" s="194"/>
    </row>
    <row r="11" spans="1:17" ht="30.75" thickBot="1" x14ac:dyDescent="0.3">
      <c r="A11" s="192" t="s">
        <v>119</v>
      </c>
      <c r="B11" s="193" t="s">
        <v>119</v>
      </c>
      <c r="C11" s="193" t="s">
        <v>6</v>
      </c>
      <c r="D11" s="197" t="s">
        <v>153</v>
      </c>
      <c r="E11" s="197" t="s">
        <v>152</v>
      </c>
      <c r="F11" s="197" t="s">
        <v>10</v>
      </c>
      <c r="G11" s="197" t="s">
        <v>9</v>
      </c>
      <c r="H11" s="198" t="s">
        <v>126</v>
      </c>
    </row>
    <row r="12" spans="1:17" x14ac:dyDescent="0.25">
      <c r="A12" s="219" t="s">
        <v>125</v>
      </c>
      <c r="B12" s="92" t="s">
        <v>0</v>
      </c>
      <c r="C12" s="92" t="s">
        <v>7</v>
      </c>
      <c r="D12" s="220">
        <f>AVERAGE(E23,E24,E25)</f>
        <v>3993.5066666666667</v>
      </c>
      <c r="E12" s="220">
        <f>'MFG B'!$P$40*$B$5</f>
        <v>875.14604710919275</v>
      </c>
      <c r="F12" s="221">
        <f t="shared" ref="F12:F17" si="0">D12/$B$4</f>
        <v>1141.0019047619048</v>
      </c>
      <c r="G12" s="221">
        <f t="shared" ref="G12:G17" si="1">8*$B$5/3.5</f>
        <v>250.04172774548366</v>
      </c>
      <c r="H12" s="222">
        <f>F12+G12</f>
        <v>1391.0436325073886</v>
      </c>
    </row>
    <row r="13" spans="1:17" x14ac:dyDescent="0.25">
      <c r="A13" s="85" t="s">
        <v>124</v>
      </c>
      <c r="B13" s="82" t="s">
        <v>5</v>
      </c>
      <c r="C13" s="82" t="s">
        <v>109</v>
      </c>
      <c r="D13" s="188">
        <f>AVERAGE(E26:E31)</f>
        <v>6774.0716666666667</v>
      </c>
      <c r="E13" s="191">
        <f>'MFG B'!$P$40*$B$5</f>
        <v>875.14604710919275</v>
      </c>
      <c r="F13" s="118">
        <f t="shared" si="0"/>
        <v>1935.4490476190476</v>
      </c>
      <c r="G13" s="118">
        <f t="shared" si="1"/>
        <v>250.04172774548366</v>
      </c>
      <c r="H13" s="223">
        <f t="shared" ref="H13:H17" si="2">F13+G13</f>
        <v>2185.4907753645311</v>
      </c>
      <c r="J13" s="10"/>
    </row>
    <row r="14" spans="1:17" s="1" customFormat="1" x14ac:dyDescent="0.25">
      <c r="A14" s="224" t="s">
        <v>123</v>
      </c>
      <c r="B14" s="189" t="s">
        <v>5</v>
      </c>
      <c r="C14" s="82" t="s">
        <v>110</v>
      </c>
      <c r="D14" s="188">
        <f>AVERAGE(E32:E33)</f>
        <v>6531.0349999999999</v>
      </c>
      <c r="E14" s="191">
        <f>'MFG B'!$P$40*$B$5</f>
        <v>875.14604710919275</v>
      </c>
      <c r="F14" s="118">
        <f t="shared" si="0"/>
        <v>1866.01</v>
      </c>
      <c r="G14" s="118">
        <f t="shared" si="1"/>
        <v>250.04172774548366</v>
      </c>
      <c r="H14" s="223">
        <f t="shared" si="2"/>
        <v>2116.0517277454837</v>
      </c>
    </row>
    <row r="15" spans="1:17" x14ac:dyDescent="0.25">
      <c r="A15" s="225" t="s">
        <v>122</v>
      </c>
      <c r="B15" s="82" t="s">
        <v>5</v>
      </c>
      <c r="C15" s="82" t="s">
        <v>11</v>
      </c>
      <c r="D15" s="188">
        <f>D12+$B$8</f>
        <v>5396.1733333333332</v>
      </c>
      <c r="E15" s="191">
        <f>('MFG B'!$P$40+'MFG B'!$P$41)*$B$5</f>
        <v>1093.9325588864908</v>
      </c>
      <c r="F15" s="118">
        <f t="shared" si="0"/>
        <v>1541.7638095238094</v>
      </c>
      <c r="G15" s="118">
        <f t="shared" si="1"/>
        <v>250.04172774548366</v>
      </c>
      <c r="H15" s="223">
        <f>F15+G15</f>
        <v>1791.8055372692932</v>
      </c>
      <c r="J15" s="10"/>
    </row>
    <row r="16" spans="1:17" x14ac:dyDescent="0.25">
      <c r="A16" s="85" t="s">
        <v>121</v>
      </c>
      <c r="B16" s="82" t="s">
        <v>5</v>
      </c>
      <c r="C16" s="82" t="s">
        <v>111</v>
      </c>
      <c r="D16" s="190">
        <f>D13+$B$8</f>
        <v>8176.7383333333337</v>
      </c>
      <c r="E16" s="191">
        <f>('MFG B'!$P$40+'MFG B'!$P$41)*$B$5</f>
        <v>1093.9325588864908</v>
      </c>
      <c r="F16" s="118">
        <f t="shared" si="0"/>
        <v>2336.2109523809527</v>
      </c>
      <c r="G16" s="118">
        <f t="shared" si="1"/>
        <v>250.04172774548366</v>
      </c>
      <c r="H16" s="223">
        <f t="shared" si="2"/>
        <v>2586.2526801264362</v>
      </c>
    </row>
    <row r="17" spans="1:20" ht="15.75" thickBot="1" x14ac:dyDescent="0.3">
      <c r="A17" s="86" t="s">
        <v>120</v>
      </c>
      <c r="B17" s="93" t="s">
        <v>5</v>
      </c>
      <c r="C17" s="93" t="s">
        <v>112</v>
      </c>
      <c r="D17" s="226">
        <f>D14+$B$8</f>
        <v>7933.7016666666668</v>
      </c>
      <c r="E17" s="227">
        <f>('MFG B'!$P$40+'MFG B'!$P$41)*$B$5</f>
        <v>1093.9325588864908</v>
      </c>
      <c r="F17" s="228">
        <f t="shared" si="0"/>
        <v>2266.7719047619048</v>
      </c>
      <c r="G17" s="228">
        <f t="shared" si="1"/>
        <v>250.04172774548366</v>
      </c>
      <c r="H17" s="229">
        <f t="shared" si="2"/>
        <v>2516.8136325073883</v>
      </c>
    </row>
    <row r="21" spans="1:20" ht="15.75" thickBot="1" x14ac:dyDescent="0.3"/>
    <row r="22" spans="1:20" ht="30.75" thickBot="1" x14ac:dyDescent="0.3">
      <c r="A22" s="125" t="s">
        <v>103</v>
      </c>
      <c r="B22" s="126" t="s">
        <v>3</v>
      </c>
      <c r="C22" s="126" t="s">
        <v>1</v>
      </c>
      <c r="D22" s="126" t="s">
        <v>2</v>
      </c>
      <c r="E22" s="126" t="s">
        <v>105</v>
      </c>
      <c r="F22" s="159" t="s">
        <v>100</v>
      </c>
      <c r="G22" s="186" t="s">
        <v>106</v>
      </c>
      <c r="H22" s="187" t="s">
        <v>100</v>
      </c>
      <c r="Q22">
        <v>3327.08</v>
      </c>
      <c r="R22" t="e">
        <f>(Q22-#REF!)/3</f>
        <v>#REF!</v>
      </c>
      <c r="S22" s="3" t="e">
        <f>R22/#REF!</f>
        <v>#REF!</v>
      </c>
      <c r="T22">
        <f t="shared" ref="T22:T26" si="3">Q22/7</f>
        <v>475.29714285714283</v>
      </c>
    </row>
    <row r="23" spans="1:20" x14ac:dyDescent="0.25">
      <c r="A23" s="127" t="s">
        <v>98</v>
      </c>
      <c r="B23" s="83" t="s">
        <v>4</v>
      </c>
      <c r="C23" s="83">
        <v>10</v>
      </c>
      <c r="D23" s="83">
        <v>3</v>
      </c>
      <c r="E23" s="124">
        <f t="shared" ref="E23:E33" si="4">F39</f>
        <v>3610.29</v>
      </c>
      <c r="F23" s="160">
        <f>E23/D23</f>
        <v>1203.43</v>
      </c>
      <c r="G23" s="175">
        <f t="shared" ref="G23:G33" si="5">I39</f>
        <v>5510.29</v>
      </c>
      <c r="H23" s="169">
        <f>G23/D23</f>
        <v>1836.7633333333333</v>
      </c>
      <c r="Q23">
        <v>3965.92</v>
      </c>
      <c r="R23" t="e">
        <f>(Q23-#REF!)/3</f>
        <v>#REF!</v>
      </c>
      <c r="S23" s="3" t="e">
        <f>R23/#REF!</f>
        <v>#REF!</v>
      </c>
      <c r="T23">
        <f t="shared" si="3"/>
        <v>566.56000000000006</v>
      </c>
    </row>
    <row r="24" spans="1:20" x14ac:dyDescent="0.25">
      <c r="A24" s="4" t="s">
        <v>98</v>
      </c>
      <c r="B24" s="82" t="s">
        <v>4</v>
      </c>
      <c r="C24" s="82">
        <v>10</v>
      </c>
      <c r="D24" s="82">
        <v>3.5</v>
      </c>
      <c r="E24" s="124">
        <f t="shared" si="4"/>
        <v>4054.02</v>
      </c>
      <c r="F24" s="161">
        <f>E24/D24</f>
        <v>1158.2914285714285</v>
      </c>
      <c r="G24" s="170">
        <f t="shared" si="5"/>
        <v>5954.02</v>
      </c>
      <c r="H24" s="167">
        <f t="shared" ref="H24:H33" si="6">G24/D24</f>
        <v>1701.1485714285716</v>
      </c>
      <c r="Q24" t="e">
        <f>#REF!</f>
        <v>#REF!</v>
      </c>
      <c r="S24" s="3"/>
      <c r="T24" t="e">
        <f t="shared" si="3"/>
        <v>#REF!</v>
      </c>
    </row>
    <row r="25" spans="1:20" ht="15.75" thickBot="1" x14ac:dyDescent="0.3">
      <c r="A25" s="7" t="s">
        <v>98</v>
      </c>
      <c r="B25" s="123" t="s">
        <v>4</v>
      </c>
      <c r="C25" s="123">
        <v>10</v>
      </c>
      <c r="D25" s="123">
        <v>4</v>
      </c>
      <c r="E25" s="168">
        <f t="shared" si="4"/>
        <v>4316.21</v>
      </c>
      <c r="F25" s="162">
        <f>E25/D25</f>
        <v>1079.0525</v>
      </c>
      <c r="G25" s="171">
        <f t="shared" si="5"/>
        <v>6216.21</v>
      </c>
      <c r="H25" s="172">
        <f t="shared" si="6"/>
        <v>1554.0525</v>
      </c>
      <c r="Q25">
        <f t="shared" ref="Q25:Q26" si="7">Q22+AVERAGE(1200,1600,400)+500</f>
        <v>4893.7466666666669</v>
      </c>
      <c r="R25" t="e">
        <f>(Q25-Q24)/3</f>
        <v>#REF!</v>
      </c>
      <c r="S25" s="3" t="e">
        <f>R25/#REF!</f>
        <v>#REF!</v>
      </c>
      <c r="T25">
        <f t="shared" si="3"/>
        <v>699.10666666666668</v>
      </c>
    </row>
    <row r="26" spans="1:20" x14ac:dyDescent="0.25">
      <c r="A26" s="119" t="s">
        <v>98</v>
      </c>
      <c r="B26" s="92" t="s">
        <v>4</v>
      </c>
      <c r="C26" s="92">
        <v>11</v>
      </c>
      <c r="D26" s="92">
        <v>3</v>
      </c>
      <c r="E26" s="120">
        <f t="shared" si="4"/>
        <v>7001.96</v>
      </c>
      <c r="F26" s="163">
        <f t="shared" ref="F26:F33" si="8">E26/D26</f>
        <v>2333.9866666666667</v>
      </c>
      <c r="G26" s="173">
        <f t="shared" si="5"/>
        <v>8901.9599999999991</v>
      </c>
      <c r="H26" s="165">
        <f t="shared" si="6"/>
        <v>2967.3199999999997</v>
      </c>
      <c r="Q26">
        <f t="shared" si="7"/>
        <v>5532.586666666667</v>
      </c>
      <c r="R26" t="e">
        <f>(Q26-Q24)/3</f>
        <v>#REF!</v>
      </c>
      <c r="S26" s="3" t="e">
        <f>R26/#REF!</f>
        <v>#REF!</v>
      </c>
      <c r="T26">
        <f t="shared" si="3"/>
        <v>790.36952380952391</v>
      </c>
    </row>
    <row r="27" spans="1:20" x14ac:dyDescent="0.25">
      <c r="A27" s="4" t="s">
        <v>98</v>
      </c>
      <c r="B27" s="82" t="s">
        <v>4</v>
      </c>
      <c r="C27" s="82">
        <v>11</v>
      </c>
      <c r="D27" s="82">
        <v>3.5</v>
      </c>
      <c r="E27" s="117">
        <f t="shared" si="4"/>
        <v>7128.6299999999992</v>
      </c>
      <c r="F27" s="161">
        <f t="shared" si="8"/>
        <v>2036.7514285714283</v>
      </c>
      <c r="G27" s="170">
        <f t="shared" si="5"/>
        <v>9028.6299999999992</v>
      </c>
      <c r="H27" s="167">
        <f t="shared" si="6"/>
        <v>2579.6085714285714</v>
      </c>
    </row>
    <row r="28" spans="1:20" ht="15.75" thickBot="1" x14ac:dyDescent="0.3">
      <c r="A28" s="121" t="s">
        <v>98</v>
      </c>
      <c r="B28" s="93" t="s">
        <v>4</v>
      </c>
      <c r="C28" s="93">
        <v>11</v>
      </c>
      <c r="D28" s="93">
        <v>4</v>
      </c>
      <c r="E28" s="122">
        <f t="shared" si="4"/>
        <v>7601.77</v>
      </c>
      <c r="F28" s="164">
        <f t="shared" si="8"/>
        <v>1900.4425000000001</v>
      </c>
      <c r="G28" s="174">
        <f t="shared" si="5"/>
        <v>9501.77</v>
      </c>
      <c r="H28" s="166">
        <f t="shared" si="6"/>
        <v>2375.4425000000001</v>
      </c>
    </row>
    <row r="29" spans="1:20" x14ac:dyDescent="0.25">
      <c r="A29" s="127" t="s">
        <v>92</v>
      </c>
      <c r="B29" s="83" t="s">
        <v>4</v>
      </c>
      <c r="C29" s="83">
        <v>11</v>
      </c>
      <c r="D29" s="83">
        <v>3</v>
      </c>
      <c r="E29" s="124">
        <f t="shared" si="4"/>
        <v>5556.9</v>
      </c>
      <c r="F29" s="160">
        <f t="shared" si="8"/>
        <v>1852.3</v>
      </c>
      <c r="G29" s="175">
        <f t="shared" si="5"/>
        <v>6129.3099999999995</v>
      </c>
      <c r="H29" s="169">
        <f t="shared" si="6"/>
        <v>2043.1033333333332</v>
      </c>
    </row>
    <row r="30" spans="1:20" x14ac:dyDescent="0.25">
      <c r="A30" s="4" t="s">
        <v>92</v>
      </c>
      <c r="B30" s="82" t="s">
        <v>4</v>
      </c>
      <c r="C30" s="82">
        <v>11</v>
      </c>
      <c r="D30" s="82">
        <v>3.5</v>
      </c>
      <c r="E30" s="117">
        <f t="shared" si="4"/>
        <v>5729.31</v>
      </c>
      <c r="F30" s="161">
        <f t="shared" si="8"/>
        <v>1636.9457142857143</v>
      </c>
      <c r="G30" s="170">
        <f t="shared" si="5"/>
        <v>6301.72</v>
      </c>
      <c r="H30" s="167">
        <f t="shared" si="6"/>
        <v>1800.4914285714287</v>
      </c>
    </row>
    <row r="31" spans="1:20" ht="15.75" thickBot="1" x14ac:dyDescent="0.3">
      <c r="A31" s="121" t="s">
        <v>92</v>
      </c>
      <c r="B31" s="93" t="s">
        <v>4</v>
      </c>
      <c r="C31" s="93">
        <v>11</v>
      </c>
      <c r="D31" s="93">
        <v>5</v>
      </c>
      <c r="E31" s="122">
        <f t="shared" si="4"/>
        <v>7625.86</v>
      </c>
      <c r="F31" s="164">
        <f t="shared" si="8"/>
        <v>1525.172</v>
      </c>
      <c r="G31" s="174">
        <f t="shared" si="5"/>
        <v>8198.27</v>
      </c>
      <c r="H31" s="166">
        <f t="shared" si="6"/>
        <v>1639.654</v>
      </c>
    </row>
    <row r="32" spans="1:20" x14ac:dyDescent="0.25">
      <c r="A32" s="119" t="s">
        <v>92</v>
      </c>
      <c r="B32" s="92" t="s">
        <v>4</v>
      </c>
      <c r="C32" s="92">
        <v>11.5</v>
      </c>
      <c r="D32" s="92">
        <v>2.5</v>
      </c>
      <c r="E32" s="120">
        <f t="shared" si="4"/>
        <v>5522.41</v>
      </c>
      <c r="F32" s="163">
        <f t="shared" si="8"/>
        <v>2208.9639999999999</v>
      </c>
      <c r="G32" s="173">
        <f t="shared" si="5"/>
        <v>6094.82</v>
      </c>
      <c r="H32" s="165">
        <f t="shared" si="6"/>
        <v>2437.9279999999999</v>
      </c>
    </row>
    <row r="33" spans="1:9" ht="15.75" thickBot="1" x14ac:dyDescent="0.3">
      <c r="A33" s="121" t="s">
        <v>92</v>
      </c>
      <c r="B33" s="93" t="s">
        <v>4</v>
      </c>
      <c r="C33" s="93">
        <v>11.5</v>
      </c>
      <c r="D33" s="93">
        <v>4</v>
      </c>
      <c r="E33" s="122">
        <f t="shared" si="4"/>
        <v>7539.66</v>
      </c>
      <c r="F33" s="164">
        <f t="shared" si="8"/>
        <v>1884.915</v>
      </c>
      <c r="G33" s="174">
        <f t="shared" si="5"/>
        <v>8112.07</v>
      </c>
      <c r="H33" s="166">
        <f t="shared" si="6"/>
        <v>2028.0174999999999</v>
      </c>
    </row>
    <row r="35" spans="1:9" x14ac:dyDescent="0.25">
      <c r="F35" s="81"/>
    </row>
    <row r="37" spans="1:9" ht="15.75" thickBot="1" x14ac:dyDescent="0.3"/>
    <row r="38" spans="1:9" ht="48.95" customHeight="1" thickBot="1" x14ac:dyDescent="0.3">
      <c r="A38" s="178" t="s">
        <v>103</v>
      </c>
      <c r="B38" s="179" t="s">
        <v>12</v>
      </c>
      <c r="C38" s="108" t="s">
        <v>1</v>
      </c>
      <c r="D38" s="108" t="s">
        <v>20</v>
      </c>
      <c r="E38" s="109" t="s">
        <v>93</v>
      </c>
      <c r="F38" s="109" t="s">
        <v>104</v>
      </c>
      <c r="G38" s="109" t="s">
        <v>117</v>
      </c>
      <c r="H38" s="109" t="s">
        <v>95</v>
      </c>
      <c r="I38" s="180" t="s">
        <v>106</v>
      </c>
    </row>
    <row r="39" spans="1:9" x14ac:dyDescent="0.25">
      <c r="A39" s="181" t="s">
        <v>91</v>
      </c>
      <c r="B39" s="135">
        <v>3</v>
      </c>
      <c r="C39" s="24" t="s">
        <v>21</v>
      </c>
      <c r="D39" s="27">
        <v>3610.29</v>
      </c>
      <c r="E39" s="101" t="s">
        <v>96</v>
      </c>
      <c r="F39" s="149">
        <f>D39</f>
        <v>3610.29</v>
      </c>
      <c r="G39" s="24">
        <f t="shared" ref="G39:G41" si="9">AVERAGE(1200,1600)</f>
        <v>1400</v>
      </c>
      <c r="H39" s="102">
        <v>500</v>
      </c>
      <c r="I39" s="157">
        <f t="shared" ref="I39:I41" si="10">F39+G39+H39</f>
        <v>5510.29</v>
      </c>
    </row>
    <row r="40" spans="1:9" x14ac:dyDescent="0.25">
      <c r="A40" s="182" t="s">
        <v>91</v>
      </c>
      <c r="B40" s="136">
        <v>3.5</v>
      </c>
      <c r="C40" s="15">
        <v>10.199999999999999</v>
      </c>
      <c r="D40" s="19">
        <v>4054.02</v>
      </c>
      <c r="E40" s="15" t="s">
        <v>96</v>
      </c>
      <c r="F40" s="149">
        <f t="shared" ref="F40:F41" si="11">D40</f>
        <v>4054.02</v>
      </c>
      <c r="G40" s="24">
        <f t="shared" si="9"/>
        <v>1400</v>
      </c>
      <c r="H40" s="94">
        <v>500</v>
      </c>
      <c r="I40" s="154">
        <f t="shared" si="10"/>
        <v>5954.02</v>
      </c>
    </row>
    <row r="41" spans="1:9" ht="15.75" thickBot="1" x14ac:dyDescent="0.3">
      <c r="A41" s="184" t="s">
        <v>91</v>
      </c>
      <c r="B41" s="143">
        <v>4</v>
      </c>
      <c r="C41" s="89" t="s">
        <v>21</v>
      </c>
      <c r="D41" s="90">
        <v>4316.21</v>
      </c>
      <c r="E41" s="91" t="s">
        <v>96</v>
      </c>
      <c r="F41" s="156">
        <f t="shared" si="11"/>
        <v>4316.21</v>
      </c>
      <c r="G41" s="195">
        <f t="shared" si="9"/>
        <v>1400</v>
      </c>
      <c r="H41" s="95">
        <v>500</v>
      </c>
      <c r="I41" s="196">
        <f t="shared" si="10"/>
        <v>6216.21</v>
      </c>
    </row>
    <row r="42" spans="1:9" x14ac:dyDescent="0.25">
      <c r="A42" s="185" t="s">
        <v>91</v>
      </c>
      <c r="B42" s="138">
        <v>3</v>
      </c>
      <c r="C42" s="11" t="s">
        <v>28</v>
      </c>
      <c r="D42" s="14">
        <v>6082.58</v>
      </c>
      <c r="E42" s="11">
        <v>919.38</v>
      </c>
      <c r="F42" s="14">
        <f>D42+E42</f>
        <v>7001.96</v>
      </c>
      <c r="G42" s="11">
        <f>AVERAGE(1200,1600)</f>
        <v>1400</v>
      </c>
      <c r="H42" s="128">
        <v>500</v>
      </c>
      <c r="I42" s="153">
        <f>F42+G42+H42</f>
        <v>8901.9599999999991</v>
      </c>
    </row>
    <row r="43" spans="1:9" x14ac:dyDescent="0.25">
      <c r="A43" s="182" t="s">
        <v>91</v>
      </c>
      <c r="B43" s="136">
        <v>3.5</v>
      </c>
      <c r="C43" s="15" t="s">
        <v>28</v>
      </c>
      <c r="D43" s="19">
        <v>6162.4</v>
      </c>
      <c r="E43" s="15">
        <v>966.23</v>
      </c>
      <c r="F43" s="19">
        <f t="shared" ref="F43:F44" si="12">D43+E43</f>
        <v>7128.6299999999992</v>
      </c>
      <c r="G43" s="15">
        <f>G42</f>
        <v>1400</v>
      </c>
      <c r="H43" s="129">
        <f>H42</f>
        <v>500</v>
      </c>
      <c r="I43" s="154">
        <f t="shared" ref="I43:I44" si="13">F43+G43+H43</f>
        <v>9028.6299999999992</v>
      </c>
    </row>
    <row r="44" spans="1:9" ht="15.75" thickBot="1" x14ac:dyDescent="0.3">
      <c r="A44" s="183" t="s">
        <v>91</v>
      </c>
      <c r="B44" s="137">
        <v>4</v>
      </c>
      <c r="C44" s="20" t="s">
        <v>28</v>
      </c>
      <c r="D44" s="23">
        <v>6635.54</v>
      </c>
      <c r="E44" s="20">
        <v>966.23</v>
      </c>
      <c r="F44" s="23">
        <f t="shared" si="12"/>
        <v>7601.77</v>
      </c>
      <c r="G44" s="20">
        <f>G43</f>
        <v>1400</v>
      </c>
      <c r="H44" s="130">
        <f>H43</f>
        <v>500</v>
      </c>
      <c r="I44" s="155">
        <f t="shared" si="13"/>
        <v>9501.77</v>
      </c>
    </row>
    <row r="45" spans="1:9" ht="30" x14ac:dyDescent="0.25">
      <c r="A45" s="185" t="s">
        <v>92</v>
      </c>
      <c r="B45" s="144">
        <v>3</v>
      </c>
      <c r="C45" s="145" t="s">
        <v>28</v>
      </c>
      <c r="D45" s="146">
        <v>5556.9</v>
      </c>
      <c r="E45" s="147" t="s">
        <v>102</v>
      </c>
      <c r="F45" s="147">
        <f>D45</f>
        <v>5556.9</v>
      </c>
      <c r="G45" s="148">
        <v>400</v>
      </c>
      <c r="H45" s="146">
        <v>172.41</v>
      </c>
      <c r="I45" s="153">
        <f>F45+H45+G45</f>
        <v>6129.3099999999995</v>
      </c>
    </row>
    <row r="46" spans="1:9" ht="30" x14ac:dyDescent="0.25">
      <c r="A46" s="182" t="s">
        <v>92</v>
      </c>
      <c r="B46" s="139">
        <v>3.5</v>
      </c>
      <c r="C46" s="28" t="s">
        <v>28</v>
      </c>
      <c r="D46" s="31">
        <v>5729.31</v>
      </c>
      <c r="E46" s="132" t="s">
        <v>99</v>
      </c>
      <c r="F46" s="132">
        <f t="shared" ref="F46:F49" si="14">D46</f>
        <v>5729.31</v>
      </c>
      <c r="G46" s="110">
        <v>400</v>
      </c>
      <c r="H46" s="31">
        <v>172.41</v>
      </c>
      <c r="I46" s="154">
        <f t="shared" ref="I46:I49" si="15">F46+H46+G46</f>
        <v>6301.72</v>
      </c>
    </row>
    <row r="47" spans="1:9" ht="30.75" thickBot="1" x14ac:dyDescent="0.3">
      <c r="A47" s="183" t="s">
        <v>92</v>
      </c>
      <c r="B47" s="177">
        <v>5</v>
      </c>
      <c r="C47" s="111" t="s">
        <v>28</v>
      </c>
      <c r="D47" s="112">
        <v>7625.86</v>
      </c>
      <c r="E47" s="150" t="s">
        <v>99</v>
      </c>
      <c r="F47" s="150">
        <f t="shared" si="14"/>
        <v>7625.86</v>
      </c>
      <c r="G47" s="151">
        <v>400</v>
      </c>
      <c r="H47" s="112">
        <v>172.41</v>
      </c>
      <c r="I47" s="155">
        <f t="shared" si="15"/>
        <v>8198.27</v>
      </c>
    </row>
    <row r="48" spans="1:9" ht="30" x14ac:dyDescent="0.25">
      <c r="A48" s="185" t="s">
        <v>92</v>
      </c>
      <c r="B48" s="140">
        <v>2.5</v>
      </c>
      <c r="C48" s="113" t="s">
        <v>35</v>
      </c>
      <c r="D48" s="114">
        <v>5522.41</v>
      </c>
      <c r="E48" s="133" t="s">
        <v>99</v>
      </c>
      <c r="F48" s="147">
        <f t="shared" si="14"/>
        <v>5522.41</v>
      </c>
      <c r="G48" s="115">
        <v>400</v>
      </c>
      <c r="H48" s="114">
        <v>172.41</v>
      </c>
      <c r="I48" s="153">
        <f t="shared" si="15"/>
        <v>6094.82</v>
      </c>
    </row>
    <row r="49" spans="1:22" ht="30.75" thickBot="1" x14ac:dyDescent="0.3">
      <c r="A49" s="183" t="s">
        <v>92</v>
      </c>
      <c r="B49" s="141">
        <v>4</v>
      </c>
      <c r="C49" s="45" t="s">
        <v>35</v>
      </c>
      <c r="D49" s="47">
        <v>7539.66</v>
      </c>
      <c r="E49" s="134" t="s">
        <v>99</v>
      </c>
      <c r="F49" s="150">
        <f t="shared" si="14"/>
        <v>7539.66</v>
      </c>
      <c r="G49" s="116">
        <v>400</v>
      </c>
      <c r="H49" s="47">
        <v>172.41</v>
      </c>
      <c r="I49" s="155">
        <f t="shared" si="15"/>
        <v>8112.07</v>
      </c>
    </row>
    <row r="50" spans="1:22" x14ac:dyDescent="0.25">
      <c r="A50" s="2" t="s">
        <v>118</v>
      </c>
      <c r="H50" s="142"/>
      <c r="I50" s="88"/>
    </row>
    <row r="51" spans="1:22" x14ac:dyDescent="0.25">
      <c r="H51" s="142"/>
      <c r="I51" s="88"/>
    </row>
    <row r="52" spans="1:22" ht="18.75" x14ac:dyDescent="0.3">
      <c r="A52" s="158"/>
      <c r="V52" s="8" t="s">
        <v>8</v>
      </c>
    </row>
    <row r="53" spans="1:22" x14ac:dyDescent="0.25">
      <c r="S53" t="e">
        <f>#REF!/7</f>
        <v>#REF!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A70" workbookViewId="0"/>
  </sheetViews>
  <sheetFormatPr defaultRowHeight="15" x14ac:dyDescent="0.25"/>
  <cols>
    <col min="2" max="2" width="9" customWidth="1"/>
    <col min="8" max="8" width="11.42578125" customWidth="1"/>
    <col min="13" max="13" width="7.85546875" bestFit="1" customWidth="1"/>
  </cols>
  <sheetData>
    <row r="1" spans="1:13" ht="19.5" thickBot="1" x14ac:dyDescent="0.35">
      <c r="A1" s="8" t="s">
        <v>33</v>
      </c>
    </row>
    <row r="2" spans="1:13" ht="45.75" thickBot="1" x14ac:dyDescent="0.3">
      <c r="A2" s="104" t="s">
        <v>12</v>
      </c>
      <c r="B2" s="105" t="s">
        <v>13</v>
      </c>
      <c r="C2" s="105" t="s">
        <v>14</v>
      </c>
      <c r="D2" s="105" t="s">
        <v>15</v>
      </c>
      <c r="E2" s="105" t="s">
        <v>16</v>
      </c>
      <c r="F2" s="105" t="s">
        <v>17</v>
      </c>
      <c r="G2" s="105" t="s">
        <v>18</v>
      </c>
      <c r="H2" s="105" t="s">
        <v>19</v>
      </c>
      <c r="I2" s="105" t="s">
        <v>20</v>
      </c>
      <c r="J2" s="106" t="s">
        <v>93</v>
      </c>
      <c r="K2" s="106" t="s">
        <v>94</v>
      </c>
      <c r="L2" s="106" t="s">
        <v>95</v>
      </c>
      <c r="M2" s="107" t="s">
        <v>97</v>
      </c>
    </row>
    <row r="3" spans="1:13" x14ac:dyDescent="0.25">
      <c r="A3" s="100">
        <v>3</v>
      </c>
      <c r="B3" s="25">
        <v>34600</v>
      </c>
      <c r="C3" s="24" t="s">
        <v>21</v>
      </c>
      <c r="D3" s="26" t="s">
        <v>22</v>
      </c>
      <c r="E3" s="26" t="s">
        <v>23</v>
      </c>
      <c r="F3" s="25">
        <v>32000</v>
      </c>
      <c r="G3" s="26" t="s">
        <v>24</v>
      </c>
      <c r="H3" s="26" t="s">
        <v>25</v>
      </c>
      <c r="I3" s="27">
        <v>3610.29</v>
      </c>
      <c r="J3" s="101" t="s">
        <v>96</v>
      </c>
      <c r="K3" s="101" t="s">
        <v>96</v>
      </c>
      <c r="L3" s="102" t="s">
        <v>96</v>
      </c>
      <c r="M3" s="103">
        <f>I3</f>
        <v>3610.29</v>
      </c>
    </row>
    <row r="4" spans="1:13" x14ac:dyDescent="0.25">
      <c r="A4" s="85">
        <v>3.5</v>
      </c>
      <c r="B4" s="16">
        <v>40500</v>
      </c>
      <c r="C4" s="15">
        <v>10.199999999999999</v>
      </c>
      <c r="D4" s="17"/>
      <c r="E4" s="17">
        <v>1</v>
      </c>
      <c r="F4" s="16">
        <v>38500</v>
      </c>
      <c r="G4" s="18">
        <v>3</v>
      </c>
      <c r="H4" s="17" t="s">
        <v>25</v>
      </c>
      <c r="I4" s="19">
        <v>4054.02</v>
      </c>
      <c r="J4" s="15" t="s">
        <v>96</v>
      </c>
      <c r="K4" s="15" t="s">
        <v>96</v>
      </c>
      <c r="L4" s="94" t="s">
        <v>96</v>
      </c>
      <c r="M4" s="97">
        <f>I4</f>
        <v>4054.02</v>
      </c>
    </row>
    <row r="5" spans="1:13" ht="15.75" thickBot="1" x14ac:dyDescent="0.3">
      <c r="A5" s="86">
        <v>4</v>
      </c>
      <c r="B5" s="21" t="s">
        <v>26</v>
      </c>
      <c r="C5" s="20" t="s">
        <v>21</v>
      </c>
      <c r="D5" s="22" t="s">
        <v>22</v>
      </c>
      <c r="E5" s="22" t="s">
        <v>23</v>
      </c>
      <c r="F5" s="21" t="s">
        <v>27</v>
      </c>
      <c r="G5" s="22" t="s">
        <v>24</v>
      </c>
      <c r="H5" s="22" t="s">
        <v>25</v>
      </c>
      <c r="I5" s="23">
        <v>4316.21</v>
      </c>
      <c r="J5" s="87" t="s">
        <v>96</v>
      </c>
      <c r="K5" s="87" t="s">
        <v>96</v>
      </c>
      <c r="L5" s="99" t="s">
        <v>96</v>
      </c>
      <c r="M5" s="98">
        <f>I5</f>
        <v>4316.21</v>
      </c>
    </row>
    <row r="6" spans="1:13" x14ac:dyDescent="0.25">
      <c r="A6" s="84">
        <v>3</v>
      </c>
      <c r="B6" s="12">
        <v>35000</v>
      </c>
      <c r="C6" s="11" t="s">
        <v>28</v>
      </c>
      <c r="D6" s="13" t="s">
        <v>29</v>
      </c>
      <c r="E6" s="13" t="s">
        <v>23</v>
      </c>
      <c r="F6" s="12">
        <v>31000</v>
      </c>
      <c r="G6" s="13" t="s">
        <v>30</v>
      </c>
      <c r="H6" s="13" t="s">
        <v>25</v>
      </c>
      <c r="I6" s="14">
        <v>6082.58</v>
      </c>
      <c r="J6" s="212">
        <v>919.38</v>
      </c>
      <c r="K6" s="212">
        <f>AVERAGE(1200,1600)</f>
        <v>1400</v>
      </c>
      <c r="L6" s="213">
        <v>500</v>
      </c>
      <c r="M6" s="96">
        <f t="shared" ref="M6:M8" si="0">I6+J6+K6+L6</f>
        <v>8901.9599999999991</v>
      </c>
    </row>
    <row r="7" spans="1:13" x14ac:dyDescent="0.25">
      <c r="A7" s="85">
        <v>3.5</v>
      </c>
      <c r="B7" s="16">
        <v>40000</v>
      </c>
      <c r="C7" s="15" t="s">
        <v>28</v>
      </c>
      <c r="D7" s="17" t="s">
        <v>29</v>
      </c>
      <c r="E7" s="17" t="s">
        <v>23</v>
      </c>
      <c r="F7" s="16">
        <v>38500</v>
      </c>
      <c r="G7" s="17" t="s">
        <v>31</v>
      </c>
      <c r="H7" s="17" t="s">
        <v>25</v>
      </c>
      <c r="I7" s="19">
        <v>6162.4</v>
      </c>
      <c r="J7" s="214">
        <v>966.23</v>
      </c>
      <c r="K7" s="214">
        <f>K6</f>
        <v>1400</v>
      </c>
      <c r="L7" s="215">
        <f>L6</f>
        <v>500</v>
      </c>
      <c r="M7" s="97">
        <f t="shared" si="0"/>
        <v>9028.6299999999992</v>
      </c>
    </row>
    <row r="8" spans="1:13" ht="15.75" thickBot="1" x14ac:dyDescent="0.3">
      <c r="A8" s="86">
        <v>4</v>
      </c>
      <c r="B8" s="21">
        <v>45500</v>
      </c>
      <c r="C8" s="20" t="s">
        <v>28</v>
      </c>
      <c r="D8" s="22" t="s">
        <v>32</v>
      </c>
      <c r="E8" s="22" t="s">
        <v>23</v>
      </c>
      <c r="F8" s="21">
        <v>41500</v>
      </c>
      <c r="G8" s="22" t="s">
        <v>31</v>
      </c>
      <c r="H8" s="22" t="s">
        <v>25</v>
      </c>
      <c r="I8" s="23">
        <v>6635.54</v>
      </c>
      <c r="J8" s="216">
        <v>966.23</v>
      </c>
      <c r="K8" s="216">
        <f>K7</f>
        <v>1400</v>
      </c>
      <c r="L8" s="217">
        <f>L7</f>
        <v>500</v>
      </c>
      <c r="M8" s="98">
        <f t="shared" si="0"/>
        <v>9501.77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opLeftCell="K27" workbookViewId="0">
      <selection activeCell="P41" sqref="P41"/>
    </sheetView>
  </sheetViews>
  <sheetFormatPr defaultRowHeight="15" x14ac:dyDescent="0.25"/>
  <cols>
    <col min="9" max="9" width="10.140625" customWidth="1"/>
    <col min="11" max="11" width="10" customWidth="1"/>
  </cols>
  <sheetData>
    <row r="1" spans="1:12" ht="19.5" thickBot="1" x14ac:dyDescent="0.35">
      <c r="A1" s="50" t="s">
        <v>33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2" ht="45" x14ac:dyDescent="0.25">
      <c r="A2" s="36" t="s">
        <v>12</v>
      </c>
      <c r="B2" s="37" t="s">
        <v>13</v>
      </c>
      <c r="C2" s="37" t="s">
        <v>14</v>
      </c>
      <c r="D2" s="37" t="s">
        <v>15</v>
      </c>
      <c r="E2" s="37" t="s">
        <v>16</v>
      </c>
      <c r="F2" s="37" t="s">
        <v>17</v>
      </c>
      <c r="G2" s="37" t="s">
        <v>18</v>
      </c>
      <c r="H2" s="37" t="s">
        <v>19</v>
      </c>
      <c r="I2" s="131" t="s">
        <v>101</v>
      </c>
      <c r="J2" s="37" t="s">
        <v>36</v>
      </c>
      <c r="K2" s="37" t="s">
        <v>37</v>
      </c>
      <c r="L2" s="38" t="s">
        <v>38</v>
      </c>
    </row>
    <row r="3" spans="1:12" x14ac:dyDescent="0.25">
      <c r="A3" s="39">
        <v>2</v>
      </c>
      <c r="B3" s="29">
        <v>23500</v>
      </c>
      <c r="C3" s="28" t="s">
        <v>28</v>
      </c>
      <c r="D3" s="30" t="s">
        <v>22</v>
      </c>
      <c r="E3" s="30" t="s">
        <v>23</v>
      </c>
      <c r="F3" s="29">
        <v>33000</v>
      </c>
      <c r="G3" s="30" t="s">
        <v>34</v>
      </c>
      <c r="H3" s="30" t="s">
        <v>25</v>
      </c>
      <c r="I3" s="31">
        <f>5560.34-J3</f>
        <v>5160.34</v>
      </c>
      <c r="J3" s="31">
        <v>400</v>
      </c>
      <c r="K3" s="31">
        <v>172.41</v>
      </c>
      <c r="L3" s="40">
        <f t="shared" ref="L3:L8" si="0">I3+K3</f>
        <v>5332.75</v>
      </c>
    </row>
    <row r="4" spans="1:12" x14ac:dyDescent="0.25">
      <c r="A4" s="39">
        <v>3</v>
      </c>
      <c r="B4" s="29">
        <v>34600</v>
      </c>
      <c r="C4" s="28" t="s">
        <v>28</v>
      </c>
      <c r="D4" s="30" t="s">
        <v>22</v>
      </c>
      <c r="E4" s="30" t="s">
        <v>23</v>
      </c>
      <c r="F4" s="29">
        <v>33000</v>
      </c>
      <c r="G4" s="30" t="s">
        <v>34</v>
      </c>
      <c r="H4" s="30" t="s">
        <v>25</v>
      </c>
      <c r="I4" s="31">
        <f>5956.9-J4</f>
        <v>5556.9</v>
      </c>
      <c r="J4" s="31">
        <f>J3</f>
        <v>400</v>
      </c>
      <c r="K4" s="31">
        <v>172.41</v>
      </c>
      <c r="L4" s="40">
        <f t="shared" si="0"/>
        <v>5729.3099999999995</v>
      </c>
    </row>
    <row r="5" spans="1:12" x14ac:dyDescent="0.25">
      <c r="A5" s="39">
        <v>3.5</v>
      </c>
      <c r="B5" s="29">
        <v>40500</v>
      </c>
      <c r="C5" s="28" t="s">
        <v>28</v>
      </c>
      <c r="D5" s="30" t="s">
        <v>22</v>
      </c>
      <c r="E5" s="30" t="s">
        <v>23</v>
      </c>
      <c r="F5" s="29">
        <v>39000</v>
      </c>
      <c r="G5" s="30" t="s">
        <v>34</v>
      </c>
      <c r="H5" s="30" t="s">
        <v>25</v>
      </c>
      <c r="I5" s="31">
        <f>6129.31-J5</f>
        <v>5729.31</v>
      </c>
      <c r="J5" s="31">
        <f>J4</f>
        <v>400</v>
      </c>
      <c r="K5" s="31">
        <v>172.41</v>
      </c>
      <c r="L5" s="40">
        <f t="shared" si="0"/>
        <v>5901.72</v>
      </c>
    </row>
    <row r="6" spans="1:12" x14ac:dyDescent="0.25">
      <c r="A6" s="39">
        <v>5</v>
      </c>
      <c r="B6" s="29">
        <v>56500</v>
      </c>
      <c r="C6" s="28" t="s">
        <v>28</v>
      </c>
      <c r="D6" s="30" t="s">
        <v>22</v>
      </c>
      <c r="E6" s="30" t="s">
        <v>23</v>
      </c>
      <c r="F6" s="29">
        <v>51000</v>
      </c>
      <c r="G6" s="30" t="s">
        <v>24</v>
      </c>
      <c r="H6" s="30" t="s">
        <v>25</v>
      </c>
      <c r="I6" s="31">
        <f>8025.86-J6</f>
        <v>7625.86</v>
      </c>
      <c r="J6" s="31">
        <f>J5</f>
        <v>400</v>
      </c>
      <c r="K6" s="31">
        <v>172.41</v>
      </c>
      <c r="L6" s="40">
        <f t="shared" si="0"/>
        <v>7798.2699999999995</v>
      </c>
    </row>
    <row r="7" spans="1:12" x14ac:dyDescent="0.25">
      <c r="A7" s="41">
        <v>2.5</v>
      </c>
      <c r="B7" s="33">
        <v>28000</v>
      </c>
      <c r="C7" s="32" t="s">
        <v>35</v>
      </c>
      <c r="D7" s="34" t="s">
        <v>22</v>
      </c>
      <c r="E7" s="34" t="s">
        <v>23</v>
      </c>
      <c r="F7" s="33">
        <v>26000</v>
      </c>
      <c r="G7" s="34" t="s">
        <v>24</v>
      </c>
      <c r="H7" s="34" t="s">
        <v>25</v>
      </c>
      <c r="I7" s="35">
        <f>5922.41-J7</f>
        <v>5522.41</v>
      </c>
      <c r="J7" s="35">
        <f>J6</f>
        <v>400</v>
      </c>
      <c r="K7" s="35">
        <v>172.41</v>
      </c>
      <c r="L7" s="42">
        <f t="shared" si="0"/>
        <v>5694.82</v>
      </c>
    </row>
    <row r="8" spans="1:12" ht="15.75" thickBot="1" x14ac:dyDescent="0.3">
      <c r="A8" s="43">
        <v>4</v>
      </c>
      <c r="B8" s="44">
        <v>47000</v>
      </c>
      <c r="C8" s="45" t="s">
        <v>35</v>
      </c>
      <c r="D8" s="46" t="s">
        <v>22</v>
      </c>
      <c r="E8" s="46" t="s">
        <v>23</v>
      </c>
      <c r="F8" s="44">
        <v>42000</v>
      </c>
      <c r="G8" s="46" t="s">
        <v>34</v>
      </c>
      <c r="H8" s="46" t="s">
        <v>25</v>
      </c>
      <c r="I8" s="47">
        <f>7939.66-J8</f>
        <v>7539.66</v>
      </c>
      <c r="J8" s="47">
        <f>J7</f>
        <v>400</v>
      </c>
      <c r="K8" s="47">
        <v>172.41</v>
      </c>
      <c r="L8" s="48">
        <f t="shared" si="0"/>
        <v>7712.07</v>
      </c>
    </row>
    <row r="39" spans="15:25" x14ac:dyDescent="0.25">
      <c r="O39" t="s">
        <v>156</v>
      </c>
    </row>
    <row r="40" spans="15:25" x14ac:dyDescent="0.25">
      <c r="O40" s="218" t="s">
        <v>154</v>
      </c>
      <c r="P40">
        <f>AVERAGE(2,4)*AVERAGE(2,3)+0.5</f>
        <v>8</v>
      </c>
    </row>
    <row r="41" spans="15:25" x14ac:dyDescent="0.25">
      <c r="O41" s="218" t="s">
        <v>155</v>
      </c>
      <c r="P41">
        <f>SUM(R41:R42)</f>
        <v>2</v>
      </c>
      <c r="R41">
        <v>1</v>
      </c>
      <c r="S41" t="s">
        <v>157</v>
      </c>
      <c r="Y41" t="s">
        <v>159</v>
      </c>
    </row>
    <row r="42" spans="15:25" x14ac:dyDescent="0.25">
      <c r="R42">
        <v>1</v>
      </c>
      <c r="S42" t="s">
        <v>158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workbookViewId="0"/>
  </sheetViews>
  <sheetFormatPr defaultColWidth="8.7109375" defaultRowHeight="12.75" x14ac:dyDescent="0.2"/>
  <cols>
    <col min="1" max="1" width="17.42578125" style="63" customWidth="1"/>
    <col min="2" max="2" width="13.5703125" style="63" customWidth="1"/>
    <col min="3" max="3" width="15.140625" style="63" customWidth="1"/>
    <col min="4" max="4" width="11.42578125" style="63" customWidth="1"/>
    <col min="5" max="5" width="31.85546875" style="63" customWidth="1"/>
    <col min="6" max="6" width="8.7109375" style="63"/>
    <col min="7" max="8" width="8.85546875" style="63" customWidth="1"/>
    <col min="9" max="9" width="8.7109375" style="63"/>
    <col min="10" max="12" width="10.140625" style="63" customWidth="1"/>
    <col min="13" max="13" width="8.85546875" style="63" customWidth="1"/>
    <col min="14" max="27" width="15.7109375" style="63" customWidth="1"/>
    <col min="28" max="29" width="15.5703125" style="63" customWidth="1"/>
    <col min="30" max="30" width="27.28515625" style="63" customWidth="1"/>
    <col min="31" max="31" width="18.85546875" style="63" customWidth="1"/>
    <col min="32" max="16384" width="8.7109375" style="63"/>
  </cols>
  <sheetData>
    <row r="1" spans="1:31" s="53" customFormat="1" x14ac:dyDescent="0.2">
      <c r="A1" s="53" t="s">
        <v>39</v>
      </c>
    </row>
    <row r="2" spans="1:31" s="53" customFormat="1" ht="13.5" thickBot="1" x14ac:dyDescent="0.25"/>
    <row r="3" spans="1:31" s="53" customFormat="1" ht="24.6" customHeight="1" thickBot="1" x14ac:dyDescent="0.25">
      <c r="A3" s="54" t="s">
        <v>40</v>
      </c>
      <c r="B3" s="55" t="s">
        <v>41</v>
      </c>
      <c r="C3" s="56" t="s">
        <v>42</v>
      </c>
    </row>
    <row r="4" spans="1:31" s="53" customFormat="1" x14ac:dyDescent="0.2">
      <c r="A4" s="57" t="s">
        <v>43</v>
      </c>
      <c r="B4" s="58">
        <f>AVERAGEIF($D$13:$D$18,A4,$L$13:$L$18)</f>
        <v>72.634358459732141</v>
      </c>
      <c r="C4" s="59">
        <f>AVERAGEIF($D$13:$D$18,A4,$U$13:$U$18)</f>
        <v>109.39325588864909</v>
      </c>
    </row>
    <row r="5" spans="1:31" ht="13.5" thickBot="1" x14ac:dyDescent="0.25">
      <c r="A5" s="60" t="s">
        <v>44</v>
      </c>
      <c r="B5" s="61">
        <f>AVERAGEIF($D$13:$D$18,A5,$L$13:$L$18)</f>
        <v>53.181251365331747</v>
      </c>
      <c r="C5" s="62">
        <f>AVERAGEIF($D$13:$D$18,A5,$U$13:$U$18)</f>
        <v>87.697935338130222</v>
      </c>
    </row>
    <row r="10" spans="1:31" s="64" customFormat="1" ht="15.75" x14ac:dyDescent="0.25">
      <c r="A10" s="64" t="s">
        <v>45</v>
      </c>
      <c r="E10" s="65" t="s">
        <v>46</v>
      </c>
    </row>
    <row r="12" spans="1:31" s="70" customFormat="1" ht="38.25" x14ac:dyDescent="0.2">
      <c r="A12" s="66" t="s">
        <v>47</v>
      </c>
      <c r="B12" s="66" t="s">
        <v>48</v>
      </c>
      <c r="C12" s="66" t="s">
        <v>49</v>
      </c>
      <c r="D12" s="67" t="s">
        <v>50</v>
      </c>
      <c r="E12" s="66" t="s">
        <v>51</v>
      </c>
      <c r="F12" s="66" t="s">
        <v>52</v>
      </c>
      <c r="G12" s="66" t="s">
        <v>53</v>
      </c>
      <c r="H12" s="66" t="s">
        <v>54</v>
      </c>
      <c r="I12" s="66" t="s">
        <v>55</v>
      </c>
      <c r="J12" s="66" t="s">
        <v>56</v>
      </c>
      <c r="K12" s="66" t="s">
        <v>57</v>
      </c>
      <c r="L12" s="68" t="s">
        <v>58</v>
      </c>
      <c r="M12" s="66" t="s">
        <v>59</v>
      </c>
      <c r="N12" s="66" t="s">
        <v>60</v>
      </c>
      <c r="O12" s="66" t="s">
        <v>61</v>
      </c>
      <c r="P12" s="66" t="s">
        <v>62</v>
      </c>
      <c r="Q12" s="66" t="s">
        <v>63</v>
      </c>
      <c r="R12" s="66" t="s">
        <v>64</v>
      </c>
      <c r="S12" s="66" t="s">
        <v>65</v>
      </c>
      <c r="T12" s="66" t="s">
        <v>66</v>
      </c>
      <c r="U12" s="68" t="s">
        <v>67</v>
      </c>
      <c r="V12" s="66" t="s">
        <v>68</v>
      </c>
      <c r="W12" s="66" t="s">
        <v>69</v>
      </c>
      <c r="X12" s="66" t="s">
        <v>70</v>
      </c>
      <c r="Y12" s="66" t="s">
        <v>71</v>
      </c>
      <c r="Z12" s="66" t="s">
        <v>72</v>
      </c>
      <c r="AA12" s="66" t="s">
        <v>73</v>
      </c>
      <c r="AB12" s="66" t="s">
        <v>74</v>
      </c>
      <c r="AC12" s="66" t="s">
        <v>75</v>
      </c>
      <c r="AD12" s="69" t="s">
        <v>76</v>
      </c>
      <c r="AE12" s="66" t="s">
        <v>77</v>
      </c>
    </row>
    <row r="13" spans="1:31" ht="63.75" x14ac:dyDescent="0.2">
      <c r="A13" s="71">
        <v>0</v>
      </c>
      <c r="B13" s="72" t="s">
        <v>78</v>
      </c>
      <c r="C13" s="73" t="s">
        <v>22</v>
      </c>
      <c r="D13" s="73" t="s">
        <v>43</v>
      </c>
      <c r="E13" s="73" t="s">
        <v>79</v>
      </c>
      <c r="F13" s="71" t="s">
        <v>80</v>
      </c>
      <c r="G13" s="73">
        <v>0.7</v>
      </c>
      <c r="H13" s="73">
        <v>22.86</v>
      </c>
      <c r="I13" s="73" t="s">
        <v>81</v>
      </c>
      <c r="J13" s="74">
        <v>2800</v>
      </c>
      <c r="K13" s="74">
        <v>1656.23</v>
      </c>
      <c r="L13" s="75">
        <f>K13/H13</f>
        <v>72.451006124234468</v>
      </c>
      <c r="M13" s="74">
        <v>0</v>
      </c>
      <c r="N13" s="74">
        <f t="shared" ref="N13:N18" si="0">J13+K13+M13</f>
        <v>4456.2299999999996</v>
      </c>
      <c r="O13" s="74">
        <f t="shared" ref="O13:O18" si="1">ROUND(A13*J13,2)</f>
        <v>0</v>
      </c>
      <c r="P13" s="74">
        <f t="shared" ref="P13:P18" si="2">ROUND(A13*K13,2)</f>
        <v>0</v>
      </c>
      <c r="Q13" s="74">
        <f t="shared" ref="Q13:Q18" si="3">ROUND(A13*M13,2)</f>
        <v>0</v>
      </c>
      <c r="R13" s="74">
        <f t="shared" ref="R13:R18" si="4">ROUND(N13*A13,2)</f>
        <v>0</v>
      </c>
      <c r="S13" s="74">
        <v>3075</v>
      </c>
      <c r="T13" s="74">
        <v>2500.58</v>
      </c>
      <c r="U13" s="76">
        <f t="shared" ref="U13:U18" si="5">T13/H13</f>
        <v>109.38670166229221</v>
      </c>
      <c r="V13" s="74">
        <v>0</v>
      </c>
      <c r="W13" s="74">
        <f t="shared" ref="W13:W18" si="6">S13+T13+V13</f>
        <v>5575.58</v>
      </c>
      <c r="X13" s="74">
        <f t="shared" ref="X13:X18" si="7">ROUND(A13*S13,2)</f>
        <v>0</v>
      </c>
      <c r="Y13" s="74">
        <f t="shared" ref="Y13:Y18" si="8">ROUND(A13*T13,2)</f>
        <v>0</v>
      </c>
      <c r="Z13" s="74">
        <f t="shared" ref="Z13:Z18" si="9">ROUND(A13*V13,2)</f>
        <v>0</v>
      </c>
      <c r="AA13" s="74">
        <f t="shared" ref="AA13:AA18" si="10">ROUND(A13*W13,2)</f>
        <v>0</v>
      </c>
      <c r="AB13" s="73" t="s">
        <v>82</v>
      </c>
      <c r="AC13" s="73" t="s">
        <v>83</v>
      </c>
      <c r="AD13" s="77" t="s">
        <v>84</v>
      </c>
      <c r="AE13" s="73" t="s">
        <v>22</v>
      </c>
    </row>
    <row r="14" spans="1:31" ht="63.75" x14ac:dyDescent="0.2">
      <c r="A14" s="71">
        <v>0</v>
      </c>
      <c r="B14" s="72" t="s">
        <v>85</v>
      </c>
      <c r="C14" s="73" t="s">
        <v>22</v>
      </c>
      <c r="D14" s="73" t="s">
        <v>43</v>
      </c>
      <c r="E14" s="73" t="s">
        <v>86</v>
      </c>
      <c r="F14" s="71" t="s">
        <v>80</v>
      </c>
      <c r="G14" s="73">
        <v>0.61</v>
      </c>
      <c r="H14" s="73">
        <v>26.4</v>
      </c>
      <c r="I14" s="73" t="s">
        <v>81</v>
      </c>
      <c r="J14" s="74">
        <v>3325</v>
      </c>
      <c r="K14" s="74">
        <v>1916.03</v>
      </c>
      <c r="L14" s="75">
        <f t="shared" ref="L14" si="11">K14/H14</f>
        <v>72.576893939393941</v>
      </c>
      <c r="M14" s="74">
        <v>0</v>
      </c>
      <c r="N14" s="74">
        <f t="shared" si="0"/>
        <v>5241.03</v>
      </c>
      <c r="O14" s="74">
        <f t="shared" si="1"/>
        <v>0</v>
      </c>
      <c r="P14" s="74">
        <f t="shared" si="2"/>
        <v>0</v>
      </c>
      <c r="Q14" s="74">
        <f t="shared" si="3"/>
        <v>0</v>
      </c>
      <c r="R14" s="74">
        <f t="shared" si="4"/>
        <v>0</v>
      </c>
      <c r="S14" s="74">
        <v>3650</v>
      </c>
      <c r="T14" s="74">
        <v>2890.28</v>
      </c>
      <c r="U14" s="76">
        <f t="shared" si="5"/>
        <v>109.48030303030305</v>
      </c>
      <c r="V14" s="74">
        <v>0</v>
      </c>
      <c r="W14" s="74">
        <f t="shared" si="6"/>
        <v>6540.2800000000007</v>
      </c>
      <c r="X14" s="74">
        <f t="shared" si="7"/>
        <v>0</v>
      </c>
      <c r="Y14" s="74">
        <f t="shared" si="8"/>
        <v>0</v>
      </c>
      <c r="Z14" s="74">
        <f t="shared" si="9"/>
        <v>0</v>
      </c>
      <c r="AA14" s="74">
        <f t="shared" si="10"/>
        <v>0</v>
      </c>
      <c r="AB14" s="73" t="s">
        <v>82</v>
      </c>
      <c r="AC14" s="73" t="s">
        <v>83</v>
      </c>
      <c r="AD14" s="77" t="s">
        <v>84</v>
      </c>
      <c r="AE14" s="73" t="s">
        <v>22</v>
      </c>
    </row>
    <row r="15" spans="1:31" ht="63.75" x14ac:dyDescent="0.2">
      <c r="A15" s="71">
        <v>0</v>
      </c>
      <c r="B15" s="72" t="s">
        <v>87</v>
      </c>
      <c r="C15" s="73" t="s">
        <v>22</v>
      </c>
      <c r="D15" s="73" t="s">
        <v>43</v>
      </c>
      <c r="E15" s="73" t="s">
        <v>88</v>
      </c>
      <c r="F15" s="71" t="s">
        <v>80</v>
      </c>
      <c r="G15" s="73">
        <v>0.56000000000000005</v>
      </c>
      <c r="H15" s="73">
        <v>28.52</v>
      </c>
      <c r="I15" s="73" t="s">
        <v>81</v>
      </c>
      <c r="J15" s="74">
        <v>4375</v>
      </c>
      <c r="K15" s="74">
        <v>2078.4</v>
      </c>
      <c r="L15" s="75">
        <f>K15/H15</f>
        <v>72.875175315568029</v>
      </c>
      <c r="M15" s="74">
        <v>0</v>
      </c>
      <c r="N15" s="74">
        <f t="shared" si="0"/>
        <v>6453.4</v>
      </c>
      <c r="O15" s="74">
        <f t="shared" si="1"/>
        <v>0</v>
      </c>
      <c r="P15" s="74">
        <f t="shared" si="2"/>
        <v>0</v>
      </c>
      <c r="Q15" s="74">
        <f t="shared" si="3"/>
        <v>0</v>
      </c>
      <c r="R15" s="74">
        <f t="shared" si="4"/>
        <v>0</v>
      </c>
      <c r="S15" s="74">
        <v>4800</v>
      </c>
      <c r="T15" s="74">
        <v>3117.6</v>
      </c>
      <c r="U15" s="76">
        <f t="shared" si="5"/>
        <v>109.31276297335204</v>
      </c>
      <c r="V15" s="74">
        <v>0</v>
      </c>
      <c r="W15" s="74">
        <f t="shared" si="6"/>
        <v>7917.6</v>
      </c>
      <c r="X15" s="74">
        <f t="shared" si="7"/>
        <v>0</v>
      </c>
      <c r="Y15" s="74">
        <f t="shared" si="8"/>
        <v>0</v>
      </c>
      <c r="Z15" s="74">
        <f t="shared" si="9"/>
        <v>0</v>
      </c>
      <c r="AA15" s="74">
        <f t="shared" si="10"/>
        <v>0</v>
      </c>
      <c r="AB15" s="73" t="s">
        <v>82</v>
      </c>
      <c r="AC15" s="73" t="s">
        <v>83</v>
      </c>
      <c r="AD15" s="77" t="s">
        <v>84</v>
      </c>
      <c r="AE15" s="73" t="s">
        <v>22</v>
      </c>
    </row>
    <row r="16" spans="1:31" ht="63.75" x14ac:dyDescent="0.2">
      <c r="A16" s="71">
        <v>0</v>
      </c>
      <c r="B16" s="72" t="s">
        <v>78</v>
      </c>
      <c r="C16" s="73" t="s">
        <v>22</v>
      </c>
      <c r="D16" s="73" t="s">
        <v>44</v>
      </c>
      <c r="E16" s="73" t="s">
        <v>79</v>
      </c>
      <c r="F16" s="71" t="s">
        <v>80</v>
      </c>
      <c r="G16" s="73">
        <v>0.7</v>
      </c>
      <c r="H16" s="73">
        <v>22.86</v>
      </c>
      <c r="I16" s="73" t="s">
        <v>81</v>
      </c>
      <c r="J16" s="74">
        <v>2800</v>
      </c>
      <c r="K16" s="74">
        <v>1214.57</v>
      </c>
      <c r="L16" s="75">
        <f>K16/H16</f>
        <v>53.130796150481189</v>
      </c>
      <c r="M16" s="74">
        <v>0</v>
      </c>
      <c r="N16" s="74">
        <f t="shared" si="0"/>
        <v>4014.5699999999997</v>
      </c>
      <c r="O16" s="74">
        <f t="shared" si="1"/>
        <v>0</v>
      </c>
      <c r="P16" s="74">
        <f t="shared" si="2"/>
        <v>0</v>
      </c>
      <c r="Q16" s="74">
        <f t="shared" si="3"/>
        <v>0</v>
      </c>
      <c r="R16" s="74">
        <f t="shared" si="4"/>
        <v>0</v>
      </c>
      <c r="S16" s="74">
        <v>3075</v>
      </c>
      <c r="T16" s="74">
        <v>2013.45</v>
      </c>
      <c r="U16" s="76">
        <f t="shared" si="5"/>
        <v>88.077427821522321</v>
      </c>
      <c r="V16" s="74">
        <v>0</v>
      </c>
      <c r="W16" s="74">
        <f t="shared" si="6"/>
        <v>5088.45</v>
      </c>
      <c r="X16" s="74">
        <f t="shared" si="7"/>
        <v>0</v>
      </c>
      <c r="Y16" s="74">
        <f t="shared" si="8"/>
        <v>0</v>
      </c>
      <c r="Z16" s="74">
        <f t="shared" si="9"/>
        <v>0</v>
      </c>
      <c r="AA16" s="74">
        <f t="shared" si="10"/>
        <v>0</v>
      </c>
      <c r="AB16" s="73" t="s">
        <v>89</v>
      </c>
      <c r="AC16" s="73" t="s">
        <v>83</v>
      </c>
      <c r="AD16" s="77" t="s">
        <v>84</v>
      </c>
      <c r="AE16" s="73" t="s">
        <v>22</v>
      </c>
    </row>
    <row r="17" spans="1:31" ht="63.75" x14ac:dyDescent="0.2">
      <c r="A17" s="71">
        <v>0</v>
      </c>
      <c r="B17" s="72" t="s">
        <v>85</v>
      </c>
      <c r="C17" s="73" t="s">
        <v>22</v>
      </c>
      <c r="D17" s="73" t="s">
        <v>44</v>
      </c>
      <c r="E17" s="73" t="s">
        <v>86</v>
      </c>
      <c r="F17" s="71" t="s">
        <v>80</v>
      </c>
      <c r="G17" s="73">
        <v>0.61</v>
      </c>
      <c r="H17" s="73">
        <v>26.4</v>
      </c>
      <c r="I17" s="73" t="s">
        <v>81</v>
      </c>
      <c r="J17" s="74">
        <v>3325</v>
      </c>
      <c r="K17" s="74">
        <v>1396.43</v>
      </c>
      <c r="L17" s="75">
        <f t="shared" ref="L17" si="12">K17/H17</f>
        <v>52.895075757575761</v>
      </c>
      <c r="M17" s="74">
        <v>0</v>
      </c>
      <c r="N17" s="74">
        <f t="shared" si="0"/>
        <v>4721.43</v>
      </c>
      <c r="O17" s="74">
        <f t="shared" si="1"/>
        <v>0</v>
      </c>
      <c r="P17" s="74">
        <f t="shared" si="2"/>
        <v>0</v>
      </c>
      <c r="Q17" s="74">
        <f t="shared" si="3"/>
        <v>0</v>
      </c>
      <c r="R17" s="74">
        <f t="shared" si="4"/>
        <v>0</v>
      </c>
      <c r="S17" s="74">
        <v>3650</v>
      </c>
      <c r="T17" s="74">
        <v>2305.73</v>
      </c>
      <c r="U17" s="76">
        <f t="shared" si="5"/>
        <v>87.338257575757581</v>
      </c>
      <c r="V17" s="74">
        <v>0</v>
      </c>
      <c r="W17" s="74">
        <f t="shared" si="6"/>
        <v>5955.73</v>
      </c>
      <c r="X17" s="74">
        <f t="shared" si="7"/>
        <v>0</v>
      </c>
      <c r="Y17" s="74">
        <f t="shared" si="8"/>
        <v>0</v>
      </c>
      <c r="Z17" s="74">
        <f t="shared" si="9"/>
        <v>0</v>
      </c>
      <c r="AA17" s="74">
        <f t="shared" si="10"/>
        <v>0</v>
      </c>
      <c r="AB17" s="73" t="s">
        <v>89</v>
      </c>
      <c r="AC17" s="73" t="s">
        <v>83</v>
      </c>
      <c r="AD17" s="77" t="s">
        <v>84</v>
      </c>
      <c r="AE17" s="73" t="s">
        <v>22</v>
      </c>
    </row>
    <row r="18" spans="1:31" ht="63.75" x14ac:dyDescent="0.2">
      <c r="A18" s="71">
        <v>0</v>
      </c>
      <c r="B18" s="72" t="s">
        <v>87</v>
      </c>
      <c r="C18" s="73" t="s">
        <v>22</v>
      </c>
      <c r="D18" s="73" t="s">
        <v>44</v>
      </c>
      <c r="E18" s="73" t="s">
        <v>88</v>
      </c>
      <c r="F18" s="71" t="s">
        <v>80</v>
      </c>
      <c r="G18" s="73">
        <v>0.56000000000000005</v>
      </c>
      <c r="H18" s="73">
        <v>28.52</v>
      </c>
      <c r="I18" s="73" t="s">
        <v>81</v>
      </c>
      <c r="J18" s="74">
        <v>4375</v>
      </c>
      <c r="K18" s="74">
        <v>1526.33</v>
      </c>
      <c r="L18" s="75">
        <f>K18/H18</f>
        <v>53.517882187938284</v>
      </c>
      <c r="M18" s="74">
        <v>0</v>
      </c>
      <c r="N18" s="74">
        <f t="shared" si="0"/>
        <v>5901.33</v>
      </c>
      <c r="O18" s="74">
        <f t="shared" si="1"/>
        <v>0</v>
      </c>
      <c r="P18" s="74">
        <f t="shared" si="2"/>
        <v>0</v>
      </c>
      <c r="Q18" s="74">
        <f t="shared" si="3"/>
        <v>0</v>
      </c>
      <c r="R18" s="74">
        <f t="shared" si="4"/>
        <v>0</v>
      </c>
      <c r="S18" s="74">
        <v>4800</v>
      </c>
      <c r="T18" s="74">
        <v>2500.58</v>
      </c>
      <c r="U18" s="76">
        <f t="shared" si="5"/>
        <v>87.678120617110793</v>
      </c>
      <c r="V18" s="74">
        <v>0</v>
      </c>
      <c r="W18" s="74">
        <f t="shared" si="6"/>
        <v>7300.58</v>
      </c>
      <c r="X18" s="74">
        <f t="shared" si="7"/>
        <v>0</v>
      </c>
      <c r="Y18" s="74">
        <f t="shared" si="8"/>
        <v>0</v>
      </c>
      <c r="Z18" s="74">
        <f t="shared" si="9"/>
        <v>0</v>
      </c>
      <c r="AA18" s="74">
        <f t="shared" si="10"/>
        <v>0</v>
      </c>
      <c r="AB18" s="73" t="s">
        <v>89</v>
      </c>
      <c r="AC18" s="73" t="s">
        <v>83</v>
      </c>
      <c r="AD18" s="77" t="s">
        <v>84</v>
      </c>
      <c r="AE18" s="73" t="s">
        <v>22</v>
      </c>
    </row>
    <row r="20" spans="1:31" x14ac:dyDescent="0.2">
      <c r="A20" s="78" t="s">
        <v>60</v>
      </c>
      <c r="N20" s="79">
        <f xml:space="preserve">
                  SUM(N13:N18)</f>
        <v>30787.989999999998</v>
      </c>
      <c r="O20" s="79">
        <f xml:space="preserve">
                  SUM(O13:O18)</f>
        <v>0</v>
      </c>
      <c r="P20" s="79">
        <f xml:space="preserve">
                  SUM(P13:P18)</f>
        <v>0</v>
      </c>
      <c r="Q20" s="79">
        <f xml:space="preserve">
                  SUM(Q13:Q18)</f>
        <v>0</v>
      </c>
      <c r="R20" s="79">
        <f xml:space="preserve">
                  SUM(R13:R18)</f>
        <v>0</v>
      </c>
      <c r="W20" s="79">
        <f xml:space="preserve">
                  SUM(W13:W18)</f>
        <v>38378.22</v>
      </c>
      <c r="X20" s="79">
        <f xml:space="preserve">
                  SUM(X13:X18)</f>
        <v>0</v>
      </c>
      <c r="Y20" s="79">
        <f xml:space="preserve">
                  SUM(Y13:Y18)</f>
        <v>0</v>
      </c>
      <c r="Z20" s="79">
        <f xml:space="preserve">
                  SUM(Z13:Z18)</f>
        <v>0</v>
      </c>
      <c r="AA20" s="79">
        <f xml:space="preserve">
                  SUM(AA13:AA18)</f>
        <v>0</v>
      </c>
    </row>
  </sheetData>
  <pageMargins left="0.75" right="0.75" top="1" bottom="1" header="0.5" footer="0.5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cost summary</vt:lpstr>
      <vt:lpstr>cost calculations</vt:lpstr>
      <vt:lpstr>MFG A</vt:lpstr>
      <vt:lpstr>MFG B</vt:lpstr>
      <vt:lpstr>RS MEANS_Pkg HVAC Install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Goffin</dc:creator>
  <cp:lastModifiedBy>Liu, Henry</cp:lastModifiedBy>
  <dcterms:created xsi:type="dcterms:W3CDTF">2017-07-27T21:46:06Z</dcterms:created>
  <dcterms:modified xsi:type="dcterms:W3CDTF">2017-09-22T17:48:55Z</dcterms:modified>
</cp:coreProperties>
</file>