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2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peci.org\files\commercial\Current\13936 - PG&amp;E Work Papers\VFD\2018 update\DELIVERABLES\"/>
    </mc:Choice>
  </mc:AlternateContent>
  <xr:revisionPtr revIDLastSave="0" documentId="13_ncr:1_{CEF52B77-52B2-4FB6-A793-A43C51865B0A}" xr6:coauthVersionLast="34" xr6:coauthVersionMax="34" xr10:uidLastSave="{00000000-0000-0000-0000-000000000000}"/>
  <bookViews>
    <workbookView xWindow="0" yWindow="0" windowWidth="19185" windowHeight="6195" xr2:uid="{00000000-000D-0000-FFFF-FFFF00000000}"/>
  </bookViews>
  <sheets>
    <sheet name="cost calculation" sheetId="1" r:id="rId1"/>
    <sheet name="ADEC" sheetId="10" r:id="rId2"/>
    <sheet name="ADEC mfgA" sheetId="2" r:id="rId3"/>
    <sheet name="ADEC mfgB" sheetId="3" r:id="rId4"/>
    <sheet name="Motor Costs" sheetId="8" r:id="rId5"/>
    <sheet name="VFD and Motors" sheetId="9" r:id="rId6"/>
    <sheet name="DRAFT DEER Comparison" sheetId="7" r:id="rId7"/>
  </sheets>
  <calcPr calcId="179017"/>
</workbook>
</file>

<file path=xl/calcChain.xml><?xml version="1.0" encoding="utf-8"?>
<calcChain xmlns="http://schemas.openxmlformats.org/spreadsheetml/2006/main">
  <c r="E137" i="1" l="1"/>
  <c r="D137" i="1"/>
  <c r="E120" i="1"/>
  <c r="D120" i="1"/>
  <c r="E103" i="1"/>
  <c r="D103" i="1"/>
  <c r="E86" i="1"/>
  <c r="D86" i="1"/>
  <c r="E69" i="1"/>
  <c r="D69" i="1"/>
  <c r="E52" i="1"/>
  <c r="D52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D53" i="1"/>
  <c r="E53" i="1"/>
  <c r="D54" i="1"/>
  <c r="F5" i="1" l="1"/>
  <c r="E5" i="1"/>
  <c r="D5" i="1"/>
  <c r="J5" i="10"/>
  <c r="I5" i="10"/>
  <c r="K5" i="10" s="1"/>
  <c r="E9" i="1" l="1"/>
  <c r="E10" i="1" s="1"/>
  <c r="C10" i="1"/>
  <c r="D9" i="1"/>
  <c r="L11" i="9"/>
  <c r="D9" i="9"/>
  <c r="D8" i="9"/>
  <c r="L7" i="9"/>
  <c r="H7" i="9"/>
  <c r="D7" i="9"/>
  <c r="L6" i="9"/>
  <c r="H6" i="9"/>
  <c r="D6" i="9"/>
  <c r="L5" i="9"/>
  <c r="H5" i="9"/>
  <c r="D5" i="9"/>
  <c r="D13" i="9" s="1"/>
  <c r="C21" i="1"/>
  <c r="C16" i="1"/>
  <c r="E20" i="1"/>
  <c r="E21" i="1" s="1"/>
  <c r="D20" i="1"/>
  <c r="D21" i="1" s="1"/>
  <c r="E15" i="1"/>
  <c r="E16" i="1" s="1"/>
  <c r="D15" i="1"/>
  <c r="D16" i="1" s="1"/>
  <c r="C33" i="8"/>
  <c r="F29" i="8"/>
  <c r="F26" i="8"/>
  <c r="F25" i="8"/>
  <c r="F24" i="8"/>
  <c r="F23" i="8"/>
  <c r="F22" i="8"/>
  <c r="F21" i="8"/>
  <c r="F20" i="8"/>
  <c r="F19" i="8"/>
  <c r="F15" i="8"/>
  <c r="F14" i="8"/>
  <c r="F13" i="8"/>
  <c r="F12" i="8"/>
  <c r="F11" i="8"/>
  <c r="F10" i="8"/>
  <c r="F9" i="8"/>
  <c r="F8" i="8"/>
  <c r="F7" i="8"/>
  <c r="F6" i="8"/>
  <c r="F5" i="8"/>
  <c r="F4" i="8"/>
  <c r="F27" i="8" l="1"/>
  <c r="F28" i="8" s="1"/>
  <c r="C35" i="8" s="1"/>
  <c r="H10" i="9"/>
  <c r="H14" i="9"/>
  <c r="H15" i="9" s="1"/>
  <c r="L14" i="9"/>
  <c r="L15" i="9" s="1"/>
  <c r="D14" i="9"/>
  <c r="D15" i="9" s="1"/>
  <c r="H11" i="9"/>
  <c r="D26" i="1"/>
  <c r="D27" i="1"/>
  <c r="D28" i="1"/>
  <c r="F20" i="1"/>
  <c r="F21" i="1" s="1"/>
  <c r="F9" i="1"/>
  <c r="F10" i="1" s="1"/>
  <c r="D10" i="1"/>
  <c r="L13" i="9"/>
  <c r="H13" i="9"/>
  <c r="D10" i="9"/>
  <c r="L10" i="9"/>
  <c r="D12" i="9"/>
  <c r="D11" i="9"/>
  <c r="F15" i="1"/>
  <c r="F16" i="1" s="1"/>
  <c r="C34" i="8"/>
  <c r="D55" i="1" l="1"/>
  <c r="D57" i="1"/>
  <c r="D59" i="1"/>
  <c r="D61" i="1"/>
  <c r="D63" i="1"/>
  <c r="D65" i="1"/>
  <c r="D67" i="1"/>
  <c r="D56" i="1"/>
  <c r="D58" i="1"/>
  <c r="D62" i="1"/>
  <c r="D66" i="1"/>
  <c r="D60" i="1"/>
  <c r="D64" i="1"/>
  <c r="D68" i="1"/>
  <c r="D71" i="1"/>
  <c r="D73" i="1"/>
  <c r="D75" i="1"/>
  <c r="D77" i="1"/>
  <c r="D79" i="1"/>
  <c r="D81" i="1"/>
  <c r="D83" i="1"/>
  <c r="D85" i="1"/>
  <c r="D74" i="1"/>
  <c r="D78" i="1"/>
  <c r="D82" i="1"/>
  <c r="D84" i="1"/>
  <c r="D72" i="1"/>
  <c r="D76" i="1"/>
  <c r="D80" i="1"/>
  <c r="D70" i="1"/>
  <c r="C26" i="1"/>
  <c r="C28" i="1"/>
  <c r="C27" i="1"/>
  <c r="L12" i="9"/>
  <c r="H12" i="9"/>
  <c r="E27" i="1" l="1"/>
  <c r="F27" i="1" s="1"/>
  <c r="E55" i="1"/>
  <c r="F55" i="1" s="1"/>
  <c r="E57" i="1"/>
  <c r="F57" i="1" s="1"/>
  <c r="E59" i="1"/>
  <c r="E61" i="1"/>
  <c r="E63" i="1"/>
  <c r="F63" i="1" s="1"/>
  <c r="E65" i="1"/>
  <c r="F65" i="1" s="1"/>
  <c r="E67" i="1"/>
  <c r="E54" i="1"/>
  <c r="F54" i="1" s="1"/>
  <c r="E56" i="1"/>
  <c r="F56" i="1" s="1"/>
  <c r="E60" i="1"/>
  <c r="F60" i="1" s="1"/>
  <c r="E64" i="1"/>
  <c r="F64" i="1" s="1"/>
  <c r="E68" i="1"/>
  <c r="F68" i="1" s="1"/>
  <c r="E58" i="1"/>
  <c r="F58" i="1" s="1"/>
  <c r="E62" i="1"/>
  <c r="F62" i="1" s="1"/>
  <c r="E66" i="1"/>
  <c r="F66" i="1" s="1"/>
  <c r="E26" i="1"/>
  <c r="F26" i="1" s="1"/>
  <c r="F61" i="1"/>
  <c r="F67" i="1"/>
  <c r="F59" i="1"/>
  <c r="E28" i="1"/>
  <c r="F28" i="1" s="1"/>
  <c r="E71" i="1"/>
  <c r="F71" i="1" s="1"/>
  <c r="E73" i="1"/>
  <c r="F73" i="1" s="1"/>
  <c r="E75" i="1"/>
  <c r="E77" i="1"/>
  <c r="F77" i="1" s="1"/>
  <c r="E79" i="1"/>
  <c r="F79" i="1" s="1"/>
  <c r="E81" i="1"/>
  <c r="F81" i="1" s="1"/>
  <c r="E83" i="1"/>
  <c r="F83" i="1" s="1"/>
  <c r="E85" i="1"/>
  <c r="F85" i="1" s="1"/>
  <c r="E70" i="1"/>
  <c r="F70" i="1" s="1"/>
  <c r="E76" i="1"/>
  <c r="F76" i="1" s="1"/>
  <c r="E84" i="1"/>
  <c r="F84" i="1" s="1"/>
  <c r="E78" i="1"/>
  <c r="F78" i="1" s="1"/>
  <c r="E72" i="1"/>
  <c r="F72" i="1" s="1"/>
  <c r="E80" i="1"/>
  <c r="F80" i="1" s="1"/>
  <c r="E74" i="1"/>
  <c r="F74" i="1" s="1"/>
  <c r="E82" i="1"/>
  <c r="F82" i="1"/>
  <c r="F75" i="1"/>
  <c r="F53" i="1"/>
  <c r="D158" i="1" l="1"/>
  <c r="F20" i="7"/>
  <c r="F21" i="7" s="1"/>
  <c r="F158" i="1"/>
  <c r="E158" i="1"/>
  <c r="H157" i="1"/>
  <c r="G157" i="1"/>
  <c r="H156" i="1"/>
  <c r="G156" i="1"/>
  <c r="H155" i="1"/>
  <c r="G155" i="1"/>
  <c r="H154" i="1"/>
  <c r="G154" i="1"/>
  <c r="H153" i="1"/>
  <c r="G153" i="1"/>
  <c r="H152" i="1"/>
  <c r="G152" i="1"/>
  <c r="H151" i="1"/>
  <c r="G151" i="1"/>
  <c r="H150" i="1"/>
  <c r="G150" i="1"/>
  <c r="H149" i="1"/>
  <c r="G149" i="1"/>
  <c r="H148" i="1"/>
  <c r="G148" i="1"/>
  <c r="H147" i="1"/>
  <c r="G147" i="1"/>
  <c r="H146" i="1"/>
  <c r="G146" i="1"/>
  <c r="H145" i="1"/>
  <c r="G145" i="1"/>
  <c r="H144" i="1"/>
  <c r="G144" i="1"/>
  <c r="H143" i="1"/>
  <c r="G143" i="1"/>
  <c r="H142" i="1"/>
  <c r="G142" i="1"/>
  <c r="G158" i="1" l="1"/>
  <c r="H158" i="1"/>
  <c r="F86" i="1" l="1"/>
  <c r="F69" i="1"/>
  <c r="D28" i="3"/>
  <c r="F28" i="3" s="1"/>
  <c r="D18" i="3"/>
  <c r="F18" i="3" s="1"/>
  <c r="D22" i="3"/>
  <c r="F22" i="3" s="1"/>
  <c r="D21" i="3"/>
  <c r="F21" i="3" s="1"/>
  <c r="D20" i="3"/>
  <c r="F20" i="3" s="1"/>
  <c r="D19" i="3"/>
  <c r="F19" i="3" s="1"/>
  <c r="D17" i="3"/>
  <c r="F17" i="3" s="1"/>
  <c r="D7" i="3"/>
  <c r="F7" i="3" s="1"/>
  <c r="D8" i="3"/>
  <c r="F8" i="3" s="1"/>
  <c r="D9" i="3"/>
  <c r="F9" i="3" s="1"/>
  <c r="D10" i="3"/>
  <c r="F10" i="3" s="1"/>
  <c r="D11" i="3"/>
  <c r="F11" i="3" s="1"/>
  <c r="D5" i="3"/>
  <c r="F5" i="3" s="1"/>
  <c r="I9" i="3"/>
  <c r="C6" i="3" s="1"/>
  <c r="D6" i="3" s="1"/>
  <c r="F6" i="3" s="1"/>
  <c r="D21" i="2"/>
  <c r="F21" i="2" s="1"/>
  <c r="D22" i="2"/>
  <c r="F22" i="2" s="1"/>
  <c r="D23" i="2"/>
  <c r="F23" i="2" s="1"/>
  <c r="D24" i="2"/>
  <c r="F24" i="2" s="1"/>
  <c r="D19" i="2"/>
  <c r="F19" i="2" s="1"/>
  <c r="D20" i="2"/>
  <c r="F20" i="2" s="1"/>
  <c r="C15" i="2"/>
  <c r="D14" i="2"/>
  <c r="E14" i="2" s="1"/>
  <c r="D13" i="2"/>
  <c r="E13" i="2" s="1"/>
  <c r="D12" i="2"/>
  <c r="E12" i="2" s="1"/>
  <c r="D11" i="2"/>
  <c r="E11" i="2" s="1"/>
  <c r="D10" i="2"/>
  <c r="E10" i="2" s="1"/>
  <c r="D9" i="2"/>
  <c r="E9" i="2" s="1"/>
  <c r="D8" i="2"/>
  <c r="C29" i="1" l="1"/>
  <c r="C30" i="1"/>
  <c r="C31" i="1"/>
  <c r="F25" i="2"/>
  <c r="F23" i="3"/>
  <c r="F12" i="3"/>
  <c r="D15" i="2"/>
  <c r="E8" i="2"/>
  <c r="E15" i="2" s="1"/>
  <c r="E104" i="1" l="1"/>
  <c r="E105" i="1"/>
  <c r="E107" i="1"/>
  <c r="E109" i="1"/>
  <c r="E111" i="1"/>
  <c r="E113" i="1"/>
  <c r="E115" i="1"/>
  <c r="E117" i="1"/>
  <c r="E119" i="1"/>
  <c r="E106" i="1"/>
  <c r="E114" i="1"/>
  <c r="E108" i="1"/>
  <c r="E116" i="1"/>
  <c r="E110" i="1"/>
  <c r="E118" i="1"/>
  <c r="E112" i="1"/>
  <c r="E87" i="1"/>
  <c r="E89" i="1"/>
  <c r="E91" i="1"/>
  <c r="E93" i="1"/>
  <c r="E95" i="1"/>
  <c r="E97" i="1"/>
  <c r="E99" i="1"/>
  <c r="E101" i="1"/>
  <c r="E102" i="1"/>
  <c r="E88" i="1"/>
  <c r="E96" i="1"/>
  <c r="E90" i="1"/>
  <c r="E98" i="1"/>
  <c r="E92" i="1"/>
  <c r="E100" i="1"/>
  <c r="E94" i="1"/>
  <c r="E121" i="1"/>
  <c r="E123" i="1"/>
  <c r="E125" i="1"/>
  <c r="E127" i="1"/>
  <c r="E129" i="1"/>
  <c r="E131" i="1"/>
  <c r="E133" i="1"/>
  <c r="E135" i="1"/>
  <c r="E122" i="1"/>
  <c r="E124" i="1"/>
  <c r="E132" i="1"/>
  <c r="E126" i="1"/>
  <c r="E134" i="1"/>
  <c r="E128" i="1"/>
  <c r="E136" i="1"/>
  <c r="E130" i="1"/>
  <c r="D30" i="1" l="1"/>
  <c r="D29" i="1"/>
  <c r="D31" i="1"/>
  <c r="F36" i="1"/>
  <c r="F38" i="1"/>
  <c r="F40" i="1"/>
  <c r="F42" i="1"/>
  <c r="F44" i="1"/>
  <c r="F46" i="1"/>
  <c r="F48" i="1"/>
  <c r="F50" i="1"/>
  <c r="F52" i="1"/>
  <c r="F37" i="1"/>
  <c r="F39" i="1"/>
  <c r="F41" i="1"/>
  <c r="F43" i="1"/>
  <c r="F45" i="1"/>
  <c r="F47" i="1"/>
  <c r="F49" i="1"/>
  <c r="F51" i="1"/>
  <c r="E30" i="1" l="1"/>
  <c r="F30" i="1" s="1"/>
  <c r="D105" i="1"/>
  <c r="F105" i="1" s="1"/>
  <c r="D107" i="1"/>
  <c r="F107" i="1" s="1"/>
  <c r="D109" i="1"/>
  <c r="F109" i="1" s="1"/>
  <c r="D111" i="1"/>
  <c r="F111" i="1" s="1"/>
  <c r="D113" i="1"/>
  <c r="F113" i="1" s="1"/>
  <c r="D115" i="1"/>
  <c r="F115" i="1" s="1"/>
  <c r="D117" i="1"/>
  <c r="F117" i="1" s="1"/>
  <c r="D119" i="1"/>
  <c r="F119" i="1" s="1"/>
  <c r="D108" i="1"/>
  <c r="F108" i="1" s="1"/>
  <c r="D114" i="1"/>
  <c r="F114" i="1" s="1"/>
  <c r="D106" i="1"/>
  <c r="F106" i="1" s="1"/>
  <c r="D110" i="1"/>
  <c r="F110" i="1" s="1"/>
  <c r="D112" i="1"/>
  <c r="F112" i="1" s="1"/>
  <c r="D116" i="1"/>
  <c r="F116" i="1" s="1"/>
  <c r="D118" i="1"/>
  <c r="F118" i="1" s="1"/>
  <c r="F120" i="1"/>
  <c r="D104" i="1"/>
  <c r="F104" i="1" s="1"/>
  <c r="E31" i="1"/>
  <c r="F31" i="1" s="1"/>
  <c r="D123" i="1"/>
  <c r="F123" i="1" s="1"/>
  <c r="D125" i="1"/>
  <c r="F125" i="1" s="1"/>
  <c r="D127" i="1"/>
  <c r="F127" i="1" s="1"/>
  <c r="D129" i="1"/>
  <c r="F129" i="1" s="1"/>
  <c r="D131" i="1"/>
  <c r="F131" i="1" s="1"/>
  <c r="D133" i="1"/>
  <c r="F133" i="1" s="1"/>
  <c r="D135" i="1"/>
  <c r="F135" i="1" s="1"/>
  <c r="D126" i="1"/>
  <c r="F126" i="1" s="1"/>
  <c r="F137" i="1"/>
  <c r="D121" i="1"/>
  <c r="F121" i="1" s="1"/>
  <c r="D122" i="1"/>
  <c r="F122" i="1" s="1"/>
  <c r="D124" i="1"/>
  <c r="F124" i="1" s="1"/>
  <c r="D128" i="1"/>
  <c r="F128" i="1" s="1"/>
  <c r="D130" i="1"/>
  <c r="F130" i="1" s="1"/>
  <c r="D132" i="1"/>
  <c r="F132" i="1" s="1"/>
  <c r="D134" i="1"/>
  <c r="F134" i="1" s="1"/>
  <c r="D136" i="1"/>
  <c r="F136" i="1" s="1"/>
  <c r="E29" i="1"/>
  <c r="F29" i="1" s="1"/>
  <c r="D89" i="1"/>
  <c r="F89" i="1" s="1"/>
  <c r="D91" i="1"/>
  <c r="F91" i="1" s="1"/>
  <c r="D93" i="1"/>
  <c r="F93" i="1" s="1"/>
  <c r="D95" i="1"/>
  <c r="F95" i="1" s="1"/>
  <c r="D97" i="1"/>
  <c r="F97" i="1" s="1"/>
  <c r="D99" i="1"/>
  <c r="F99" i="1" s="1"/>
  <c r="D101" i="1"/>
  <c r="F101" i="1" s="1"/>
  <c r="D90" i="1"/>
  <c r="F90" i="1" s="1"/>
  <c r="D94" i="1"/>
  <c r="F94" i="1" s="1"/>
  <c r="D98" i="1"/>
  <c r="F98" i="1" s="1"/>
  <c r="D102" i="1"/>
  <c r="F102" i="1" s="1"/>
  <c r="F103" i="1"/>
  <c r="D87" i="1"/>
  <c r="F87" i="1" s="1"/>
  <c r="D88" i="1"/>
  <c r="F88" i="1" s="1"/>
  <c r="D92" i="1"/>
  <c r="F92" i="1" s="1"/>
  <c r="D96" i="1"/>
  <c r="F96" i="1" s="1"/>
  <c r="D100" i="1"/>
  <c r="F100" i="1" s="1"/>
</calcChain>
</file>

<file path=xl/sharedStrings.xml><?xml version="1.0" encoding="utf-8"?>
<sst xmlns="http://schemas.openxmlformats.org/spreadsheetml/2006/main" count="486" uniqueCount="201">
  <si>
    <t>Hours</t>
  </si>
  <si>
    <t>Labor</t>
  </si>
  <si>
    <t>Materials</t>
  </si>
  <si>
    <t>Total</t>
  </si>
  <si>
    <t>Source</t>
  </si>
  <si>
    <t>LINE NO.</t>
  </si>
  <si>
    <t>PRICE</t>
  </si>
  <si>
    <t>MATERIAL SUM</t>
  </si>
  <si>
    <t>AVERAGE</t>
  </si>
  <si>
    <t>Climate Zone</t>
  </si>
  <si>
    <t>Reference City</t>
  </si>
  <si>
    <t>Eureka</t>
  </si>
  <si>
    <t>Santa Rosa</t>
  </si>
  <si>
    <t>San Francisco</t>
  </si>
  <si>
    <t>San Jose</t>
  </si>
  <si>
    <t>San Luis Obispo</t>
  </si>
  <si>
    <t>Redding</t>
  </si>
  <si>
    <t>Sacramento</t>
  </si>
  <si>
    <t>Fresno</t>
  </si>
  <si>
    <t>Susanville</t>
  </si>
  <si>
    <t>CONTRACTOR MARKUP</t>
  </si>
  <si>
    <t>MA Sensor</t>
  </si>
  <si>
    <t>OA Sensor (Dry Bulb)</t>
  </si>
  <si>
    <t>OA Sensor (Enthalpy)</t>
  </si>
  <si>
    <t>REQ'D</t>
  </si>
  <si>
    <t>RA Sensor (Dry Bulb)</t>
  </si>
  <si>
    <t>RA Sensor (Enthalpy)</t>
  </si>
  <si>
    <t>5% will use differential enthalpy</t>
  </si>
  <si>
    <t>15% will use enthalpy or differential enthalpy</t>
  </si>
  <si>
    <t>EXT</t>
  </si>
  <si>
    <t>This assumes 85% will use dry bulb or differential dry bulb</t>
  </si>
  <si>
    <t>10% will use differential dry bulb</t>
  </si>
  <si>
    <t>TOTAL</t>
  </si>
  <si>
    <t>ITEM</t>
  </si>
  <si>
    <t>REQ'd</t>
  </si>
  <si>
    <t>"DISCOUNT"</t>
  </si>
  <si>
    <t>Actuator Average</t>
  </si>
  <si>
    <t>Actuator</t>
  </si>
  <si>
    <t>OA Dry Bulb</t>
  </si>
  <si>
    <t>OA Enthalpy</t>
  </si>
  <si>
    <t>RA Dry Bulb</t>
  </si>
  <si>
    <t>RA Enthalpy</t>
  </si>
  <si>
    <t>Accessory for larger units - required for 2 speed fan, powered exhaust</t>
  </si>
  <si>
    <t>Energy Module</t>
  </si>
  <si>
    <t>Unit</t>
  </si>
  <si>
    <t>Base</t>
  </si>
  <si>
    <t>Cost data sourced from distributor</t>
  </si>
  <si>
    <t>Kits w/ actuator</t>
  </si>
  <si>
    <t>Control Components Only</t>
  </si>
  <si>
    <t>Retail Pricing w/ Acuator</t>
  </si>
  <si>
    <t>Controller</t>
  </si>
  <si>
    <t>Retail Pricing w/o Actuator</t>
  </si>
  <si>
    <t>MSRP provided by mfg. with a contractor discount applied</t>
  </si>
  <si>
    <t>Cost to contractor data provided by distributor with a contractor markup applied</t>
  </si>
  <si>
    <t>Typically actuator replacement is required and preferable. Package with actuator includes warranty.</t>
  </si>
  <si>
    <t>ADEC</t>
  </si>
  <si>
    <t>AVERAGE TOTAL COST</t>
  </si>
  <si>
    <t>Technology</t>
  </si>
  <si>
    <t>READI Index ID</t>
  </si>
  <si>
    <t>Match Pair</t>
  </si>
  <si>
    <t>Description</t>
  </si>
  <si>
    <t>Measure Type</t>
  </si>
  <si>
    <t>Sector</t>
  </si>
  <si>
    <t>Equipment Cost</t>
  </si>
  <si>
    <t>Labor Hours</t>
  </si>
  <si>
    <t>CA Average Labor Rate</t>
  </si>
  <si>
    <t>Labor Cost</t>
  </si>
  <si>
    <t>Misc. Costs</t>
  </si>
  <si>
    <t>Full Installed Cost</t>
  </si>
  <si>
    <t>Incremental Cost</t>
  </si>
  <si>
    <t>Equipment Cost per unit</t>
  </si>
  <si>
    <t>Labor Hours per unit</t>
  </si>
  <si>
    <t>Labor Cost per Unit</t>
  </si>
  <si>
    <t>Misc. Costs Per Unit</t>
  </si>
  <si>
    <t>Misc. Fixed Costs per Project</t>
  </si>
  <si>
    <t>Full Cost per Unit</t>
  </si>
  <si>
    <t>Incremental Cost per Unit</t>
  </si>
  <si>
    <t>Incremental Fixed Cost per Project</t>
  </si>
  <si>
    <t>Demand Control Ventilation</t>
  </si>
  <si>
    <t>Example Measures</t>
  </si>
  <si>
    <t>Basline</t>
  </si>
  <si>
    <t>No DCV</t>
  </si>
  <si>
    <t>AddOn</t>
  </si>
  <si>
    <t>Com</t>
  </si>
  <si>
    <t>Sensor</t>
  </si>
  <si>
    <t>-</t>
  </si>
  <si>
    <t>Measure</t>
  </si>
  <si>
    <t>Duct Mounted unit single zone</t>
  </si>
  <si>
    <t>Duct Mounted unit with Digital Display and VOC Sensor single zone</t>
  </si>
  <si>
    <t>Duct Mounted unit with Humidity Sensor single zone</t>
  </si>
  <si>
    <t>Duct Mounted unit with Temperature Sensor single zone</t>
  </si>
  <si>
    <t>Wall Mounted unit single zone</t>
  </si>
  <si>
    <t>Wall Mounted unit with Digital Display single zone</t>
  </si>
  <si>
    <t>Wall Mounted unit with Humidity Sensor single zone</t>
  </si>
  <si>
    <t>Wall Mounted unit with Temperature Sensor single zone</t>
  </si>
  <si>
    <t>Wall Mounted unit with Temperature Sensor and Digital Display single zone</t>
  </si>
  <si>
    <t>Wall Mounted unit with Temperature Sensor and Humidity Sensor single zone</t>
  </si>
  <si>
    <t>Wall Mounted unit with Temperature Sensor, Digital Display, and Humidity Sensor single zone</t>
  </si>
  <si>
    <t>Draft results from DEER Update Study 3/11/2014</t>
  </si>
  <si>
    <t>Add ADEC and CO2 sensor to XXX</t>
  </si>
  <si>
    <t>Tons</t>
  </si>
  <si>
    <t>*Typical Unit Size</t>
  </si>
  <si>
    <t>*Base Labor Rate</t>
  </si>
  <si>
    <t>*Base labor rate equivalent to rate used for Draft DEER Measure Cost Update Study</t>
  </si>
  <si>
    <t>Table G-1:  Statewide RSMeans Cost Indices Weighted by 2010-2012 HVAC Measure Claims</t>
  </si>
  <si>
    <r>
      <t>Material</t>
    </r>
    <r>
      <rPr>
        <b/>
        <vertAlign val="superscript"/>
        <sz val="11"/>
        <rFont val="Times New Roman"/>
        <family val="1"/>
      </rPr>
      <t>1</t>
    </r>
  </si>
  <si>
    <r>
      <t>Installation</t>
    </r>
    <r>
      <rPr>
        <b/>
        <vertAlign val="superscript"/>
        <sz val="11"/>
        <rFont val="Times New Roman"/>
        <family val="1"/>
      </rPr>
      <t>1</t>
    </r>
  </si>
  <si>
    <r>
      <t>Weights</t>
    </r>
    <r>
      <rPr>
        <b/>
        <vertAlign val="superscript"/>
        <sz val="11"/>
        <rFont val="Times New Roman"/>
        <family val="1"/>
      </rPr>
      <t>2</t>
    </r>
  </si>
  <si>
    <t>Weighted Material</t>
  </si>
  <si>
    <t>Weighted Installation</t>
  </si>
  <si>
    <t>Santa Barbara</t>
  </si>
  <si>
    <t>San Diego</t>
  </si>
  <si>
    <t>Santa Ana</t>
  </si>
  <si>
    <t>Los Angeles</t>
  </si>
  <si>
    <t>Riverside</t>
  </si>
  <si>
    <t>Mojave</t>
  </si>
  <si>
    <t>Palm Springs</t>
  </si>
  <si>
    <t>Average</t>
  </si>
  <si>
    <t>1 - Table 21, 22, 23 (Fire Suppression, Plumbing, &amp; HVAC) RSMeans MasterFormat City Cost Indexes, Year 2013 National Average Base</t>
  </si>
  <si>
    <t>2 - 2010-2012 Standard Program Tracking Data (all in-scope deemed HVAC claims)</t>
  </si>
  <si>
    <t>From Draft DEER Measure Cost Update:</t>
  </si>
  <si>
    <t>Measure Cost ($/unit)</t>
  </si>
  <si>
    <t>Labor Cost ($/unit)</t>
  </si>
  <si>
    <t>IMC
Incremental 
Measure
Cost ($/unit)</t>
  </si>
  <si>
    <t>Climate Zone Adjusted IMC Data</t>
  </si>
  <si>
    <t>difference from DEER</t>
  </si>
  <si>
    <t>% difference from DEER</t>
  </si>
  <si>
    <t>WEIGHTED AVERAGE</t>
  </si>
  <si>
    <t>Used in work paper</t>
  </si>
  <si>
    <t>*All motors are 230/460V 3ph NEMA Premium ODP. Prices as of 1/23/2012</t>
  </si>
  <si>
    <t>Mfg</t>
  </si>
  <si>
    <t>HP</t>
  </si>
  <si>
    <t>$</t>
  </si>
  <si>
    <t>$/hp</t>
  </si>
  <si>
    <t>WEG</t>
  </si>
  <si>
    <t>Grainger</t>
  </si>
  <si>
    <t>DAYTON</t>
  </si>
  <si>
    <t>1.5-5 HP</t>
  </si>
  <si>
    <t>AVG $/HP</t>
  </si>
  <si>
    <t>AVG $/Ton</t>
  </si>
  <si>
    <t>Assumed HP/Ton</t>
  </si>
  <si>
    <t>PMM Cost</t>
  </si>
  <si>
    <t>From NovaTorque's Website:</t>
  </si>
  <si>
    <t xml:space="preserve">NovaTorque’s unique geometry focuses the #ux produced by the </t>
  </si>
  <si>
    <t>Cost % Over NEMA</t>
  </si>
  <si>
    <t xml:space="preserve">permanent magnets, allowing NovaTorque to use readily available and </t>
  </si>
  <si>
    <t>$/HP</t>
  </si>
  <si>
    <t xml:space="preserve">far lower cost ferrite (versus rare earth) magnets.  NovaTorque motors </t>
  </si>
  <si>
    <t>$/Ton</t>
  </si>
  <si>
    <t xml:space="preserve">are generally priced within 20% to 30% of their NEMA Premium </t>
  </si>
  <si>
    <t xml:space="preserve">induction motor competition. </t>
  </si>
  <si>
    <t>Field Wiring Mtl</t>
  </si>
  <si>
    <t>NEMA Motor</t>
  </si>
  <si>
    <t>Average NEMA 3 HP motor</t>
  </si>
  <si>
    <t>PMM</t>
  </si>
  <si>
    <t>Average PMM 3 HP motor</t>
  </si>
  <si>
    <t>See Motor Costs for material; labor based on direct experience</t>
  </si>
  <si>
    <t>NEMA</t>
  </si>
  <si>
    <t>Item</t>
  </si>
  <si>
    <t>Cost ea.</t>
  </si>
  <si>
    <t>Qty.</t>
  </si>
  <si>
    <t>NEMA Premium Motor*</t>
  </si>
  <si>
    <t>PMM*</t>
  </si>
  <si>
    <t>Motor Install</t>
  </si>
  <si>
    <t>PMM Install</t>
  </si>
  <si>
    <t>Digital to Analog Speed Ctrl</t>
  </si>
  <si>
    <t>Acceptance Test</t>
  </si>
  <si>
    <t>Fixed Cost $</t>
  </si>
  <si>
    <t>Variable Cost $/TON</t>
  </si>
  <si>
    <t>Labor Cost $/ton</t>
  </si>
  <si>
    <t>Measure Cost $/ton</t>
  </si>
  <si>
    <t>Total Cost $*</t>
  </si>
  <si>
    <t>Cost/Ton (assumes 12.5 Ton avg.)</t>
  </si>
  <si>
    <t>*Assumes 3HP Motor on 12.5 Ton Unit</t>
  </si>
  <si>
    <t>VFD</t>
  </si>
  <si>
    <t>Average VFD controller cost for 3 HP motor, install and acceptance test</t>
  </si>
  <si>
    <t>See VFD for material and labor information</t>
  </si>
  <si>
    <t>i</t>
  </si>
  <si>
    <t>Add VFD to XXX with ADEC</t>
  </si>
  <si>
    <t>Add VFD and NEMA to XXX with ADEC</t>
  </si>
  <si>
    <t>Add VFD and PMM to XXX with ADEC</t>
  </si>
  <si>
    <t>Add VFD and ADEC to XXX</t>
  </si>
  <si>
    <t>Add VFD, NEMA, and ADEC to XXX</t>
  </si>
  <si>
    <t>Add VFD, PMM, and ADEC to XXX</t>
  </si>
  <si>
    <r>
      <rPr>
        <b/>
        <sz val="10"/>
        <rFont val="Arial"/>
        <family val="2"/>
      </rPr>
      <t xml:space="preserve">Explanation: </t>
    </r>
    <r>
      <rPr>
        <sz val="10"/>
        <rFont val="Arial"/>
        <family val="2"/>
      </rPr>
      <t xml:space="preserve">
This calculations in this worksheet were adapted from the original ENV work paper.
</t>
    </r>
    <r>
      <rPr>
        <b/>
        <sz val="10"/>
        <rFont val="Arial"/>
        <family val="2"/>
      </rPr>
      <t>Assumptions and notes:</t>
    </r>
    <r>
      <rPr>
        <sz val="10"/>
        <rFont val="Arial"/>
        <family val="2"/>
      </rPr>
      <t xml:space="preserve">
-*Costs listed assume 3HP motor, assumed typical of a 12.5 ton unit
-Costs for the VFD are based on Honeywell's manufacturer's suggest price and market prices.</t>
    </r>
  </si>
  <si>
    <t>VFD*</t>
  </si>
  <si>
    <t>VFD Install</t>
  </si>
  <si>
    <t>Unweighted*Typical Unit Cost/Ton</t>
  </si>
  <si>
    <t>From PGE3PHVC151 R4 measure cost data:</t>
  </si>
  <si>
    <t>Workpaper</t>
  </si>
  <si>
    <t>Measure Detail</t>
  </si>
  <si>
    <t>Rev</t>
  </si>
  <si>
    <t>Equipment Cost ($/ton)</t>
  </si>
  <si>
    <t>Labor Cost ($/ton)</t>
  </si>
  <si>
    <t>Total Cost ($/ton)</t>
  </si>
  <si>
    <t>PGE3PHVC151 – Economizer Repair</t>
  </si>
  <si>
    <t>Economizer Repair</t>
  </si>
  <si>
    <t>Non-ADEC</t>
  </si>
  <si>
    <t>R3</t>
  </si>
  <si>
    <t>R4</t>
  </si>
  <si>
    <t>PGE3PHVC151 R4 measure cost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</si>
</sst>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7" formatCode="&quot;$&quot;#,##0.00_);\(&quot;$&quot;#,##0.00\)"/>
    <numFmt numFmtId="44" formatCode="_(&quot;$&quot;* #,##0.00_);_(&quot;$&quot;* \(#,##0.00\);_(&quot;$&quot;* &quot;-&quot;??_);_(@_)"/>
    <numFmt numFmtId="164" formatCode="&quot;$&quot;#,##0"/>
    <numFmt numFmtId="165" formatCode="&quot;$&quot;#,##0.00"/>
    <numFmt numFmtId="166" formatCode="0.0000"/>
    <numFmt numFmtId="167" formatCode="0.0%"/>
  </numFmts>
  <fonts count="15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  <font>
      <b/>
      <sz val="14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1"/>
      <name val="Times New Roman"/>
      <family val="1"/>
    </font>
    <font>
      <b/>
      <vertAlign val="superscript"/>
      <sz val="11"/>
      <name val="Times New Roman"/>
      <family val="1"/>
    </font>
    <font>
      <sz val="8"/>
      <name val="Arial"/>
      <family val="2"/>
    </font>
    <font>
      <sz val="9"/>
      <color theme="1"/>
      <name val="Times New Roman"/>
      <family val="1"/>
    </font>
    <font>
      <sz val="10"/>
      <name val="Arial"/>
    </font>
    <font>
      <b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5" tint="0.79998168889431442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9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2" fillId="0" borderId="0"/>
    <xf numFmtId="4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</cellStyleXfs>
  <cellXfs count="164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Fill="1" applyBorder="1"/>
    <xf numFmtId="0" fontId="2" fillId="0" borderId="0" xfId="0" applyFont="1" applyFill="1" applyBorder="1"/>
    <xf numFmtId="9" fontId="0" fillId="0" borderId="0" xfId="1" applyFont="1"/>
    <xf numFmtId="9" fontId="0" fillId="0" borderId="0" xfId="0" applyNumberFormat="1"/>
    <xf numFmtId="0" fontId="2" fillId="0" borderId="0" xfId="0" applyFont="1" applyAlignment="1">
      <alignment wrapText="1"/>
    </xf>
    <xf numFmtId="0" fontId="2" fillId="2" borderId="0" xfId="0" applyFont="1" applyFill="1"/>
    <xf numFmtId="0" fontId="0" fillId="3" borderId="0" xfId="0" applyFill="1"/>
    <xf numFmtId="0" fontId="2" fillId="0" borderId="0" xfId="0" applyFont="1" applyFill="1" applyBorder="1" applyAlignment="1">
      <alignment wrapText="1"/>
    </xf>
    <xf numFmtId="0" fontId="3" fillId="0" borderId="0" xfId="0" applyFont="1" applyBorder="1"/>
    <xf numFmtId="164" fontId="0" fillId="0" borderId="0" xfId="0" applyNumberFormat="1" applyBorder="1"/>
    <xf numFmtId="0" fontId="0" fillId="0" borderId="0" xfId="0" applyBorder="1"/>
    <xf numFmtId="0" fontId="3" fillId="0" borderId="0" xfId="0" applyFont="1" applyAlignment="1">
      <alignment horizontal="right"/>
    </xf>
    <xf numFmtId="0" fontId="2" fillId="0" borderId="0" xfId="0" applyFont="1" applyBorder="1"/>
    <xf numFmtId="0" fontId="3" fillId="0" borderId="0" xfId="0" applyFont="1" applyBorder="1" applyAlignment="1">
      <alignment vertical="center"/>
    </xf>
    <xf numFmtId="0" fontId="5" fillId="0" borderId="0" xfId="0" applyFont="1"/>
    <xf numFmtId="0" fontId="0" fillId="0" borderId="4" xfId="0" applyBorder="1" applyAlignment="1">
      <alignment vertical="center"/>
    </xf>
    <xf numFmtId="0" fontId="0" fillId="0" borderId="9" xfId="0" applyBorder="1" applyAlignment="1">
      <alignment vertical="center" wrapText="1"/>
    </xf>
    <xf numFmtId="0" fontId="0" fillId="0" borderId="9" xfId="0" applyBorder="1" applyAlignment="1">
      <alignment vertical="center"/>
    </xf>
    <xf numFmtId="0" fontId="0" fillId="0" borderId="5" xfId="0" applyBorder="1" applyAlignment="1">
      <alignment vertical="center"/>
    </xf>
    <xf numFmtId="165" fontId="0" fillId="0" borderId="4" xfId="0" applyNumberFormat="1" applyBorder="1" applyAlignment="1">
      <alignment horizontal="right" vertical="center"/>
    </xf>
    <xf numFmtId="2" fontId="0" fillId="0" borderId="9" xfId="0" applyNumberFormat="1" applyBorder="1" applyAlignment="1">
      <alignment horizontal="right" vertical="center"/>
    </xf>
    <xf numFmtId="165" fontId="0" fillId="0" borderId="9" xfId="0" applyNumberFormat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6" borderId="6" xfId="0" applyFill="1" applyBorder="1" applyAlignment="1">
      <alignment horizontal="right" vertical="center"/>
    </xf>
    <xf numFmtId="0" fontId="0" fillId="6" borderId="0" xfId="0" applyFill="1" applyBorder="1" applyAlignment="1">
      <alignment horizontal="right" vertical="center"/>
    </xf>
    <xf numFmtId="0" fontId="0" fillId="6" borderId="7" xfId="0" applyFill="1" applyBorder="1" applyAlignment="1">
      <alignment horizontal="right"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 wrapText="1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165" fontId="0" fillId="0" borderId="18" xfId="0" applyNumberFormat="1" applyBorder="1" applyAlignment="1">
      <alignment horizontal="right" vertical="center"/>
    </xf>
    <xf numFmtId="2" fontId="0" fillId="0" borderId="19" xfId="0" applyNumberFormat="1" applyBorder="1" applyAlignment="1">
      <alignment horizontal="right" vertical="center"/>
    </xf>
    <xf numFmtId="165" fontId="0" fillId="0" borderId="19" xfId="0" applyNumberFormat="1" applyBorder="1" applyAlignment="1">
      <alignment horizontal="right" vertical="center"/>
    </xf>
    <xf numFmtId="165" fontId="0" fillId="0" borderId="20" xfId="0" applyNumberFormat="1" applyBorder="1" applyAlignment="1">
      <alignment horizontal="right" vertical="center"/>
    </xf>
    <xf numFmtId="0" fontId="0" fillId="3" borderId="18" xfId="0" applyFill="1" applyBorder="1" applyAlignment="1">
      <alignment vertical="center"/>
    </xf>
    <xf numFmtId="0" fontId="0" fillId="3" borderId="19" xfId="0" applyFill="1" applyBorder="1" applyAlignment="1">
      <alignment vertical="center" wrapText="1"/>
    </xf>
    <xf numFmtId="0" fontId="0" fillId="3" borderId="19" xfId="0" applyFill="1" applyBorder="1" applyAlignment="1">
      <alignment vertical="center"/>
    </xf>
    <xf numFmtId="0" fontId="0" fillId="3" borderId="20" xfId="0" applyFill="1" applyBorder="1" applyAlignment="1">
      <alignment vertical="center"/>
    </xf>
    <xf numFmtId="165" fontId="0" fillId="3" borderId="18" xfId="0" applyNumberFormat="1" applyFill="1" applyBorder="1" applyAlignment="1">
      <alignment horizontal="right" vertical="center"/>
    </xf>
    <xf numFmtId="2" fontId="0" fillId="3" borderId="19" xfId="0" applyNumberFormat="1" applyFill="1" applyBorder="1" applyAlignment="1">
      <alignment horizontal="right" vertical="center"/>
    </xf>
    <xf numFmtId="165" fontId="0" fillId="3" borderId="19" xfId="0" applyNumberFormat="1" applyFill="1" applyBorder="1" applyAlignment="1">
      <alignment horizontal="right" vertical="center"/>
    </xf>
    <xf numFmtId="165" fontId="0" fillId="3" borderId="20" xfId="0" applyNumberFormat="1" applyFill="1" applyBorder="1" applyAlignment="1">
      <alignment horizontal="right"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 wrapText="1"/>
    </xf>
    <xf numFmtId="0" fontId="0" fillId="0" borderId="22" xfId="0" applyBorder="1" applyAlignment="1">
      <alignment vertical="center"/>
    </xf>
    <xf numFmtId="0" fontId="0" fillId="0" borderId="23" xfId="0" applyBorder="1" applyAlignment="1">
      <alignment vertical="center"/>
    </xf>
    <xf numFmtId="165" fontId="0" fillId="0" borderId="21" xfId="0" applyNumberFormat="1" applyBorder="1" applyAlignment="1">
      <alignment horizontal="right" vertical="center"/>
    </xf>
    <xf numFmtId="2" fontId="0" fillId="0" borderId="22" xfId="0" applyNumberFormat="1" applyBorder="1" applyAlignment="1">
      <alignment horizontal="right" vertical="center"/>
    </xf>
    <xf numFmtId="165" fontId="0" fillId="0" borderId="22" xfId="0" applyNumberFormat="1" applyBorder="1" applyAlignment="1">
      <alignment horizontal="right" vertical="center"/>
    </xf>
    <xf numFmtId="165" fontId="0" fillId="0" borderId="23" xfId="0" applyNumberFormat="1" applyBorder="1" applyAlignment="1">
      <alignment horizontal="right" vertical="center"/>
    </xf>
    <xf numFmtId="0" fontId="0" fillId="6" borderId="2" xfId="0" applyFill="1" applyBorder="1" applyAlignment="1">
      <alignment horizontal="right" vertical="center"/>
    </xf>
    <xf numFmtId="0" fontId="0" fillId="6" borderId="3" xfId="0" applyFill="1" applyBorder="1" applyAlignment="1">
      <alignment horizontal="right" vertical="center"/>
    </xf>
    <xf numFmtId="0" fontId="0" fillId="6" borderId="8" xfId="0" applyFill="1" applyBorder="1" applyAlignment="1">
      <alignment horizontal="right" vertical="center"/>
    </xf>
    <xf numFmtId="0" fontId="2" fillId="0" borderId="24" xfId="0" applyFont="1" applyBorder="1"/>
    <xf numFmtId="2" fontId="0" fillId="0" borderId="24" xfId="0" applyNumberFormat="1" applyBorder="1"/>
    <xf numFmtId="0" fontId="3" fillId="0" borderId="26" xfId="0" applyFont="1" applyFill="1" applyBorder="1"/>
    <xf numFmtId="0" fontId="3" fillId="0" borderId="27" xfId="0" applyFont="1" applyFill="1" applyBorder="1"/>
    <xf numFmtId="0" fontId="3" fillId="0" borderId="28" xfId="0" applyFont="1" applyFill="1" applyBorder="1"/>
    <xf numFmtId="0" fontId="0" fillId="0" borderId="0" xfId="0" applyAlignment="1">
      <alignment wrapText="1"/>
    </xf>
    <xf numFmtId="2" fontId="0" fillId="0" borderId="0" xfId="0" applyNumberFormat="1" applyAlignment="1">
      <alignment wrapText="1"/>
    </xf>
    <xf numFmtId="0" fontId="2" fillId="3" borderId="0" xfId="0" applyFont="1" applyFill="1" applyAlignment="1">
      <alignment wrapText="1"/>
    </xf>
    <xf numFmtId="0" fontId="0" fillId="3" borderId="0" xfId="0" applyFill="1" applyAlignment="1">
      <alignment wrapText="1"/>
    </xf>
    <xf numFmtId="2" fontId="0" fillId="3" borderId="0" xfId="0" applyNumberFormat="1" applyFill="1" applyAlignment="1">
      <alignment wrapText="1"/>
    </xf>
    <xf numFmtId="2" fontId="0" fillId="0" borderId="0" xfId="0" applyNumberFormat="1" applyFill="1" applyAlignment="1">
      <alignment wrapText="1"/>
    </xf>
    <xf numFmtId="0" fontId="0" fillId="0" borderId="0" xfId="0" applyFill="1" applyBorder="1" applyAlignment="1">
      <alignment wrapText="1"/>
    </xf>
    <xf numFmtId="0" fontId="3" fillId="0" borderId="0" xfId="0" applyFont="1" applyFill="1" applyBorder="1" applyAlignment="1">
      <alignment wrapText="1"/>
    </xf>
    <xf numFmtId="2" fontId="2" fillId="0" borderId="0" xfId="0" applyNumberFormat="1" applyFont="1" applyFill="1" applyBorder="1" applyAlignment="1">
      <alignment wrapText="1"/>
    </xf>
    <xf numFmtId="2" fontId="0" fillId="0" borderId="0" xfId="0" applyNumberFormat="1" applyFill="1" applyBorder="1" applyAlignment="1">
      <alignment wrapText="1"/>
    </xf>
    <xf numFmtId="0" fontId="2" fillId="3" borderId="0" xfId="0" applyFont="1" applyFill="1" applyBorder="1" applyAlignment="1">
      <alignment wrapText="1"/>
    </xf>
    <xf numFmtId="2" fontId="0" fillId="3" borderId="0" xfId="0" applyNumberFormat="1" applyFill="1" applyBorder="1" applyAlignment="1">
      <alignment wrapText="1"/>
    </xf>
    <xf numFmtId="0" fontId="8" fillId="0" borderId="0" xfId="0" applyFont="1"/>
    <xf numFmtId="0" fontId="0" fillId="0" borderId="0" xfId="0" applyProtection="1">
      <protection locked="0"/>
    </xf>
    <xf numFmtId="0" fontId="9" fillId="4" borderId="29" xfId="0" applyFont="1" applyFill="1" applyBorder="1" applyAlignment="1">
      <alignment horizontal="center" vertical="center" wrapText="1"/>
    </xf>
    <xf numFmtId="0" fontId="9" fillId="4" borderId="19" xfId="0" applyFont="1" applyFill="1" applyBorder="1" applyAlignment="1">
      <alignment horizontal="center" vertical="center" wrapText="1"/>
    </xf>
    <xf numFmtId="1" fontId="11" fillId="7" borderId="19" xfId="3" applyNumberFormat="1" applyFont="1" applyFill="1" applyBorder="1" applyAlignment="1" applyProtection="1">
      <alignment horizontal="center"/>
      <protection locked="0"/>
    </xf>
    <xf numFmtId="0" fontId="11" fillId="7" borderId="19" xfId="3" applyFont="1" applyFill="1" applyBorder="1" applyProtection="1">
      <protection locked="0"/>
    </xf>
    <xf numFmtId="0" fontId="0" fillId="0" borderId="19" xfId="0" applyBorder="1" applyProtection="1">
      <protection locked="0"/>
    </xf>
    <xf numFmtId="166" fontId="0" fillId="0" borderId="19" xfId="0" applyNumberFormat="1" applyBorder="1" applyProtection="1">
      <protection locked="0"/>
    </xf>
    <xf numFmtId="0" fontId="11" fillId="7" borderId="19" xfId="3" applyFont="1" applyFill="1" applyBorder="1" applyAlignment="1" applyProtection="1">
      <alignment horizontal="center"/>
      <protection locked="0"/>
    </xf>
    <xf numFmtId="0" fontId="12" fillId="0" borderId="0" xfId="0" applyFont="1" applyBorder="1"/>
    <xf numFmtId="0" fontId="11" fillId="7" borderId="0" xfId="3" applyFont="1" applyFill="1" applyBorder="1" applyProtection="1">
      <protection locked="0"/>
    </xf>
    <xf numFmtId="0" fontId="0" fillId="0" borderId="0" xfId="0" applyBorder="1" applyProtection="1">
      <protection locked="0"/>
    </xf>
    <xf numFmtId="165" fontId="0" fillId="8" borderId="25" xfId="0" applyNumberFormat="1" applyFill="1" applyBorder="1" applyAlignment="1" applyProtection="1">
      <alignment horizontal="center" wrapText="1"/>
    </xf>
    <xf numFmtId="2" fontId="0" fillId="0" borderId="0" xfId="2" applyNumberFormat="1" applyFont="1"/>
    <xf numFmtId="167" fontId="0" fillId="0" borderId="0" xfId="1" applyNumberFormat="1" applyFont="1"/>
    <xf numFmtId="0" fontId="2" fillId="0" borderId="19" xfId="0" applyFont="1" applyBorder="1" applyProtection="1">
      <protection locked="0"/>
    </xf>
    <xf numFmtId="0" fontId="3" fillId="3" borderId="0" xfId="0" applyFont="1" applyFill="1" applyBorder="1"/>
    <xf numFmtId="0" fontId="3" fillId="3" borderId="0" xfId="0" applyFont="1" applyFill="1"/>
    <xf numFmtId="2" fontId="3" fillId="3" borderId="0" xfId="0" applyNumberFormat="1" applyFont="1" applyFill="1"/>
    <xf numFmtId="44" fontId="0" fillId="0" borderId="0" xfId="4" applyFont="1"/>
    <xf numFmtId="44" fontId="3" fillId="0" borderId="0" xfId="4" applyFont="1"/>
    <xf numFmtId="44" fontId="0" fillId="0" borderId="0" xfId="0" applyNumberFormat="1"/>
    <xf numFmtId="44" fontId="3" fillId="0" borderId="0" xfId="0" applyNumberFormat="1" applyFont="1"/>
    <xf numFmtId="9" fontId="3" fillId="0" borderId="0" xfId="5" applyFont="1"/>
    <xf numFmtId="0" fontId="3" fillId="0" borderId="30" xfId="0" applyFont="1" applyBorder="1"/>
    <xf numFmtId="0" fontId="3" fillId="0" borderId="31" xfId="0" applyFont="1" applyBorder="1"/>
    <xf numFmtId="0" fontId="3" fillId="0" borderId="32" xfId="0" applyFont="1" applyBorder="1"/>
    <xf numFmtId="164" fontId="3" fillId="0" borderId="31" xfId="0" applyNumberFormat="1" applyFont="1" applyBorder="1"/>
    <xf numFmtId="0" fontId="2" fillId="0" borderId="6" xfId="0" applyFont="1" applyBorder="1"/>
    <xf numFmtId="164" fontId="0" fillId="0" borderId="7" xfId="0" applyNumberFormat="1" applyBorder="1"/>
    <xf numFmtId="0" fontId="0" fillId="0" borderId="6" xfId="0" applyBorder="1"/>
    <xf numFmtId="0" fontId="2" fillId="0" borderId="2" xfId="0" applyFont="1" applyBorder="1"/>
    <xf numFmtId="164" fontId="0" fillId="0" borderId="3" xfId="0" applyNumberFormat="1" applyBorder="1"/>
    <xf numFmtId="0" fontId="0" fillId="0" borderId="3" xfId="0" applyBorder="1"/>
    <xf numFmtId="164" fontId="0" fillId="0" borderId="8" xfId="0" applyNumberFormat="1" applyBorder="1"/>
    <xf numFmtId="0" fontId="0" fillId="0" borderId="2" xfId="0" applyBorder="1"/>
    <xf numFmtId="0" fontId="2" fillId="0" borderId="33" xfId="0" applyFont="1" applyFill="1" applyBorder="1"/>
    <xf numFmtId="0" fontId="0" fillId="0" borderId="34" xfId="0" applyBorder="1"/>
    <xf numFmtId="164" fontId="0" fillId="0" borderId="34" xfId="0" applyNumberFormat="1" applyBorder="1"/>
    <xf numFmtId="164" fontId="0" fillId="0" borderId="35" xfId="0" applyNumberFormat="1" applyBorder="1"/>
    <xf numFmtId="0" fontId="2" fillId="0" borderId="2" xfId="0" quotePrefix="1" applyFont="1" applyBorder="1"/>
    <xf numFmtId="165" fontId="0" fillId="0" borderId="34" xfId="0" applyNumberFormat="1" applyBorder="1"/>
    <xf numFmtId="165" fontId="0" fillId="0" borderId="35" xfId="0" applyNumberFormat="1" applyBorder="1"/>
    <xf numFmtId="165" fontId="0" fillId="0" borderId="3" xfId="0" applyNumberFormat="1" applyBorder="1"/>
    <xf numFmtId="0" fontId="0" fillId="0" borderId="33" xfId="0" applyBorder="1"/>
    <xf numFmtId="165" fontId="0" fillId="0" borderId="0" xfId="0" applyNumberFormat="1"/>
    <xf numFmtId="0" fontId="2" fillId="0" borderId="0" xfId="0" applyFont="1" applyFill="1" applyBorder="1" applyAlignment="1"/>
    <xf numFmtId="7" fontId="0" fillId="0" borderId="24" xfId="2" applyNumberFormat="1" applyFont="1" applyFill="1" applyBorder="1" applyAlignment="1">
      <alignment horizontal="left"/>
    </xf>
    <xf numFmtId="2" fontId="0" fillId="0" borderId="24" xfId="0" applyNumberFormat="1" applyFill="1" applyBorder="1" applyAlignment="1">
      <alignment horizontal="center"/>
    </xf>
    <xf numFmtId="0" fontId="14" fillId="0" borderId="19" xfId="0" applyFont="1" applyBorder="1" applyAlignment="1">
      <alignment wrapText="1"/>
    </xf>
    <xf numFmtId="44" fontId="14" fillId="0" borderId="19" xfId="7" applyFont="1" applyBorder="1" applyAlignment="1">
      <alignment wrapText="1"/>
    </xf>
    <xf numFmtId="44" fontId="14" fillId="9" borderId="19" xfId="7" applyFont="1" applyFill="1" applyBorder="1" applyAlignment="1">
      <alignment wrapText="1"/>
    </xf>
    <xf numFmtId="0" fontId="0" fillId="0" borderId="19" xfId="0" applyFont="1" applyBorder="1" applyAlignment="1">
      <alignment vertical="center"/>
    </xf>
    <xf numFmtId="0" fontId="0" fillId="0" borderId="19" xfId="0" applyBorder="1"/>
    <xf numFmtId="44" fontId="0" fillId="0" borderId="19" xfId="7" applyFont="1" applyBorder="1"/>
    <xf numFmtId="44" fontId="0" fillId="9" borderId="19" xfId="7" applyFont="1" applyFill="1" applyBorder="1"/>
    <xf numFmtId="0" fontId="0" fillId="0" borderId="19" xfId="0" applyFont="1" applyBorder="1" applyAlignment="1">
      <alignment vertical="center"/>
    </xf>
    <xf numFmtId="0" fontId="2" fillId="0" borderId="0" xfId="0" applyFont="1" applyBorder="1" applyAlignment="1">
      <alignment horizont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9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7" fillId="6" borderId="11" xfId="0" applyFont="1" applyFill="1" applyBorder="1" applyAlignment="1">
      <alignment horizontal="center" vertical="center"/>
    </xf>
    <xf numFmtId="0" fontId="7" fillId="6" borderId="15" xfId="0" applyFont="1" applyFill="1" applyBorder="1" applyAlignment="1">
      <alignment horizontal="center" vertical="center"/>
    </xf>
    <xf numFmtId="165" fontId="7" fillId="6" borderId="11" xfId="0" applyNumberFormat="1" applyFont="1" applyFill="1" applyBorder="1" applyAlignment="1">
      <alignment horizontal="center" vertical="center" wrapText="1"/>
    </xf>
    <xf numFmtId="165" fontId="7" fillId="6" borderId="15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/>
    </xf>
    <xf numFmtId="0" fontId="6" fillId="5" borderId="2" xfId="0" applyFont="1" applyFill="1" applyBorder="1" applyAlignment="1">
      <alignment horizontal="left" vertical="center"/>
    </xf>
    <xf numFmtId="0" fontId="7" fillId="6" borderId="1" xfId="0" applyFont="1" applyFill="1" applyBorder="1" applyAlignment="1">
      <alignment horizontal="left" vertical="center"/>
    </xf>
    <xf numFmtId="0" fontId="7" fillId="6" borderId="2" xfId="0" applyFont="1" applyFill="1" applyBorder="1" applyAlignment="1">
      <alignment horizontal="left" vertical="center"/>
    </xf>
    <xf numFmtId="0" fontId="7" fillId="6" borderId="10" xfId="0" applyFont="1" applyFill="1" applyBorder="1" applyAlignment="1">
      <alignment horizontal="left" vertical="center" wrapText="1"/>
    </xf>
    <xf numFmtId="0" fontId="7" fillId="6" borderId="14" xfId="0" applyFont="1" applyFill="1" applyBorder="1" applyAlignment="1">
      <alignment horizontal="left" vertical="center" wrapText="1"/>
    </xf>
    <xf numFmtId="0" fontId="7" fillId="6" borderId="11" xfId="0" applyFont="1" applyFill="1" applyBorder="1" applyAlignment="1">
      <alignment horizontal="left" vertical="center"/>
    </xf>
    <xf numFmtId="0" fontId="7" fillId="6" borderId="15" xfId="0" applyFont="1" applyFill="1" applyBorder="1" applyAlignment="1">
      <alignment horizontal="left" vertical="center"/>
    </xf>
    <xf numFmtId="0" fontId="7" fillId="6" borderId="11" xfId="0" applyFont="1" applyFill="1" applyBorder="1" applyAlignment="1">
      <alignment horizontal="left" vertical="center" wrapText="1"/>
    </xf>
    <xf numFmtId="0" fontId="7" fillId="6" borderId="15" xfId="0" applyFont="1" applyFill="1" applyBorder="1" applyAlignment="1">
      <alignment horizontal="left" vertical="center" wrapText="1"/>
    </xf>
    <xf numFmtId="0" fontId="7" fillId="6" borderId="11" xfId="0" applyFont="1" applyFill="1" applyBorder="1" applyAlignment="1">
      <alignment horizontal="center" vertical="center" wrapText="1"/>
    </xf>
    <xf numFmtId="0" fontId="7" fillId="6" borderId="15" xfId="0" applyFont="1" applyFill="1" applyBorder="1" applyAlignment="1">
      <alignment horizontal="center" vertical="center" wrapText="1"/>
    </xf>
    <xf numFmtId="0" fontId="7" fillId="6" borderId="13" xfId="0" applyFont="1" applyFill="1" applyBorder="1" applyAlignment="1">
      <alignment horizontal="center" vertical="center" wrapText="1"/>
    </xf>
    <xf numFmtId="0" fontId="7" fillId="6" borderId="17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6" xfId="0" applyFont="1" applyFill="1" applyBorder="1" applyAlignment="1">
      <alignment horizontal="left" vertical="center" wrapText="1"/>
    </xf>
    <xf numFmtId="0" fontId="6" fillId="5" borderId="2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7" fillId="6" borderId="10" xfId="0" applyFont="1" applyFill="1" applyBorder="1" applyAlignment="1">
      <alignment horizontal="center" vertical="center" wrapText="1"/>
    </xf>
    <xf numFmtId="0" fontId="7" fillId="6" borderId="14" xfId="0" applyFont="1" applyFill="1" applyBorder="1" applyAlignment="1">
      <alignment horizontal="center" vertical="center" wrapText="1"/>
    </xf>
    <xf numFmtId="0" fontId="7" fillId="6" borderId="12" xfId="0" applyFont="1" applyFill="1" applyBorder="1" applyAlignment="1">
      <alignment horizontal="left" vertical="center"/>
    </xf>
    <xf numFmtId="0" fontId="7" fillId="6" borderId="16" xfId="0" applyFont="1" applyFill="1" applyBorder="1" applyAlignment="1">
      <alignment horizontal="left" vertical="center"/>
    </xf>
    <xf numFmtId="2" fontId="7" fillId="6" borderId="11" xfId="0" applyNumberFormat="1" applyFont="1" applyFill="1" applyBorder="1" applyAlignment="1">
      <alignment horizontal="center" vertical="center" wrapText="1"/>
    </xf>
    <xf numFmtId="2" fontId="7" fillId="6" borderId="15" xfId="0" applyNumberFormat="1" applyFont="1" applyFill="1" applyBorder="1" applyAlignment="1">
      <alignment horizontal="center" vertical="center" wrapText="1"/>
    </xf>
  </cellXfs>
  <cellStyles count="8">
    <cellStyle name="Currency" xfId="2" builtinId="4"/>
    <cellStyle name="Currency 2" xfId="4" xr:uid="{00000000-0005-0000-0000-000001000000}"/>
    <cellStyle name="Currency 3" xfId="7" xr:uid="{DFA4785D-6446-4297-AE89-BD49C9B35B9C}"/>
    <cellStyle name="Normal" xfId="0" builtinId="0"/>
    <cellStyle name="Normal 2" xfId="6" xr:uid="{00000000-0005-0000-0000-000003000000}"/>
    <cellStyle name="Normal 6" xfId="3" xr:uid="{00000000-0005-0000-0000-000004000000}"/>
    <cellStyle name="Percent" xfId="1" builtinId="5"/>
    <cellStyle name="Percent 2" xfId="5" xr:uid="{00000000-0005-0000-0000-000006000000}"/>
  </cellStyles>
  <dxfs count="0"/>
  <tableStyles count="0" defaultTableStyle="TableStyleMedium2" defaultPivotStyle="PivotStyleLight16"/>
  <colors>
    <mruColors>
      <color rgb="FFFFF8D9"/>
      <color rgb="FFFFF0B3"/>
      <color rgb="FFF7ECA9"/>
      <color rgb="FFFCFAA4"/>
      <color rgb="FFFBF1A3"/>
      <color rgb="FFF6E040"/>
      <color rgb="FFFFFFCC"/>
      <color rgb="FFFCE74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419100</xdr:colOff>
      <xdr:row>27</xdr:row>
      <xdr:rowOff>19050</xdr:rowOff>
    </xdr:from>
    <xdr:to>
      <xdr:col>7</xdr:col>
      <xdr:colOff>180279</xdr:colOff>
      <xdr:row>50</xdr:row>
      <xdr:rowOff>57150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35884" b="10221"/>
        <a:stretch/>
      </xdr:blipFill>
      <xdr:spPr>
        <a:xfrm>
          <a:off x="8667750" y="180975"/>
          <a:ext cx="5571429" cy="3762375"/>
        </a:xfrm>
        <a:prstGeom prst="rect">
          <a:avLst/>
        </a:prstGeom>
      </xdr:spPr>
    </xdr:pic>
    <xdr:clientData/>
  </xdr:twoCellAnchor>
  <xdr:twoCellAnchor>
    <xdr:from>
      <xdr:col>1</xdr:col>
      <xdr:colOff>190500</xdr:colOff>
      <xdr:row>29</xdr:row>
      <xdr:rowOff>0</xdr:rowOff>
    </xdr:from>
    <xdr:to>
      <xdr:col>2</xdr:col>
      <xdr:colOff>476250</xdr:colOff>
      <xdr:row>29</xdr:row>
      <xdr:rowOff>85725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9048750" y="485775"/>
          <a:ext cx="895350" cy="85725"/>
        </a:xfrm>
        <a:prstGeom prst="rect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190500</xdr:colOff>
      <xdr:row>31</xdr:row>
      <xdr:rowOff>76200</xdr:rowOff>
    </xdr:from>
    <xdr:to>
      <xdr:col>2</xdr:col>
      <xdr:colOff>476250</xdr:colOff>
      <xdr:row>32</xdr:row>
      <xdr:rowOff>0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9048750" y="885825"/>
          <a:ext cx="895350" cy="85725"/>
        </a:xfrm>
        <a:prstGeom prst="rect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 b="1"/>
        </a:p>
      </xdr:txBody>
    </xdr:sp>
    <xdr:clientData/>
  </xdr:twoCellAnchor>
  <xdr:twoCellAnchor>
    <xdr:from>
      <xdr:col>1</xdr:col>
      <xdr:colOff>190500</xdr:colOff>
      <xdr:row>32</xdr:row>
      <xdr:rowOff>104775</xdr:rowOff>
    </xdr:from>
    <xdr:to>
      <xdr:col>2</xdr:col>
      <xdr:colOff>476250</xdr:colOff>
      <xdr:row>33</xdr:row>
      <xdr:rowOff>28575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9048750" y="1076325"/>
          <a:ext cx="895350" cy="85725"/>
        </a:xfrm>
        <a:prstGeom prst="rect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190500</xdr:colOff>
      <xdr:row>33</xdr:row>
      <xdr:rowOff>142875</xdr:rowOff>
    </xdr:from>
    <xdr:to>
      <xdr:col>2</xdr:col>
      <xdr:colOff>476250</xdr:colOff>
      <xdr:row>34</xdr:row>
      <xdr:rowOff>66675</xdr:rowOff>
    </xdr:to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>
          <a:off x="9048750" y="1276350"/>
          <a:ext cx="895350" cy="85725"/>
        </a:xfrm>
        <a:prstGeom prst="rect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190500</xdr:colOff>
      <xdr:row>35</xdr:row>
      <xdr:rowOff>9525</xdr:rowOff>
    </xdr:from>
    <xdr:to>
      <xdr:col>2</xdr:col>
      <xdr:colOff>476250</xdr:colOff>
      <xdr:row>35</xdr:row>
      <xdr:rowOff>95250</xdr:rowOff>
    </xdr:to>
    <xdr:sp macro="" textlink="">
      <xdr:nvSpPr>
        <xdr:cNvPr id="8" name="Rectangle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/>
      </xdr:nvSpPr>
      <xdr:spPr>
        <a:xfrm>
          <a:off x="9048750" y="1466850"/>
          <a:ext cx="895350" cy="85725"/>
        </a:xfrm>
        <a:prstGeom prst="rect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190500</xdr:colOff>
      <xdr:row>36</xdr:row>
      <xdr:rowOff>47625</xdr:rowOff>
    </xdr:from>
    <xdr:to>
      <xdr:col>2</xdr:col>
      <xdr:colOff>476250</xdr:colOff>
      <xdr:row>36</xdr:row>
      <xdr:rowOff>133350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/>
      </xdr:nvSpPr>
      <xdr:spPr>
        <a:xfrm>
          <a:off x="9048750" y="1666875"/>
          <a:ext cx="895350" cy="85725"/>
        </a:xfrm>
        <a:prstGeom prst="rect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171450</xdr:colOff>
      <xdr:row>40</xdr:row>
      <xdr:rowOff>66675</xdr:rowOff>
    </xdr:from>
    <xdr:to>
      <xdr:col>2</xdr:col>
      <xdr:colOff>457200</xdr:colOff>
      <xdr:row>40</xdr:row>
      <xdr:rowOff>152400</xdr:rowOff>
    </xdr:to>
    <xdr:sp macro="" textlink="">
      <xdr:nvSpPr>
        <xdr:cNvPr id="10" name="Rectangle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>
          <a:off x="9029700" y="2333625"/>
          <a:ext cx="895350" cy="85725"/>
        </a:xfrm>
        <a:prstGeom prst="rect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161925</xdr:colOff>
      <xdr:row>42</xdr:row>
      <xdr:rowOff>142875</xdr:rowOff>
    </xdr:from>
    <xdr:to>
      <xdr:col>2</xdr:col>
      <xdr:colOff>447675</xdr:colOff>
      <xdr:row>43</xdr:row>
      <xdr:rowOff>66675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9020175" y="2733675"/>
          <a:ext cx="895350" cy="85725"/>
        </a:xfrm>
        <a:prstGeom prst="rect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171450</xdr:colOff>
      <xdr:row>41</xdr:row>
      <xdr:rowOff>114300</xdr:rowOff>
    </xdr:from>
    <xdr:to>
      <xdr:col>2</xdr:col>
      <xdr:colOff>457200</xdr:colOff>
      <xdr:row>42</xdr:row>
      <xdr:rowOff>38100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9029700" y="2543175"/>
          <a:ext cx="895350" cy="85725"/>
        </a:xfrm>
        <a:prstGeom prst="rect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190500</xdr:colOff>
      <xdr:row>30</xdr:row>
      <xdr:rowOff>38100</xdr:rowOff>
    </xdr:from>
    <xdr:to>
      <xdr:col>2</xdr:col>
      <xdr:colOff>476250</xdr:colOff>
      <xdr:row>30</xdr:row>
      <xdr:rowOff>123825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/>
      </xdr:nvSpPr>
      <xdr:spPr>
        <a:xfrm>
          <a:off x="9048750" y="685800"/>
          <a:ext cx="895350" cy="85725"/>
        </a:xfrm>
        <a:prstGeom prst="rect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190500</xdr:colOff>
      <xdr:row>29</xdr:row>
      <xdr:rowOff>95250</xdr:rowOff>
    </xdr:from>
    <xdr:to>
      <xdr:col>2</xdr:col>
      <xdr:colOff>47625</xdr:colOff>
      <xdr:row>30</xdr:row>
      <xdr:rowOff>57150</xdr:rowOff>
    </xdr:to>
    <xdr:sp macro="" textlink="">
      <xdr:nvSpPr>
        <xdr:cNvPr id="14" name="Rectangle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/>
      </xdr:nvSpPr>
      <xdr:spPr>
        <a:xfrm>
          <a:off x="9048750" y="581025"/>
          <a:ext cx="466725" cy="123825"/>
        </a:xfrm>
        <a:prstGeom prst="rect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190500</xdr:colOff>
      <xdr:row>30</xdr:row>
      <xdr:rowOff>114300</xdr:rowOff>
    </xdr:from>
    <xdr:to>
      <xdr:col>2</xdr:col>
      <xdr:colOff>47625</xdr:colOff>
      <xdr:row>31</xdr:row>
      <xdr:rowOff>76200</xdr:rowOff>
    </xdr:to>
    <xdr:sp macro="" textlink="">
      <xdr:nvSpPr>
        <xdr:cNvPr id="15" name="Rectangle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/>
      </xdr:nvSpPr>
      <xdr:spPr>
        <a:xfrm>
          <a:off x="9048750" y="762000"/>
          <a:ext cx="466725" cy="123825"/>
        </a:xfrm>
        <a:prstGeom prst="rect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190500</xdr:colOff>
      <xdr:row>32</xdr:row>
      <xdr:rowOff>19050</xdr:rowOff>
    </xdr:from>
    <xdr:to>
      <xdr:col>2</xdr:col>
      <xdr:colOff>47625</xdr:colOff>
      <xdr:row>32</xdr:row>
      <xdr:rowOff>142875</xdr:rowOff>
    </xdr:to>
    <xdr:sp macro="" textlink="">
      <xdr:nvSpPr>
        <xdr:cNvPr id="16" name="Rectangle 15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/>
      </xdr:nvSpPr>
      <xdr:spPr>
        <a:xfrm>
          <a:off x="9048750" y="990600"/>
          <a:ext cx="466725" cy="123825"/>
        </a:xfrm>
        <a:prstGeom prst="rect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190500</xdr:colOff>
      <xdr:row>33</xdr:row>
      <xdr:rowOff>28575</xdr:rowOff>
    </xdr:from>
    <xdr:to>
      <xdr:col>2</xdr:col>
      <xdr:colOff>47625</xdr:colOff>
      <xdr:row>33</xdr:row>
      <xdr:rowOff>152400</xdr:rowOff>
    </xdr:to>
    <xdr:sp macro="" textlink="">
      <xdr:nvSpPr>
        <xdr:cNvPr id="17" name="Rectangle 16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/>
      </xdr:nvSpPr>
      <xdr:spPr>
        <a:xfrm>
          <a:off x="9048750" y="1162050"/>
          <a:ext cx="466725" cy="123825"/>
        </a:xfrm>
        <a:prstGeom prst="rect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190500</xdr:colOff>
      <xdr:row>34</xdr:row>
      <xdr:rowOff>76200</xdr:rowOff>
    </xdr:from>
    <xdr:to>
      <xdr:col>2</xdr:col>
      <xdr:colOff>47625</xdr:colOff>
      <xdr:row>35</xdr:row>
      <xdr:rowOff>38100</xdr:rowOff>
    </xdr:to>
    <xdr:sp macro="" textlink="">
      <xdr:nvSpPr>
        <xdr:cNvPr id="18" name="Rectangle 17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/>
      </xdr:nvSpPr>
      <xdr:spPr>
        <a:xfrm>
          <a:off x="9048750" y="1371600"/>
          <a:ext cx="466725" cy="123825"/>
        </a:xfrm>
        <a:prstGeom prst="rect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190500</xdr:colOff>
      <xdr:row>35</xdr:row>
      <xdr:rowOff>95250</xdr:rowOff>
    </xdr:from>
    <xdr:to>
      <xdr:col>2</xdr:col>
      <xdr:colOff>47625</xdr:colOff>
      <xdr:row>36</xdr:row>
      <xdr:rowOff>57150</xdr:rowOff>
    </xdr:to>
    <xdr:sp macro="" textlink="">
      <xdr:nvSpPr>
        <xdr:cNvPr id="19" name="Rectangle 18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/>
      </xdr:nvSpPr>
      <xdr:spPr>
        <a:xfrm>
          <a:off x="9048750" y="1552575"/>
          <a:ext cx="466725" cy="123825"/>
        </a:xfrm>
        <a:prstGeom prst="rect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190500</xdr:colOff>
      <xdr:row>36</xdr:row>
      <xdr:rowOff>104775</xdr:rowOff>
    </xdr:from>
    <xdr:to>
      <xdr:col>2</xdr:col>
      <xdr:colOff>47625</xdr:colOff>
      <xdr:row>37</xdr:row>
      <xdr:rowOff>66675</xdr:rowOff>
    </xdr:to>
    <xdr:sp macro="" textlink="">
      <xdr:nvSpPr>
        <xdr:cNvPr id="20" name="Rectangle 19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/>
      </xdr:nvSpPr>
      <xdr:spPr>
        <a:xfrm>
          <a:off x="9048750" y="1724025"/>
          <a:ext cx="466725" cy="123825"/>
        </a:xfrm>
        <a:prstGeom prst="rect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161926</xdr:colOff>
      <xdr:row>43</xdr:row>
      <xdr:rowOff>85725</xdr:rowOff>
    </xdr:from>
    <xdr:to>
      <xdr:col>1</xdr:col>
      <xdr:colOff>400050</xdr:colOff>
      <xdr:row>43</xdr:row>
      <xdr:rowOff>152400</xdr:rowOff>
    </xdr:to>
    <xdr:sp macro="" textlink="">
      <xdr:nvSpPr>
        <xdr:cNvPr id="21" name="Rectangle 20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SpPr/>
      </xdr:nvSpPr>
      <xdr:spPr>
        <a:xfrm>
          <a:off x="9020176" y="2838450"/>
          <a:ext cx="238124" cy="66675"/>
        </a:xfrm>
        <a:prstGeom prst="rect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</xdr:col>
      <xdr:colOff>0</xdr:colOff>
      <xdr:row>40</xdr:row>
      <xdr:rowOff>152401</xdr:rowOff>
    </xdr:from>
    <xdr:to>
      <xdr:col>2</xdr:col>
      <xdr:colOff>371475</xdr:colOff>
      <xdr:row>41</xdr:row>
      <xdr:rowOff>123826</xdr:rowOff>
    </xdr:to>
    <xdr:sp macro="" textlink="">
      <xdr:nvSpPr>
        <xdr:cNvPr id="22" name="Rectangle 21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SpPr/>
      </xdr:nvSpPr>
      <xdr:spPr>
        <a:xfrm>
          <a:off x="9467850" y="2419351"/>
          <a:ext cx="371475" cy="133350"/>
        </a:xfrm>
        <a:prstGeom prst="rect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161925</xdr:colOff>
      <xdr:row>45</xdr:row>
      <xdr:rowOff>152400</xdr:rowOff>
    </xdr:from>
    <xdr:to>
      <xdr:col>2</xdr:col>
      <xdr:colOff>447675</xdr:colOff>
      <xdr:row>46</xdr:row>
      <xdr:rowOff>76200</xdr:rowOff>
    </xdr:to>
    <xdr:sp macro="" textlink="">
      <xdr:nvSpPr>
        <xdr:cNvPr id="23" name="Rectangle 22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SpPr/>
      </xdr:nvSpPr>
      <xdr:spPr>
        <a:xfrm>
          <a:off x="9020175" y="3228975"/>
          <a:ext cx="895350" cy="85725"/>
        </a:xfrm>
        <a:prstGeom prst="rect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198783</xdr:colOff>
      <xdr:row>31</xdr:row>
      <xdr:rowOff>66261</xdr:rowOff>
    </xdr:from>
    <xdr:to>
      <xdr:col>7</xdr:col>
      <xdr:colOff>497517</xdr:colOff>
      <xdr:row>54</xdr:row>
      <xdr:rowOff>7065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grayscl/>
        </a:blip>
        <a:srcRect l="8761" t="43027"/>
        <a:stretch/>
      </xdr:blipFill>
      <xdr:spPr>
        <a:xfrm>
          <a:off x="6924261" y="397565"/>
          <a:ext cx="5003256" cy="3750804"/>
        </a:xfrm>
        <a:prstGeom prst="rect">
          <a:avLst/>
        </a:prstGeom>
      </xdr:spPr>
    </xdr:pic>
    <xdr:clientData/>
  </xdr:twoCellAnchor>
  <xdr:twoCellAnchor editAs="oneCell">
    <xdr:from>
      <xdr:col>1</xdr:col>
      <xdr:colOff>463826</xdr:colOff>
      <xdr:row>55</xdr:row>
      <xdr:rowOff>91108</xdr:rowOff>
    </xdr:from>
    <xdr:to>
      <xdr:col>6</xdr:col>
      <xdr:colOff>378721</xdr:colOff>
      <xdr:row>78</xdr:row>
      <xdr:rowOff>150553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grayscl/>
        </a:blip>
        <a:srcRect l="20141" t="21769"/>
        <a:stretch/>
      </xdr:blipFill>
      <xdr:spPr>
        <a:xfrm>
          <a:off x="12117456" y="422412"/>
          <a:ext cx="4006504" cy="3869445"/>
        </a:xfrm>
        <a:prstGeom prst="rect">
          <a:avLst/>
        </a:prstGeom>
      </xdr:spPr>
    </xdr:pic>
    <xdr:clientData/>
  </xdr:twoCellAnchor>
  <xdr:twoCellAnchor>
    <xdr:from>
      <xdr:col>1</xdr:col>
      <xdr:colOff>1143000</xdr:colOff>
      <xdr:row>50</xdr:row>
      <xdr:rowOff>49696</xdr:rowOff>
    </xdr:from>
    <xdr:to>
      <xdr:col>2</xdr:col>
      <xdr:colOff>347870</xdr:colOff>
      <xdr:row>50</xdr:row>
      <xdr:rowOff>149087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7868478" y="3528392"/>
          <a:ext cx="455544" cy="99391"/>
        </a:xfrm>
        <a:prstGeom prst="rect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1146313</xdr:colOff>
      <xdr:row>45</xdr:row>
      <xdr:rowOff>36444</xdr:rowOff>
    </xdr:from>
    <xdr:to>
      <xdr:col>2</xdr:col>
      <xdr:colOff>351183</xdr:colOff>
      <xdr:row>45</xdr:row>
      <xdr:rowOff>135835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/>
      </xdr:nvSpPr>
      <xdr:spPr>
        <a:xfrm>
          <a:off x="7871791" y="2686879"/>
          <a:ext cx="455544" cy="99391"/>
        </a:xfrm>
        <a:prstGeom prst="rect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279953</xdr:colOff>
      <xdr:row>38</xdr:row>
      <xdr:rowOff>23191</xdr:rowOff>
    </xdr:from>
    <xdr:to>
      <xdr:col>1</xdr:col>
      <xdr:colOff>735497</xdr:colOff>
      <xdr:row>40</xdr:row>
      <xdr:rowOff>132522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/>
      </xdr:nvSpPr>
      <xdr:spPr>
        <a:xfrm>
          <a:off x="7005431" y="1514061"/>
          <a:ext cx="455544" cy="440635"/>
        </a:xfrm>
        <a:prstGeom prst="rect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266701</xdr:colOff>
      <xdr:row>43</xdr:row>
      <xdr:rowOff>142462</xdr:rowOff>
    </xdr:from>
    <xdr:to>
      <xdr:col>1</xdr:col>
      <xdr:colOff>969065</xdr:colOff>
      <xdr:row>53</xdr:row>
      <xdr:rowOff>16565</xdr:rowOff>
    </xdr:to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/>
      </xdr:nvSpPr>
      <xdr:spPr>
        <a:xfrm>
          <a:off x="6992179" y="2461592"/>
          <a:ext cx="702364" cy="1530625"/>
        </a:xfrm>
        <a:prstGeom prst="rect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4</xdr:col>
      <xdr:colOff>568188</xdr:colOff>
      <xdr:row>32</xdr:row>
      <xdr:rowOff>62949</xdr:rowOff>
    </xdr:from>
    <xdr:to>
      <xdr:col>5</xdr:col>
      <xdr:colOff>306457</xdr:colOff>
      <xdr:row>33</xdr:row>
      <xdr:rowOff>0</xdr:rowOff>
    </xdr:to>
    <xdr:sp macro="" textlink="">
      <xdr:nvSpPr>
        <xdr:cNvPr id="8" name="Rectangle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/>
      </xdr:nvSpPr>
      <xdr:spPr>
        <a:xfrm>
          <a:off x="9770166" y="559906"/>
          <a:ext cx="351182" cy="102703"/>
        </a:xfrm>
        <a:prstGeom prst="rect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510210</xdr:colOff>
      <xdr:row>55</xdr:row>
      <xdr:rowOff>104363</xdr:rowOff>
    </xdr:from>
    <xdr:to>
      <xdr:col>2</xdr:col>
      <xdr:colOff>599661</xdr:colOff>
      <xdr:row>55</xdr:row>
      <xdr:rowOff>157370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/>
      </xdr:nvSpPr>
      <xdr:spPr>
        <a:xfrm>
          <a:off x="12163840" y="435667"/>
          <a:ext cx="702364" cy="53007"/>
        </a:xfrm>
        <a:prstGeom prst="rect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496958</xdr:colOff>
      <xdr:row>70</xdr:row>
      <xdr:rowOff>16567</xdr:rowOff>
    </xdr:from>
    <xdr:to>
      <xdr:col>2</xdr:col>
      <xdr:colOff>586409</xdr:colOff>
      <xdr:row>70</xdr:row>
      <xdr:rowOff>69574</xdr:rowOff>
    </xdr:to>
    <xdr:sp macro="" textlink="">
      <xdr:nvSpPr>
        <xdr:cNvPr id="10" name="Rectangle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/>
      </xdr:nvSpPr>
      <xdr:spPr>
        <a:xfrm>
          <a:off x="12150588" y="2832654"/>
          <a:ext cx="702364" cy="53007"/>
        </a:xfrm>
        <a:prstGeom prst="rect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I160"/>
  <sheetViews>
    <sheetView tabSelected="1" topLeftCell="A32" zoomScale="90" zoomScaleNormal="90" workbookViewId="0">
      <selection activeCell="D138" sqref="D138"/>
    </sheetView>
  </sheetViews>
  <sheetFormatPr defaultRowHeight="12.75" x14ac:dyDescent="0.2"/>
  <cols>
    <col min="1" max="1" width="24.42578125" customWidth="1"/>
    <col min="2" max="2" width="33.85546875" customWidth="1"/>
    <col min="3" max="3" width="34.28515625" bestFit="1" customWidth="1"/>
    <col min="4" max="5" width="10.5703125" bestFit="1" customWidth="1"/>
    <col min="6" max="6" width="22.42578125" customWidth="1"/>
    <col min="7" max="7" width="72.28515625" bestFit="1" customWidth="1"/>
    <col min="9" max="9" width="21.140625" customWidth="1"/>
    <col min="11" max="12" width="27" bestFit="1" customWidth="1"/>
    <col min="13" max="13" width="15" bestFit="1" customWidth="1"/>
  </cols>
  <sheetData>
    <row r="3" spans="2:7" x14ac:dyDescent="0.2">
      <c r="B3" s="2" t="s">
        <v>55</v>
      </c>
      <c r="C3" s="14" t="s">
        <v>102</v>
      </c>
      <c r="D3" s="2">
        <v>86.93</v>
      </c>
      <c r="G3" s="1"/>
    </row>
    <row r="4" spans="2:7" x14ac:dyDescent="0.2">
      <c r="C4" s="2" t="s">
        <v>0</v>
      </c>
      <c r="D4" s="2" t="s">
        <v>1</v>
      </c>
      <c r="E4" s="2" t="s">
        <v>2</v>
      </c>
      <c r="F4" s="2" t="s">
        <v>3</v>
      </c>
      <c r="G4" s="2" t="s">
        <v>4</v>
      </c>
    </row>
    <row r="5" spans="2:7" s="61" customFormat="1" x14ac:dyDescent="0.2">
      <c r="B5" s="63" t="s">
        <v>56</v>
      </c>
      <c r="C5" s="64"/>
      <c r="D5" s="65">
        <f>ADEC!J5*C32</f>
        <v>360.74999999999994</v>
      </c>
      <c r="E5" s="65">
        <f>ADEC!I5*C32</f>
        <v>595.21229680353076</v>
      </c>
      <c r="F5" s="65">
        <f>D5+E5</f>
        <v>955.96229680353076</v>
      </c>
      <c r="G5" s="7" t="s">
        <v>200</v>
      </c>
    </row>
    <row r="6" spans="2:7" s="61" customFormat="1" x14ac:dyDescent="0.2">
      <c r="B6" s="7"/>
      <c r="F6" s="66"/>
      <c r="G6" s="7"/>
    </row>
    <row r="7" spans="2:7" s="61" customFormat="1" x14ac:dyDescent="0.2">
      <c r="B7" s="7"/>
      <c r="F7" s="66"/>
      <c r="G7" s="7"/>
    </row>
    <row r="8" spans="2:7" s="61" customFormat="1" x14ac:dyDescent="0.2">
      <c r="B8" s="68" t="s">
        <v>174</v>
      </c>
      <c r="C8" s="68" t="s">
        <v>0</v>
      </c>
      <c r="D8" s="68" t="s">
        <v>1</v>
      </c>
      <c r="E8" s="68" t="s">
        <v>2</v>
      </c>
      <c r="F8" s="68" t="s">
        <v>3</v>
      </c>
      <c r="G8" s="68" t="s">
        <v>4</v>
      </c>
    </row>
    <row r="9" spans="2:7" s="61" customFormat="1" ht="25.5" x14ac:dyDescent="0.2">
      <c r="B9" s="10" t="s">
        <v>175</v>
      </c>
      <c r="C9" s="10">
        <v>4</v>
      </c>
      <c r="D9" s="62">
        <f>C9*$D$3</f>
        <v>347.72</v>
      </c>
      <c r="E9" s="69">
        <f>3*300+10+70</f>
        <v>980</v>
      </c>
      <c r="F9" s="70">
        <f>SUM(D9:E9)</f>
        <v>1327.72</v>
      </c>
      <c r="G9" s="10" t="s">
        <v>176</v>
      </c>
    </row>
    <row r="10" spans="2:7" s="61" customFormat="1" x14ac:dyDescent="0.2">
      <c r="B10" s="71" t="s">
        <v>56</v>
      </c>
      <c r="C10" s="72">
        <f t="shared" ref="C10" si="0">AVERAGE(C9)</f>
        <v>4</v>
      </c>
      <c r="D10" s="72">
        <f t="shared" ref="D10" si="1">AVERAGE(D9)</f>
        <v>347.72</v>
      </c>
      <c r="E10" s="72">
        <f t="shared" ref="E10" si="2">AVERAGE(E9)</f>
        <v>980</v>
      </c>
      <c r="F10" s="72">
        <f>AVERAGE(F9)</f>
        <v>1327.72</v>
      </c>
      <c r="G10" s="67"/>
    </row>
    <row r="11" spans="2:7" x14ac:dyDescent="0.2">
      <c r="B11" s="119" t="s">
        <v>103</v>
      </c>
      <c r="F11" s="3"/>
      <c r="G11" s="3"/>
    </row>
    <row r="12" spans="2:7" s="61" customFormat="1" x14ac:dyDescent="0.2">
      <c r="B12" s="67"/>
      <c r="C12" s="67"/>
      <c r="D12" s="67"/>
      <c r="E12" s="67"/>
      <c r="F12" s="67"/>
      <c r="G12" s="67"/>
    </row>
    <row r="13" spans="2:7" s="61" customFormat="1" x14ac:dyDescent="0.2">
      <c r="B13" s="7"/>
      <c r="F13" s="66"/>
      <c r="G13" s="7"/>
    </row>
    <row r="14" spans="2:7" s="61" customFormat="1" x14ac:dyDescent="0.2">
      <c r="B14" s="68" t="s">
        <v>152</v>
      </c>
      <c r="C14" s="68" t="s">
        <v>0</v>
      </c>
      <c r="D14" s="68" t="s">
        <v>1</v>
      </c>
      <c r="E14" s="68" t="s">
        <v>2</v>
      </c>
      <c r="F14" s="68" t="s">
        <v>3</v>
      </c>
      <c r="G14" s="68" t="s">
        <v>4</v>
      </c>
    </row>
    <row r="15" spans="2:7" s="61" customFormat="1" x14ac:dyDescent="0.2">
      <c r="B15" s="10" t="s">
        <v>153</v>
      </c>
      <c r="C15" s="10">
        <v>3</v>
      </c>
      <c r="D15" s="62">
        <f>C15*$D$3</f>
        <v>260.79000000000002</v>
      </c>
      <c r="E15" s="69">
        <f>3*161.95+10</f>
        <v>495.84999999999997</v>
      </c>
      <c r="F15" s="70">
        <f>SUM(D15:E15)</f>
        <v>756.64</v>
      </c>
      <c r="G15" s="10" t="s">
        <v>156</v>
      </c>
    </row>
    <row r="16" spans="2:7" s="61" customFormat="1" x14ac:dyDescent="0.2">
      <c r="B16" s="71" t="s">
        <v>56</v>
      </c>
      <c r="C16" s="72">
        <f t="shared" ref="C16:E16" si="3">AVERAGE(C15)</f>
        <v>3</v>
      </c>
      <c r="D16" s="72">
        <f t="shared" si="3"/>
        <v>260.79000000000002</v>
      </c>
      <c r="E16" s="72">
        <f t="shared" si="3"/>
        <v>495.84999999999997</v>
      </c>
      <c r="F16" s="72">
        <f>AVERAGE(F15)</f>
        <v>756.64</v>
      </c>
      <c r="G16" s="67"/>
    </row>
    <row r="17" spans="1:7" x14ac:dyDescent="0.2">
      <c r="B17" s="119" t="s">
        <v>103</v>
      </c>
      <c r="F17" s="3"/>
      <c r="G17" s="3"/>
    </row>
    <row r="18" spans="1:7" s="61" customFormat="1" x14ac:dyDescent="0.2">
      <c r="B18" s="7"/>
      <c r="F18" s="66"/>
      <c r="G18" s="7"/>
    </row>
    <row r="19" spans="1:7" s="61" customFormat="1" x14ac:dyDescent="0.2">
      <c r="B19" s="68" t="s">
        <v>154</v>
      </c>
      <c r="C19" s="68" t="s">
        <v>0</v>
      </c>
      <c r="D19" s="68" t="s">
        <v>1</v>
      </c>
      <c r="E19" s="68" t="s">
        <v>2</v>
      </c>
      <c r="F19" s="68" t="s">
        <v>3</v>
      </c>
      <c r="G19" s="68" t="s">
        <v>4</v>
      </c>
    </row>
    <row r="20" spans="1:7" s="61" customFormat="1" x14ac:dyDescent="0.2">
      <c r="B20" s="10" t="s">
        <v>155</v>
      </c>
      <c r="C20" s="10">
        <v>3</v>
      </c>
      <c r="D20" s="62">
        <f>C20*$D$3</f>
        <v>260.79000000000002</v>
      </c>
      <c r="E20" s="69">
        <f>3*161.95*1.25+10</f>
        <v>617.3125</v>
      </c>
      <c r="F20" s="70">
        <f>SUM(D20:E20)</f>
        <v>878.10249999999996</v>
      </c>
      <c r="G20" s="10" t="s">
        <v>156</v>
      </c>
    </row>
    <row r="21" spans="1:7" s="61" customFormat="1" x14ac:dyDescent="0.2">
      <c r="B21" s="71" t="s">
        <v>56</v>
      </c>
      <c r="C21" s="72">
        <f t="shared" ref="C21" si="4">AVERAGE(C20)</f>
        <v>3</v>
      </c>
      <c r="D21" s="72">
        <f t="shared" ref="D21" si="5">AVERAGE(D20)</f>
        <v>260.79000000000002</v>
      </c>
      <c r="E21" s="72">
        <f t="shared" ref="E21" si="6">AVERAGE(E20)</f>
        <v>617.3125</v>
      </c>
      <c r="F21" s="72">
        <f>AVERAGE(F20)</f>
        <v>878.10249999999996</v>
      </c>
      <c r="G21" s="67"/>
    </row>
    <row r="22" spans="1:7" x14ac:dyDescent="0.2">
      <c r="B22" s="119" t="s">
        <v>103</v>
      </c>
      <c r="F22" s="3"/>
      <c r="G22" s="3"/>
    </row>
    <row r="23" spans="1:7" s="61" customFormat="1" x14ac:dyDescent="0.2">
      <c r="B23" s="67"/>
      <c r="C23" s="67"/>
      <c r="D23" s="67"/>
      <c r="E23" s="67"/>
      <c r="F23" s="67"/>
      <c r="G23" s="67"/>
    </row>
    <row r="24" spans="1:7" ht="13.5" thickBot="1" x14ac:dyDescent="0.25">
      <c r="F24" s="3"/>
      <c r="G24" s="4"/>
    </row>
    <row r="25" spans="1:7" ht="13.5" thickBot="1" x14ac:dyDescent="0.25">
      <c r="B25" s="58" t="s">
        <v>86</v>
      </c>
      <c r="C25" s="59" t="s">
        <v>1</v>
      </c>
      <c r="D25" s="59" t="s">
        <v>2</v>
      </c>
      <c r="E25" s="59" t="s">
        <v>3</v>
      </c>
      <c r="F25" s="60" t="s">
        <v>187</v>
      </c>
      <c r="G25" s="60"/>
    </row>
    <row r="26" spans="1:7" x14ac:dyDescent="0.2">
      <c r="B26" s="56" t="s">
        <v>178</v>
      </c>
      <c r="C26" s="57">
        <f>SUM($D$10)</f>
        <v>347.72</v>
      </c>
      <c r="D26" s="57">
        <f>SUM($E$10)</f>
        <v>980</v>
      </c>
      <c r="E26" s="57">
        <f>SUM(C26:D26)</f>
        <v>1327.72</v>
      </c>
      <c r="F26" s="121">
        <f>E26/$C$32</f>
        <v>106.2176</v>
      </c>
      <c r="G26" s="120"/>
    </row>
    <row r="27" spans="1:7" x14ac:dyDescent="0.2">
      <c r="B27" s="56" t="s">
        <v>179</v>
      </c>
      <c r="C27" s="57">
        <f>SUM($D$10,$D$16)</f>
        <v>608.51</v>
      </c>
      <c r="D27" s="57">
        <f>SUM($E$10,$E$16)</f>
        <v>1475.85</v>
      </c>
      <c r="E27" s="57">
        <f t="shared" ref="E27:E31" si="7">SUM(C27:D27)</f>
        <v>2084.3599999999997</v>
      </c>
      <c r="F27" s="121">
        <f t="shared" ref="F27:F31" si="8">E27/$C$32</f>
        <v>166.74879999999996</v>
      </c>
      <c r="G27" s="120"/>
    </row>
    <row r="28" spans="1:7" x14ac:dyDescent="0.2">
      <c r="B28" s="56" t="s">
        <v>180</v>
      </c>
      <c r="C28" s="57">
        <f>SUM($D$10,$D$21)</f>
        <v>608.51</v>
      </c>
      <c r="D28" s="57">
        <f>SUM($E$21,$E$10)</f>
        <v>1597.3125</v>
      </c>
      <c r="E28" s="57">
        <f t="shared" si="7"/>
        <v>2205.8225000000002</v>
      </c>
      <c r="F28" s="121">
        <f t="shared" si="8"/>
        <v>176.46580000000003</v>
      </c>
      <c r="G28" s="120"/>
    </row>
    <row r="29" spans="1:7" x14ac:dyDescent="0.2">
      <c r="B29" s="56" t="s">
        <v>181</v>
      </c>
      <c r="C29" s="57">
        <f>SUM($D$5,$D$10)</f>
        <v>708.47</v>
      </c>
      <c r="D29" s="57">
        <f>SUM($E$5,$E$10)</f>
        <v>1575.2122968035308</v>
      </c>
      <c r="E29" s="57">
        <f t="shared" si="7"/>
        <v>2283.6822968035308</v>
      </c>
      <c r="F29" s="121">
        <f t="shared" si="8"/>
        <v>182.69458374428245</v>
      </c>
      <c r="G29" s="120"/>
    </row>
    <row r="30" spans="1:7" x14ac:dyDescent="0.2">
      <c r="A30" t="s">
        <v>177</v>
      </c>
      <c r="B30" s="56" t="s">
        <v>182</v>
      </c>
      <c r="C30" s="57">
        <f>SUM($D$16,$D$10,$D$5)</f>
        <v>969.26</v>
      </c>
      <c r="D30" s="57">
        <f>SUM($E$5,$E$10,$E$16)</f>
        <v>2071.0622968035309</v>
      </c>
      <c r="E30" s="57">
        <f t="shared" si="7"/>
        <v>3040.3222968035307</v>
      </c>
      <c r="F30" s="121">
        <f t="shared" si="8"/>
        <v>243.22578374428247</v>
      </c>
      <c r="G30" s="120"/>
    </row>
    <row r="31" spans="1:7" x14ac:dyDescent="0.2">
      <c r="B31" s="56" t="s">
        <v>183</v>
      </c>
      <c r="C31" s="57">
        <f>SUM($D$21,$D$10,$D$5)</f>
        <v>969.26</v>
      </c>
      <c r="D31" s="57">
        <f>SUM($E$21,$E$10,$E$5)</f>
        <v>2192.524796803531</v>
      </c>
      <c r="E31" s="57">
        <f t="shared" si="7"/>
        <v>3161.7847968035312</v>
      </c>
      <c r="F31" s="121">
        <f t="shared" si="8"/>
        <v>252.94278374428251</v>
      </c>
      <c r="G31" s="120"/>
    </row>
    <row r="32" spans="1:7" x14ac:dyDescent="0.2">
      <c r="B32" s="11" t="s">
        <v>101</v>
      </c>
      <c r="C32" s="11">
        <v>12.5</v>
      </c>
      <c r="D32" s="11" t="s">
        <v>100</v>
      </c>
      <c r="E32" s="3"/>
      <c r="F32" s="3"/>
      <c r="G32" s="3"/>
    </row>
    <row r="33" spans="2:7" x14ac:dyDescent="0.2">
      <c r="B33" s="16"/>
      <c r="C33" s="16"/>
      <c r="D33" s="16"/>
      <c r="E33" s="16"/>
      <c r="F33" s="3"/>
      <c r="G33" s="3"/>
    </row>
    <row r="34" spans="2:7" ht="13.5" thickBot="1" x14ac:dyDescent="0.25">
      <c r="B34" s="1" t="s">
        <v>124</v>
      </c>
    </row>
    <row r="35" spans="2:7" ht="51.75" thickBot="1" x14ac:dyDescent="0.25">
      <c r="D35" s="85" t="s">
        <v>121</v>
      </c>
      <c r="E35" s="85" t="s">
        <v>122</v>
      </c>
      <c r="F35" s="85" t="s">
        <v>123</v>
      </c>
    </row>
    <row r="36" spans="2:7" x14ac:dyDescent="0.2">
      <c r="B36" s="15">
        <v>1</v>
      </c>
      <c r="C36" s="4" t="s">
        <v>178</v>
      </c>
      <c r="D36">
        <f t="shared" ref="D36:D51" si="9">$D$26*VLOOKUP(B36,$B$142:$E$158,3,FALSE)/$C$32</f>
        <v>73.695999999999998</v>
      </c>
      <c r="E36">
        <f t="shared" ref="E36:E51" si="10">$C$26*VLOOKUP(B36,$B$142:$E$158,4,FALSE)/$C$32</f>
        <v>28.290499199999999</v>
      </c>
      <c r="F36">
        <f>SUM(D36:E36)</f>
        <v>101.9864992</v>
      </c>
    </row>
    <row r="37" spans="2:7" x14ac:dyDescent="0.2">
      <c r="B37" s="15">
        <v>2</v>
      </c>
      <c r="C37" s="4" t="s">
        <v>178</v>
      </c>
      <c r="D37">
        <f t="shared" si="9"/>
        <v>73.695999999999998</v>
      </c>
      <c r="E37">
        <f t="shared" si="10"/>
        <v>45.982492800000003</v>
      </c>
      <c r="F37">
        <f t="shared" ref="F37:F51" si="11">SUM(D37:E37)</f>
        <v>119.6784928</v>
      </c>
    </row>
    <row r="38" spans="2:7" x14ac:dyDescent="0.2">
      <c r="B38" s="15">
        <v>3</v>
      </c>
      <c r="C38" s="4" t="s">
        <v>178</v>
      </c>
      <c r="D38">
        <f t="shared" si="9"/>
        <v>78.478399999999993</v>
      </c>
      <c r="E38">
        <f t="shared" si="10"/>
        <v>46.538844800000007</v>
      </c>
      <c r="F38">
        <f t="shared" si="11"/>
        <v>125.0172448</v>
      </c>
    </row>
    <row r="39" spans="2:7" x14ac:dyDescent="0.2">
      <c r="B39" s="15">
        <v>4</v>
      </c>
      <c r="C39" s="4" t="s">
        <v>178</v>
      </c>
      <c r="D39">
        <f t="shared" si="9"/>
        <v>78.400000000000006</v>
      </c>
      <c r="E39">
        <f t="shared" si="10"/>
        <v>40.279884799999998</v>
      </c>
      <c r="F39">
        <f t="shared" si="11"/>
        <v>118.6798848</v>
      </c>
    </row>
    <row r="40" spans="2:7" x14ac:dyDescent="0.2">
      <c r="B40" s="15">
        <v>5</v>
      </c>
      <c r="C40" s="4" t="s">
        <v>178</v>
      </c>
      <c r="D40">
        <f t="shared" si="9"/>
        <v>73.695999999999998</v>
      </c>
      <c r="E40">
        <f t="shared" si="10"/>
        <v>29.347568000000003</v>
      </c>
      <c r="F40">
        <f t="shared" si="11"/>
        <v>103.04356799999999</v>
      </c>
    </row>
    <row r="41" spans="2:7" x14ac:dyDescent="0.2">
      <c r="B41" s="15">
        <v>6</v>
      </c>
      <c r="C41" s="4" t="s">
        <v>178</v>
      </c>
      <c r="D41">
        <f t="shared" si="9"/>
        <v>78.400000000000006</v>
      </c>
      <c r="E41">
        <f t="shared" si="10"/>
        <v>32.463139200000008</v>
      </c>
      <c r="F41">
        <f t="shared" si="11"/>
        <v>110.86313920000001</v>
      </c>
    </row>
    <row r="42" spans="2:7" x14ac:dyDescent="0.2">
      <c r="B42" s="15">
        <v>7</v>
      </c>
      <c r="C42" s="4" t="s">
        <v>178</v>
      </c>
      <c r="D42">
        <f t="shared" si="9"/>
        <v>78.400000000000006</v>
      </c>
      <c r="E42">
        <f t="shared" si="10"/>
        <v>32.045875199999998</v>
      </c>
      <c r="F42">
        <f t="shared" si="11"/>
        <v>110.4458752</v>
      </c>
    </row>
    <row r="43" spans="2:7" x14ac:dyDescent="0.2">
      <c r="B43" s="15">
        <v>8</v>
      </c>
      <c r="C43" s="4" t="s">
        <v>178</v>
      </c>
      <c r="D43">
        <f t="shared" si="9"/>
        <v>73.695999999999998</v>
      </c>
      <c r="E43">
        <f t="shared" si="10"/>
        <v>29.347568000000003</v>
      </c>
      <c r="F43">
        <f t="shared" si="11"/>
        <v>103.04356799999999</v>
      </c>
    </row>
    <row r="44" spans="2:7" x14ac:dyDescent="0.2">
      <c r="B44" s="15">
        <v>9</v>
      </c>
      <c r="C44" s="4" t="s">
        <v>178</v>
      </c>
      <c r="D44">
        <f t="shared" si="9"/>
        <v>78.478399999999993</v>
      </c>
      <c r="E44">
        <f t="shared" si="10"/>
        <v>32.463139200000008</v>
      </c>
      <c r="F44">
        <f t="shared" si="11"/>
        <v>110.94153919999999</v>
      </c>
    </row>
    <row r="45" spans="2:7" x14ac:dyDescent="0.2">
      <c r="B45" s="15">
        <v>10</v>
      </c>
      <c r="C45" s="4" t="s">
        <v>178</v>
      </c>
      <c r="D45">
        <f t="shared" si="9"/>
        <v>78.400000000000006</v>
      </c>
      <c r="E45">
        <f t="shared" si="10"/>
        <v>32.435321600000002</v>
      </c>
      <c r="F45">
        <f t="shared" si="11"/>
        <v>110.83532160000001</v>
      </c>
    </row>
    <row r="46" spans="2:7" x14ac:dyDescent="0.2">
      <c r="B46" s="15">
        <v>11</v>
      </c>
      <c r="C46" s="4" t="s">
        <v>178</v>
      </c>
      <c r="D46">
        <f t="shared" si="9"/>
        <v>78.400000000000006</v>
      </c>
      <c r="E46">
        <f t="shared" si="10"/>
        <v>29.764832000000006</v>
      </c>
      <c r="F46">
        <f t="shared" si="11"/>
        <v>108.16483200000002</v>
      </c>
    </row>
    <row r="47" spans="2:7" x14ac:dyDescent="0.2">
      <c r="B47" s="15">
        <v>12</v>
      </c>
      <c r="C47" s="4" t="s">
        <v>178</v>
      </c>
      <c r="D47">
        <f t="shared" si="9"/>
        <v>78.400000000000006</v>
      </c>
      <c r="E47">
        <f t="shared" si="10"/>
        <v>33.325484799999998</v>
      </c>
      <c r="F47">
        <f t="shared" si="11"/>
        <v>111.7254848</v>
      </c>
    </row>
    <row r="48" spans="2:7" x14ac:dyDescent="0.2">
      <c r="B48" s="15">
        <v>13</v>
      </c>
      <c r="C48" s="4" t="s">
        <v>178</v>
      </c>
      <c r="D48">
        <f t="shared" si="9"/>
        <v>78.478399999999993</v>
      </c>
      <c r="E48">
        <f t="shared" si="10"/>
        <v>30.960988799999999</v>
      </c>
      <c r="F48">
        <f t="shared" si="11"/>
        <v>109.43938879999999</v>
      </c>
    </row>
    <row r="49" spans="1:6" x14ac:dyDescent="0.2">
      <c r="B49" s="15">
        <v>14</v>
      </c>
      <c r="C49" s="4" t="s">
        <v>178</v>
      </c>
      <c r="D49">
        <f t="shared" si="9"/>
        <v>73.695999999999998</v>
      </c>
      <c r="E49">
        <f t="shared" si="10"/>
        <v>27.595059200000001</v>
      </c>
      <c r="F49">
        <f t="shared" si="11"/>
        <v>101.29105920000001</v>
      </c>
    </row>
    <row r="50" spans="1:6" x14ac:dyDescent="0.2">
      <c r="B50" s="15">
        <v>15</v>
      </c>
      <c r="C50" s="4" t="s">
        <v>178</v>
      </c>
      <c r="D50">
        <f t="shared" si="9"/>
        <v>73.695999999999998</v>
      </c>
      <c r="E50">
        <f t="shared" si="10"/>
        <v>29.319750400000004</v>
      </c>
      <c r="F50">
        <f t="shared" si="11"/>
        <v>103.0157504</v>
      </c>
    </row>
    <row r="51" spans="1:6" x14ac:dyDescent="0.2">
      <c r="B51" s="15">
        <v>16</v>
      </c>
      <c r="C51" s="4" t="s">
        <v>178</v>
      </c>
      <c r="D51">
        <f t="shared" si="9"/>
        <v>73.695999999999998</v>
      </c>
      <c r="E51">
        <f t="shared" si="10"/>
        <v>29.764832000000006</v>
      </c>
      <c r="F51">
        <f t="shared" si="11"/>
        <v>103.46083200000001</v>
      </c>
    </row>
    <row r="52" spans="1:6" x14ac:dyDescent="0.2">
      <c r="A52" s="9" t="s">
        <v>128</v>
      </c>
      <c r="B52" s="89" t="s">
        <v>127</v>
      </c>
      <c r="C52" s="89" t="s">
        <v>178</v>
      </c>
      <c r="D52" s="90">
        <f>ROUND($D$26*$G$158/$C$32,2)</f>
        <v>77.150000000000006</v>
      </c>
      <c r="E52" s="90">
        <f>ROUND($C$26*$H$158/$C$32,2)</f>
        <v>32.21</v>
      </c>
      <c r="F52" s="91">
        <f t="shared" ref="F52" si="12">SUM(D52:E52)</f>
        <v>109.36000000000001</v>
      </c>
    </row>
    <row r="53" spans="1:6" x14ac:dyDescent="0.2">
      <c r="B53" s="15">
        <v>1</v>
      </c>
      <c r="C53" s="4" t="s">
        <v>179</v>
      </c>
      <c r="D53">
        <f t="shared" ref="D53:D68" si="13">$D$27*VLOOKUP(B53,$B$142:$E$158,3,FALSE)/$C$32</f>
        <v>110.98391999999998</v>
      </c>
      <c r="E53">
        <f t="shared" ref="E53:E68" si="14">$C$27*VLOOKUP(B53,$B$142:$E$158,4,FALSE)/$C$32</f>
        <v>49.508373599999999</v>
      </c>
      <c r="F53">
        <f>SUM(D53:E53)</f>
        <v>160.49229359999998</v>
      </c>
    </row>
    <row r="54" spans="1:6" x14ac:dyDescent="0.2">
      <c r="B54" s="15">
        <v>2</v>
      </c>
      <c r="C54" s="4" t="s">
        <v>179</v>
      </c>
      <c r="D54">
        <f t="shared" si="13"/>
        <v>110.98391999999998</v>
      </c>
      <c r="E54">
        <f t="shared" si="14"/>
        <v>80.469362399999994</v>
      </c>
      <c r="F54">
        <f t="shared" ref="F54:F68" si="15">SUM(D54:E54)</f>
        <v>191.45328239999998</v>
      </c>
    </row>
    <row r="55" spans="1:6" x14ac:dyDescent="0.2">
      <c r="B55" s="15">
        <v>3</v>
      </c>
      <c r="C55" s="4" t="s">
        <v>179</v>
      </c>
      <c r="D55">
        <f t="shared" si="13"/>
        <v>118.18606799999998</v>
      </c>
      <c r="E55">
        <f t="shared" si="14"/>
        <v>81.442978400000001</v>
      </c>
      <c r="F55">
        <f t="shared" si="15"/>
        <v>199.62904639999999</v>
      </c>
    </row>
    <row r="56" spans="1:6" x14ac:dyDescent="0.2">
      <c r="B56" s="15">
        <v>4</v>
      </c>
      <c r="C56" s="4" t="s">
        <v>179</v>
      </c>
      <c r="D56">
        <f t="shared" si="13"/>
        <v>118.068</v>
      </c>
      <c r="E56">
        <f t="shared" si="14"/>
        <v>70.489798399999998</v>
      </c>
      <c r="F56">
        <f t="shared" si="15"/>
        <v>188.5577984</v>
      </c>
    </row>
    <row r="57" spans="1:6" x14ac:dyDescent="0.2">
      <c r="B57" s="15">
        <v>5</v>
      </c>
      <c r="C57" s="4" t="s">
        <v>179</v>
      </c>
      <c r="D57">
        <f t="shared" si="13"/>
        <v>110.98391999999998</v>
      </c>
      <c r="E57">
        <f t="shared" si="14"/>
        <v>51.358243999999992</v>
      </c>
      <c r="F57">
        <f t="shared" si="15"/>
        <v>162.34216399999997</v>
      </c>
    </row>
    <row r="58" spans="1:6" x14ac:dyDescent="0.2">
      <c r="B58" s="15">
        <v>6</v>
      </c>
      <c r="C58" s="4" t="s">
        <v>179</v>
      </c>
      <c r="D58">
        <f t="shared" si="13"/>
        <v>118.068</v>
      </c>
      <c r="E58">
        <f t="shared" si="14"/>
        <v>56.810493600000001</v>
      </c>
      <c r="F58">
        <f t="shared" si="15"/>
        <v>174.87849360000001</v>
      </c>
    </row>
    <row r="59" spans="1:6" x14ac:dyDescent="0.2">
      <c r="B59" s="15">
        <v>7</v>
      </c>
      <c r="C59" s="4" t="s">
        <v>179</v>
      </c>
      <c r="D59">
        <f t="shared" si="13"/>
        <v>118.068</v>
      </c>
      <c r="E59">
        <f t="shared" si="14"/>
        <v>56.080281599999999</v>
      </c>
      <c r="F59">
        <f t="shared" si="15"/>
        <v>174.14828159999999</v>
      </c>
    </row>
    <row r="60" spans="1:6" x14ac:dyDescent="0.2">
      <c r="B60" s="15">
        <v>8</v>
      </c>
      <c r="C60" s="4" t="s">
        <v>179</v>
      </c>
      <c r="D60">
        <f t="shared" si="13"/>
        <v>110.98391999999998</v>
      </c>
      <c r="E60">
        <f t="shared" si="14"/>
        <v>51.358243999999992</v>
      </c>
      <c r="F60">
        <f t="shared" si="15"/>
        <v>162.34216399999997</v>
      </c>
    </row>
    <row r="61" spans="1:6" x14ac:dyDescent="0.2">
      <c r="B61" s="15">
        <v>9</v>
      </c>
      <c r="C61" s="4" t="s">
        <v>179</v>
      </c>
      <c r="D61">
        <f t="shared" si="13"/>
        <v>118.18606799999998</v>
      </c>
      <c r="E61">
        <f t="shared" si="14"/>
        <v>56.810493600000001</v>
      </c>
      <c r="F61">
        <f t="shared" si="15"/>
        <v>174.99656159999998</v>
      </c>
    </row>
    <row r="62" spans="1:6" x14ac:dyDescent="0.2">
      <c r="B62" s="15">
        <v>10</v>
      </c>
      <c r="C62" s="4" t="s">
        <v>179</v>
      </c>
      <c r="D62">
        <f t="shared" si="13"/>
        <v>118.068</v>
      </c>
      <c r="E62">
        <f t="shared" si="14"/>
        <v>56.761812800000001</v>
      </c>
      <c r="F62">
        <f t="shared" si="15"/>
        <v>174.82981280000001</v>
      </c>
    </row>
    <row r="63" spans="1:6" x14ac:dyDescent="0.2">
      <c r="B63" s="15">
        <v>11</v>
      </c>
      <c r="C63" s="4" t="s">
        <v>179</v>
      </c>
      <c r="D63">
        <f t="shared" si="13"/>
        <v>118.068</v>
      </c>
      <c r="E63">
        <f t="shared" si="14"/>
        <v>52.088456000000008</v>
      </c>
      <c r="F63">
        <f t="shared" si="15"/>
        <v>170.15645599999999</v>
      </c>
    </row>
    <row r="64" spans="1:6" x14ac:dyDescent="0.2">
      <c r="B64" s="15">
        <v>12</v>
      </c>
      <c r="C64" s="4" t="s">
        <v>179</v>
      </c>
      <c r="D64">
        <f t="shared" si="13"/>
        <v>118.068</v>
      </c>
      <c r="E64">
        <f t="shared" si="14"/>
        <v>58.319598399999997</v>
      </c>
      <c r="F64">
        <f t="shared" si="15"/>
        <v>176.3875984</v>
      </c>
    </row>
    <row r="65" spans="1:6" x14ac:dyDescent="0.2">
      <c r="B65" s="15">
        <v>13</v>
      </c>
      <c r="C65" s="4" t="s">
        <v>179</v>
      </c>
      <c r="D65">
        <f t="shared" si="13"/>
        <v>118.18606799999998</v>
      </c>
      <c r="E65">
        <f t="shared" si="14"/>
        <v>54.181730399999999</v>
      </c>
      <c r="F65">
        <f t="shared" si="15"/>
        <v>172.36779839999997</v>
      </c>
    </row>
    <row r="66" spans="1:6" x14ac:dyDescent="0.2">
      <c r="B66" s="15">
        <v>14</v>
      </c>
      <c r="C66" s="4" t="s">
        <v>179</v>
      </c>
      <c r="D66">
        <f t="shared" si="13"/>
        <v>110.98391999999998</v>
      </c>
      <c r="E66">
        <f t="shared" si="14"/>
        <v>48.291353600000001</v>
      </c>
      <c r="F66">
        <f t="shared" si="15"/>
        <v>159.27527359999999</v>
      </c>
    </row>
    <row r="67" spans="1:6" x14ac:dyDescent="0.2">
      <c r="B67" s="15">
        <v>15</v>
      </c>
      <c r="C67" s="4" t="s">
        <v>179</v>
      </c>
      <c r="D67">
        <f t="shared" si="13"/>
        <v>110.98391999999998</v>
      </c>
      <c r="E67">
        <f t="shared" si="14"/>
        <v>51.309563199999999</v>
      </c>
      <c r="F67">
        <f t="shared" si="15"/>
        <v>162.29348319999997</v>
      </c>
    </row>
    <row r="68" spans="1:6" x14ac:dyDescent="0.2">
      <c r="B68" s="15">
        <v>16</v>
      </c>
      <c r="C68" s="4" t="s">
        <v>179</v>
      </c>
      <c r="D68">
        <f t="shared" si="13"/>
        <v>110.98391999999998</v>
      </c>
      <c r="E68">
        <f t="shared" si="14"/>
        <v>52.088456000000008</v>
      </c>
      <c r="F68">
        <f t="shared" si="15"/>
        <v>163.07237599999999</v>
      </c>
    </row>
    <row r="69" spans="1:6" x14ac:dyDescent="0.2">
      <c r="A69" s="9" t="s">
        <v>128</v>
      </c>
      <c r="B69" s="89" t="s">
        <v>127</v>
      </c>
      <c r="C69" s="89" t="s">
        <v>179</v>
      </c>
      <c r="D69" s="90">
        <f>ROUND($D$27*$G$158/$C$32,2)</f>
        <v>116.19</v>
      </c>
      <c r="E69" s="90">
        <f>ROUND($C$27*$H$158/$C$32,2)</f>
        <v>56.37</v>
      </c>
      <c r="F69" s="91">
        <f t="shared" ref="F69" si="16">SUM(D69:E69)</f>
        <v>172.56</v>
      </c>
    </row>
    <row r="70" spans="1:6" x14ac:dyDescent="0.2">
      <c r="B70" s="15">
        <v>1</v>
      </c>
      <c r="C70" s="4" t="s">
        <v>180</v>
      </c>
      <c r="D70">
        <f t="shared" ref="D70:D85" si="17">$D$28*VLOOKUP(B70,$B$142:$E$158,3,FALSE)/$C$32</f>
        <v>120.11789999999999</v>
      </c>
      <c r="E70">
        <f t="shared" ref="E70:E85" si="18">$C$28*VLOOKUP(B70,$B$142:$E$158,4,FALSE)/$C$32</f>
        <v>49.508373599999999</v>
      </c>
      <c r="F70">
        <f>SUM(D70:E70)</f>
        <v>169.62627359999999</v>
      </c>
    </row>
    <row r="71" spans="1:6" x14ac:dyDescent="0.2">
      <c r="B71" s="15">
        <v>2</v>
      </c>
      <c r="C71" s="4" t="s">
        <v>180</v>
      </c>
      <c r="D71">
        <f t="shared" si="17"/>
        <v>120.11789999999999</v>
      </c>
      <c r="E71">
        <f t="shared" si="18"/>
        <v>80.469362399999994</v>
      </c>
      <c r="F71">
        <f t="shared" ref="F71:F85" si="19">SUM(D71:E71)</f>
        <v>200.58726239999999</v>
      </c>
    </row>
    <row r="72" spans="1:6" x14ac:dyDescent="0.2">
      <c r="B72" s="15">
        <v>3</v>
      </c>
      <c r="C72" s="4" t="s">
        <v>180</v>
      </c>
      <c r="D72">
        <f t="shared" si="17"/>
        <v>127.91278499999999</v>
      </c>
      <c r="E72">
        <f t="shared" si="18"/>
        <v>81.442978400000001</v>
      </c>
      <c r="F72">
        <f t="shared" si="19"/>
        <v>209.3557634</v>
      </c>
    </row>
    <row r="73" spans="1:6" x14ac:dyDescent="0.2">
      <c r="B73" s="15">
        <v>4</v>
      </c>
      <c r="C73" s="4" t="s">
        <v>180</v>
      </c>
      <c r="D73">
        <f t="shared" si="17"/>
        <v>127.785</v>
      </c>
      <c r="E73">
        <f t="shared" si="18"/>
        <v>70.489798399999998</v>
      </c>
      <c r="F73">
        <f t="shared" si="19"/>
        <v>198.27479840000001</v>
      </c>
    </row>
    <row r="74" spans="1:6" x14ac:dyDescent="0.2">
      <c r="B74" s="15">
        <v>5</v>
      </c>
      <c r="C74" s="4" t="s">
        <v>180</v>
      </c>
      <c r="D74">
        <f t="shared" si="17"/>
        <v>120.11789999999999</v>
      </c>
      <c r="E74">
        <f t="shared" si="18"/>
        <v>51.358243999999992</v>
      </c>
      <c r="F74">
        <f t="shared" si="19"/>
        <v>171.47614399999998</v>
      </c>
    </row>
    <row r="75" spans="1:6" x14ac:dyDescent="0.2">
      <c r="B75" s="15">
        <v>6</v>
      </c>
      <c r="C75" s="4" t="s">
        <v>180</v>
      </c>
      <c r="D75">
        <f t="shared" si="17"/>
        <v>127.785</v>
      </c>
      <c r="E75">
        <f t="shared" si="18"/>
        <v>56.810493600000001</v>
      </c>
      <c r="F75">
        <f t="shared" si="19"/>
        <v>184.5954936</v>
      </c>
    </row>
    <row r="76" spans="1:6" x14ac:dyDescent="0.2">
      <c r="B76" s="15">
        <v>7</v>
      </c>
      <c r="C76" s="4" t="s">
        <v>180</v>
      </c>
      <c r="D76">
        <f t="shared" si="17"/>
        <v>127.785</v>
      </c>
      <c r="E76">
        <f t="shared" si="18"/>
        <v>56.080281599999999</v>
      </c>
      <c r="F76">
        <f t="shared" si="19"/>
        <v>183.8652816</v>
      </c>
    </row>
    <row r="77" spans="1:6" x14ac:dyDescent="0.2">
      <c r="B77" s="15">
        <v>8</v>
      </c>
      <c r="C77" s="4" t="s">
        <v>180</v>
      </c>
      <c r="D77">
        <f t="shared" si="17"/>
        <v>120.11789999999999</v>
      </c>
      <c r="E77">
        <f t="shared" si="18"/>
        <v>51.358243999999992</v>
      </c>
      <c r="F77">
        <f t="shared" si="19"/>
        <v>171.47614399999998</v>
      </c>
    </row>
    <row r="78" spans="1:6" x14ac:dyDescent="0.2">
      <c r="B78" s="15">
        <v>9</v>
      </c>
      <c r="C78" s="4" t="s">
        <v>180</v>
      </c>
      <c r="D78">
        <f t="shared" si="17"/>
        <v>127.91278499999999</v>
      </c>
      <c r="E78">
        <f t="shared" si="18"/>
        <v>56.810493600000001</v>
      </c>
      <c r="F78">
        <f t="shared" si="19"/>
        <v>184.72327859999999</v>
      </c>
    </row>
    <row r="79" spans="1:6" x14ac:dyDescent="0.2">
      <c r="B79" s="15">
        <v>10</v>
      </c>
      <c r="C79" s="4" t="s">
        <v>180</v>
      </c>
      <c r="D79">
        <f t="shared" si="17"/>
        <v>127.785</v>
      </c>
      <c r="E79">
        <f t="shared" si="18"/>
        <v>56.761812800000001</v>
      </c>
      <c r="F79">
        <f t="shared" si="19"/>
        <v>184.5468128</v>
      </c>
    </row>
    <row r="80" spans="1:6" x14ac:dyDescent="0.2">
      <c r="B80" s="15">
        <v>11</v>
      </c>
      <c r="C80" s="4" t="s">
        <v>180</v>
      </c>
      <c r="D80">
        <f t="shared" si="17"/>
        <v>127.785</v>
      </c>
      <c r="E80">
        <f t="shared" si="18"/>
        <v>52.088456000000008</v>
      </c>
      <c r="F80">
        <f t="shared" si="19"/>
        <v>179.873456</v>
      </c>
    </row>
    <row r="81" spans="1:6" x14ac:dyDescent="0.2">
      <c r="B81" s="15">
        <v>12</v>
      </c>
      <c r="C81" s="4" t="s">
        <v>180</v>
      </c>
      <c r="D81">
        <f t="shared" si="17"/>
        <v>127.785</v>
      </c>
      <c r="E81">
        <f t="shared" si="18"/>
        <v>58.319598399999997</v>
      </c>
      <c r="F81">
        <f t="shared" si="19"/>
        <v>186.10459839999999</v>
      </c>
    </row>
    <row r="82" spans="1:6" x14ac:dyDescent="0.2">
      <c r="B82" s="15">
        <v>13</v>
      </c>
      <c r="C82" s="4" t="s">
        <v>180</v>
      </c>
      <c r="D82">
        <f t="shared" si="17"/>
        <v>127.91278499999999</v>
      </c>
      <c r="E82">
        <f t="shared" si="18"/>
        <v>54.181730399999999</v>
      </c>
      <c r="F82">
        <f t="shared" si="19"/>
        <v>182.09451539999998</v>
      </c>
    </row>
    <row r="83" spans="1:6" x14ac:dyDescent="0.2">
      <c r="B83" s="15">
        <v>14</v>
      </c>
      <c r="C83" s="4" t="s">
        <v>180</v>
      </c>
      <c r="D83">
        <f t="shared" si="17"/>
        <v>120.11789999999999</v>
      </c>
      <c r="E83">
        <f t="shared" si="18"/>
        <v>48.291353600000001</v>
      </c>
      <c r="F83">
        <f t="shared" si="19"/>
        <v>168.4092536</v>
      </c>
    </row>
    <row r="84" spans="1:6" x14ac:dyDescent="0.2">
      <c r="B84" s="15">
        <v>15</v>
      </c>
      <c r="C84" s="4" t="s">
        <v>180</v>
      </c>
      <c r="D84">
        <f t="shared" si="17"/>
        <v>120.11789999999999</v>
      </c>
      <c r="E84">
        <f t="shared" si="18"/>
        <v>51.309563199999999</v>
      </c>
      <c r="F84">
        <f t="shared" si="19"/>
        <v>171.42746319999998</v>
      </c>
    </row>
    <row r="85" spans="1:6" x14ac:dyDescent="0.2">
      <c r="B85" s="15">
        <v>16</v>
      </c>
      <c r="C85" s="4" t="s">
        <v>180</v>
      </c>
      <c r="D85">
        <f t="shared" si="17"/>
        <v>120.11789999999999</v>
      </c>
      <c r="E85">
        <f t="shared" si="18"/>
        <v>52.088456000000008</v>
      </c>
      <c r="F85">
        <f t="shared" si="19"/>
        <v>172.206356</v>
      </c>
    </row>
    <row r="86" spans="1:6" x14ac:dyDescent="0.2">
      <c r="A86" s="9" t="s">
        <v>128</v>
      </c>
      <c r="B86" s="89" t="s">
        <v>127</v>
      </c>
      <c r="C86" s="89" t="s">
        <v>180</v>
      </c>
      <c r="D86" s="90">
        <f>ROUND($D$28*$G$158/$C$32,2)</f>
        <v>125.75</v>
      </c>
      <c r="E86" s="90">
        <f>ROUND($C$28*$H$158/$C$32,2)</f>
        <v>56.37</v>
      </c>
      <c r="F86" s="91">
        <f t="shared" ref="F86" si="20">SUM(D86:E86)</f>
        <v>182.12</v>
      </c>
    </row>
    <row r="87" spans="1:6" x14ac:dyDescent="0.2">
      <c r="B87" s="15">
        <v>1</v>
      </c>
      <c r="C87" s="4" t="s">
        <v>181</v>
      </c>
      <c r="D87">
        <f t="shared" ref="D87:D102" si="21">$D$29*VLOOKUP(B87,$B$142:$E$158,3,FALSE)/$C$32</f>
        <v>118.4559647196255</v>
      </c>
      <c r="E87">
        <f t="shared" ref="E87:E102" si="22">$C$29*VLOOKUP(B87,$B$142:$E$158,4,FALSE)/$C$32</f>
        <v>57.641119199999991</v>
      </c>
      <c r="F87">
        <f>SUM(D87:E87)</f>
        <v>176.0970839196255</v>
      </c>
    </row>
    <row r="88" spans="1:6" x14ac:dyDescent="0.2">
      <c r="B88" s="15">
        <v>2</v>
      </c>
      <c r="C88" s="4" t="s">
        <v>181</v>
      </c>
      <c r="D88">
        <f t="shared" si="21"/>
        <v>118.4559647196255</v>
      </c>
      <c r="E88">
        <f t="shared" si="22"/>
        <v>93.688072800000015</v>
      </c>
      <c r="F88">
        <f t="shared" ref="F88:F102" si="23">SUM(D88:E88)</f>
        <v>212.1440375196255</v>
      </c>
    </row>
    <row r="89" spans="1:6" x14ac:dyDescent="0.2">
      <c r="B89" s="15">
        <v>3</v>
      </c>
      <c r="C89" s="4" t="s">
        <v>181</v>
      </c>
      <c r="D89">
        <f t="shared" si="21"/>
        <v>126.14300072802672</v>
      </c>
      <c r="E89">
        <f t="shared" si="22"/>
        <v>94.821624800000009</v>
      </c>
      <c r="F89">
        <f t="shared" si="23"/>
        <v>220.96462552802672</v>
      </c>
    </row>
    <row r="90" spans="1:6" x14ac:dyDescent="0.2">
      <c r="B90" s="15">
        <v>4</v>
      </c>
      <c r="C90" s="4" t="s">
        <v>181</v>
      </c>
      <c r="D90">
        <f t="shared" si="21"/>
        <v>126.01698374428246</v>
      </c>
      <c r="E90">
        <f t="shared" si="22"/>
        <v>82.069164799999996</v>
      </c>
      <c r="F90">
        <f t="shared" si="23"/>
        <v>208.08614854428245</v>
      </c>
    </row>
    <row r="91" spans="1:6" x14ac:dyDescent="0.2">
      <c r="B91" s="15">
        <v>5</v>
      </c>
      <c r="C91" s="4" t="s">
        <v>181</v>
      </c>
      <c r="D91">
        <f t="shared" si="21"/>
        <v>118.4559647196255</v>
      </c>
      <c r="E91">
        <f t="shared" si="22"/>
        <v>59.794867999999994</v>
      </c>
      <c r="F91">
        <f t="shared" si="23"/>
        <v>178.25083271962549</v>
      </c>
    </row>
    <row r="92" spans="1:6" x14ac:dyDescent="0.2">
      <c r="B92" s="15">
        <v>6</v>
      </c>
      <c r="C92" s="4" t="s">
        <v>181</v>
      </c>
      <c r="D92">
        <f t="shared" si="21"/>
        <v>126.01698374428246</v>
      </c>
      <c r="E92">
        <f t="shared" si="22"/>
        <v>66.1427592</v>
      </c>
      <c r="F92">
        <f t="shared" si="23"/>
        <v>192.15974294428247</v>
      </c>
    </row>
    <row r="93" spans="1:6" x14ac:dyDescent="0.2">
      <c r="B93" s="15">
        <v>7</v>
      </c>
      <c r="C93" s="4" t="s">
        <v>181</v>
      </c>
      <c r="D93">
        <f t="shared" si="21"/>
        <v>126.01698374428246</v>
      </c>
      <c r="E93">
        <f t="shared" si="22"/>
        <v>65.292595199999994</v>
      </c>
      <c r="F93">
        <f t="shared" si="23"/>
        <v>191.30957894428246</v>
      </c>
    </row>
    <row r="94" spans="1:6" x14ac:dyDescent="0.2">
      <c r="B94" s="15">
        <v>8</v>
      </c>
      <c r="C94" s="4" t="s">
        <v>181</v>
      </c>
      <c r="D94">
        <f t="shared" si="21"/>
        <v>118.4559647196255</v>
      </c>
      <c r="E94">
        <f t="shared" si="22"/>
        <v>59.794867999999994</v>
      </c>
      <c r="F94">
        <f t="shared" si="23"/>
        <v>178.25083271962549</v>
      </c>
    </row>
    <row r="95" spans="1:6" x14ac:dyDescent="0.2">
      <c r="B95" s="15">
        <v>9</v>
      </c>
      <c r="C95" s="4" t="s">
        <v>181</v>
      </c>
      <c r="D95">
        <f t="shared" si="21"/>
        <v>126.14300072802672</v>
      </c>
      <c r="E95">
        <f t="shared" si="22"/>
        <v>66.1427592</v>
      </c>
      <c r="F95">
        <f t="shared" si="23"/>
        <v>192.28575992802672</v>
      </c>
    </row>
    <row r="96" spans="1:6" x14ac:dyDescent="0.2">
      <c r="B96" s="15">
        <v>10</v>
      </c>
      <c r="C96" s="4" t="s">
        <v>181</v>
      </c>
      <c r="D96">
        <f t="shared" si="21"/>
        <v>126.01698374428246</v>
      </c>
      <c r="E96">
        <f t="shared" si="22"/>
        <v>66.0860816</v>
      </c>
      <c r="F96">
        <f t="shared" si="23"/>
        <v>192.10306534428247</v>
      </c>
    </row>
    <row r="97" spans="1:6" x14ac:dyDescent="0.2">
      <c r="B97" s="15">
        <v>11</v>
      </c>
      <c r="C97" s="4" t="s">
        <v>181</v>
      </c>
      <c r="D97">
        <f t="shared" si="21"/>
        <v>126.01698374428246</v>
      </c>
      <c r="E97">
        <f t="shared" si="22"/>
        <v>60.645032000000008</v>
      </c>
      <c r="F97">
        <f t="shared" si="23"/>
        <v>186.66201574428246</v>
      </c>
    </row>
    <row r="98" spans="1:6" x14ac:dyDescent="0.2">
      <c r="B98" s="15">
        <v>12</v>
      </c>
      <c r="C98" s="4" t="s">
        <v>181</v>
      </c>
      <c r="D98">
        <f t="shared" si="21"/>
        <v>126.01698374428246</v>
      </c>
      <c r="E98">
        <f t="shared" si="22"/>
        <v>67.8997648</v>
      </c>
      <c r="F98">
        <f t="shared" si="23"/>
        <v>193.91674854428246</v>
      </c>
    </row>
    <row r="99" spans="1:6" x14ac:dyDescent="0.2">
      <c r="B99" s="15">
        <v>13</v>
      </c>
      <c r="C99" s="4" t="s">
        <v>181</v>
      </c>
      <c r="D99">
        <f t="shared" si="21"/>
        <v>126.14300072802672</v>
      </c>
      <c r="E99">
        <f t="shared" si="22"/>
        <v>63.082168799999998</v>
      </c>
      <c r="F99">
        <f t="shared" si="23"/>
        <v>189.22516952802673</v>
      </c>
    </row>
    <row r="100" spans="1:6" x14ac:dyDescent="0.2">
      <c r="B100" s="15">
        <v>14</v>
      </c>
      <c r="C100" s="4" t="s">
        <v>181</v>
      </c>
      <c r="D100">
        <f t="shared" si="21"/>
        <v>118.4559647196255</v>
      </c>
      <c r="E100">
        <f t="shared" si="22"/>
        <v>56.224179200000002</v>
      </c>
      <c r="F100">
        <f t="shared" si="23"/>
        <v>174.68014391962549</v>
      </c>
    </row>
    <row r="101" spans="1:6" x14ac:dyDescent="0.2">
      <c r="B101" s="15">
        <v>15</v>
      </c>
      <c r="C101" s="4" t="s">
        <v>181</v>
      </c>
      <c r="D101">
        <f t="shared" si="21"/>
        <v>118.4559647196255</v>
      </c>
      <c r="E101">
        <f t="shared" si="22"/>
        <v>59.738190400000001</v>
      </c>
      <c r="F101">
        <f t="shared" si="23"/>
        <v>178.19415511962549</v>
      </c>
    </row>
    <row r="102" spans="1:6" x14ac:dyDescent="0.2">
      <c r="B102" s="15">
        <v>16</v>
      </c>
      <c r="C102" s="4" t="s">
        <v>181</v>
      </c>
      <c r="D102">
        <f t="shared" si="21"/>
        <v>118.4559647196255</v>
      </c>
      <c r="E102">
        <f t="shared" si="22"/>
        <v>60.645032000000008</v>
      </c>
      <c r="F102">
        <f t="shared" si="23"/>
        <v>179.1009967196255</v>
      </c>
    </row>
    <row r="103" spans="1:6" x14ac:dyDescent="0.2">
      <c r="A103" s="9" t="s">
        <v>128</v>
      </c>
      <c r="B103" s="89" t="s">
        <v>127</v>
      </c>
      <c r="C103" s="89" t="s">
        <v>181</v>
      </c>
      <c r="D103" s="90">
        <f>ROUND($D$29*$G$158/$C$32,2)</f>
        <v>124.01</v>
      </c>
      <c r="E103" s="90">
        <f>ROUND($C$29*$H$158/$C$32,2)</f>
        <v>65.64</v>
      </c>
      <c r="F103" s="91">
        <f t="shared" ref="F103" si="24">SUM(D103:E103)</f>
        <v>189.65</v>
      </c>
    </row>
    <row r="104" spans="1:6" x14ac:dyDescent="0.2">
      <c r="B104" s="15">
        <v>1</v>
      </c>
      <c r="C104" s="4" t="s">
        <v>182</v>
      </c>
      <c r="D104">
        <f t="shared" ref="D104:D119" si="25">$D$30*VLOOKUP(B104,$B$142:$E$158,3,FALSE)/$C$32</f>
        <v>155.7438847196255</v>
      </c>
      <c r="E104">
        <f t="shared" ref="E104:E119" si="26">$C$30*VLOOKUP(B104,$B$142:$E$158,4,FALSE)/$C$32</f>
        <v>78.858993599999991</v>
      </c>
      <c r="F104">
        <f>SUM(D104:E104)</f>
        <v>234.60287831962549</v>
      </c>
    </row>
    <row r="105" spans="1:6" x14ac:dyDescent="0.2">
      <c r="B105" s="15">
        <v>2</v>
      </c>
      <c r="C105" s="4" t="s">
        <v>182</v>
      </c>
      <c r="D105">
        <f t="shared" si="25"/>
        <v>155.7438847196255</v>
      </c>
      <c r="E105">
        <f t="shared" si="26"/>
        <v>128.17494239999999</v>
      </c>
      <c r="F105">
        <f t="shared" ref="F105:F119" si="27">SUM(D105:E105)</f>
        <v>283.91882711962546</v>
      </c>
    </row>
    <row r="106" spans="1:6" x14ac:dyDescent="0.2">
      <c r="B106" s="15">
        <v>3</v>
      </c>
      <c r="C106" s="4" t="s">
        <v>182</v>
      </c>
      <c r="D106">
        <f t="shared" si="25"/>
        <v>165.85066872802673</v>
      </c>
      <c r="E106">
        <f t="shared" si="26"/>
        <v>129.72575839999999</v>
      </c>
      <c r="F106">
        <f t="shared" si="27"/>
        <v>295.57642712802669</v>
      </c>
    </row>
    <row r="107" spans="1:6" x14ac:dyDescent="0.2">
      <c r="B107" s="15">
        <v>4</v>
      </c>
      <c r="C107" s="4" t="s">
        <v>182</v>
      </c>
      <c r="D107">
        <f t="shared" si="25"/>
        <v>165.68498374428248</v>
      </c>
      <c r="E107">
        <f t="shared" si="26"/>
        <v>112.2790784</v>
      </c>
      <c r="F107">
        <f t="shared" si="27"/>
        <v>277.96406214428248</v>
      </c>
    </row>
    <row r="108" spans="1:6" x14ac:dyDescent="0.2">
      <c r="B108" s="15">
        <v>5</v>
      </c>
      <c r="C108" s="4" t="s">
        <v>182</v>
      </c>
      <c r="D108">
        <f t="shared" si="25"/>
        <v>155.7438847196255</v>
      </c>
      <c r="E108">
        <f t="shared" si="26"/>
        <v>81.805543999999998</v>
      </c>
      <c r="F108">
        <f t="shared" si="27"/>
        <v>237.5494287196255</v>
      </c>
    </row>
    <row r="109" spans="1:6" x14ac:dyDescent="0.2">
      <c r="B109" s="15">
        <v>6</v>
      </c>
      <c r="C109" s="4" t="s">
        <v>182</v>
      </c>
      <c r="D109">
        <f t="shared" si="25"/>
        <v>165.68498374428248</v>
      </c>
      <c r="E109">
        <f t="shared" si="26"/>
        <v>90.490113600000001</v>
      </c>
      <c r="F109">
        <f t="shared" si="27"/>
        <v>256.17509734428245</v>
      </c>
    </row>
    <row r="110" spans="1:6" x14ac:dyDescent="0.2">
      <c r="B110" s="15">
        <v>7</v>
      </c>
      <c r="C110" s="4" t="s">
        <v>182</v>
      </c>
      <c r="D110">
        <f t="shared" si="25"/>
        <v>165.68498374428248</v>
      </c>
      <c r="E110">
        <f t="shared" si="26"/>
        <v>89.327001599999988</v>
      </c>
      <c r="F110">
        <f t="shared" si="27"/>
        <v>255.01198534428246</v>
      </c>
    </row>
    <row r="111" spans="1:6" x14ac:dyDescent="0.2">
      <c r="B111" s="15">
        <v>8</v>
      </c>
      <c r="C111" s="4" t="s">
        <v>182</v>
      </c>
      <c r="D111">
        <f t="shared" si="25"/>
        <v>155.7438847196255</v>
      </c>
      <c r="E111">
        <f t="shared" si="26"/>
        <v>81.805543999999998</v>
      </c>
      <c r="F111">
        <f t="shared" si="27"/>
        <v>237.5494287196255</v>
      </c>
    </row>
    <row r="112" spans="1:6" x14ac:dyDescent="0.2">
      <c r="B112" s="15">
        <v>9</v>
      </c>
      <c r="C112" s="4" t="s">
        <v>182</v>
      </c>
      <c r="D112">
        <f t="shared" si="25"/>
        <v>165.85066872802673</v>
      </c>
      <c r="E112">
        <f t="shared" si="26"/>
        <v>90.490113600000001</v>
      </c>
      <c r="F112">
        <f t="shared" si="27"/>
        <v>256.34078232802676</v>
      </c>
    </row>
    <row r="113" spans="1:6" x14ac:dyDescent="0.2">
      <c r="B113" s="15">
        <v>10</v>
      </c>
      <c r="C113" s="4" t="s">
        <v>182</v>
      </c>
      <c r="D113">
        <f t="shared" si="25"/>
        <v>165.68498374428248</v>
      </c>
      <c r="E113">
        <f t="shared" si="26"/>
        <v>90.412572799999992</v>
      </c>
      <c r="F113">
        <f t="shared" si="27"/>
        <v>256.0975565442825</v>
      </c>
    </row>
    <row r="114" spans="1:6" x14ac:dyDescent="0.2">
      <c r="B114" s="15">
        <v>11</v>
      </c>
      <c r="C114" s="4" t="s">
        <v>182</v>
      </c>
      <c r="D114">
        <f t="shared" si="25"/>
        <v>165.68498374428248</v>
      </c>
      <c r="E114">
        <f t="shared" si="26"/>
        <v>82.96865600000001</v>
      </c>
      <c r="F114">
        <f t="shared" si="27"/>
        <v>248.65363974428249</v>
      </c>
    </row>
    <row r="115" spans="1:6" x14ac:dyDescent="0.2">
      <c r="B115" s="15">
        <v>12</v>
      </c>
      <c r="C115" s="4" t="s">
        <v>182</v>
      </c>
      <c r="D115">
        <f t="shared" si="25"/>
        <v>165.68498374428248</v>
      </c>
      <c r="E115">
        <f t="shared" si="26"/>
        <v>92.893878399999991</v>
      </c>
      <c r="F115">
        <f t="shared" si="27"/>
        <v>258.57886214428248</v>
      </c>
    </row>
    <row r="116" spans="1:6" x14ac:dyDescent="0.2">
      <c r="B116" s="15">
        <v>13</v>
      </c>
      <c r="C116" s="4" t="s">
        <v>182</v>
      </c>
      <c r="D116">
        <f t="shared" si="25"/>
        <v>165.85066872802673</v>
      </c>
      <c r="E116">
        <f t="shared" si="26"/>
        <v>86.302910400000002</v>
      </c>
      <c r="F116">
        <f t="shared" si="27"/>
        <v>252.15357912802673</v>
      </c>
    </row>
    <row r="117" spans="1:6" x14ac:dyDescent="0.2">
      <c r="B117" s="15">
        <v>14</v>
      </c>
      <c r="C117" s="4" t="s">
        <v>182</v>
      </c>
      <c r="D117">
        <f t="shared" si="25"/>
        <v>155.7438847196255</v>
      </c>
      <c r="E117">
        <f t="shared" si="26"/>
        <v>76.920473599999994</v>
      </c>
      <c r="F117">
        <f t="shared" si="27"/>
        <v>232.66435831962548</v>
      </c>
    </row>
    <row r="118" spans="1:6" x14ac:dyDescent="0.2">
      <c r="B118" s="15">
        <v>15</v>
      </c>
      <c r="C118" s="4" t="s">
        <v>182</v>
      </c>
      <c r="D118">
        <f t="shared" si="25"/>
        <v>155.7438847196255</v>
      </c>
      <c r="E118">
        <f t="shared" si="26"/>
        <v>81.728003200000003</v>
      </c>
      <c r="F118">
        <f t="shared" si="27"/>
        <v>237.47188791962549</v>
      </c>
    </row>
    <row r="119" spans="1:6" x14ac:dyDescent="0.2">
      <c r="B119" s="15">
        <v>16</v>
      </c>
      <c r="C119" s="4" t="s">
        <v>182</v>
      </c>
      <c r="D119">
        <f t="shared" si="25"/>
        <v>155.7438847196255</v>
      </c>
      <c r="E119">
        <f t="shared" si="26"/>
        <v>82.96865600000001</v>
      </c>
      <c r="F119">
        <f t="shared" si="27"/>
        <v>238.71254071962551</v>
      </c>
    </row>
    <row r="120" spans="1:6" x14ac:dyDescent="0.2">
      <c r="A120" s="9" t="s">
        <v>128</v>
      </c>
      <c r="B120" s="89" t="s">
        <v>127</v>
      </c>
      <c r="C120" s="89" t="s">
        <v>182</v>
      </c>
      <c r="D120" s="90">
        <f>ROUND($D$30*$G$158/$C$32,2)</f>
        <v>163.05000000000001</v>
      </c>
      <c r="E120" s="90">
        <f>ROUND($C$30*$H$158/$C$32,2)</f>
        <v>89.8</v>
      </c>
      <c r="F120" s="91">
        <f t="shared" ref="F120" si="28">SUM(D120:E120)</f>
        <v>252.85000000000002</v>
      </c>
    </row>
    <row r="121" spans="1:6" x14ac:dyDescent="0.2">
      <c r="B121" s="15">
        <v>1</v>
      </c>
      <c r="C121" s="4" t="s">
        <v>183</v>
      </c>
      <c r="D121">
        <f t="shared" ref="D121:D136" si="29">$D$31*VLOOKUP(B121,$B$142:$E$158,3,FALSE)/$C$32</f>
        <v>164.87786471962551</v>
      </c>
      <c r="E121">
        <f t="shared" ref="E121:E136" si="30">$C$31*VLOOKUP(B121,$B$142:$E$158,4,FALSE)/$C$32</f>
        <v>78.858993599999991</v>
      </c>
      <c r="F121">
        <f>SUM(D121:E121)</f>
        <v>243.7368583196255</v>
      </c>
    </row>
    <row r="122" spans="1:6" x14ac:dyDescent="0.2">
      <c r="B122" s="15">
        <v>2</v>
      </c>
      <c r="C122" s="4" t="s">
        <v>183</v>
      </c>
      <c r="D122">
        <f t="shared" si="29"/>
        <v>164.87786471962551</v>
      </c>
      <c r="E122">
        <f t="shared" si="30"/>
        <v>128.17494239999999</v>
      </c>
      <c r="F122">
        <f t="shared" ref="F122:F136" si="31">SUM(D122:E122)</f>
        <v>293.05280711962553</v>
      </c>
    </row>
    <row r="123" spans="1:6" x14ac:dyDescent="0.2">
      <c r="B123" s="15">
        <v>3</v>
      </c>
      <c r="C123" s="4" t="s">
        <v>183</v>
      </c>
      <c r="D123">
        <f t="shared" si="29"/>
        <v>175.57738572802674</v>
      </c>
      <c r="E123">
        <f t="shared" si="30"/>
        <v>129.72575839999999</v>
      </c>
      <c r="F123">
        <f t="shared" si="31"/>
        <v>305.3031441280267</v>
      </c>
    </row>
    <row r="124" spans="1:6" x14ac:dyDescent="0.2">
      <c r="B124" s="15">
        <v>4</v>
      </c>
      <c r="C124" s="4" t="s">
        <v>183</v>
      </c>
      <c r="D124">
        <f t="shared" si="29"/>
        <v>175.40198374428249</v>
      </c>
      <c r="E124">
        <f t="shared" si="30"/>
        <v>112.2790784</v>
      </c>
      <c r="F124">
        <f t="shared" si="31"/>
        <v>287.68106214428246</v>
      </c>
    </row>
    <row r="125" spans="1:6" x14ac:dyDescent="0.2">
      <c r="B125" s="15">
        <v>5</v>
      </c>
      <c r="C125" s="4" t="s">
        <v>183</v>
      </c>
      <c r="D125">
        <f t="shared" si="29"/>
        <v>164.87786471962551</v>
      </c>
      <c r="E125">
        <f t="shared" si="30"/>
        <v>81.805543999999998</v>
      </c>
      <c r="F125">
        <f t="shared" si="31"/>
        <v>246.6834087196255</v>
      </c>
    </row>
    <row r="126" spans="1:6" x14ac:dyDescent="0.2">
      <c r="B126" s="15">
        <v>6</v>
      </c>
      <c r="C126" s="4" t="s">
        <v>183</v>
      </c>
      <c r="D126">
        <f t="shared" si="29"/>
        <v>175.40198374428249</v>
      </c>
      <c r="E126">
        <f t="shared" si="30"/>
        <v>90.490113600000001</v>
      </c>
      <c r="F126">
        <f t="shared" si="31"/>
        <v>265.89209734428249</v>
      </c>
    </row>
    <row r="127" spans="1:6" x14ac:dyDescent="0.2">
      <c r="B127" s="15">
        <v>7</v>
      </c>
      <c r="C127" s="4" t="s">
        <v>183</v>
      </c>
      <c r="D127">
        <f t="shared" si="29"/>
        <v>175.40198374428249</v>
      </c>
      <c r="E127">
        <f t="shared" si="30"/>
        <v>89.327001599999988</v>
      </c>
      <c r="F127">
        <f t="shared" si="31"/>
        <v>264.72898534428248</v>
      </c>
    </row>
    <row r="128" spans="1:6" x14ac:dyDescent="0.2">
      <c r="B128" s="15">
        <v>8</v>
      </c>
      <c r="C128" s="4" t="s">
        <v>183</v>
      </c>
      <c r="D128">
        <f t="shared" si="29"/>
        <v>164.87786471962551</v>
      </c>
      <c r="E128">
        <f t="shared" si="30"/>
        <v>81.805543999999998</v>
      </c>
      <c r="F128">
        <f t="shared" si="31"/>
        <v>246.6834087196255</v>
      </c>
    </row>
    <row r="129" spans="1:9" x14ac:dyDescent="0.2">
      <c r="B129" s="15">
        <v>9</v>
      </c>
      <c r="C129" s="4" t="s">
        <v>183</v>
      </c>
      <c r="D129">
        <f t="shared" si="29"/>
        <v>175.57738572802674</v>
      </c>
      <c r="E129">
        <f t="shared" si="30"/>
        <v>90.490113600000001</v>
      </c>
      <c r="F129">
        <f t="shared" si="31"/>
        <v>266.06749932802677</v>
      </c>
    </row>
    <row r="130" spans="1:9" x14ac:dyDescent="0.2">
      <c r="B130" s="15">
        <v>10</v>
      </c>
      <c r="C130" s="4" t="s">
        <v>183</v>
      </c>
      <c r="D130">
        <f t="shared" si="29"/>
        <v>175.40198374428249</v>
      </c>
      <c r="E130">
        <f t="shared" si="30"/>
        <v>90.412572799999992</v>
      </c>
      <c r="F130">
        <f t="shared" si="31"/>
        <v>265.81455654428248</v>
      </c>
    </row>
    <row r="131" spans="1:9" x14ac:dyDescent="0.2">
      <c r="B131" s="15">
        <v>11</v>
      </c>
      <c r="C131" s="4" t="s">
        <v>183</v>
      </c>
      <c r="D131">
        <f t="shared" si="29"/>
        <v>175.40198374428249</v>
      </c>
      <c r="E131">
        <f t="shared" si="30"/>
        <v>82.96865600000001</v>
      </c>
      <c r="F131">
        <f t="shared" si="31"/>
        <v>258.37063974428247</v>
      </c>
    </row>
    <row r="132" spans="1:9" x14ac:dyDescent="0.2">
      <c r="B132" s="15">
        <v>12</v>
      </c>
      <c r="C132" s="4" t="s">
        <v>183</v>
      </c>
      <c r="D132">
        <f t="shared" si="29"/>
        <v>175.40198374428249</v>
      </c>
      <c r="E132">
        <f t="shared" si="30"/>
        <v>92.893878399999991</v>
      </c>
      <c r="F132">
        <f t="shared" si="31"/>
        <v>268.29586214428247</v>
      </c>
    </row>
    <row r="133" spans="1:9" x14ac:dyDescent="0.2">
      <c r="B133" s="15">
        <v>13</v>
      </c>
      <c r="C133" s="4" t="s">
        <v>183</v>
      </c>
      <c r="D133">
        <f t="shared" si="29"/>
        <v>175.57738572802674</v>
      </c>
      <c r="E133">
        <f t="shared" si="30"/>
        <v>86.302910400000002</v>
      </c>
      <c r="F133">
        <f t="shared" si="31"/>
        <v>261.88029612802677</v>
      </c>
    </row>
    <row r="134" spans="1:9" x14ac:dyDescent="0.2">
      <c r="B134" s="15">
        <v>14</v>
      </c>
      <c r="C134" s="4" t="s">
        <v>183</v>
      </c>
      <c r="D134">
        <f t="shared" si="29"/>
        <v>164.87786471962551</v>
      </c>
      <c r="E134">
        <f t="shared" si="30"/>
        <v>76.920473599999994</v>
      </c>
      <c r="F134">
        <f t="shared" si="31"/>
        <v>241.79833831962549</v>
      </c>
    </row>
    <row r="135" spans="1:9" x14ac:dyDescent="0.2">
      <c r="B135" s="15">
        <v>15</v>
      </c>
      <c r="C135" s="4" t="s">
        <v>183</v>
      </c>
      <c r="D135">
        <f t="shared" si="29"/>
        <v>164.87786471962551</v>
      </c>
      <c r="E135">
        <f t="shared" si="30"/>
        <v>81.728003200000003</v>
      </c>
      <c r="F135">
        <f t="shared" si="31"/>
        <v>246.6058679196255</v>
      </c>
    </row>
    <row r="136" spans="1:9" x14ac:dyDescent="0.2">
      <c r="B136" s="15">
        <v>16</v>
      </c>
      <c r="C136" s="4" t="s">
        <v>183</v>
      </c>
      <c r="D136">
        <f t="shared" si="29"/>
        <v>164.87786471962551</v>
      </c>
      <c r="E136">
        <f t="shared" si="30"/>
        <v>82.96865600000001</v>
      </c>
      <c r="F136">
        <f t="shared" si="31"/>
        <v>247.84652071962552</v>
      </c>
    </row>
    <row r="137" spans="1:9" x14ac:dyDescent="0.2">
      <c r="A137" s="9" t="s">
        <v>128</v>
      </c>
      <c r="B137" s="89" t="s">
        <v>127</v>
      </c>
      <c r="C137" s="89" t="s">
        <v>183</v>
      </c>
      <c r="D137" s="90">
        <f>ROUND($D$31*$G$158/$C$32,2)</f>
        <v>172.61</v>
      </c>
      <c r="E137" s="90">
        <f>ROUND($C$31*$H$158/$C$32,2)</f>
        <v>89.8</v>
      </c>
      <c r="F137" s="91">
        <f t="shared" ref="F137" si="32">SUM(D137:E137)</f>
        <v>262.41000000000003</v>
      </c>
    </row>
    <row r="139" spans="1:9" x14ac:dyDescent="0.2">
      <c r="B139" s="15" t="s">
        <v>120</v>
      </c>
      <c r="C139" s="12"/>
      <c r="D139" s="13"/>
      <c r="E139" s="12"/>
      <c r="F139" s="3"/>
      <c r="G139" s="4"/>
      <c r="I139" s="1"/>
    </row>
    <row r="140" spans="1:9" ht="15.75" x14ac:dyDescent="0.25">
      <c r="B140" s="73" t="s">
        <v>104</v>
      </c>
      <c r="C140" s="74"/>
      <c r="D140" s="74"/>
      <c r="E140" s="74"/>
      <c r="F140" s="74"/>
      <c r="G140" s="74"/>
      <c r="H140" s="74"/>
      <c r="I140" s="1"/>
    </row>
    <row r="141" spans="1:9" ht="57" x14ac:dyDescent="0.2">
      <c r="B141" s="75" t="s">
        <v>9</v>
      </c>
      <c r="C141" s="75" t="s">
        <v>10</v>
      </c>
      <c r="D141" s="75" t="s">
        <v>105</v>
      </c>
      <c r="E141" s="75" t="s">
        <v>106</v>
      </c>
      <c r="F141" s="76" t="s">
        <v>107</v>
      </c>
      <c r="G141" s="76" t="s">
        <v>108</v>
      </c>
      <c r="H141" s="76" t="s">
        <v>109</v>
      </c>
      <c r="I141" s="1"/>
    </row>
    <row r="142" spans="1:9" x14ac:dyDescent="0.2">
      <c r="B142" s="77">
        <v>1</v>
      </c>
      <c r="C142" s="78" t="s">
        <v>11</v>
      </c>
      <c r="D142" s="79">
        <v>0.94</v>
      </c>
      <c r="E142" s="79">
        <v>1.0169999999999999</v>
      </c>
      <c r="F142" s="80">
        <v>3.2678012053238359E-3</v>
      </c>
      <c r="G142" s="80">
        <f>D142*F142</f>
        <v>3.0717331330044058E-3</v>
      </c>
      <c r="H142" s="80">
        <f t="shared" ref="H142:H157" si="33">E142*F142</f>
        <v>3.3233538258143408E-3</v>
      </c>
      <c r="I142" s="1"/>
    </row>
    <row r="143" spans="1:9" x14ac:dyDescent="0.2">
      <c r="B143" s="81">
        <v>2</v>
      </c>
      <c r="C143" s="78" t="s">
        <v>12</v>
      </c>
      <c r="D143" s="79">
        <v>0.94</v>
      </c>
      <c r="E143" s="79">
        <v>1.653</v>
      </c>
      <c r="F143" s="80">
        <v>9.6951641438708762E-3</v>
      </c>
      <c r="G143" s="80">
        <f t="shared" ref="G143:G157" si="34">D143*F143</f>
        <v>9.1134542952386235E-3</v>
      </c>
      <c r="H143" s="80">
        <f t="shared" si="33"/>
        <v>1.602610632981856E-2</v>
      </c>
    </row>
    <row r="144" spans="1:9" x14ac:dyDescent="0.2">
      <c r="B144" s="81">
        <v>3</v>
      </c>
      <c r="C144" s="78" t="s">
        <v>13</v>
      </c>
      <c r="D144" s="79">
        <v>1.0009999999999999</v>
      </c>
      <c r="E144" s="79">
        <v>1.673</v>
      </c>
      <c r="F144" s="80">
        <v>3.0273549494431465E-2</v>
      </c>
      <c r="G144" s="80">
        <f t="shared" si="34"/>
        <v>3.0303823043925891E-2</v>
      </c>
      <c r="H144" s="80">
        <f t="shared" si="33"/>
        <v>5.0647648304183841E-2</v>
      </c>
    </row>
    <row r="145" spans="2:8" x14ac:dyDescent="0.2">
      <c r="B145" s="81">
        <v>4</v>
      </c>
      <c r="C145" s="78" t="s">
        <v>14</v>
      </c>
      <c r="D145" s="79">
        <v>1</v>
      </c>
      <c r="E145" s="79">
        <v>1.448</v>
      </c>
      <c r="F145" s="80">
        <v>1.528624830392613E-2</v>
      </c>
      <c r="G145" s="80">
        <f t="shared" si="34"/>
        <v>1.528624830392613E-2</v>
      </c>
      <c r="H145" s="80">
        <f t="shared" si="33"/>
        <v>2.2134487544085035E-2</v>
      </c>
    </row>
    <row r="146" spans="2:8" x14ac:dyDescent="0.2">
      <c r="B146" s="81">
        <v>5</v>
      </c>
      <c r="C146" s="78" t="s">
        <v>15</v>
      </c>
      <c r="D146" s="79">
        <v>0.94</v>
      </c>
      <c r="E146" s="79">
        <v>1.0549999999999999</v>
      </c>
      <c r="F146" s="80">
        <v>4.3295788840252714E-4</v>
      </c>
      <c r="G146" s="80">
        <f t="shared" si="34"/>
        <v>4.0698041509837547E-4</v>
      </c>
      <c r="H146" s="80">
        <f t="shared" si="33"/>
        <v>4.5677057226466611E-4</v>
      </c>
    </row>
    <row r="147" spans="2:8" x14ac:dyDescent="0.2">
      <c r="B147" s="81">
        <v>6</v>
      </c>
      <c r="C147" s="78" t="s">
        <v>110</v>
      </c>
      <c r="D147" s="79">
        <v>1</v>
      </c>
      <c r="E147" s="79">
        <v>1.167</v>
      </c>
      <c r="F147" s="80">
        <v>0.13910447299618456</v>
      </c>
      <c r="G147" s="80">
        <f t="shared" si="34"/>
        <v>0.13910447299618456</v>
      </c>
      <c r="H147" s="80">
        <f t="shared" si="33"/>
        <v>0.16233491998654739</v>
      </c>
    </row>
    <row r="148" spans="2:8" x14ac:dyDescent="0.2">
      <c r="B148" s="81">
        <v>7</v>
      </c>
      <c r="C148" s="78" t="s">
        <v>111</v>
      </c>
      <c r="D148" s="79">
        <v>1</v>
      </c>
      <c r="E148" s="79">
        <v>1.1519999999999999</v>
      </c>
      <c r="F148" s="80">
        <v>4.6714352167431E-2</v>
      </c>
      <c r="G148" s="80">
        <f t="shared" si="34"/>
        <v>4.6714352167431E-2</v>
      </c>
      <c r="H148" s="80">
        <f t="shared" si="33"/>
        <v>5.3814933696880507E-2</v>
      </c>
    </row>
    <row r="149" spans="2:8" x14ac:dyDescent="0.2">
      <c r="B149" s="81">
        <v>8</v>
      </c>
      <c r="C149" s="78" t="s">
        <v>112</v>
      </c>
      <c r="D149" s="79">
        <v>0.94</v>
      </c>
      <c r="E149" s="79">
        <v>1.0549999999999999</v>
      </c>
      <c r="F149" s="80">
        <v>0.16224194872283865</v>
      </c>
      <c r="G149" s="80">
        <f t="shared" si="34"/>
        <v>0.15250743179946832</v>
      </c>
      <c r="H149" s="80">
        <f t="shared" si="33"/>
        <v>0.17116525590259477</v>
      </c>
    </row>
    <row r="150" spans="2:8" x14ac:dyDescent="0.2">
      <c r="B150" s="81">
        <v>9</v>
      </c>
      <c r="C150" s="78" t="s">
        <v>113</v>
      </c>
      <c r="D150" s="79">
        <v>1.0009999999999999</v>
      </c>
      <c r="E150" s="79">
        <v>1.167</v>
      </c>
      <c r="F150" s="80">
        <v>0.2181038248479171</v>
      </c>
      <c r="G150" s="80">
        <f t="shared" si="34"/>
        <v>0.21832192867276498</v>
      </c>
      <c r="H150" s="80">
        <f t="shared" si="33"/>
        <v>0.25452716359751926</v>
      </c>
    </row>
    <row r="151" spans="2:8" x14ac:dyDescent="0.2">
      <c r="B151" s="81">
        <v>10</v>
      </c>
      <c r="C151" s="78" t="s">
        <v>114</v>
      </c>
      <c r="D151" s="79">
        <v>1</v>
      </c>
      <c r="E151" s="79">
        <v>1.1659999999999999</v>
      </c>
      <c r="F151" s="80">
        <v>0.21277818510753721</v>
      </c>
      <c r="G151" s="80">
        <f t="shared" si="34"/>
        <v>0.21277818510753721</v>
      </c>
      <c r="H151" s="80">
        <f t="shared" si="33"/>
        <v>0.24809936383538836</v>
      </c>
    </row>
    <row r="152" spans="2:8" x14ac:dyDescent="0.2">
      <c r="B152" s="81">
        <v>11</v>
      </c>
      <c r="C152" s="78" t="s">
        <v>16</v>
      </c>
      <c r="D152" s="79">
        <v>1</v>
      </c>
      <c r="E152" s="79">
        <v>1.07</v>
      </c>
      <c r="F152" s="80">
        <v>1.0238938634662145E-2</v>
      </c>
      <c r="G152" s="80">
        <f t="shared" si="34"/>
        <v>1.0238938634662145E-2</v>
      </c>
      <c r="H152" s="80">
        <f t="shared" si="33"/>
        <v>1.0955664339088496E-2</v>
      </c>
    </row>
    <row r="153" spans="2:8" x14ac:dyDescent="0.2">
      <c r="B153" s="81">
        <v>12</v>
      </c>
      <c r="C153" s="78" t="s">
        <v>17</v>
      </c>
      <c r="D153" s="79">
        <v>1</v>
      </c>
      <c r="E153" s="79">
        <v>1.198</v>
      </c>
      <c r="F153" s="80">
        <v>3.6051475600374715E-2</v>
      </c>
      <c r="G153" s="80">
        <f t="shared" si="34"/>
        <v>3.6051475600374715E-2</v>
      </c>
      <c r="H153" s="80">
        <f t="shared" si="33"/>
        <v>4.3189667769248909E-2</v>
      </c>
    </row>
    <row r="154" spans="2:8" x14ac:dyDescent="0.2">
      <c r="B154" s="81">
        <v>13</v>
      </c>
      <c r="C154" s="78" t="s">
        <v>18</v>
      </c>
      <c r="D154" s="79">
        <v>1.0009999999999999</v>
      </c>
      <c r="E154" s="79">
        <v>1.113</v>
      </c>
      <c r="F154" s="80">
        <v>2.1692994200168285E-2</v>
      </c>
      <c r="G154" s="80">
        <f t="shared" si="34"/>
        <v>2.1714687194368452E-2</v>
      </c>
      <c r="H154" s="80">
        <f t="shared" si="33"/>
        <v>2.4144302544787302E-2</v>
      </c>
    </row>
    <row r="155" spans="2:8" x14ac:dyDescent="0.2">
      <c r="B155" s="81">
        <v>14</v>
      </c>
      <c r="C155" s="78" t="s">
        <v>115</v>
      </c>
      <c r="D155" s="79">
        <v>0.94</v>
      </c>
      <c r="E155" s="79">
        <v>0.99199999999999999</v>
      </c>
      <c r="F155" s="80">
        <v>3.4945886706775404E-2</v>
      </c>
      <c r="G155" s="80">
        <f t="shared" si="34"/>
        <v>3.2849133504368876E-2</v>
      </c>
      <c r="H155" s="80">
        <f t="shared" si="33"/>
        <v>3.4666319613121201E-2</v>
      </c>
    </row>
    <row r="156" spans="2:8" x14ac:dyDescent="0.2">
      <c r="B156" s="81">
        <v>15</v>
      </c>
      <c r="C156" s="78" t="s">
        <v>116</v>
      </c>
      <c r="D156" s="79">
        <v>0.94</v>
      </c>
      <c r="E156" s="79">
        <v>1.054</v>
      </c>
      <c r="F156" s="80">
        <v>4.7198852661595736E-2</v>
      </c>
      <c r="G156" s="80">
        <f t="shared" si="34"/>
        <v>4.436692150189999E-2</v>
      </c>
      <c r="H156" s="80">
        <f t="shared" si="33"/>
        <v>4.9747590705321906E-2</v>
      </c>
    </row>
    <row r="157" spans="2:8" x14ac:dyDescent="0.2">
      <c r="B157" s="81">
        <v>16</v>
      </c>
      <c r="C157" s="78" t="s">
        <v>19</v>
      </c>
      <c r="D157" s="79">
        <v>0.94</v>
      </c>
      <c r="E157" s="79">
        <v>1.07</v>
      </c>
      <c r="F157" s="80">
        <v>1.1973347318560363E-2</v>
      </c>
      <c r="G157" s="80">
        <f t="shared" si="34"/>
        <v>1.1254946479446741E-2</v>
      </c>
      <c r="H157" s="80">
        <f t="shared" si="33"/>
        <v>1.2811481630859588E-2</v>
      </c>
    </row>
    <row r="158" spans="2:8" x14ac:dyDescent="0.2">
      <c r="B158" s="88" t="s">
        <v>8</v>
      </c>
      <c r="C158" s="78" t="s">
        <v>117</v>
      </c>
      <c r="D158" s="79">
        <f>AVERAGE(D142:D157)</f>
        <v>0.97393749999999979</v>
      </c>
      <c r="E158" s="79">
        <f>AVERAGE(E142:E157)</f>
        <v>1.1906249999999998</v>
      </c>
      <c r="F158" s="80">
        <f>SUM(F142:F157)</f>
        <v>1</v>
      </c>
      <c r="G158" s="80">
        <f>SUM(G142:G157)</f>
        <v>0.98408471284970045</v>
      </c>
      <c r="H158" s="80">
        <f>SUM(H142:H157)</f>
        <v>1.158045030197524</v>
      </c>
    </row>
    <row r="159" spans="2:8" x14ac:dyDescent="0.2">
      <c r="B159" s="82" t="s">
        <v>118</v>
      </c>
      <c r="C159" s="83"/>
      <c r="D159" s="84"/>
      <c r="E159" s="84"/>
      <c r="F159" s="74"/>
      <c r="G159" s="74"/>
      <c r="H159" s="74"/>
    </row>
    <row r="160" spans="2:8" x14ac:dyDescent="0.2">
      <c r="B160" s="82" t="s">
        <v>119</v>
      </c>
      <c r="C160" s="83"/>
      <c r="D160" s="84"/>
      <c r="E160" s="84"/>
      <c r="F160" s="74"/>
      <c r="G160" s="74"/>
      <c r="H160" s="74"/>
    </row>
  </sheetData>
  <pageMargins left="0.7" right="0.7" top="0.75" bottom="0.75" header="0.3" footer="0.3"/>
  <pageSetup paperSize="1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8A9C4C-130D-4143-965C-B56E4641C386}">
  <dimension ref="A1:K5"/>
  <sheetViews>
    <sheetView workbookViewId="0"/>
  </sheetViews>
  <sheetFormatPr defaultRowHeight="12.75" x14ac:dyDescent="0.2"/>
  <cols>
    <col min="1" max="1" width="39.42578125" bestFit="1" customWidth="1"/>
    <col min="2" max="2" width="16.85546875" bestFit="1" customWidth="1"/>
    <col min="3" max="3" width="10" bestFit="1" customWidth="1"/>
    <col min="4" max="7" width="9.140625" hidden="1" customWidth="1"/>
  </cols>
  <sheetData>
    <row r="1" spans="1:11" x14ac:dyDescent="0.2">
      <c r="A1" t="s">
        <v>188</v>
      </c>
    </row>
    <row r="2" spans="1:11" ht="60" x14ac:dyDescent="0.25">
      <c r="A2" s="122" t="s">
        <v>189</v>
      </c>
      <c r="B2" s="122" t="s">
        <v>86</v>
      </c>
      <c r="C2" s="122" t="s">
        <v>190</v>
      </c>
      <c r="D2" s="122" t="s">
        <v>191</v>
      </c>
      <c r="E2" s="123" t="s">
        <v>192</v>
      </c>
      <c r="F2" s="123" t="s">
        <v>193</v>
      </c>
      <c r="G2" s="123" t="s">
        <v>194</v>
      </c>
      <c r="H2" s="122" t="s">
        <v>191</v>
      </c>
      <c r="I2" s="124" t="s">
        <v>192</v>
      </c>
      <c r="J2" s="124" t="s">
        <v>193</v>
      </c>
      <c r="K2" s="124" t="s">
        <v>194</v>
      </c>
    </row>
    <row r="3" spans="1:11" x14ac:dyDescent="0.2">
      <c r="A3" s="129" t="s">
        <v>195</v>
      </c>
      <c r="B3" s="129" t="s">
        <v>196</v>
      </c>
      <c r="C3" s="125" t="s">
        <v>197</v>
      </c>
      <c r="D3" s="126" t="s">
        <v>198</v>
      </c>
      <c r="E3" s="127">
        <v>19.64</v>
      </c>
      <c r="F3" s="127">
        <v>19.78</v>
      </c>
      <c r="G3" s="127">
        <v>39.42</v>
      </c>
      <c r="H3" s="126" t="s">
        <v>199</v>
      </c>
      <c r="I3" s="128">
        <v>21.988349589050873</v>
      </c>
      <c r="J3" s="128">
        <v>28.01</v>
      </c>
      <c r="K3" s="128">
        <v>49.998349589050875</v>
      </c>
    </row>
    <row r="4" spans="1:11" x14ac:dyDescent="0.2">
      <c r="A4" s="129"/>
      <c r="B4" s="129"/>
      <c r="C4" s="125" t="s">
        <v>55</v>
      </c>
      <c r="D4" s="126" t="s">
        <v>198</v>
      </c>
      <c r="E4" s="127">
        <v>84.78</v>
      </c>
      <c r="F4" s="127">
        <v>52</v>
      </c>
      <c r="G4" s="127">
        <v>136.78</v>
      </c>
      <c r="H4" s="126" t="s">
        <v>199</v>
      </c>
      <c r="I4" s="128">
        <v>69.605333333333334</v>
      </c>
      <c r="J4" s="128">
        <v>56.87</v>
      </c>
      <c r="K4" s="128">
        <v>126.47533333333334</v>
      </c>
    </row>
    <row r="5" spans="1:11" x14ac:dyDescent="0.2">
      <c r="I5" s="94">
        <f>I4-I3</f>
        <v>47.616983744282464</v>
      </c>
      <c r="J5" s="94">
        <f>J4-J3</f>
        <v>28.859999999999996</v>
      </c>
      <c r="K5" s="94">
        <f>I5+J5</f>
        <v>76.476983744282464</v>
      </c>
    </row>
  </sheetData>
  <mergeCells count="2">
    <mergeCell ref="A3:A4"/>
    <mergeCell ref="B3:B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5"/>
  <sheetViews>
    <sheetView topLeftCell="A10" workbookViewId="0">
      <selection activeCell="L10" sqref="L10"/>
    </sheetView>
  </sheetViews>
  <sheetFormatPr defaultRowHeight="12.75" x14ac:dyDescent="0.2"/>
  <cols>
    <col min="2" max="2" width="19.28515625" customWidth="1"/>
    <col min="4" max="4" width="22.140625" customWidth="1"/>
  </cols>
  <sheetData>
    <row r="1" spans="1:5" x14ac:dyDescent="0.2">
      <c r="A1" t="s">
        <v>53</v>
      </c>
    </row>
    <row r="2" spans="1:5" x14ac:dyDescent="0.2">
      <c r="A2" t="s">
        <v>54</v>
      </c>
    </row>
    <row r="4" spans="1:5" x14ac:dyDescent="0.2">
      <c r="B4" s="1" t="s">
        <v>46</v>
      </c>
    </row>
    <row r="5" spans="1:5" x14ac:dyDescent="0.2">
      <c r="B5" s="1" t="s">
        <v>47</v>
      </c>
    </row>
    <row r="6" spans="1:5" x14ac:dyDescent="0.2">
      <c r="D6" s="5">
        <v>1</v>
      </c>
    </row>
    <row r="7" spans="1:5" x14ac:dyDescent="0.2">
      <c r="B7" s="1" t="s">
        <v>5</v>
      </c>
      <c r="C7" s="1" t="s">
        <v>6</v>
      </c>
      <c r="D7" s="1" t="s">
        <v>20</v>
      </c>
      <c r="E7" s="1" t="s">
        <v>7</v>
      </c>
    </row>
    <row r="8" spans="1:5" x14ac:dyDescent="0.2">
      <c r="B8">
        <v>1</v>
      </c>
      <c r="C8">
        <v>334.33</v>
      </c>
      <c r="D8">
        <f t="shared" ref="D8:D14" si="0">$D$6*C8</f>
        <v>334.33</v>
      </c>
      <c r="E8">
        <f t="shared" ref="E8:E14" si="1">SUM(C8:D8)</f>
        <v>668.66</v>
      </c>
    </row>
    <row r="9" spans="1:5" x14ac:dyDescent="0.2">
      <c r="B9" s="1">
        <v>2</v>
      </c>
      <c r="C9">
        <v>384.87</v>
      </c>
      <c r="D9">
        <f t="shared" si="0"/>
        <v>384.87</v>
      </c>
      <c r="E9">
        <f t="shared" si="1"/>
        <v>769.74</v>
      </c>
    </row>
    <row r="10" spans="1:5" x14ac:dyDescent="0.2">
      <c r="B10" s="1">
        <v>3</v>
      </c>
      <c r="C10">
        <v>389.96</v>
      </c>
      <c r="D10">
        <f t="shared" si="0"/>
        <v>389.96</v>
      </c>
      <c r="E10">
        <f t="shared" si="1"/>
        <v>779.92</v>
      </c>
    </row>
    <row r="11" spans="1:5" x14ac:dyDescent="0.2">
      <c r="B11" s="1">
        <v>4</v>
      </c>
      <c r="C11">
        <v>365.83</v>
      </c>
      <c r="D11">
        <f t="shared" si="0"/>
        <v>365.83</v>
      </c>
      <c r="E11">
        <f t="shared" si="1"/>
        <v>731.66</v>
      </c>
    </row>
    <row r="12" spans="1:5" x14ac:dyDescent="0.2">
      <c r="B12" s="1">
        <v>5</v>
      </c>
      <c r="C12">
        <v>419.87</v>
      </c>
      <c r="D12">
        <f t="shared" si="0"/>
        <v>419.87</v>
      </c>
      <c r="E12">
        <f t="shared" si="1"/>
        <v>839.74</v>
      </c>
    </row>
    <row r="13" spans="1:5" x14ac:dyDescent="0.2">
      <c r="B13" s="1">
        <v>6</v>
      </c>
      <c r="C13">
        <v>339.36</v>
      </c>
      <c r="D13">
        <f t="shared" si="0"/>
        <v>339.36</v>
      </c>
      <c r="E13">
        <f t="shared" si="1"/>
        <v>678.72</v>
      </c>
    </row>
    <row r="14" spans="1:5" x14ac:dyDescent="0.2">
      <c r="B14" s="1">
        <v>7</v>
      </c>
      <c r="C14">
        <v>370.86</v>
      </c>
      <c r="D14">
        <f t="shared" si="0"/>
        <v>370.86</v>
      </c>
      <c r="E14">
        <f t="shared" si="1"/>
        <v>741.72</v>
      </c>
    </row>
    <row r="15" spans="1:5" x14ac:dyDescent="0.2">
      <c r="B15" s="1" t="s">
        <v>8</v>
      </c>
      <c r="C15">
        <f>AVERAGE(C8:C14)</f>
        <v>372.15428571428578</v>
      </c>
      <c r="D15">
        <f>AVERAGE(D8:D14)</f>
        <v>372.15428571428578</v>
      </c>
      <c r="E15" s="9">
        <f>AVERAGE(E8:E14)</f>
        <v>744.30857142857155</v>
      </c>
    </row>
    <row r="17" spans="2:7" x14ac:dyDescent="0.2">
      <c r="B17" s="1" t="s">
        <v>48</v>
      </c>
    </row>
    <row r="18" spans="2:7" x14ac:dyDescent="0.2">
      <c r="C18" t="s">
        <v>6</v>
      </c>
      <c r="D18" s="1" t="s">
        <v>20</v>
      </c>
      <c r="E18" s="1" t="s">
        <v>24</v>
      </c>
      <c r="F18" s="1" t="s">
        <v>29</v>
      </c>
    </row>
    <row r="19" spans="2:7" x14ac:dyDescent="0.2">
      <c r="B19" s="8" t="s">
        <v>50</v>
      </c>
      <c r="C19">
        <v>174.93</v>
      </c>
      <c r="D19">
        <f>$D$6*C19</f>
        <v>174.93</v>
      </c>
      <c r="E19">
        <v>1</v>
      </c>
      <c r="F19">
        <f>SUM(C19:D19)*E19</f>
        <v>349.86</v>
      </c>
    </row>
    <row r="20" spans="2:7" x14ac:dyDescent="0.2">
      <c r="B20" t="s">
        <v>21</v>
      </c>
      <c r="C20">
        <v>14.59</v>
      </c>
      <c r="D20">
        <f>$D$6*C20</f>
        <v>14.59</v>
      </c>
      <c r="E20">
        <v>1</v>
      </c>
      <c r="F20">
        <f t="shared" ref="F20:F24" si="2">SUM(C20:D20)*E20</f>
        <v>29.18</v>
      </c>
    </row>
    <row r="21" spans="2:7" x14ac:dyDescent="0.2">
      <c r="B21" t="s">
        <v>22</v>
      </c>
      <c r="C21">
        <v>14.59</v>
      </c>
      <c r="D21">
        <f t="shared" ref="D21:D24" si="3">$D$6*C21</f>
        <v>14.59</v>
      </c>
      <c r="E21">
        <v>0.85</v>
      </c>
      <c r="F21">
        <f t="shared" si="2"/>
        <v>24.803000000000001</v>
      </c>
      <c r="G21" t="s">
        <v>30</v>
      </c>
    </row>
    <row r="22" spans="2:7" x14ac:dyDescent="0.2">
      <c r="B22" t="s">
        <v>23</v>
      </c>
      <c r="C22">
        <v>49.59</v>
      </c>
      <c r="D22">
        <f t="shared" si="3"/>
        <v>49.59</v>
      </c>
      <c r="E22">
        <v>0.15</v>
      </c>
      <c r="F22">
        <f t="shared" si="2"/>
        <v>14.877000000000001</v>
      </c>
      <c r="G22" s="6" t="s">
        <v>28</v>
      </c>
    </row>
    <row r="23" spans="2:7" x14ac:dyDescent="0.2">
      <c r="B23" t="s">
        <v>25</v>
      </c>
      <c r="C23">
        <v>14.59</v>
      </c>
      <c r="D23">
        <f t="shared" si="3"/>
        <v>14.59</v>
      </c>
      <c r="E23">
        <v>0.1</v>
      </c>
      <c r="F23">
        <f t="shared" si="2"/>
        <v>2.9180000000000001</v>
      </c>
      <c r="G23" t="s">
        <v>31</v>
      </c>
    </row>
    <row r="24" spans="2:7" x14ac:dyDescent="0.2">
      <c r="B24" t="s">
        <v>26</v>
      </c>
      <c r="C24">
        <v>49.59</v>
      </c>
      <c r="D24">
        <f t="shared" si="3"/>
        <v>49.59</v>
      </c>
      <c r="E24">
        <v>0.05</v>
      </c>
      <c r="F24">
        <f t="shared" si="2"/>
        <v>4.9590000000000005</v>
      </c>
      <c r="G24" t="s">
        <v>27</v>
      </c>
    </row>
    <row r="25" spans="2:7" x14ac:dyDescent="0.2">
      <c r="B25" t="s">
        <v>32</v>
      </c>
      <c r="F25">
        <f>SUM(F19:F24)</f>
        <v>426.59700000000004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8"/>
  <sheetViews>
    <sheetView zoomScaleNormal="100" workbookViewId="0">
      <selection activeCell="K18" sqref="K18"/>
    </sheetView>
  </sheetViews>
  <sheetFormatPr defaultRowHeight="12.75" x14ac:dyDescent="0.2"/>
  <cols>
    <col min="2" max="2" width="17.5703125" customWidth="1"/>
    <col min="3" max="3" width="13.7109375" customWidth="1"/>
    <col min="4" max="4" width="11.85546875" customWidth="1"/>
    <col min="11" max="11" width="18.7109375" customWidth="1"/>
  </cols>
  <sheetData>
    <row r="1" spans="1:9" x14ac:dyDescent="0.2">
      <c r="A1" t="s">
        <v>52</v>
      </c>
    </row>
    <row r="2" spans="1:9" x14ac:dyDescent="0.2">
      <c r="A2" t="s">
        <v>54</v>
      </c>
    </row>
    <row r="3" spans="1:9" x14ac:dyDescent="0.2">
      <c r="B3" s="1" t="s">
        <v>49</v>
      </c>
      <c r="D3" s="6">
        <v>0.1</v>
      </c>
    </row>
    <row r="4" spans="1:9" x14ac:dyDescent="0.2">
      <c r="B4" s="1" t="s">
        <v>33</v>
      </c>
      <c r="C4" s="1" t="s">
        <v>6</v>
      </c>
      <c r="D4" s="1" t="s">
        <v>35</v>
      </c>
      <c r="E4" s="1" t="s">
        <v>34</v>
      </c>
      <c r="F4" s="1" t="s">
        <v>29</v>
      </c>
      <c r="G4" s="1"/>
      <c r="H4" s="1" t="s">
        <v>36</v>
      </c>
    </row>
    <row r="5" spans="1:9" x14ac:dyDescent="0.2">
      <c r="A5" s="1" t="s">
        <v>45</v>
      </c>
      <c r="B5" s="8" t="s">
        <v>50</v>
      </c>
      <c r="C5">
        <v>440</v>
      </c>
      <c r="D5">
        <f>C5*$D$3</f>
        <v>44</v>
      </c>
      <c r="E5">
        <v>1</v>
      </c>
      <c r="F5">
        <f>(C5-D5)*E5</f>
        <v>396</v>
      </c>
      <c r="H5">
        <v>1</v>
      </c>
      <c r="I5">
        <v>588</v>
      </c>
    </row>
    <row r="6" spans="1:9" x14ac:dyDescent="0.2">
      <c r="B6" s="1" t="s">
        <v>37</v>
      </c>
      <c r="C6">
        <f>I9</f>
        <v>483.25</v>
      </c>
      <c r="D6">
        <f t="shared" ref="D6:D11" si="0">C6*$D$3</f>
        <v>48.325000000000003</v>
      </c>
      <c r="E6">
        <v>1</v>
      </c>
      <c r="F6">
        <f t="shared" ref="F6:F11" si="1">(C6-D6)*E6</f>
        <v>434.92500000000001</v>
      </c>
      <c r="H6">
        <v>2</v>
      </c>
      <c r="I6">
        <v>515</v>
      </c>
    </row>
    <row r="7" spans="1:9" x14ac:dyDescent="0.2">
      <c r="B7" s="1" t="s">
        <v>21</v>
      </c>
      <c r="C7">
        <v>30</v>
      </c>
      <c r="D7">
        <f t="shared" si="0"/>
        <v>3</v>
      </c>
      <c r="E7">
        <v>1</v>
      </c>
      <c r="F7">
        <f t="shared" si="1"/>
        <v>27</v>
      </c>
      <c r="H7">
        <v>3</v>
      </c>
      <c r="I7">
        <v>446</v>
      </c>
    </row>
    <row r="8" spans="1:9" x14ac:dyDescent="0.2">
      <c r="B8" s="1" t="s">
        <v>38</v>
      </c>
      <c r="C8">
        <v>30</v>
      </c>
      <c r="D8">
        <f t="shared" si="0"/>
        <v>3</v>
      </c>
      <c r="E8">
        <v>0.85</v>
      </c>
      <c r="F8">
        <f>(C8-D8)*E8</f>
        <v>22.95</v>
      </c>
      <c r="H8">
        <v>4</v>
      </c>
      <c r="I8">
        <v>384</v>
      </c>
    </row>
    <row r="9" spans="1:9" x14ac:dyDescent="0.2">
      <c r="B9" s="1" t="s">
        <v>39</v>
      </c>
      <c r="C9">
        <v>150</v>
      </c>
      <c r="D9">
        <f t="shared" si="0"/>
        <v>15</v>
      </c>
      <c r="E9">
        <v>0.15</v>
      </c>
      <c r="F9">
        <f t="shared" si="1"/>
        <v>20.25</v>
      </c>
      <c r="I9">
        <f>AVERAGE(I5:I8)</f>
        <v>483.25</v>
      </c>
    </row>
    <row r="10" spans="1:9" x14ac:dyDescent="0.2">
      <c r="B10" s="1" t="s">
        <v>40</v>
      </c>
      <c r="C10">
        <v>30</v>
      </c>
      <c r="D10">
        <f t="shared" si="0"/>
        <v>3</v>
      </c>
      <c r="E10">
        <v>0.1</v>
      </c>
      <c r="F10">
        <f t="shared" si="1"/>
        <v>2.7</v>
      </c>
    </row>
    <row r="11" spans="1:9" x14ac:dyDescent="0.2">
      <c r="B11" s="1" t="s">
        <v>41</v>
      </c>
      <c r="C11">
        <v>150</v>
      </c>
      <c r="D11">
        <f t="shared" si="0"/>
        <v>15</v>
      </c>
      <c r="E11">
        <v>0.05</v>
      </c>
      <c r="F11">
        <f t="shared" si="1"/>
        <v>6.75</v>
      </c>
    </row>
    <row r="12" spans="1:9" x14ac:dyDescent="0.2">
      <c r="B12" s="1" t="s">
        <v>32</v>
      </c>
      <c r="F12" s="9">
        <f>SUM(F5:F11)</f>
        <v>910.57500000000005</v>
      </c>
    </row>
    <row r="13" spans="1:9" x14ac:dyDescent="0.2">
      <c r="B13" s="1"/>
    </row>
    <row r="15" spans="1:9" x14ac:dyDescent="0.2">
      <c r="B15" s="1" t="s">
        <v>51</v>
      </c>
      <c r="D15" s="6">
        <v>0.1</v>
      </c>
    </row>
    <row r="16" spans="1:9" x14ac:dyDescent="0.2">
      <c r="B16" s="1" t="s">
        <v>33</v>
      </c>
      <c r="C16" s="1" t="s">
        <v>6</v>
      </c>
      <c r="D16" s="1" t="s">
        <v>35</v>
      </c>
      <c r="E16" s="1" t="s">
        <v>34</v>
      </c>
      <c r="F16" s="1" t="s">
        <v>29</v>
      </c>
    </row>
    <row r="17" spans="1:6" x14ac:dyDescent="0.2">
      <c r="A17" s="1" t="s">
        <v>45</v>
      </c>
      <c r="B17" s="8" t="s">
        <v>50</v>
      </c>
      <c r="C17">
        <v>440</v>
      </c>
      <c r="D17">
        <f>C17*$D$3</f>
        <v>44</v>
      </c>
      <c r="E17">
        <v>1</v>
      </c>
      <c r="F17">
        <f>(C17-D17)*E17</f>
        <v>396</v>
      </c>
    </row>
    <row r="18" spans="1:6" x14ac:dyDescent="0.2">
      <c r="B18" s="1" t="s">
        <v>21</v>
      </c>
      <c r="C18">
        <v>30</v>
      </c>
      <c r="D18">
        <f>C18*$D$3</f>
        <v>3</v>
      </c>
      <c r="E18">
        <v>1</v>
      </c>
      <c r="F18">
        <f t="shared" ref="F18" si="2">(C18-D18)*E18</f>
        <v>27</v>
      </c>
    </row>
    <row r="19" spans="1:6" x14ac:dyDescent="0.2">
      <c r="B19" s="1" t="s">
        <v>38</v>
      </c>
      <c r="C19">
        <v>30</v>
      </c>
      <c r="D19">
        <f t="shared" ref="D19:D22" si="3">C19*$D$3</f>
        <v>3</v>
      </c>
      <c r="E19">
        <v>0.85</v>
      </c>
      <c r="F19">
        <f>(C19-D19)*E19</f>
        <v>22.95</v>
      </c>
    </row>
    <row r="20" spans="1:6" x14ac:dyDescent="0.2">
      <c r="B20" s="1" t="s">
        <v>39</v>
      </c>
      <c r="C20">
        <v>150</v>
      </c>
      <c r="D20">
        <f t="shared" si="3"/>
        <v>15</v>
      </c>
      <c r="E20">
        <v>0.15</v>
      </c>
      <c r="F20">
        <f t="shared" ref="F20:F22" si="4">(C20-D20)*E20</f>
        <v>20.25</v>
      </c>
    </row>
    <row r="21" spans="1:6" x14ac:dyDescent="0.2">
      <c r="B21" s="1" t="s">
        <v>40</v>
      </c>
      <c r="C21">
        <v>30</v>
      </c>
      <c r="D21">
        <f t="shared" si="3"/>
        <v>3</v>
      </c>
      <c r="E21">
        <v>0.1</v>
      </c>
      <c r="F21">
        <f t="shared" si="4"/>
        <v>2.7</v>
      </c>
    </row>
    <row r="22" spans="1:6" x14ac:dyDescent="0.2">
      <c r="B22" s="1" t="s">
        <v>41</v>
      </c>
      <c r="C22">
        <v>150</v>
      </c>
      <c r="D22">
        <f t="shared" si="3"/>
        <v>15</v>
      </c>
      <c r="E22">
        <v>0.05</v>
      </c>
      <c r="F22">
        <f t="shared" si="4"/>
        <v>6.75</v>
      </c>
    </row>
    <row r="23" spans="1:6" x14ac:dyDescent="0.2">
      <c r="B23" s="1" t="s">
        <v>32</v>
      </c>
      <c r="F23">
        <f>SUM(F17:F22)</f>
        <v>475.65</v>
      </c>
    </row>
    <row r="24" spans="1:6" x14ac:dyDescent="0.2">
      <c r="B24" s="1"/>
    </row>
    <row r="26" spans="1:6" x14ac:dyDescent="0.2">
      <c r="B26" s="1" t="s">
        <v>42</v>
      </c>
    </row>
    <row r="27" spans="1:6" x14ac:dyDescent="0.2">
      <c r="B27" s="1" t="s">
        <v>33</v>
      </c>
      <c r="C27" s="1" t="s">
        <v>6</v>
      </c>
      <c r="D27" s="1" t="s">
        <v>35</v>
      </c>
      <c r="E27" s="1" t="s">
        <v>34</v>
      </c>
      <c r="F27" s="1" t="s">
        <v>29</v>
      </c>
    </row>
    <row r="28" spans="1:6" x14ac:dyDescent="0.2">
      <c r="B28" s="1" t="s">
        <v>43</v>
      </c>
      <c r="C28">
        <v>100</v>
      </c>
      <c r="D28">
        <f t="shared" ref="D28" si="5">C28*$D$3</f>
        <v>10</v>
      </c>
      <c r="E28">
        <v>1</v>
      </c>
      <c r="F28">
        <f t="shared" ref="F28" si="6">(C28-D28)*E28</f>
        <v>90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G36"/>
  <sheetViews>
    <sheetView workbookViewId="0">
      <selection activeCell="F27" sqref="F27"/>
    </sheetView>
  </sheetViews>
  <sheetFormatPr defaultRowHeight="12.75" x14ac:dyDescent="0.2"/>
  <cols>
    <col min="2" max="2" width="21.85546875" customWidth="1"/>
    <col min="5" max="5" width="17.28515625" style="92" customWidth="1"/>
    <col min="258" max="258" width="21.85546875" customWidth="1"/>
    <col min="261" max="261" width="17.28515625" customWidth="1"/>
    <col min="514" max="514" width="21.85546875" customWidth="1"/>
    <col min="517" max="517" width="17.28515625" customWidth="1"/>
    <col min="770" max="770" width="21.85546875" customWidth="1"/>
    <col min="773" max="773" width="17.28515625" customWidth="1"/>
    <col min="1026" max="1026" width="21.85546875" customWidth="1"/>
    <col min="1029" max="1029" width="17.28515625" customWidth="1"/>
    <col min="1282" max="1282" width="21.85546875" customWidth="1"/>
    <col min="1285" max="1285" width="17.28515625" customWidth="1"/>
    <col min="1538" max="1538" width="21.85546875" customWidth="1"/>
    <col min="1541" max="1541" width="17.28515625" customWidth="1"/>
    <col min="1794" max="1794" width="21.85546875" customWidth="1"/>
    <col min="1797" max="1797" width="17.28515625" customWidth="1"/>
    <col min="2050" max="2050" width="21.85546875" customWidth="1"/>
    <col min="2053" max="2053" width="17.28515625" customWidth="1"/>
    <col min="2306" max="2306" width="21.85546875" customWidth="1"/>
    <col min="2309" max="2309" width="17.28515625" customWidth="1"/>
    <col min="2562" max="2562" width="21.85546875" customWidth="1"/>
    <col min="2565" max="2565" width="17.28515625" customWidth="1"/>
    <col min="2818" max="2818" width="21.85546875" customWidth="1"/>
    <col min="2821" max="2821" width="17.28515625" customWidth="1"/>
    <col min="3074" max="3074" width="21.85546875" customWidth="1"/>
    <col min="3077" max="3077" width="17.28515625" customWidth="1"/>
    <col min="3330" max="3330" width="21.85546875" customWidth="1"/>
    <col min="3333" max="3333" width="17.28515625" customWidth="1"/>
    <col min="3586" max="3586" width="21.85546875" customWidth="1"/>
    <col min="3589" max="3589" width="17.28515625" customWidth="1"/>
    <col min="3842" max="3842" width="21.85546875" customWidth="1"/>
    <col min="3845" max="3845" width="17.28515625" customWidth="1"/>
    <col min="4098" max="4098" width="21.85546875" customWidth="1"/>
    <col min="4101" max="4101" width="17.28515625" customWidth="1"/>
    <col min="4354" max="4354" width="21.85546875" customWidth="1"/>
    <col min="4357" max="4357" width="17.28515625" customWidth="1"/>
    <col min="4610" max="4610" width="21.85546875" customWidth="1"/>
    <col min="4613" max="4613" width="17.28515625" customWidth="1"/>
    <col min="4866" max="4866" width="21.85546875" customWidth="1"/>
    <col min="4869" max="4869" width="17.28515625" customWidth="1"/>
    <col min="5122" max="5122" width="21.85546875" customWidth="1"/>
    <col min="5125" max="5125" width="17.28515625" customWidth="1"/>
    <col min="5378" max="5378" width="21.85546875" customWidth="1"/>
    <col min="5381" max="5381" width="17.28515625" customWidth="1"/>
    <col min="5634" max="5634" width="21.85546875" customWidth="1"/>
    <col min="5637" max="5637" width="17.28515625" customWidth="1"/>
    <col min="5890" max="5890" width="21.85546875" customWidth="1"/>
    <col min="5893" max="5893" width="17.28515625" customWidth="1"/>
    <col min="6146" max="6146" width="21.85546875" customWidth="1"/>
    <col min="6149" max="6149" width="17.28515625" customWidth="1"/>
    <col min="6402" max="6402" width="21.85546875" customWidth="1"/>
    <col min="6405" max="6405" width="17.28515625" customWidth="1"/>
    <col min="6658" max="6658" width="21.85546875" customWidth="1"/>
    <col min="6661" max="6661" width="17.28515625" customWidth="1"/>
    <col min="6914" max="6914" width="21.85546875" customWidth="1"/>
    <col min="6917" max="6917" width="17.28515625" customWidth="1"/>
    <col min="7170" max="7170" width="21.85546875" customWidth="1"/>
    <col min="7173" max="7173" width="17.28515625" customWidth="1"/>
    <col min="7426" max="7426" width="21.85546875" customWidth="1"/>
    <col min="7429" max="7429" width="17.28515625" customWidth="1"/>
    <col min="7682" max="7682" width="21.85546875" customWidth="1"/>
    <col min="7685" max="7685" width="17.28515625" customWidth="1"/>
    <col min="7938" max="7938" width="21.85546875" customWidth="1"/>
    <col min="7941" max="7941" width="17.28515625" customWidth="1"/>
    <col min="8194" max="8194" width="21.85546875" customWidth="1"/>
    <col min="8197" max="8197" width="17.28515625" customWidth="1"/>
    <col min="8450" max="8450" width="21.85546875" customWidth="1"/>
    <col min="8453" max="8453" width="17.28515625" customWidth="1"/>
    <col min="8706" max="8706" width="21.85546875" customWidth="1"/>
    <col min="8709" max="8709" width="17.28515625" customWidth="1"/>
    <col min="8962" max="8962" width="21.85546875" customWidth="1"/>
    <col min="8965" max="8965" width="17.28515625" customWidth="1"/>
    <col min="9218" max="9218" width="21.85546875" customWidth="1"/>
    <col min="9221" max="9221" width="17.28515625" customWidth="1"/>
    <col min="9474" max="9474" width="21.85546875" customWidth="1"/>
    <col min="9477" max="9477" width="17.28515625" customWidth="1"/>
    <col min="9730" max="9730" width="21.85546875" customWidth="1"/>
    <col min="9733" max="9733" width="17.28515625" customWidth="1"/>
    <col min="9986" max="9986" width="21.85546875" customWidth="1"/>
    <col min="9989" max="9989" width="17.28515625" customWidth="1"/>
    <col min="10242" max="10242" width="21.85546875" customWidth="1"/>
    <col min="10245" max="10245" width="17.28515625" customWidth="1"/>
    <col min="10498" max="10498" width="21.85546875" customWidth="1"/>
    <col min="10501" max="10501" width="17.28515625" customWidth="1"/>
    <col min="10754" max="10754" width="21.85546875" customWidth="1"/>
    <col min="10757" max="10757" width="17.28515625" customWidth="1"/>
    <col min="11010" max="11010" width="21.85546875" customWidth="1"/>
    <col min="11013" max="11013" width="17.28515625" customWidth="1"/>
    <col min="11266" max="11266" width="21.85546875" customWidth="1"/>
    <col min="11269" max="11269" width="17.28515625" customWidth="1"/>
    <col min="11522" max="11522" width="21.85546875" customWidth="1"/>
    <col min="11525" max="11525" width="17.28515625" customWidth="1"/>
    <col min="11778" max="11778" width="21.85546875" customWidth="1"/>
    <col min="11781" max="11781" width="17.28515625" customWidth="1"/>
    <col min="12034" max="12034" width="21.85546875" customWidth="1"/>
    <col min="12037" max="12037" width="17.28515625" customWidth="1"/>
    <col min="12290" max="12290" width="21.85546875" customWidth="1"/>
    <col min="12293" max="12293" width="17.28515625" customWidth="1"/>
    <col min="12546" max="12546" width="21.85546875" customWidth="1"/>
    <col min="12549" max="12549" width="17.28515625" customWidth="1"/>
    <col min="12802" max="12802" width="21.85546875" customWidth="1"/>
    <col min="12805" max="12805" width="17.28515625" customWidth="1"/>
    <col min="13058" max="13058" width="21.85546875" customWidth="1"/>
    <col min="13061" max="13061" width="17.28515625" customWidth="1"/>
    <col min="13314" max="13314" width="21.85546875" customWidth="1"/>
    <col min="13317" max="13317" width="17.28515625" customWidth="1"/>
    <col min="13570" max="13570" width="21.85546875" customWidth="1"/>
    <col min="13573" max="13573" width="17.28515625" customWidth="1"/>
    <col min="13826" max="13826" width="21.85546875" customWidth="1"/>
    <col min="13829" max="13829" width="17.28515625" customWidth="1"/>
    <col min="14082" max="14082" width="21.85546875" customWidth="1"/>
    <col min="14085" max="14085" width="17.28515625" customWidth="1"/>
    <col min="14338" max="14338" width="21.85546875" customWidth="1"/>
    <col min="14341" max="14341" width="17.28515625" customWidth="1"/>
    <col min="14594" max="14594" width="21.85546875" customWidth="1"/>
    <col min="14597" max="14597" width="17.28515625" customWidth="1"/>
    <col min="14850" max="14850" width="21.85546875" customWidth="1"/>
    <col min="14853" max="14853" width="17.28515625" customWidth="1"/>
    <col min="15106" max="15106" width="21.85546875" customWidth="1"/>
    <col min="15109" max="15109" width="17.28515625" customWidth="1"/>
    <col min="15362" max="15362" width="21.85546875" customWidth="1"/>
    <col min="15365" max="15365" width="17.28515625" customWidth="1"/>
    <col min="15618" max="15618" width="21.85546875" customWidth="1"/>
    <col min="15621" max="15621" width="17.28515625" customWidth="1"/>
    <col min="15874" max="15874" width="21.85546875" customWidth="1"/>
    <col min="15877" max="15877" width="17.28515625" customWidth="1"/>
    <col min="16130" max="16130" width="21.85546875" customWidth="1"/>
    <col min="16133" max="16133" width="17.28515625" customWidth="1"/>
  </cols>
  <sheetData>
    <row r="2" spans="2:6" x14ac:dyDescent="0.2">
      <c r="B2" s="1" t="s">
        <v>129</v>
      </c>
    </row>
    <row r="3" spans="2:6" x14ac:dyDescent="0.2">
      <c r="B3" s="2" t="s">
        <v>130</v>
      </c>
      <c r="C3" s="2" t="s">
        <v>4</v>
      </c>
      <c r="D3" s="2" t="s">
        <v>131</v>
      </c>
      <c r="E3" s="93" t="s">
        <v>132</v>
      </c>
      <c r="F3" s="2" t="s">
        <v>133</v>
      </c>
    </row>
    <row r="4" spans="2:6" x14ac:dyDescent="0.2">
      <c r="B4" t="s">
        <v>134</v>
      </c>
      <c r="C4" t="s">
        <v>135</v>
      </c>
      <c r="D4">
        <v>1.5</v>
      </c>
      <c r="E4" s="92">
        <v>318.5</v>
      </c>
      <c r="F4" s="94">
        <f>E4/D4</f>
        <v>212.33333333333334</v>
      </c>
    </row>
    <row r="5" spans="2:6" x14ac:dyDescent="0.2">
      <c r="B5" t="s">
        <v>134</v>
      </c>
      <c r="C5" t="s">
        <v>135</v>
      </c>
      <c r="D5">
        <v>2</v>
      </c>
      <c r="E5" s="92">
        <v>385.75</v>
      </c>
      <c r="F5" s="94">
        <f t="shared" ref="F5:F15" si="0">E5/D5</f>
        <v>192.875</v>
      </c>
    </row>
    <row r="6" spans="2:6" x14ac:dyDescent="0.2">
      <c r="B6" t="s">
        <v>134</v>
      </c>
      <c r="C6" t="s">
        <v>135</v>
      </c>
      <c r="D6">
        <v>3</v>
      </c>
      <c r="E6" s="92">
        <v>378.5</v>
      </c>
      <c r="F6" s="94">
        <f t="shared" si="0"/>
        <v>126.16666666666667</v>
      </c>
    </row>
    <row r="7" spans="2:6" x14ac:dyDescent="0.2">
      <c r="B7" t="s">
        <v>134</v>
      </c>
      <c r="C7" t="s">
        <v>135</v>
      </c>
      <c r="D7">
        <v>5</v>
      </c>
      <c r="E7" s="92">
        <v>492.25</v>
      </c>
      <c r="F7" s="94">
        <f t="shared" si="0"/>
        <v>98.45</v>
      </c>
    </row>
    <row r="8" spans="2:6" x14ac:dyDescent="0.2">
      <c r="B8" t="s">
        <v>134</v>
      </c>
      <c r="C8" t="s">
        <v>135</v>
      </c>
      <c r="D8">
        <v>7.5</v>
      </c>
      <c r="E8" s="92">
        <v>661.5</v>
      </c>
      <c r="F8" s="94">
        <f t="shared" si="0"/>
        <v>88.2</v>
      </c>
    </row>
    <row r="9" spans="2:6" x14ac:dyDescent="0.2">
      <c r="B9" t="s">
        <v>134</v>
      </c>
      <c r="C9" t="s">
        <v>135</v>
      </c>
      <c r="D9">
        <v>15</v>
      </c>
      <c r="E9" s="92">
        <v>1076</v>
      </c>
      <c r="F9" s="94">
        <f t="shared" si="0"/>
        <v>71.733333333333334</v>
      </c>
    </row>
    <row r="10" spans="2:6" x14ac:dyDescent="0.2">
      <c r="B10" s="1" t="s">
        <v>136</v>
      </c>
      <c r="C10" t="s">
        <v>135</v>
      </c>
      <c r="D10">
        <v>1</v>
      </c>
      <c r="E10" s="92">
        <v>346.25</v>
      </c>
      <c r="F10" s="94">
        <f t="shared" si="0"/>
        <v>346.25</v>
      </c>
    </row>
    <row r="11" spans="2:6" x14ac:dyDescent="0.2">
      <c r="B11" s="1" t="s">
        <v>136</v>
      </c>
      <c r="C11" t="s">
        <v>135</v>
      </c>
      <c r="D11">
        <v>1.5</v>
      </c>
      <c r="E11" s="92">
        <v>367.5</v>
      </c>
      <c r="F11" s="94">
        <f t="shared" si="0"/>
        <v>245</v>
      </c>
    </row>
    <row r="12" spans="2:6" x14ac:dyDescent="0.2">
      <c r="B12" s="1" t="s">
        <v>136</v>
      </c>
      <c r="C12" t="s">
        <v>135</v>
      </c>
      <c r="D12">
        <v>3</v>
      </c>
      <c r="E12" s="92">
        <v>454.75</v>
      </c>
      <c r="F12" s="94">
        <f t="shared" si="0"/>
        <v>151.58333333333334</v>
      </c>
    </row>
    <row r="13" spans="2:6" x14ac:dyDescent="0.2">
      <c r="B13" s="1" t="s">
        <v>136</v>
      </c>
      <c r="C13" t="s">
        <v>135</v>
      </c>
      <c r="D13">
        <v>2</v>
      </c>
      <c r="E13" s="92">
        <v>398.25</v>
      </c>
      <c r="F13" s="94">
        <f t="shared" si="0"/>
        <v>199.125</v>
      </c>
    </row>
    <row r="14" spans="2:6" x14ac:dyDescent="0.2">
      <c r="B14" s="1" t="s">
        <v>136</v>
      </c>
      <c r="C14" t="s">
        <v>135</v>
      </c>
      <c r="D14">
        <v>25</v>
      </c>
      <c r="E14" s="92">
        <v>1479</v>
      </c>
      <c r="F14" s="94">
        <f t="shared" si="0"/>
        <v>59.16</v>
      </c>
    </row>
    <row r="15" spans="2:6" x14ac:dyDescent="0.2">
      <c r="B15" s="1" t="s">
        <v>136</v>
      </c>
      <c r="C15" t="s">
        <v>135</v>
      </c>
      <c r="D15">
        <v>10</v>
      </c>
      <c r="E15" s="92">
        <v>764.5</v>
      </c>
      <c r="F15" s="94">
        <f t="shared" si="0"/>
        <v>76.45</v>
      </c>
    </row>
    <row r="16" spans="2:6" x14ac:dyDescent="0.2">
      <c r="B16" s="1"/>
      <c r="F16" s="94"/>
    </row>
    <row r="17" spans="2:7" x14ac:dyDescent="0.2">
      <c r="B17" s="2" t="s">
        <v>137</v>
      </c>
    </row>
    <row r="18" spans="2:7" x14ac:dyDescent="0.2">
      <c r="B18" s="2" t="s">
        <v>130</v>
      </c>
      <c r="C18" s="2" t="s">
        <v>4</v>
      </c>
      <c r="D18" s="2" t="s">
        <v>131</v>
      </c>
      <c r="E18" s="93" t="s">
        <v>132</v>
      </c>
      <c r="F18" s="2" t="s">
        <v>133</v>
      </c>
    </row>
    <row r="19" spans="2:7" x14ac:dyDescent="0.2">
      <c r="B19" t="s">
        <v>134</v>
      </c>
      <c r="C19" t="s">
        <v>135</v>
      </c>
      <c r="D19">
        <v>1.5</v>
      </c>
      <c r="E19" s="92">
        <v>318.5</v>
      </c>
      <c r="F19" s="94">
        <f>E19/D19</f>
        <v>212.33333333333334</v>
      </c>
    </row>
    <row r="20" spans="2:7" x14ac:dyDescent="0.2">
      <c r="B20" t="s">
        <v>134</v>
      </c>
      <c r="C20" t="s">
        <v>135</v>
      </c>
      <c r="D20">
        <v>2</v>
      </c>
      <c r="E20" s="92">
        <v>385.75</v>
      </c>
      <c r="F20" s="94">
        <f t="shared" ref="F20:F26" si="1">E20/D20</f>
        <v>192.875</v>
      </c>
    </row>
    <row r="21" spans="2:7" x14ac:dyDescent="0.2">
      <c r="B21" t="s">
        <v>134</v>
      </c>
      <c r="C21" t="s">
        <v>135</v>
      </c>
      <c r="D21">
        <v>3</v>
      </c>
      <c r="E21" s="92">
        <v>378.5</v>
      </c>
      <c r="F21" s="94">
        <f t="shared" si="1"/>
        <v>126.16666666666667</v>
      </c>
    </row>
    <row r="22" spans="2:7" x14ac:dyDescent="0.2">
      <c r="B22" t="s">
        <v>134</v>
      </c>
      <c r="C22" t="s">
        <v>135</v>
      </c>
      <c r="D22">
        <v>5</v>
      </c>
      <c r="E22" s="92">
        <v>492.25</v>
      </c>
      <c r="F22" s="94">
        <f t="shared" si="1"/>
        <v>98.45</v>
      </c>
    </row>
    <row r="23" spans="2:7" x14ac:dyDescent="0.2">
      <c r="B23" s="1" t="s">
        <v>136</v>
      </c>
      <c r="C23" t="s">
        <v>135</v>
      </c>
      <c r="D23">
        <v>1.5</v>
      </c>
      <c r="E23" s="92">
        <v>367.5</v>
      </c>
      <c r="F23" s="94">
        <f t="shared" si="1"/>
        <v>245</v>
      </c>
    </row>
    <row r="24" spans="2:7" x14ac:dyDescent="0.2">
      <c r="B24" s="1" t="s">
        <v>136</v>
      </c>
      <c r="C24" t="s">
        <v>135</v>
      </c>
      <c r="D24">
        <v>3</v>
      </c>
      <c r="E24" s="92">
        <v>454.75</v>
      </c>
      <c r="F24" s="94">
        <f t="shared" si="1"/>
        <v>151.58333333333334</v>
      </c>
    </row>
    <row r="25" spans="2:7" x14ac:dyDescent="0.2">
      <c r="B25" s="1" t="s">
        <v>136</v>
      </c>
      <c r="C25" s="1" t="s">
        <v>135</v>
      </c>
      <c r="D25">
        <v>2</v>
      </c>
      <c r="E25" s="92">
        <v>356.5</v>
      </c>
      <c r="F25" s="94">
        <f t="shared" si="1"/>
        <v>178.25</v>
      </c>
    </row>
    <row r="26" spans="2:7" x14ac:dyDescent="0.2">
      <c r="B26" s="1" t="s">
        <v>136</v>
      </c>
      <c r="C26" s="1" t="s">
        <v>135</v>
      </c>
      <c r="D26">
        <v>5</v>
      </c>
      <c r="E26" s="92">
        <v>454.75</v>
      </c>
      <c r="F26" s="94">
        <f t="shared" si="1"/>
        <v>90.95</v>
      </c>
    </row>
    <row r="27" spans="2:7" x14ac:dyDescent="0.2">
      <c r="E27" s="93" t="s">
        <v>138</v>
      </c>
      <c r="F27" s="95">
        <f>AVERAGE(F19:F26)</f>
        <v>161.95104166666667</v>
      </c>
    </row>
    <row r="28" spans="2:7" x14ac:dyDescent="0.2">
      <c r="E28" s="93" t="s">
        <v>139</v>
      </c>
      <c r="F28" s="95">
        <f>F27*F29</f>
        <v>48.585312500000001</v>
      </c>
    </row>
    <row r="29" spans="2:7" x14ac:dyDescent="0.2">
      <c r="E29" s="93" t="s">
        <v>140</v>
      </c>
      <c r="F29" s="2">
        <f>3/10</f>
        <v>0.3</v>
      </c>
    </row>
    <row r="31" spans="2:7" x14ac:dyDescent="0.2">
      <c r="B31" s="2" t="s">
        <v>141</v>
      </c>
      <c r="G31" s="2" t="s">
        <v>142</v>
      </c>
    </row>
    <row r="32" spans="2:7" x14ac:dyDescent="0.2">
      <c r="G32" t="s">
        <v>143</v>
      </c>
    </row>
    <row r="33" spans="2:7" x14ac:dyDescent="0.2">
      <c r="B33" s="2" t="s">
        <v>144</v>
      </c>
      <c r="C33" s="96">
        <f>0.25</f>
        <v>0.25</v>
      </c>
      <c r="G33" t="s">
        <v>145</v>
      </c>
    </row>
    <row r="34" spans="2:7" x14ac:dyDescent="0.2">
      <c r="B34" s="2" t="s">
        <v>146</v>
      </c>
      <c r="C34" s="2">
        <f>F27*(1+C33)</f>
        <v>202.43880208333334</v>
      </c>
      <c r="G34" t="s">
        <v>147</v>
      </c>
    </row>
    <row r="35" spans="2:7" x14ac:dyDescent="0.2">
      <c r="B35" s="2" t="s">
        <v>148</v>
      </c>
      <c r="C35" s="2">
        <f>F28*(1+C33)</f>
        <v>60.731640624999997</v>
      </c>
      <c r="G35" t="s">
        <v>149</v>
      </c>
    </row>
    <row r="36" spans="2:7" x14ac:dyDescent="0.2">
      <c r="G36" t="s">
        <v>150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22"/>
  <sheetViews>
    <sheetView workbookViewId="0">
      <selection activeCell="A7" sqref="A7"/>
    </sheetView>
  </sheetViews>
  <sheetFormatPr defaultRowHeight="12.75" x14ac:dyDescent="0.2"/>
  <cols>
    <col min="1" max="1" width="24.28515625" bestFit="1" customWidth="1"/>
    <col min="2" max="2" width="10.5703125" bestFit="1" customWidth="1"/>
    <col min="5" max="5" width="20" bestFit="1" customWidth="1"/>
    <col min="9" max="9" width="18.28515625" bestFit="1" customWidth="1"/>
    <col min="257" max="257" width="24.28515625" bestFit="1" customWidth="1"/>
    <col min="258" max="258" width="10.5703125" bestFit="1" customWidth="1"/>
    <col min="261" max="261" width="20" bestFit="1" customWidth="1"/>
    <col min="265" max="265" width="18.28515625" bestFit="1" customWidth="1"/>
    <col min="513" max="513" width="24.28515625" bestFit="1" customWidth="1"/>
    <col min="514" max="514" width="10.5703125" bestFit="1" customWidth="1"/>
    <col min="517" max="517" width="20" bestFit="1" customWidth="1"/>
    <col min="521" max="521" width="18.28515625" bestFit="1" customWidth="1"/>
    <col min="769" max="769" width="24.28515625" bestFit="1" customWidth="1"/>
    <col min="770" max="770" width="10.5703125" bestFit="1" customWidth="1"/>
    <col min="773" max="773" width="20" bestFit="1" customWidth="1"/>
    <col min="777" max="777" width="18.28515625" bestFit="1" customWidth="1"/>
    <col min="1025" max="1025" width="24.28515625" bestFit="1" customWidth="1"/>
    <col min="1026" max="1026" width="10.5703125" bestFit="1" customWidth="1"/>
    <col min="1029" max="1029" width="20" bestFit="1" customWidth="1"/>
    <col min="1033" max="1033" width="18.28515625" bestFit="1" customWidth="1"/>
    <col min="1281" max="1281" width="24.28515625" bestFit="1" customWidth="1"/>
    <col min="1282" max="1282" width="10.5703125" bestFit="1" customWidth="1"/>
    <col min="1285" max="1285" width="20" bestFit="1" customWidth="1"/>
    <col min="1289" max="1289" width="18.28515625" bestFit="1" customWidth="1"/>
    <col min="1537" max="1537" width="24.28515625" bestFit="1" customWidth="1"/>
    <col min="1538" max="1538" width="10.5703125" bestFit="1" customWidth="1"/>
    <col min="1541" max="1541" width="20" bestFit="1" customWidth="1"/>
    <col min="1545" max="1545" width="18.28515625" bestFit="1" customWidth="1"/>
    <col min="1793" max="1793" width="24.28515625" bestFit="1" customWidth="1"/>
    <col min="1794" max="1794" width="10.5703125" bestFit="1" customWidth="1"/>
    <col min="1797" max="1797" width="20" bestFit="1" customWidth="1"/>
    <col min="1801" max="1801" width="18.28515625" bestFit="1" customWidth="1"/>
    <col min="2049" max="2049" width="24.28515625" bestFit="1" customWidth="1"/>
    <col min="2050" max="2050" width="10.5703125" bestFit="1" customWidth="1"/>
    <col min="2053" max="2053" width="20" bestFit="1" customWidth="1"/>
    <col min="2057" max="2057" width="18.28515625" bestFit="1" customWidth="1"/>
    <col min="2305" max="2305" width="24.28515625" bestFit="1" customWidth="1"/>
    <col min="2306" max="2306" width="10.5703125" bestFit="1" customWidth="1"/>
    <col min="2309" max="2309" width="20" bestFit="1" customWidth="1"/>
    <col min="2313" max="2313" width="18.28515625" bestFit="1" customWidth="1"/>
    <col min="2561" max="2561" width="24.28515625" bestFit="1" customWidth="1"/>
    <col min="2562" max="2562" width="10.5703125" bestFit="1" customWidth="1"/>
    <col min="2565" max="2565" width="20" bestFit="1" customWidth="1"/>
    <col min="2569" max="2569" width="18.28515625" bestFit="1" customWidth="1"/>
    <col min="2817" max="2817" width="24.28515625" bestFit="1" customWidth="1"/>
    <col min="2818" max="2818" width="10.5703125" bestFit="1" customWidth="1"/>
    <col min="2821" max="2821" width="20" bestFit="1" customWidth="1"/>
    <col min="2825" max="2825" width="18.28515625" bestFit="1" customWidth="1"/>
    <col min="3073" max="3073" width="24.28515625" bestFit="1" customWidth="1"/>
    <col min="3074" max="3074" width="10.5703125" bestFit="1" customWidth="1"/>
    <col min="3077" max="3077" width="20" bestFit="1" customWidth="1"/>
    <col min="3081" max="3081" width="18.28515625" bestFit="1" customWidth="1"/>
    <col min="3329" max="3329" width="24.28515625" bestFit="1" customWidth="1"/>
    <col min="3330" max="3330" width="10.5703125" bestFit="1" customWidth="1"/>
    <col min="3333" max="3333" width="20" bestFit="1" customWidth="1"/>
    <col min="3337" max="3337" width="18.28515625" bestFit="1" customWidth="1"/>
    <col min="3585" max="3585" width="24.28515625" bestFit="1" customWidth="1"/>
    <col min="3586" max="3586" width="10.5703125" bestFit="1" customWidth="1"/>
    <col min="3589" max="3589" width="20" bestFit="1" customWidth="1"/>
    <col min="3593" max="3593" width="18.28515625" bestFit="1" customWidth="1"/>
    <col min="3841" max="3841" width="24.28515625" bestFit="1" customWidth="1"/>
    <col min="3842" max="3842" width="10.5703125" bestFit="1" customWidth="1"/>
    <col min="3845" max="3845" width="20" bestFit="1" customWidth="1"/>
    <col min="3849" max="3849" width="18.28515625" bestFit="1" customWidth="1"/>
    <col min="4097" max="4097" width="24.28515625" bestFit="1" customWidth="1"/>
    <col min="4098" max="4098" width="10.5703125" bestFit="1" customWidth="1"/>
    <col min="4101" max="4101" width="20" bestFit="1" customWidth="1"/>
    <col min="4105" max="4105" width="18.28515625" bestFit="1" customWidth="1"/>
    <col min="4353" max="4353" width="24.28515625" bestFit="1" customWidth="1"/>
    <col min="4354" max="4354" width="10.5703125" bestFit="1" customWidth="1"/>
    <col min="4357" max="4357" width="20" bestFit="1" customWidth="1"/>
    <col min="4361" max="4361" width="18.28515625" bestFit="1" customWidth="1"/>
    <col min="4609" max="4609" width="24.28515625" bestFit="1" customWidth="1"/>
    <col min="4610" max="4610" width="10.5703125" bestFit="1" customWidth="1"/>
    <col min="4613" max="4613" width="20" bestFit="1" customWidth="1"/>
    <col min="4617" max="4617" width="18.28515625" bestFit="1" customWidth="1"/>
    <col min="4865" max="4865" width="24.28515625" bestFit="1" customWidth="1"/>
    <col min="4866" max="4866" width="10.5703125" bestFit="1" customWidth="1"/>
    <col min="4869" max="4869" width="20" bestFit="1" customWidth="1"/>
    <col min="4873" max="4873" width="18.28515625" bestFit="1" customWidth="1"/>
    <col min="5121" max="5121" width="24.28515625" bestFit="1" customWidth="1"/>
    <col min="5122" max="5122" width="10.5703125" bestFit="1" customWidth="1"/>
    <col min="5125" max="5125" width="20" bestFit="1" customWidth="1"/>
    <col min="5129" max="5129" width="18.28515625" bestFit="1" customWidth="1"/>
    <col min="5377" max="5377" width="24.28515625" bestFit="1" customWidth="1"/>
    <col min="5378" max="5378" width="10.5703125" bestFit="1" customWidth="1"/>
    <col min="5381" max="5381" width="20" bestFit="1" customWidth="1"/>
    <col min="5385" max="5385" width="18.28515625" bestFit="1" customWidth="1"/>
    <col min="5633" max="5633" width="24.28515625" bestFit="1" customWidth="1"/>
    <col min="5634" max="5634" width="10.5703125" bestFit="1" customWidth="1"/>
    <col min="5637" max="5637" width="20" bestFit="1" customWidth="1"/>
    <col min="5641" max="5641" width="18.28515625" bestFit="1" customWidth="1"/>
    <col min="5889" max="5889" width="24.28515625" bestFit="1" customWidth="1"/>
    <col min="5890" max="5890" width="10.5703125" bestFit="1" customWidth="1"/>
    <col min="5893" max="5893" width="20" bestFit="1" customWidth="1"/>
    <col min="5897" max="5897" width="18.28515625" bestFit="1" customWidth="1"/>
    <col min="6145" max="6145" width="24.28515625" bestFit="1" customWidth="1"/>
    <col min="6146" max="6146" width="10.5703125" bestFit="1" customWidth="1"/>
    <col min="6149" max="6149" width="20" bestFit="1" customWidth="1"/>
    <col min="6153" max="6153" width="18.28515625" bestFit="1" customWidth="1"/>
    <col min="6401" max="6401" width="24.28515625" bestFit="1" customWidth="1"/>
    <col min="6402" max="6402" width="10.5703125" bestFit="1" customWidth="1"/>
    <col min="6405" max="6405" width="20" bestFit="1" customWidth="1"/>
    <col min="6409" max="6409" width="18.28515625" bestFit="1" customWidth="1"/>
    <col min="6657" max="6657" width="24.28515625" bestFit="1" customWidth="1"/>
    <col min="6658" max="6658" width="10.5703125" bestFit="1" customWidth="1"/>
    <col min="6661" max="6661" width="20" bestFit="1" customWidth="1"/>
    <col min="6665" max="6665" width="18.28515625" bestFit="1" customWidth="1"/>
    <col min="6913" max="6913" width="24.28515625" bestFit="1" customWidth="1"/>
    <col min="6914" max="6914" width="10.5703125" bestFit="1" customWidth="1"/>
    <col min="6917" max="6917" width="20" bestFit="1" customWidth="1"/>
    <col min="6921" max="6921" width="18.28515625" bestFit="1" customWidth="1"/>
    <col min="7169" max="7169" width="24.28515625" bestFit="1" customWidth="1"/>
    <col min="7170" max="7170" width="10.5703125" bestFit="1" customWidth="1"/>
    <col min="7173" max="7173" width="20" bestFit="1" customWidth="1"/>
    <col min="7177" max="7177" width="18.28515625" bestFit="1" customWidth="1"/>
    <col min="7425" max="7425" width="24.28515625" bestFit="1" customWidth="1"/>
    <col min="7426" max="7426" width="10.5703125" bestFit="1" customWidth="1"/>
    <col min="7429" max="7429" width="20" bestFit="1" customWidth="1"/>
    <col min="7433" max="7433" width="18.28515625" bestFit="1" customWidth="1"/>
    <col min="7681" max="7681" width="24.28515625" bestFit="1" customWidth="1"/>
    <col min="7682" max="7682" width="10.5703125" bestFit="1" customWidth="1"/>
    <col min="7685" max="7685" width="20" bestFit="1" customWidth="1"/>
    <col min="7689" max="7689" width="18.28515625" bestFit="1" customWidth="1"/>
    <col min="7937" max="7937" width="24.28515625" bestFit="1" customWidth="1"/>
    <col min="7938" max="7938" width="10.5703125" bestFit="1" customWidth="1"/>
    <col min="7941" max="7941" width="20" bestFit="1" customWidth="1"/>
    <col min="7945" max="7945" width="18.28515625" bestFit="1" customWidth="1"/>
    <col min="8193" max="8193" width="24.28515625" bestFit="1" customWidth="1"/>
    <col min="8194" max="8194" width="10.5703125" bestFit="1" customWidth="1"/>
    <col min="8197" max="8197" width="20" bestFit="1" customWidth="1"/>
    <col min="8201" max="8201" width="18.28515625" bestFit="1" customWidth="1"/>
    <col min="8449" max="8449" width="24.28515625" bestFit="1" customWidth="1"/>
    <col min="8450" max="8450" width="10.5703125" bestFit="1" customWidth="1"/>
    <col min="8453" max="8453" width="20" bestFit="1" customWidth="1"/>
    <col min="8457" max="8457" width="18.28515625" bestFit="1" customWidth="1"/>
    <col min="8705" max="8705" width="24.28515625" bestFit="1" customWidth="1"/>
    <col min="8706" max="8706" width="10.5703125" bestFit="1" customWidth="1"/>
    <col min="8709" max="8709" width="20" bestFit="1" customWidth="1"/>
    <col min="8713" max="8713" width="18.28515625" bestFit="1" customWidth="1"/>
    <col min="8961" max="8961" width="24.28515625" bestFit="1" customWidth="1"/>
    <col min="8962" max="8962" width="10.5703125" bestFit="1" customWidth="1"/>
    <col min="8965" max="8965" width="20" bestFit="1" customWidth="1"/>
    <col min="8969" max="8969" width="18.28515625" bestFit="1" customWidth="1"/>
    <col min="9217" max="9217" width="24.28515625" bestFit="1" customWidth="1"/>
    <col min="9218" max="9218" width="10.5703125" bestFit="1" customWidth="1"/>
    <col min="9221" max="9221" width="20" bestFit="1" customWidth="1"/>
    <col min="9225" max="9225" width="18.28515625" bestFit="1" customWidth="1"/>
    <col min="9473" max="9473" width="24.28515625" bestFit="1" customWidth="1"/>
    <col min="9474" max="9474" width="10.5703125" bestFit="1" customWidth="1"/>
    <col min="9477" max="9477" width="20" bestFit="1" customWidth="1"/>
    <col min="9481" max="9481" width="18.28515625" bestFit="1" customWidth="1"/>
    <col min="9729" max="9729" width="24.28515625" bestFit="1" customWidth="1"/>
    <col min="9730" max="9730" width="10.5703125" bestFit="1" customWidth="1"/>
    <col min="9733" max="9733" width="20" bestFit="1" customWidth="1"/>
    <col min="9737" max="9737" width="18.28515625" bestFit="1" customWidth="1"/>
    <col min="9985" max="9985" width="24.28515625" bestFit="1" customWidth="1"/>
    <col min="9986" max="9986" width="10.5703125" bestFit="1" customWidth="1"/>
    <col min="9989" max="9989" width="20" bestFit="1" customWidth="1"/>
    <col min="9993" max="9993" width="18.28515625" bestFit="1" customWidth="1"/>
    <col min="10241" max="10241" width="24.28515625" bestFit="1" customWidth="1"/>
    <col min="10242" max="10242" width="10.5703125" bestFit="1" customWidth="1"/>
    <col min="10245" max="10245" width="20" bestFit="1" customWidth="1"/>
    <col min="10249" max="10249" width="18.28515625" bestFit="1" customWidth="1"/>
    <col min="10497" max="10497" width="24.28515625" bestFit="1" customWidth="1"/>
    <col min="10498" max="10498" width="10.5703125" bestFit="1" customWidth="1"/>
    <col min="10501" max="10501" width="20" bestFit="1" customWidth="1"/>
    <col min="10505" max="10505" width="18.28515625" bestFit="1" customWidth="1"/>
    <col min="10753" max="10753" width="24.28515625" bestFit="1" customWidth="1"/>
    <col min="10754" max="10754" width="10.5703125" bestFit="1" customWidth="1"/>
    <col min="10757" max="10757" width="20" bestFit="1" customWidth="1"/>
    <col min="10761" max="10761" width="18.28515625" bestFit="1" customWidth="1"/>
    <col min="11009" max="11009" width="24.28515625" bestFit="1" customWidth="1"/>
    <col min="11010" max="11010" width="10.5703125" bestFit="1" customWidth="1"/>
    <col min="11013" max="11013" width="20" bestFit="1" customWidth="1"/>
    <col min="11017" max="11017" width="18.28515625" bestFit="1" customWidth="1"/>
    <col min="11265" max="11265" width="24.28515625" bestFit="1" customWidth="1"/>
    <col min="11266" max="11266" width="10.5703125" bestFit="1" customWidth="1"/>
    <col min="11269" max="11269" width="20" bestFit="1" customWidth="1"/>
    <col min="11273" max="11273" width="18.28515625" bestFit="1" customWidth="1"/>
    <col min="11521" max="11521" width="24.28515625" bestFit="1" customWidth="1"/>
    <col min="11522" max="11522" width="10.5703125" bestFit="1" customWidth="1"/>
    <col min="11525" max="11525" width="20" bestFit="1" customWidth="1"/>
    <col min="11529" max="11529" width="18.28515625" bestFit="1" customWidth="1"/>
    <col min="11777" max="11777" width="24.28515625" bestFit="1" customWidth="1"/>
    <col min="11778" max="11778" width="10.5703125" bestFit="1" customWidth="1"/>
    <col min="11781" max="11781" width="20" bestFit="1" customWidth="1"/>
    <col min="11785" max="11785" width="18.28515625" bestFit="1" customWidth="1"/>
    <col min="12033" max="12033" width="24.28515625" bestFit="1" customWidth="1"/>
    <col min="12034" max="12034" width="10.5703125" bestFit="1" customWidth="1"/>
    <col min="12037" max="12037" width="20" bestFit="1" customWidth="1"/>
    <col min="12041" max="12041" width="18.28515625" bestFit="1" customWidth="1"/>
    <col min="12289" max="12289" width="24.28515625" bestFit="1" customWidth="1"/>
    <col min="12290" max="12290" width="10.5703125" bestFit="1" customWidth="1"/>
    <col min="12293" max="12293" width="20" bestFit="1" customWidth="1"/>
    <col min="12297" max="12297" width="18.28515625" bestFit="1" customWidth="1"/>
    <col min="12545" max="12545" width="24.28515625" bestFit="1" customWidth="1"/>
    <col min="12546" max="12546" width="10.5703125" bestFit="1" customWidth="1"/>
    <col min="12549" max="12549" width="20" bestFit="1" customWidth="1"/>
    <col min="12553" max="12553" width="18.28515625" bestFit="1" customWidth="1"/>
    <col min="12801" max="12801" width="24.28515625" bestFit="1" customWidth="1"/>
    <col min="12802" max="12802" width="10.5703125" bestFit="1" customWidth="1"/>
    <col min="12805" max="12805" width="20" bestFit="1" customWidth="1"/>
    <col min="12809" max="12809" width="18.28515625" bestFit="1" customWidth="1"/>
    <col min="13057" max="13057" width="24.28515625" bestFit="1" customWidth="1"/>
    <col min="13058" max="13058" width="10.5703125" bestFit="1" customWidth="1"/>
    <col min="13061" max="13061" width="20" bestFit="1" customWidth="1"/>
    <col min="13065" max="13065" width="18.28515625" bestFit="1" customWidth="1"/>
    <col min="13313" max="13313" width="24.28515625" bestFit="1" customWidth="1"/>
    <col min="13314" max="13314" width="10.5703125" bestFit="1" customWidth="1"/>
    <col min="13317" max="13317" width="20" bestFit="1" customWidth="1"/>
    <col min="13321" max="13321" width="18.28515625" bestFit="1" customWidth="1"/>
    <col min="13569" max="13569" width="24.28515625" bestFit="1" customWidth="1"/>
    <col min="13570" max="13570" width="10.5703125" bestFit="1" customWidth="1"/>
    <col min="13573" max="13573" width="20" bestFit="1" customWidth="1"/>
    <col min="13577" max="13577" width="18.28515625" bestFit="1" customWidth="1"/>
    <col min="13825" max="13825" width="24.28515625" bestFit="1" customWidth="1"/>
    <col min="13826" max="13826" width="10.5703125" bestFit="1" customWidth="1"/>
    <col min="13829" max="13829" width="20" bestFit="1" customWidth="1"/>
    <col min="13833" max="13833" width="18.28515625" bestFit="1" customWidth="1"/>
    <col min="14081" max="14081" width="24.28515625" bestFit="1" customWidth="1"/>
    <col min="14082" max="14082" width="10.5703125" bestFit="1" customWidth="1"/>
    <col min="14085" max="14085" width="20" bestFit="1" customWidth="1"/>
    <col min="14089" max="14089" width="18.28515625" bestFit="1" customWidth="1"/>
    <col min="14337" max="14337" width="24.28515625" bestFit="1" customWidth="1"/>
    <col min="14338" max="14338" width="10.5703125" bestFit="1" customWidth="1"/>
    <col min="14341" max="14341" width="20" bestFit="1" customWidth="1"/>
    <col min="14345" max="14345" width="18.28515625" bestFit="1" customWidth="1"/>
    <col min="14593" max="14593" width="24.28515625" bestFit="1" customWidth="1"/>
    <col min="14594" max="14594" width="10.5703125" bestFit="1" customWidth="1"/>
    <col min="14597" max="14597" width="20" bestFit="1" customWidth="1"/>
    <col min="14601" max="14601" width="18.28515625" bestFit="1" customWidth="1"/>
    <col min="14849" max="14849" width="24.28515625" bestFit="1" customWidth="1"/>
    <col min="14850" max="14850" width="10.5703125" bestFit="1" customWidth="1"/>
    <col min="14853" max="14853" width="20" bestFit="1" customWidth="1"/>
    <col min="14857" max="14857" width="18.28515625" bestFit="1" customWidth="1"/>
    <col min="15105" max="15105" width="24.28515625" bestFit="1" customWidth="1"/>
    <col min="15106" max="15106" width="10.5703125" bestFit="1" customWidth="1"/>
    <col min="15109" max="15109" width="20" bestFit="1" customWidth="1"/>
    <col min="15113" max="15113" width="18.28515625" bestFit="1" customWidth="1"/>
    <col min="15361" max="15361" width="24.28515625" bestFit="1" customWidth="1"/>
    <col min="15362" max="15362" width="10.5703125" bestFit="1" customWidth="1"/>
    <col min="15365" max="15365" width="20" bestFit="1" customWidth="1"/>
    <col min="15369" max="15369" width="18.28515625" bestFit="1" customWidth="1"/>
    <col min="15617" max="15617" width="24.28515625" bestFit="1" customWidth="1"/>
    <col min="15618" max="15618" width="10.5703125" bestFit="1" customWidth="1"/>
    <col min="15621" max="15621" width="20" bestFit="1" customWidth="1"/>
    <col min="15625" max="15625" width="18.28515625" bestFit="1" customWidth="1"/>
    <col min="15873" max="15873" width="24.28515625" bestFit="1" customWidth="1"/>
    <col min="15874" max="15874" width="10.5703125" bestFit="1" customWidth="1"/>
    <col min="15877" max="15877" width="20" bestFit="1" customWidth="1"/>
    <col min="15881" max="15881" width="18.28515625" bestFit="1" customWidth="1"/>
    <col min="16129" max="16129" width="24.28515625" bestFit="1" customWidth="1"/>
    <col min="16130" max="16130" width="10.5703125" bestFit="1" customWidth="1"/>
    <col min="16133" max="16133" width="20" bestFit="1" customWidth="1"/>
    <col min="16137" max="16137" width="18.28515625" bestFit="1" customWidth="1"/>
  </cols>
  <sheetData>
    <row r="1" spans="1:17" ht="12.75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</row>
    <row r="2" spans="1:17" ht="171" customHeight="1" thickBot="1" x14ac:dyDescent="0.25">
      <c r="A2" s="130" t="s">
        <v>184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7"/>
    </row>
    <row r="3" spans="1:17" ht="47.25" customHeight="1" x14ac:dyDescent="0.2">
      <c r="A3" s="131" t="s">
        <v>174</v>
      </c>
      <c r="B3" s="132"/>
      <c r="C3" s="132"/>
      <c r="D3" s="133"/>
      <c r="E3" s="131" t="s">
        <v>157</v>
      </c>
      <c r="F3" s="132"/>
      <c r="G3" s="132"/>
      <c r="H3" s="133"/>
      <c r="I3" s="131" t="s">
        <v>154</v>
      </c>
      <c r="J3" s="132"/>
      <c r="K3" s="132"/>
      <c r="L3" s="133"/>
      <c r="M3" s="7"/>
      <c r="N3" s="7"/>
      <c r="O3" s="7"/>
      <c r="P3" s="7"/>
      <c r="Q3" s="7"/>
    </row>
    <row r="4" spans="1:17" x14ac:dyDescent="0.2">
      <c r="A4" s="97" t="s">
        <v>158</v>
      </c>
      <c r="B4" s="98" t="s">
        <v>159</v>
      </c>
      <c r="C4" s="98" t="s">
        <v>160</v>
      </c>
      <c r="D4" s="99" t="s">
        <v>3</v>
      </c>
      <c r="E4" s="97" t="s">
        <v>158</v>
      </c>
      <c r="F4" s="100" t="s">
        <v>159</v>
      </c>
      <c r="G4" s="98" t="s">
        <v>160</v>
      </c>
      <c r="H4" s="99" t="s">
        <v>3</v>
      </c>
      <c r="I4" s="97" t="s">
        <v>158</v>
      </c>
      <c r="J4" s="98" t="s">
        <v>159</v>
      </c>
      <c r="K4" s="98" t="s">
        <v>160</v>
      </c>
      <c r="L4" s="99" t="s">
        <v>3</v>
      </c>
    </row>
    <row r="5" spans="1:17" x14ac:dyDescent="0.2">
      <c r="A5" s="101" t="s">
        <v>185</v>
      </c>
      <c r="B5" s="12">
        <v>600</v>
      </c>
      <c r="C5" s="13">
        <v>1</v>
      </c>
      <c r="D5" s="102">
        <f>B5*C5</f>
        <v>600</v>
      </c>
      <c r="E5" s="101" t="s">
        <v>161</v>
      </c>
      <c r="F5" s="12">
        <v>485.7</v>
      </c>
      <c r="G5" s="13">
        <v>1</v>
      </c>
      <c r="H5" s="102">
        <f>F5*G5</f>
        <v>485.7</v>
      </c>
      <c r="I5" s="101" t="s">
        <v>162</v>
      </c>
      <c r="J5" s="12">
        <v>607.32000000000005</v>
      </c>
      <c r="K5" s="13">
        <v>1</v>
      </c>
      <c r="L5" s="102">
        <f>J5*K5</f>
        <v>607.32000000000005</v>
      </c>
    </row>
    <row r="6" spans="1:17" x14ac:dyDescent="0.2">
      <c r="A6" s="101" t="s">
        <v>186</v>
      </c>
      <c r="B6" s="12">
        <v>105</v>
      </c>
      <c r="C6" s="13">
        <v>4</v>
      </c>
      <c r="D6" s="102">
        <f>B6*C6</f>
        <v>420</v>
      </c>
      <c r="E6" s="101" t="s">
        <v>163</v>
      </c>
      <c r="F6" s="12">
        <v>105</v>
      </c>
      <c r="G6" s="13">
        <v>3</v>
      </c>
      <c r="H6" s="102">
        <f>F6*G6</f>
        <v>315</v>
      </c>
      <c r="I6" s="101" t="s">
        <v>164</v>
      </c>
      <c r="J6" s="12">
        <v>105</v>
      </c>
      <c r="K6" s="13">
        <v>3</v>
      </c>
      <c r="L6" s="102">
        <f>J6*K6</f>
        <v>315</v>
      </c>
    </row>
    <row r="7" spans="1:17" x14ac:dyDescent="0.2">
      <c r="A7" s="101" t="s">
        <v>165</v>
      </c>
      <c r="B7" s="12">
        <v>70.2</v>
      </c>
      <c r="C7" s="13">
        <v>1</v>
      </c>
      <c r="D7" s="102">
        <f>B7*C7</f>
        <v>70.2</v>
      </c>
      <c r="E7" s="101" t="s">
        <v>151</v>
      </c>
      <c r="F7" s="12">
        <v>10</v>
      </c>
      <c r="G7" s="13">
        <v>1</v>
      </c>
      <c r="H7" s="102">
        <f>F7*G7</f>
        <v>10</v>
      </c>
      <c r="I7" s="101" t="s">
        <v>151</v>
      </c>
      <c r="J7" s="12">
        <v>10</v>
      </c>
      <c r="K7" s="13">
        <v>1</v>
      </c>
      <c r="L7" s="102">
        <f>J7*K7</f>
        <v>10</v>
      </c>
    </row>
    <row r="8" spans="1:17" x14ac:dyDescent="0.2">
      <c r="A8" s="101" t="s">
        <v>151</v>
      </c>
      <c r="B8" s="12">
        <v>10</v>
      </c>
      <c r="C8" s="13">
        <v>1</v>
      </c>
      <c r="D8" s="102">
        <f>B8*C8</f>
        <v>10</v>
      </c>
      <c r="E8" s="103"/>
      <c r="F8" s="12"/>
      <c r="G8" s="13"/>
      <c r="H8" s="102"/>
      <c r="I8" s="103"/>
      <c r="J8" s="12"/>
      <c r="K8" s="13"/>
      <c r="L8" s="102"/>
    </row>
    <row r="9" spans="1:17" ht="13.5" thickBot="1" x14ac:dyDescent="0.25">
      <c r="A9" s="104" t="s">
        <v>166</v>
      </c>
      <c r="B9" s="105">
        <v>105</v>
      </c>
      <c r="C9" s="106">
        <v>1</v>
      </c>
      <c r="D9" s="107">
        <f>B9*C9</f>
        <v>105</v>
      </c>
      <c r="E9" s="108"/>
      <c r="F9" s="105"/>
      <c r="G9" s="106"/>
      <c r="H9" s="107"/>
      <c r="I9" s="108"/>
      <c r="J9" s="105"/>
      <c r="K9" s="106"/>
      <c r="L9" s="107"/>
    </row>
    <row r="10" spans="1:17" x14ac:dyDescent="0.2">
      <c r="A10" s="101" t="s">
        <v>167</v>
      </c>
      <c r="B10" s="13"/>
      <c r="C10" s="13"/>
      <c r="D10" s="102">
        <f>SUM(D6:D9)</f>
        <v>605.20000000000005</v>
      </c>
      <c r="E10" s="101" t="s">
        <v>167</v>
      </c>
      <c r="F10" s="13"/>
      <c r="G10" s="13"/>
      <c r="H10" s="102">
        <f>SUM(H6:H7)</f>
        <v>325</v>
      </c>
      <c r="I10" s="101" t="s">
        <v>167</v>
      </c>
      <c r="J10" s="13"/>
      <c r="K10" s="13"/>
      <c r="L10" s="102">
        <f>SUM(L6:L7)</f>
        <v>325</v>
      </c>
    </row>
    <row r="11" spans="1:17" ht="13.5" thickBot="1" x14ac:dyDescent="0.25">
      <c r="A11" s="104" t="s">
        <v>168</v>
      </c>
      <c r="B11" s="106"/>
      <c r="C11" s="106"/>
      <c r="D11" s="107">
        <f>D5/12.5</f>
        <v>48</v>
      </c>
      <c r="E11" s="104" t="s">
        <v>168</v>
      </c>
      <c r="F11" s="106"/>
      <c r="G11" s="106"/>
      <c r="H11" s="107">
        <f>H5/12.5</f>
        <v>38.856000000000002</v>
      </c>
      <c r="I11" s="104" t="s">
        <v>168</v>
      </c>
      <c r="J11" s="106"/>
      <c r="K11" s="106"/>
      <c r="L11" s="107">
        <f>L5/12.5</f>
        <v>48.585600000000007</v>
      </c>
    </row>
    <row r="12" spans="1:17" x14ac:dyDescent="0.2">
      <c r="A12" s="101" t="s">
        <v>169</v>
      </c>
      <c r="B12" s="13"/>
      <c r="C12" s="13"/>
      <c r="D12" s="102">
        <f>SUM(D6,D9)/12.5</f>
        <v>42</v>
      </c>
      <c r="E12" s="101" t="s">
        <v>169</v>
      </c>
      <c r="F12" s="13"/>
      <c r="G12" s="13"/>
      <c r="H12" s="102">
        <f>$D$12+SUM(H6)/12.5</f>
        <v>67.2</v>
      </c>
      <c r="I12" s="101" t="s">
        <v>169</v>
      </c>
      <c r="J12" s="13"/>
      <c r="K12" s="13"/>
      <c r="L12" s="102">
        <f>$D$12+SUM(L6)/12.5</f>
        <v>67.2</v>
      </c>
    </row>
    <row r="13" spans="1:17" ht="13.5" thickBot="1" x14ac:dyDescent="0.25">
      <c r="A13" s="104" t="s">
        <v>170</v>
      </c>
      <c r="B13" s="106"/>
      <c r="C13" s="106"/>
      <c r="D13" s="107">
        <f>SUM(D5,D7,D9)/12.5</f>
        <v>62.016000000000005</v>
      </c>
      <c r="E13" s="104" t="s">
        <v>170</v>
      </c>
      <c r="F13" s="106"/>
      <c r="G13" s="106"/>
      <c r="H13" s="107">
        <f>$D$13+SUM(H7,H5)/12.5</f>
        <v>101.672</v>
      </c>
      <c r="I13" s="104" t="s">
        <v>170</v>
      </c>
      <c r="J13" s="106"/>
      <c r="K13" s="106"/>
      <c r="L13" s="107">
        <f>$D$13+SUM(L7,L5)/12.5</f>
        <v>111.4016</v>
      </c>
    </row>
    <row r="14" spans="1:17" ht="13.5" thickBot="1" x14ac:dyDescent="0.25">
      <c r="A14" s="109" t="s">
        <v>171</v>
      </c>
      <c r="B14" s="110"/>
      <c r="C14" s="110"/>
      <c r="D14" s="111">
        <f>SUM(D5:D9)</f>
        <v>1205.2</v>
      </c>
      <c r="E14" s="109" t="s">
        <v>171</v>
      </c>
      <c r="F14" s="110"/>
      <c r="G14" s="110"/>
      <c r="H14" s="111">
        <f>SUM(H5:H9)</f>
        <v>810.7</v>
      </c>
      <c r="I14" s="109" t="s">
        <v>171</v>
      </c>
      <c r="J14" s="110"/>
      <c r="K14" s="110"/>
      <c r="L14" s="112">
        <f>SUM(L5:L9)</f>
        <v>932.32</v>
      </c>
    </row>
    <row r="15" spans="1:17" ht="13.5" thickBot="1" x14ac:dyDescent="0.25">
      <c r="A15" s="113" t="s">
        <v>172</v>
      </c>
      <c r="B15" s="114"/>
      <c r="C15" s="110"/>
      <c r="D15" s="115">
        <f>D14/12.5</f>
        <v>96.415999999999997</v>
      </c>
      <c r="E15" s="106"/>
      <c r="F15" s="106"/>
      <c r="G15" s="106"/>
      <c r="H15" s="116">
        <f>H14/12.5</f>
        <v>64.856000000000009</v>
      </c>
      <c r="I15" s="117"/>
      <c r="J15" s="110"/>
      <c r="K15" s="110"/>
      <c r="L15" s="115">
        <f>L14/12.5</f>
        <v>74.585599999999999</v>
      </c>
    </row>
    <row r="16" spans="1:17" x14ac:dyDescent="0.2">
      <c r="A16" s="4"/>
      <c r="E16" s="4"/>
      <c r="I16" s="4" t="s">
        <v>173</v>
      </c>
    </row>
    <row r="17" spans="1:2" x14ac:dyDescent="0.2">
      <c r="A17" s="118"/>
      <c r="B17" s="118"/>
    </row>
    <row r="19" spans="1:2" x14ac:dyDescent="0.2">
      <c r="A19" s="118"/>
      <c r="B19" s="118"/>
    </row>
    <row r="22" spans="1:2" x14ac:dyDescent="0.2">
      <c r="A22" s="1"/>
    </row>
  </sheetData>
  <mergeCells count="4">
    <mergeCell ref="A2:P2"/>
    <mergeCell ref="A3:D3"/>
    <mergeCell ref="E3:H3"/>
    <mergeCell ref="I3:L3"/>
  </mergeCells>
  <pageMargins left="0.7" right="0.7" top="0.75" bottom="0.75" header="0.3" footer="0.3"/>
  <pageSetup paperSize="186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C2:X21"/>
  <sheetViews>
    <sheetView workbookViewId="0">
      <selection activeCell="F30" sqref="F30"/>
    </sheetView>
  </sheetViews>
  <sheetFormatPr defaultRowHeight="12.75" x14ac:dyDescent="0.2"/>
  <cols>
    <col min="3" max="3" width="23.28515625" customWidth="1"/>
    <col min="4" max="4" width="18.7109375" customWidth="1"/>
    <col min="5" max="5" width="10.42578125" bestFit="1" customWidth="1"/>
    <col min="6" max="6" width="62.28515625" customWidth="1"/>
    <col min="7" max="7" width="13.85546875" customWidth="1"/>
    <col min="8" max="8" width="9.28515625" bestFit="1" customWidth="1"/>
    <col min="9" max="9" width="8" customWidth="1"/>
    <col min="10" max="10" width="12.140625" bestFit="1" customWidth="1"/>
    <col min="11" max="11" width="7.140625" bestFit="1" customWidth="1"/>
    <col min="12" max="12" width="12.28515625" bestFit="1" customWidth="1"/>
    <col min="13" max="13" width="11.7109375" bestFit="1" customWidth="1"/>
    <col min="14" max="14" width="12.28515625" bestFit="1" customWidth="1"/>
    <col min="15" max="15" width="12" customWidth="1"/>
    <col min="16" max="16" width="13.5703125" customWidth="1"/>
    <col min="17" max="17" width="14.28515625" customWidth="1"/>
    <col min="18" max="18" width="0" hidden="1" customWidth="1"/>
    <col min="19" max="19" width="10" customWidth="1"/>
    <col min="20" max="20" width="10.85546875" customWidth="1"/>
    <col min="21" max="21" width="14.5703125" customWidth="1"/>
    <col min="22" max="22" width="9.42578125" customWidth="1"/>
    <col min="23" max="23" width="13" customWidth="1"/>
    <col min="24" max="24" width="16" customWidth="1"/>
  </cols>
  <sheetData>
    <row r="2" spans="3:24" ht="13.5" thickBot="1" x14ac:dyDescent="0.25">
      <c r="C2" s="17" t="s">
        <v>98</v>
      </c>
    </row>
    <row r="3" spans="3:24" x14ac:dyDescent="0.2">
      <c r="C3" s="138" t="s">
        <v>57</v>
      </c>
      <c r="D3" s="140" t="s">
        <v>58</v>
      </c>
      <c r="E3" s="142" t="s">
        <v>59</v>
      </c>
      <c r="F3" s="144" t="s">
        <v>60</v>
      </c>
      <c r="G3" s="146" t="s">
        <v>61</v>
      </c>
      <c r="H3" s="144" t="s">
        <v>62</v>
      </c>
      <c r="I3" s="160" t="s">
        <v>44</v>
      </c>
      <c r="J3" s="158" t="s">
        <v>63</v>
      </c>
      <c r="K3" s="162" t="s">
        <v>64</v>
      </c>
      <c r="L3" s="148" t="s">
        <v>65</v>
      </c>
      <c r="M3" s="134" t="s">
        <v>66</v>
      </c>
      <c r="N3" s="136" t="s">
        <v>67</v>
      </c>
      <c r="O3" s="148" t="s">
        <v>68</v>
      </c>
      <c r="P3" s="150" t="s">
        <v>69</v>
      </c>
      <c r="Q3" s="158" t="s">
        <v>70</v>
      </c>
      <c r="R3" s="148" t="s">
        <v>71</v>
      </c>
      <c r="S3" s="148" t="s">
        <v>72</v>
      </c>
      <c r="T3" s="148" t="s">
        <v>73</v>
      </c>
      <c r="U3" s="148" t="s">
        <v>74</v>
      </c>
      <c r="V3" s="148" t="s">
        <v>75</v>
      </c>
      <c r="W3" s="148" t="s">
        <v>76</v>
      </c>
      <c r="X3" s="150" t="s">
        <v>77</v>
      </c>
    </row>
    <row r="4" spans="3:24" ht="13.5" thickBot="1" x14ac:dyDescent="0.25">
      <c r="C4" s="139"/>
      <c r="D4" s="141"/>
      <c r="E4" s="143"/>
      <c r="F4" s="145"/>
      <c r="G4" s="147"/>
      <c r="H4" s="145"/>
      <c r="I4" s="161"/>
      <c r="J4" s="159"/>
      <c r="K4" s="163"/>
      <c r="L4" s="149"/>
      <c r="M4" s="135"/>
      <c r="N4" s="137"/>
      <c r="O4" s="149"/>
      <c r="P4" s="151"/>
      <c r="Q4" s="159"/>
      <c r="R4" s="149"/>
      <c r="S4" s="149"/>
      <c r="T4" s="149"/>
      <c r="U4" s="149"/>
      <c r="V4" s="149"/>
      <c r="W4" s="149"/>
      <c r="X4" s="151"/>
    </row>
    <row r="5" spans="3:24" x14ac:dyDescent="0.2">
      <c r="C5" s="152" t="s">
        <v>78</v>
      </c>
      <c r="D5" s="155" t="s">
        <v>79</v>
      </c>
      <c r="E5" s="18" t="s">
        <v>80</v>
      </c>
      <c r="F5" s="19" t="s">
        <v>81</v>
      </c>
      <c r="G5" s="20" t="s">
        <v>82</v>
      </c>
      <c r="H5" s="20" t="s">
        <v>83</v>
      </c>
      <c r="I5" s="21" t="s">
        <v>84</v>
      </c>
      <c r="J5" s="22">
        <v>0</v>
      </c>
      <c r="K5" s="23">
        <v>0</v>
      </c>
      <c r="L5" s="24">
        <v>0</v>
      </c>
      <c r="M5" s="24">
        <v>0</v>
      </c>
      <c r="N5" s="24">
        <v>0</v>
      </c>
      <c r="O5" s="24">
        <v>0</v>
      </c>
      <c r="P5" s="25" t="s">
        <v>85</v>
      </c>
      <c r="Q5" s="26"/>
      <c r="R5" s="27"/>
      <c r="S5" s="27"/>
      <c r="T5" s="27"/>
      <c r="U5" s="27"/>
      <c r="V5" s="27"/>
      <c r="W5" s="27"/>
      <c r="X5" s="28"/>
    </row>
    <row r="6" spans="3:24" x14ac:dyDescent="0.2">
      <c r="C6" s="153"/>
      <c r="D6" s="156"/>
      <c r="E6" s="29" t="s">
        <v>86</v>
      </c>
      <c r="F6" s="30" t="s">
        <v>87</v>
      </c>
      <c r="G6" s="31" t="s">
        <v>82</v>
      </c>
      <c r="H6" s="31" t="s">
        <v>83</v>
      </c>
      <c r="I6" s="32" t="s">
        <v>84</v>
      </c>
      <c r="J6" s="33">
        <v>529.04851671735207</v>
      </c>
      <c r="K6" s="34">
        <v>7.5</v>
      </c>
      <c r="L6" s="35">
        <v>86.931249390275852</v>
      </c>
      <c r="M6" s="35">
        <v>651.98437042706894</v>
      </c>
      <c r="N6" s="35">
        <v>1192.125</v>
      </c>
      <c r="O6" s="35">
        <v>2373.1578871444208</v>
      </c>
      <c r="P6" s="36">
        <v>2373.1578871444208</v>
      </c>
      <c r="Q6" s="26"/>
      <c r="R6" s="27"/>
      <c r="S6" s="27"/>
      <c r="T6" s="27"/>
      <c r="U6" s="27"/>
      <c r="V6" s="27"/>
      <c r="W6" s="27"/>
      <c r="X6" s="28"/>
    </row>
    <row r="7" spans="3:24" x14ac:dyDescent="0.2">
      <c r="C7" s="153"/>
      <c r="D7" s="156"/>
      <c r="E7" s="29" t="s">
        <v>86</v>
      </c>
      <c r="F7" s="30" t="s">
        <v>88</v>
      </c>
      <c r="G7" s="31" t="s">
        <v>82</v>
      </c>
      <c r="H7" s="31" t="s">
        <v>83</v>
      </c>
      <c r="I7" s="32" t="s">
        <v>84</v>
      </c>
      <c r="J7" s="33">
        <v>529.04851671735207</v>
      </c>
      <c r="K7" s="34">
        <v>7.5</v>
      </c>
      <c r="L7" s="35">
        <v>86.931249390275852</v>
      </c>
      <c r="M7" s="35">
        <v>651.98437042706894</v>
      </c>
      <c r="N7" s="35">
        <v>1192.125</v>
      </c>
      <c r="O7" s="35">
        <v>2373.1578871444208</v>
      </c>
      <c r="P7" s="36">
        <v>2373.1578871444208</v>
      </c>
      <c r="Q7" s="26"/>
      <c r="R7" s="27"/>
      <c r="S7" s="27"/>
      <c r="T7" s="27"/>
      <c r="U7" s="27"/>
      <c r="V7" s="27"/>
      <c r="W7" s="27"/>
      <c r="X7" s="28"/>
    </row>
    <row r="8" spans="3:24" x14ac:dyDescent="0.2">
      <c r="C8" s="153"/>
      <c r="D8" s="156"/>
      <c r="E8" s="29" t="s">
        <v>86</v>
      </c>
      <c r="F8" s="30" t="s">
        <v>89</v>
      </c>
      <c r="G8" s="31" t="s">
        <v>82</v>
      </c>
      <c r="H8" s="31" t="s">
        <v>83</v>
      </c>
      <c r="I8" s="32" t="s">
        <v>84</v>
      </c>
      <c r="J8" s="33">
        <v>597.23272511735206</v>
      </c>
      <c r="K8" s="34">
        <v>7.5</v>
      </c>
      <c r="L8" s="35">
        <v>86.931249390275852</v>
      </c>
      <c r="M8" s="35">
        <v>651.98437042706894</v>
      </c>
      <c r="N8" s="35">
        <v>1192.125</v>
      </c>
      <c r="O8" s="35">
        <v>2441.3420955444208</v>
      </c>
      <c r="P8" s="36">
        <v>2441.3420955444208</v>
      </c>
      <c r="Q8" s="26"/>
      <c r="R8" s="27"/>
      <c r="S8" s="27"/>
      <c r="T8" s="27"/>
      <c r="U8" s="27"/>
      <c r="V8" s="27"/>
      <c r="W8" s="27"/>
      <c r="X8" s="28"/>
    </row>
    <row r="9" spans="3:24" x14ac:dyDescent="0.2">
      <c r="C9" s="153"/>
      <c r="D9" s="156"/>
      <c r="E9" s="29" t="s">
        <v>86</v>
      </c>
      <c r="F9" s="30" t="s">
        <v>90</v>
      </c>
      <c r="G9" s="31" t="s">
        <v>82</v>
      </c>
      <c r="H9" s="31" t="s">
        <v>83</v>
      </c>
      <c r="I9" s="32" t="s">
        <v>84</v>
      </c>
      <c r="J9" s="33">
        <v>490.11159373235211</v>
      </c>
      <c r="K9" s="34">
        <v>7.5</v>
      </c>
      <c r="L9" s="35">
        <v>86.931249390275852</v>
      </c>
      <c r="M9" s="35">
        <v>651.98437042706894</v>
      </c>
      <c r="N9" s="35">
        <v>1192.125</v>
      </c>
      <c r="O9" s="35">
        <v>2334.2209641594209</v>
      </c>
      <c r="P9" s="36">
        <v>2334.2209641594209</v>
      </c>
      <c r="Q9" s="26"/>
      <c r="R9" s="27"/>
      <c r="S9" s="27"/>
      <c r="T9" s="27"/>
      <c r="U9" s="27"/>
      <c r="V9" s="27"/>
      <c r="W9" s="27"/>
      <c r="X9" s="28"/>
    </row>
    <row r="10" spans="3:24" x14ac:dyDescent="0.2">
      <c r="C10" s="153"/>
      <c r="D10" s="156"/>
      <c r="E10" s="29" t="s">
        <v>86</v>
      </c>
      <c r="F10" s="30" t="s">
        <v>91</v>
      </c>
      <c r="G10" s="31" t="s">
        <v>82</v>
      </c>
      <c r="H10" s="31" t="s">
        <v>83</v>
      </c>
      <c r="I10" s="32" t="s">
        <v>84</v>
      </c>
      <c r="J10" s="33">
        <v>356.34780514735212</v>
      </c>
      <c r="K10" s="34">
        <v>7.5</v>
      </c>
      <c r="L10" s="35">
        <v>86.931249390275852</v>
      </c>
      <c r="M10" s="35">
        <v>651.98437042706894</v>
      </c>
      <c r="N10" s="35">
        <v>1192.125</v>
      </c>
      <c r="O10" s="35">
        <v>2200.4571755744209</v>
      </c>
      <c r="P10" s="36">
        <v>2200.4571755744209</v>
      </c>
      <c r="Q10" s="26"/>
      <c r="R10" s="27"/>
      <c r="S10" s="27"/>
      <c r="T10" s="27"/>
      <c r="U10" s="27"/>
      <c r="V10" s="27"/>
      <c r="W10" s="27"/>
      <c r="X10" s="28"/>
    </row>
    <row r="11" spans="3:24" x14ac:dyDescent="0.2">
      <c r="C11" s="153"/>
      <c r="D11" s="156"/>
      <c r="E11" s="37" t="s">
        <v>86</v>
      </c>
      <c r="F11" s="38" t="s">
        <v>92</v>
      </c>
      <c r="G11" s="39" t="s">
        <v>82</v>
      </c>
      <c r="H11" s="39" t="s">
        <v>83</v>
      </c>
      <c r="I11" s="40" t="s">
        <v>84</v>
      </c>
      <c r="J11" s="41">
        <v>440.08058256735211</v>
      </c>
      <c r="K11" s="42">
        <v>7.5</v>
      </c>
      <c r="L11" s="43">
        <v>86.931249390275852</v>
      </c>
      <c r="M11" s="43">
        <v>651.98437042706894</v>
      </c>
      <c r="N11" s="43">
        <v>1192.125</v>
      </c>
      <c r="O11" s="43">
        <v>2284.1899529944208</v>
      </c>
      <c r="P11" s="44">
        <v>2284.1899529944208</v>
      </c>
      <c r="Q11" s="26"/>
      <c r="R11" s="27"/>
      <c r="S11" s="27"/>
      <c r="T11" s="27"/>
      <c r="U11" s="27"/>
      <c r="V11" s="27"/>
      <c r="W11" s="27"/>
      <c r="X11" s="28"/>
    </row>
    <row r="12" spans="3:24" x14ac:dyDescent="0.2">
      <c r="C12" s="153"/>
      <c r="D12" s="156"/>
      <c r="E12" s="29" t="s">
        <v>86</v>
      </c>
      <c r="F12" s="30" t="s">
        <v>93</v>
      </c>
      <c r="G12" s="31" t="s">
        <v>82</v>
      </c>
      <c r="H12" s="31" t="s">
        <v>83</v>
      </c>
      <c r="I12" s="32" t="s">
        <v>84</v>
      </c>
      <c r="J12" s="33">
        <v>522.16139384235214</v>
      </c>
      <c r="K12" s="34">
        <v>7.5</v>
      </c>
      <c r="L12" s="35">
        <v>86.931249390275852</v>
      </c>
      <c r="M12" s="35">
        <v>651.98437042706894</v>
      </c>
      <c r="N12" s="35">
        <v>1192.125</v>
      </c>
      <c r="O12" s="35">
        <v>2366.2707642694209</v>
      </c>
      <c r="P12" s="36">
        <v>2366.2707642694209</v>
      </c>
      <c r="Q12" s="26"/>
      <c r="R12" s="27"/>
      <c r="S12" s="27"/>
      <c r="T12" s="27"/>
      <c r="U12" s="27"/>
      <c r="V12" s="27"/>
      <c r="W12" s="27"/>
      <c r="X12" s="28"/>
    </row>
    <row r="13" spans="3:24" x14ac:dyDescent="0.2">
      <c r="C13" s="153"/>
      <c r="D13" s="156"/>
      <c r="E13" s="29" t="s">
        <v>86</v>
      </c>
      <c r="F13" s="30" t="s">
        <v>94</v>
      </c>
      <c r="G13" s="31" t="s">
        <v>82</v>
      </c>
      <c r="H13" s="31" t="s">
        <v>83</v>
      </c>
      <c r="I13" s="32" t="s">
        <v>84</v>
      </c>
      <c r="J13" s="33">
        <v>415.04026245735213</v>
      </c>
      <c r="K13" s="34">
        <v>7.5</v>
      </c>
      <c r="L13" s="35">
        <v>86.931249390275852</v>
      </c>
      <c r="M13" s="35">
        <v>651.98437042706894</v>
      </c>
      <c r="N13" s="35">
        <v>1192.125</v>
      </c>
      <c r="O13" s="35">
        <v>2259.149632884421</v>
      </c>
      <c r="P13" s="36">
        <v>2259.149632884421</v>
      </c>
      <c r="Q13" s="26"/>
      <c r="R13" s="27"/>
      <c r="S13" s="27"/>
      <c r="T13" s="27"/>
      <c r="U13" s="27"/>
      <c r="V13" s="27"/>
      <c r="W13" s="27"/>
      <c r="X13" s="28"/>
    </row>
    <row r="14" spans="3:24" ht="25.5" x14ac:dyDescent="0.2">
      <c r="C14" s="153"/>
      <c r="D14" s="156"/>
      <c r="E14" s="29" t="s">
        <v>86</v>
      </c>
      <c r="F14" s="30" t="s">
        <v>95</v>
      </c>
      <c r="G14" s="31" t="s">
        <v>82</v>
      </c>
      <c r="H14" s="31" t="s">
        <v>83</v>
      </c>
      <c r="I14" s="32" t="s">
        <v>84</v>
      </c>
      <c r="J14" s="33">
        <v>498.77303987735212</v>
      </c>
      <c r="K14" s="34">
        <v>7.5</v>
      </c>
      <c r="L14" s="35">
        <v>86.931249390275852</v>
      </c>
      <c r="M14" s="35">
        <v>651.98437042706894</v>
      </c>
      <c r="N14" s="35">
        <v>1192.125</v>
      </c>
      <c r="O14" s="35">
        <v>2342.8824103044208</v>
      </c>
      <c r="P14" s="36">
        <v>2342.8824103044208</v>
      </c>
      <c r="Q14" s="26"/>
      <c r="R14" s="27"/>
      <c r="S14" s="27"/>
      <c r="T14" s="27"/>
      <c r="U14" s="27"/>
      <c r="V14" s="27"/>
      <c r="W14" s="27"/>
      <c r="X14" s="28"/>
    </row>
    <row r="15" spans="3:24" ht="25.5" x14ac:dyDescent="0.2">
      <c r="C15" s="153"/>
      <c r="D15" s="156"/>
      <c r="E15" s="29" t="s">
        <v>86</v>
      </c>
      <c r="F15" s="30" t="s">
        <v>96</v>
      </c>
      <c r="G15" s="31" t="s">
        <v>82</v>
      </c>
      <c r="H15" s="31" t="s">
        <v>83</v>
      </c>
      <c r="I15" s="32" t="s">
        <v>84</v>
      </c>
      <c r="J15" s="33">
        <v>580.85385115235204</v>
      </c>
      <c r="K15" s="34">
        <v>7.5</v>
      </c>
      <c r="L15" s="35">
        <v>86.931249390275852</v>
      </c>
      <c r="M15" s="35">
        <v>651.98437042706894</v>
      </c>
      <c r="N15" s="35">
        <v>1192.125</v>
      </c>
      <c r="O15" s="35">
        <v>2424.9632215794209</v>
      </c>
      <c r="P15" s="36">
        <v>2424.9632215794209</v>
      </c>
      <c r="Q15" s="26"/>
      <c r="R15" s="27"/>
      <c r="S15" s="27"/>
      <c r="T15" s="27"/>
      <c r="U15" s="27"/>
      <c r="V15" s="27"/>
      <c r="W15" s="27"/>
      <c r="X15" s="28"/>
    </row>
    <row r="16" spans="3:24" ht="26.25" thickBot="1" x14ac:dyDescent="0.25">
      <c r="C16" s="154"/>
      <c r="D16" s="157"/>
      <c r="E16" s="45" t="s">
        <v>86</v>
      </c>
      <c r="F16" s="46" t="s">
        <v>97</v>
      </c>
      <c r="G16" s="47" t="s">
        <v>82</v>
      </c>
      <c r="H16" s="47" t="s">
        <v>83</v>
      </c>
      <c r="I16" s="48" t="s">
        <v>84</v>
      </c>
      <c r="J16" s="49">
        <v>664.58662857235208</v>
      </c>
      <c r="K16" s="50">
        <v>7.5</v>
      </c>
      <c r="L16" s="51">
        <v>86.931249390275852</v>
      </c>
      <c r="M16" s="51">
        <v>651.98437042706894</v>
      </c>
      <c r="N16" s="51">
        <v>1192.125</v>
      </c>
      <c r="O16" s="51">
        <v>2508.6959989994211</v>
      </c>
      <c r="P16" s="52">
        <v>2508.6959989994211</v>
      </c>
      <c r="Q16" s="53"/>
      <c r="R16" s="54"/>
      <c r="S16" s="54"/>
      <c r="T16" s="54"/>
      <c r="U16" s="54"/>
      <c r="V16" s="54"/>
      <c r="W16" s="54"/>
      <c r="X16" s="55"/>
    </row>
    <row r="17" spans="3:6" ht="13.5" thickBot="1" x14ac:dyDescent="0.25"/>
    <row r="18" spans="3:6" ht="13.5" thickBot="1" x14ac:dyDescent="0.25">
      <c r="C18" s="58" t="s">
        <v>86</v>
      </c>
      <c r="D18" s="59" t="s">
        <v>1</v>
      </c>
      <c r="E18" s="59" t="s">
        <v>2</v>
      </c>
      <c r="F18" s="59" t="s">
        <v>3</v>
      </c>
    </row>
    <row r="19" spans="3:6" x14ac:dyDescent="0.2">
      <c r="C19" s="56" t="s">
        <v>99</v>
      </c>
      <c r="D19" s="57">
        <v>695.44</v>
      </c>
      <c r="E19" s="57">
        <v>1239.9684523809524</v>
      </c>
      <c r="F19" s="57">
        <v>1935.4084523809524</v>
      </c>
    </row>
    <row r="20" spans="3:6" x14ac:dyDescent="0.2">
      <c r="C20" s="1" t="s">
        <v>125</v>
      </c>
      <c r="F20" s="86">
        <f>F19-P11</f>
        <v>-348.78150061346832</v>
      </c>
    </row>
    <row r="21" spans="3:6" x14ac:dyDescent="0.2">
      <c r="C21" s="4" t="s">
        <v>126</v>
      </c>
      <c r="F21" s="87">
        <f>F20/P11</f>
        <v>-0.15269373729458841</v>
      </c>
    </row>
  </sheetData>
  <mergeCells count="24">
    <mergeCell ref="U3:U4"/>
    <mergeCell ref="V3:V4"/>
    <mergeCell ref="W3:W4"/>
    <mergeCell ref="X3:X4"/>
    <mergeCell ref="C5:C16"/>
    <mergeCell ref="D5:D16"/>
    <mergeCell ref="O3:O4"/>
    <mergeCell ref="P3:P4"/>
    <mergeCell ref="Q3:Q4"/>
    <mergeCell ref="R3:R4"/>
    <mergeCell ref="S3:S4"/>
    <mergeCell ref="T3:T4"/>
    <mergeCell ref="I3:I4"/>
    <mergeCell ref="J3:J4"/>
    <mergeCell ref="K3:K4"/>
    <mergeCell ref="L3:L4"/>
    <mergeCell ref="M3:M4"/>
    <mergeCell ref="N3:N4"/>
    <mergeCell ref="C3:C4"/>
    <mergeCell ref="D3:D4"/>
    <mergeCell ref="E3:E4"/>
    <mergeCell ref="F3:F4"/>
    <mergeCell ref="G3:G4"/>
    <mergeCell ref="H3:H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cost calculation</vt:lpstr>
      <vt:lpstr>ADEC</vt:lpstr>
      <vt:lpstr>ADEC mfgA</vt:lpstr>
      <vt:lpstr>ADEC mfgB</vt:lpstr>
      <vt:lpstr>Motor Costs</vt:lpstr>
      <vt:lpstr>VFD and Motors</vt:lpstr>
      <vt:lpstr>DRAFT DEER Comparison</vt:lpstr>
    </vt:vector>
  </TitlesOfParts>
  <Company>PECI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Benjamin Lipscomb</dc:creator>
  <cp:lastModifiedBy>Phil Jordan</cp:lastModifiedBy>
  <dcterms:created xsi:type="dcterms:W3CDTF">2013-02-04T17:34:44Z</dcterms:created>
  <dcterms:modified xsi:type="dcterms:W3CDTF">2018-08-01T21:15:34Z</dcterms:modified>
</cp:coreProperties>
</file>