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525" windowWidth="24720" windowHeight="12165" tabRatio="500" activeTab="1"/>
  </bookViews>
  <sheets>
    <sheet name="Dryers" sheetId="1" r:id="rId1"/>
    <sheet name="Soundbars" sheetId="3" r:id="rId2"/>
    <sheet name="Room Air Cleaners" sheetId="6" r:id="rId3"/>
    <sheet name="Room Air Conditioners" sheetId="7" r:id="rId4"/>
    <sheet name="Freezers" sheetId="8" r:id="rId5"/>
    <sheet name="Interactive Effects" sheetId="4" r:id="rId6"/>
  </sheets>
  <definedNames>
    <definedName name="_xlnm._FilterDatabase" localSheetId="0" hidden="1">Dryers!$A$61:$V$89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0" i="3" l="1"/>
  <c r="F70" i="7" l="1"/>
  <c r="F69" i="7"/>
  <c r="F68" i="7"/>
  <c r="F67" i="7"/>
  <c r="E68" i="7"/>
  <c r="E69" i="7"/>
  <c r="E70" i="7"/>
  <c r="E67" i="7"/>
  <c r="F61" i="7"/>
  <c r="F62" i="7"/>
  <c r="E62" i="7"/>
  <c r="E61" i="7"/>
  <c r="F60" i="7"/>
  <c r="E60" i="7"/>
  <c r="F59" i="7"/>
  <c r="E59" i="7"/>
  <c r="M63" i="1"/>
  <c r="C20" i="1"/>
  <c r="N41" i="1"/>
  <c r="F52" i="1"/>
  <c r="H27" i="1"/>
  <c r="H52" i="1"/>
  <c r="I52" i="1"/>
  <c r="F63" i="1"/>
  <c r="N45" i="1"/>
  <c r="N44" i="1"/>
  <c r="N43" i="1"/>
  <c r="N42" i="1"/>
  <c r="Q33" i="1"/>
  <c r="P33" i="1"/>
  <c r="R43" i="1"/>
  <c r="M45" i="1"/>
  <c r="Q24" i="1"/>
  <c r="P24" i="1"/>
  <c r="R42" i="1"/>
  <c r="M44" i="1"/>
  <c r="M43" i="1"/>
  <c r="M42" i="1"/>
  <c r="Q16" i="1"/>
  <c r="P16" i="1"/>
  <c r="R41" i="1"/>
  <c r="M41" i="1"/>
  <c r="H37" i="1"/>
  <c r="H36" i="1"/>
  <c r="H35" i="1"/>
  <c r="H31" i="1"/>
  <c r="H30" i="1"/>
  <c r="H29" i="1"/>
  <c r="H28" i="1"/>
  <c r="AL5" i="8"/>
  <c r="AL6" i="8"/>
  <c r="C19" i="1"/>
  <c r="AL61" i="8"/>
  <c r="AK61" i="8"/>
  <c r="AJ61" i="8"/>
  <c r="AL60" i="8"/>
  <c r="AK60" i="8"/>
  <c r="AJ60" i="8"/>
  <c r="AL59" i="8"/>
  <c r="AK59" i="8"/>
  <c r="AJ59" i="8"/>
  <c r="AL58" i="8"/>
  <c r="AK58" i="8"/>
  <c r="AJ58" i="8"/>
  <c r="AL57" i="8"/>
  <c r="AK57" i="8"/>
  <c r="AJ57" i="8"/>
  <c r="AL56" i="8"/>
  <c r="AK56" i="8"/>
  <c r="AJ56" i="8"/>
  <c r="AL55" i="8"/>
  <c r="AK55" i="8"/>
  <c r="AJ55" i="8"/>
  <c r="AL54" i="8"/>
  <c r="AK54" i="8"/>
  <c r="AJ54" i="8"/>
  <c r="AL53" i="8"/>
  <c r="AK53" i="8"/>
  <c r="AJ53" i="8"/>
  <c r="AL52" i="8"/>
  <c r="AK52" i="8"/>
  <c r="AJ52" i="8"/>
  <c r="AL51" i="8"/>
  <c r="AK51" i="8"/>
  <c r="AJ51" i="8"/>
  <c r="AL50" i="8"/>
  <c r="AK50" i="8"/>
  <c r="AJ50" i="8"/>
  <c r="AL49" i="8"/>
  <c r="AK49" i="8"/>
  <c r="AJ49" i="8"/>
  <c r="AL48" i="8"/>
  <c r="AK48" i="8"/>
  <c r="AJ48" i="8"/>
  <c r="AL47" i="8"/>
  <c r="AK47" i="8"/>
  <c r="AJ47" i="8"/>
  <c r="AL46" i="8"/>
  <c r="AK46" i="8"/>
  <c r="AJ46" i="8"/>
  <c r="AL45" i="8"/>
  <c r="AK45" i="8"/>
  <c r="AJ45" i="8"/>
  <c r="AL44" i="8"/>
  <c r="AK44" i="8"/>
  <c r="AJ44" i="8"/>
  <c r="AL43" i="8"/>
  <c r="AK43" i="8"/>
  <c r="AJ43" i="8"/>
  <c r="AL42" i="8"/>
  <c r="AK42" i="8"/>
  <c r="AJ42" i="8"/>
  <c r="AL41" i="8"/>
  <c r="AK41" i="8"/>
  <c r="AJ41" i="8"/>
  <c r="AL40" i="8"/>
  <c r="AK40" i="8"/>
  <c r="AJ40" i="8"/>
  <c r="AL39" i="8"/>
  <c r="AK39" i="8"/>
  <c r="AJ39" i="8"/>
  <c r="AL38" i="8"/>
  <c r="AK38" i="8"/>
  <c r="AJ38" i="8"/>
  <c r="AL37" i="8"/>
  <c r="AK37" i="8"/>
  <c r="AJ37" i="8"/>
  <c r="AL36" i="8"/>
  <c r="AK36" i="8"/>
  <c r="AJ36" i="8"/>
  <c r="AL35" i="8"/>
  <c r="AK35" i="8"/>
  <c r="AJ35" i="8"/>
  <c r="AL34" i="8"/>
  <c r="AK34" i="8"/>
  <c r="AJ34" i="8"/>
  <c r="AL33" i="8"/>
  <c r="AK33" i="8"/>
  <c r="AJ33" i="8"/>
  <c r="AL32" i="8"/>
  <c r="AK32" i="8"/>
  <c r="AJ32" i="8"/>
  <c r="H32" i="8"/>
  <c r="AL31" i="8"/>
  <c r="AK31" i="8"/>
  <c r="AJ31" i="8"/>
  <c r="AL30" i="8"/>
  <c r="AK30" i="8"/>
  <c r="AJ30" i="8"/>
  <c r="AL29" i="8"/>
  <c r="AK29" i="8"/>
  <c r="AJ29" i="8"/>
  <c r="AL28" i="8"/>
  <c r="AK28" i="8"/>
  <c r="AJ28" i="8"/>
  <c r="AL27" i="8"/>
  <c r="AK27" i="8"/>
  <c r="AJ27" i="8"/>
  <c r="AL26" i="8"/>
  <c r="AK26" i="8"/>
  <c r="AJ26" i="8"/>
  <c r="AL25" i="8"/>
  <c r="AK25" i="8"/>
  <c r="AJ25" i="8"/>
  <c r="O25" i="8"/>
  <c r="L25" i="8"/>
  <c r="P25" i="8"/>
  <c r="H25" i="8"/>
  <c r="AL24" i="8"/>
  <c r="AK24" i="8"/>
  <c r="AJ24" i="8"/>
  <c r="O24" i="8"/>
  <c r="D24" i="8"/>
  <c r="L24" i="8"/>
  <c r="P24" i="8"/>
  <c r="AL23" i="8"/>
  <c r="AK23" i="8"/>
  <c r="AJ23" i="8"/>
  <c r="O23" i="8"/>
  <c r="L23" i="8"/>
  <c r="P23" i="8"/>
  <c r="H23" i="8"/>
  <c r="AL22" i="8"/>
  <c r="AK22" i="8"/>
  <c r="AJ22" i="8"/>
  <c r="L22" i="8"/>
  <c r="P22" i="8"/>
  <c r="K22" i="8"/>
  <c r="H22" i="8"/>
  <c r="G22" i="8"/>
  <c r="AL21" i="8"/>
  <c r="AK21" i="8"/>
  <c r="AJ21" i="8"/>
  <c r="K21" i="8"/>
  <c r="G21" i="8"/>
  <c r="D21" i="8"/>
  <c r="L21" i="8"/>
  <c r="P21" i="8"/>
  <c r="AL20" i="8"/>
  <c r="AK20" i="8"/>
  <c r="AJ20" i="8"/>
  <c r="O20" i="8"/>
  <c r="L20" i="8"/>
  <c r="P20" i="8"/>
  <c r="H20" i="8"/>
  <c r="AL19" i="8"/>
  <c r="AK19" i="8"/>
  <c r="AJ19" i="8"/>
  <c r="AE19" i="8"/>
  <c r="AD19" i="8"/>
  <c r="Y19" i="8"/>
  <c r="AL18" i="8"/>
  <c r="AK18" i="8"/>
  <c r="AJ18" i="8"/>
  <c r="AE18" i="8"/>
  <c r="AD18" i="8"/>
  <c r="Y18" i="8"/>
  <c r="AL17" i="8"/>
  <c r="AK17" i="8"/>
  <c r="AJ17" i="8"/>
  <c r="AE17" i="8"/>
  <c r="AD17" i="8"/>
  <c r="Z17" i="8"/>
  <c r="Y17" i="8"/>
  <c r="AL16" i="8"/>
  <c r="AK16" i="8"/>
  <c r="AJ16" i="8"/>
  <c r="AE16" i="8"/>
  <c r="Z16" i="8"/>
  <c r="P16" i="8"/>
  <c r="L16" i="8"/>
  <c r="H16" i="8"/>
  <c r="AL15" i="8"/>
  <c r="AK15" i="8"/>
  <c r="AJ15" i="8"/>
  <c r="AE15" i="8"/>
  <c r="Z15" i="8"/>
  <c r="P15" i="8"/>
  <c r="D15" i="8"/>
  <c r="H15" i="8"/>
  <c r="AL14" i="8"/>
  <c r="AK14" i="8"/>
  <c r="AJ14" i="8"/>
  <c r="AE14" i="8"/>
  <c r="Z14" i="8"/>
  <c r="P14" i="8"/>
  <c r="L14" i="8"/>
  <c r="H14" i="8"/>
  <c r="AL13" i="8"/>
  <c r="AK13" i="8"/>
  <c r="AJ13" i="8"/>
  <c r="AE13" i="8"/>
  <c r="Z13" i="8"/>
  <c r="P13" i="8"/>
  <c r="L13" i="8"/>
  <c r="H13" i="8"/>
  <c r="AL12" i="8"/>
  <c r="AK12" i="8"/>
  <c r="AJ12" i="8"/>
  <c r="AE12" i="8"/>
  <c r="Z12" i="8"/>
  <c r="P12" i="8"/>
  <c r="D12" i="8"/>
  <c r="L12" i="8"/>
  <c r="AL11" i="8"/>
  <c r="AK11" i="8"/>
  <c r="AJ11" i="8"/>
  <c r="AE11" i="8"/>
  <c r="Z11" i="8"/>
  <c r="P11" i="8"/>
  <c r="L11" i="8"/>
  <c r="H11" i="8"/>
  <c r="AL10" i="8"/>
  <c r="AK10" i="8"/>
  <c r="AJ10" i="8"/>
  <c r="L10" i="8"/>
  <c r="P10" i="8"/>
  <c r="K10" i="8"/>
  <c r="H10" i="8"/>
  <c r="G10" i="8"/>
  <c r="AL9" i="8"/>
  <c r="AK9" i="8"/>
  <c r="AJ9" i="8"/>
  <c r="K9" i="8"/>
  <c r="O9" i="8"/>
  <c r="G9" i="8"/>
  <c r="D9" i="8"/>
  <c r="L9" i="8"/>
  <c r="P9" i="8"/>
  <c r="AL8" i="8"/>
  <c r="AK8" i="8"/>
  <c r="AJ8" i="8"/>
  <c r="O8" i="8"/>
  <c r="L8" i="8"/>
  <c r="P8" i="8"/>
  <c r="H8" i="8"/>
  <c r="AL7" i="8"/>
  <c r="AK7" i="8"/>
  <c r="AJ7" i="8"/>
  <c r="L7" i="8"/>
  <c r="P7" i="8"/>
  <c r="K7" i="8"/>
  <c r="O7" i="8"/>
  <c r="H7" i="8"/>
  <c r="G7" i="8"/>
  <c r="AK6" i="8"/>
  <c r="AJ6" i="8"/>
  <c r="K6" i="8"/>
  <c r="G6" i="8"/>
  <c r="D6" i="8"/>
  <c r="H6" i="8"/>
  <c r="AK5" i="8"/>
  <c r="AJ5" i="8"/>
  <c r="O5" i="8"/>
  <c r="L5" i="8"/>
  <c r="P5" i="8"/>
  <c r="H5" i="8"/>
  <c r="D47" i="7"/>
  <c r="U7" i="7"/>
  <c r="T7" i="7"/>
  <c r="U6" i="7"/>
  <c r="T6" i="7"/>
  <c r="U5" i="7"/>
  <c r="T5" i="7"/>
  <c r="U4" i="7"/>
  <c r="T4" i="7"/>
  <c r="J23" i="6"/>
  <c r="J29" i="6"/>
  <c r="D43" i="6"/>
  <c r="P40" i="6"/>
  <c r="J30" i="6"/>
  <c r="O40" i="6"/>
  <c r="J36" i="6"/>
  <c r="M36" i="6"/>
  <c r="J35" i="6"/>
  <c r="M35" i="6"/>
  <c r="M23" i="6"/>
  <c r="H43" i="6"/>
  <c r="L43" i="6"/>
  <c r="J34" i="6"/>
  <c r="M34" i="6"/>
  <c r="P30" i="6"/>
  <c r="O30" i="6"/>
  <c r="M30" i="6"/>
  <c r="M29" i="6"/>
  <c r="P28" i="6"/>
  <c r="J28" i="6"/>
  <c r="O28" i="6"/>
  <c r="M28" i="6"/>
  <c r="J22" i="6"/>
  <c r="M22" i="6"/>
  <c r="C42" i="6"/>
  <c r="P26" i="6"/>
  <c r="E26" i="6"/>
  <c r="P24" i="6"/>
  <c r="J24" i="6"/>
  <c r="P22" i="6"/>
  <c r="K21" i="3"/>
  <c r="K37" i="3"/>
  <c r="H48" i="3"/>
  <c r="H49" i="3"/>
  <c r="H50" i="3"/>
  <c r="H51" i="3"/>
  <c r="J51" i="3"/>
  <c r="J21" i="3"/>
  <c r="J37" i="3"/>
  <c r="G48" i="3"/>
  <c r="G49" i="3"/>
  <c r="G50" i="3"/>
  <c r="J27" i="3"/>
  <c r="Q48" i="3"/>
  <c r="Q49" i="3"/>
  <c r="I49" i="3"/>
  <c r="J32" i="3"/>
  <c r="B48" i="3"/>
  <c r="B49" i="3"/>
  <c r="F49" i="3"/>
  <c r="D49" i="3"/>
  <c r="S48" i="3"/>
  <c r="J42" i="3"/>
  <c r="L48" i="3"/>
  <c r="N48" i="3"/>
  <c r="J48" i="3"/>
  <c r="F48" i="3"/>
  <c r="D48" i="3"/>
  <c r="K42" i="3"/>
  <c r="I48" i="3"/>
  <c r="O32" i="3"/>
  <c r="N32" i="3"/>
  <c r="M32" i="3"/>
  <c r="K32" i="3"/>
  <c r="K27" i="3"/>
  <c r="O21" i="3"/>
  <c r="N21" i="3"/>
  <c r="M21" i="3"/>
  <c r="P21" i="3"/>
  <c r="N22" i="3"/>
  <c r="H74" i="1"/>
  <c r="H81" i="1" s="1"/>
  <c r="H88" i="1" s="1"/>
  <c r="H69" i="1"/>
  <c r="H76" i="1" s="1"/>
  <c r="H83" i="1" s="1"/>
  <c r="I75" i="1"/>
  <c r="I82" i="1" s="1"/>
  <c r="I89" i="1" s="1"/>
  <c r="K74" i="1"/>
  <c r="R74" i="1" s="1"/>
  <c r="H72" i="1"/>
  <c r="H79" i="1" s="1"/>
  <c r="H86" i="1" s="1"/>
  <c r="H70" i="1"/>
  <c r="H77" i="1" s="1"/>
  <c r="H84" i="1" s="1"/>
  <c r="L75" i="1"/>
  <c r="L82" i="1" s="1"/>
  <c r="L89" i="1" s="1"/>
  <c r="K73" i="1"/>
  <c r="K80" i="1" s="1"/>
  <c r="K87" i="1" s="1"/>
  <c r="H73" i="1"/>
  <c r="H80" i="1" s="1"/>
  <c r="H87" i="1" s="1"/>
  <c r="K72" i="1"/>
  <c r="K79" i="1" s="1"/>
  <c r="K86" i="1" s="1"/>
  <c r="K71" i="1"/>
  <c r="K78" i="1" s="1"/>
  <c r="H71" i="1"/>
  <c r="H78" i="1" s="1"/>
  <c r="H85" i="1" s="1"/>
  <c r="K70" i="1"/>
  <c r="K77" i="1" s="1"/>
  <c r="K84" i="1" s="1"/>
  <c r="K69" i="1"/>
  <c r="R69" i="1" s="1"/>
  <c r="R67" i="1"/>
  <c r="R64" i="1"/>
  <c r="R62" i="1"/>
  <c r="L54" i="1"/>
  <c r="L56" i="1"/>
  <c r="L55" i="1"/>
  <c r="L52" i="1"/>
  <c r="F56" i="1"/>
  <c r="H56" i="1"/>
  <c r="H55" i="1"/>
  <c r="H54" i="1"/>
  <c r="H53" i="1"/>
  <c r="AB14" i="8"/>
  <c r="AD14" i="8"/>
  <c r="AB7" i="8"/>
  <c r="AD7" i="8"/>
  <c r="AB25" i="8"/>
  <c r="AC25" i="8"/>
  <c r="AE25" i="8"/>
  <c r="T7" i="8"/>
  <c r="U7" i="8"/>
  <c r="H9" i="8"/>
  <c r="AB11" i="8"/>
  <c r="AD11" i="8"/>
  <c r="H21" i="8"/>
  <c r="W21" i="8"/>
  <c r="W23" i="8"/>
  <c r="Y23" i="8"/>
  <c r="L6" i="8"/>
  <c r="P6" i="8"/>
  <c r="AB6" i="8"/>
  <c r="W7" i="8"/>
  <c r="Y7" i="8"/>
  <c r="W11" i="8"/>
  <c r="Y11" i="8"/>
  <c r="L15" i="8"/>
  <c r="W15" i="8"/>
  <c r="Y15" i="8"/>
  <c r="AB9" i="8"/>
  <c r="AC9" i="8"/>
  <c r="AE9" i="8"/>
  <c r="H12" i="8"/>
  <c r="W12" i="8"/>
  <c r="Y12" i="8"/>
  <c r="AB23" i="8"/>
  <c r="AC23" i="8"/>
  <c r="AE23" i="8"/>
  <c r="AB13" i="8"/>
  <c r="AD13" i="8"/>
  <c r="T9" i="8"/>
  <c r="U9" i="8"/>
  <c r="AB5" i="8"/>
  <c r="H24" i="8"/>
  <c r="W24" i="8"/>
  <c r="Y24" i="8"/>
  <c r="I43" i="6"/>
  <c r="K43" i="6"/>
  <c r="L53" i="1"/>
  <c r="I56" i="1"/>
  <c r="M56" i="1"/>
  <c r="O22" i="3"/>
  <c r="N23" i="3"/>
  <c r="F54" i="1"/>
  <c r="F53" i="1"/>
  <c r="F55" i="1"/>
  <c r="C45" i="6"/>
  <c r="E42" i="6"/>
  <c r="G42" i="6"/>
  <c r="G51" i="3"/>
  <c r="K50" i="3"/>
  <c r="I44" i="6"/>
  <c r="D44" i="6"/>
  <c r="M24" i="6"/>
  <c r="O26" i="6"/>
  <c r="D46" i="6"/>
  <c r="F43" i="6"/>
  <c r="O10" i="8"/>
  <c r="T10" i="8"/>
  <c r="U10" i="8"/>
  <c r="P32" i="3"/>
  <c r="M33" i="3"/>
  <c r="K48" i="3"/>
  <c r="U48" i="3"/>
  <c r="K49" i="3"/>
  <c r="B50" i="3"/>
  <c r="Q50" i="3"/>
  <c r="U49" i="3"/>
  <c r="S49" i="3"/>
  <c r="M22" i="3"/>
  <c r="Q30" i="6"/>
  <c r="P38" i="6"/>
  <c r="O38" i="6"/>
  <c r="Q40" i="6"/>
  <c r="O41" i="6"/>
  <c r="P41" i="6"/>
  <c r="AB15" i="8"/>
  <c r="AD15" i="8"/>
  <c r="W16" i="8"/>
  <c r="Y16" i="8"/>
  <c r="AB16" i="8"/>
  <c r="AD16" i="8"/>
  <c r="L49" i="3"/>
  <c r="P48" i="3"/>
  <c r="N33" i="3"/>
  <c r="M48" i="3"/>
  <c r="R48" i="3"/>
  <c r="J50" i="3"/>
  <c r="I42" i="6"/>
  <c r="D42" i="6"/>
  <c r="O22" i="6"/>
  <c r="C43" i="6"/>
  <c r="O24" i="6"/>
  <c r="Q28" i="6"/>
  <c r="O29" i="6"/>
  <c r="O6" i="8"/>
  <c r="T6" i="8"/>
  <c r="U6" i="8"/>
  <c r="AD9" i="8"/>
  <c r="W9" i="8"/>
  <c r="C48" i="3"/>
  <c r="J49" i="3"/>
  <c r="H42" i="6"/>
  <c r="H46" i="6"/>
  <c r="J43" i="6"/>
  <c r="O21" i="8"/>
  <c r="T21" i="8"/>
  <c r="U21" i="8"/>
  <c r="O22" i="8"/>
  <c r="T22" i="8"/>
  <c r="U22" i="8"/>
  <c r="W25" i="8"/>
  <c r="W8" i="8"/>
  <c r="AB8" i="8"/>
  <c r="AB10" i="8"/>
  <c r="W10" i="8"/>
  <c r="AD25" i="8"/>
  <c r="W6" i="8"/>
  <c r="W13" i="8"/>
  <c r="Y13" i="8"/>
  <c r="W14" i="8"/>
  <c r="Y14" i="8"/>
  <c r="AB20" i="8"/>
  <c r="AB22" i="8"/>
  <c r="W5" i="8"/>
  <c r="W22" i="8"/>
  <c r="W20" i="8"/>
  <c r="X24" i="8"/>
  <c r="Z24" i="8"/>
  <c r="AB21" i="8"/>
  <c r="AD23" i="8"/>
  <c r="X23" i="8"/>
  <c r="Z23" i="8"/>
  <c r="X7" i="8"/>
  <c r="Z7" i="8"/>
  <c r="AB12" i="8"/>
  <c r="AD12" i="8"/>
  <c r="AC7" i="8"/>
  <c r="AE7" i="8"/>
  <c r="AB24" i="8"/>
  <c r="AC5" i="8"/>
  <c r="AE5" i="8"/>
  <c r="AD5" i="8"/>
  <c r="I46" i="6"/>
  <c r="I49" i="6"/>
  <c r="L46" i="6"/>
  <c r="J46" i="6"/>
  <c r="H49" i="6"/>
  <c r="C49" i="3"/>
  <c r="E48" i="3"/>
  <c r="D45" i="6"/>
  <c r="F42" i="6"/>
  <c r="L50" i="3"/>
  <c r="P49" i="3"/>
  <c r="N49" i="3"/>
  <c r="F44" i="6"/>
  <c r="D47" i="6"/>
  <c r="G45" i="6"/>
  <c r="C48" i="6"/>
  <c r="E45" i="6"/>
  <c r="X5" i="8"/>
  <c r="Z5" i="8"/>
  <c r="Y5" i="8"/>
  <c r="AD20" i="8"/>
  <c r="AC20" i="8"/>
  <c r="AE20" i="8"/>
  <c r="D50" i="3"/>
  <c r="B51" i="3"/>
  <c r="F50" i="3"/>
  <c r="D49" i="6"/>
  <c r="F46" i="6"/>
  <c r="K44" i="6"/>
  <c r="I47" i="6"/>
  <c r="M55" i="1"/>
  <c r="O55" i="1"/>
  <c r="I55" i="1"/>
  <c r="K55" i="1"/>
  <c r="AC22" i="8"/>
  <c r="AE22" i="8"/>
  <c r="AD22" i="8"/>
  <c r="AD8" i="8"/>
  <c r="AC8" i="8"/>
  <c r="AE8" i="8"/>
  <c r="Y25" i="8"/>
  <c r="X25" i="8"/>
  <c r="Z25" i="8"/>
  <c r="L42" i="6"/>
  <c r="J42" i="6"/>
  <c r="H45" i="6"/>
  <c r="G43" i="6"/>
  <c r="E43" i="6"/>
  <c r="C46" i="6"/>
  <c r="Q51" i="3"/>
  <c r="U50" i="3"/>
  <c r="S50" i="3"/>
  <c r="Q26" i="6"/>
  <c r="O27" i="6"/>
  <c r="P27" i="6"/>
  <c r="I53" i="1"/>
  <c r="K53" i="1"/>
  <c r="M53" i="1"/>
  <c r="O53" i="1"/>
  <c r="N56" i="1"/>
  <c r="K68" i="1"/>
  <c r="X22" i="8"/>
  <c r="Z22" i="8"/>
  <c r="Y22" i="8"/>
  <c r="AD21" i="8"/>
  <c r="AC21" i="8"/>
  <c r="AE21" i="8"/>
  <c r="AC6" i="8"/>
  <c r="AE6" i="8"/>
  <c r="AD6" i="8"/>
  <c r="Y10" i="8"/>
  <c r="X10" i="8"/>
  <c r="Z10" i="8"/>
  <c r="M49" i="3"/>
  <c r="O48" i="3"/>
  <c r="AC10" i="8"/>
  <c r="AE10" i="8"/>
  <c r="AD10" i="8"/>
  <c r="P29" i="6"/>
  <c r="Y9" i="8"/>
  <c r="X9" i="8"/>
  <c r="Z9" i="8"/>
  <c r="Q24" i="6"/>
  <c r="P25" i="6"/>
  <c r="I45" i="6"/>
  <c r="K42" i="6"/>
  <c r="Y20" i="8"/>
  <c r="X20" i="8"/>
  <c r="Z20" i="8"/>
  <c r="X21" i="8"/>
  <c r="Z21" i="8"/>
  <c r="Y21" i="8"/>
  <c r="X6" i="8"/>
  <c r="Z6" i="8"/>
  <c r="Y6" i="8"/>
  <c r="Y8" i="8"/>
  <c r="X8" i="8"/>
  <c r="Z8" i="8"/>
  <c r="Q22" i="6"/>
  <c r="O23" i="6"/>
  <c r="P23" i="6"/>
  <c r="T48" i="3"/>
  <c r="R49" i="3"/>
  <c r="O33" i="3"/>
  <c r="N34" i="3"/>
  <c r="M52" i="1"/>
  <c r="O52" i="1"/>
  <c r="K52" i="1"/>
  <c r="H44" i="6"/>
  <c r="C44" i="6"/>
  <c r="K51" i="3"/>
  <c r="I51" i="3"/>
  <c r="I54" i="1"/>
  <c r="K54" i="1"/>
  <c r="M54" i="1"/>
  <c r="O54" i="1"/>
  <c r="J56" i="1"/>
  <c r="H68" i="1"/>
  <c r="AC24" i="8"/>
  <c r="AE24" i="8"/>
  <c r="AD24" i="8"/>
  <c r="K46" i="6"/>
  <c r="F75" i="1"/>
  <c r="F82" i="1" s="1"/>
  <c r="F89" i="1" s="1"/>
  <c r="C47" i="6"/>
  <c r="E44" i="6"/>
  <c r="G44" i="6"/>
  <c r="J62" i="1"/>
  <c r="J63" i="1"/>
  <c r="T49" i="3"/>
  <c r="R50" i="3"/>
  <c r="O49" i="3"/>
  <c r="M50" i="3"/>
  <c r="J64" i="1"/>
  <c r="J65" i="1"/>
  <c r="U51" i="3"/>
  <c r="S51" i="3"/>
  <c r="C49" i="6"/>
  <c r="E46" i="6"/>
  <c r="G46" i="6"/>
  <c r="C51" i="6"/>
  <c r="E48" i="6"/>
  <c r="G48" i="6"/>
  <c r="L51" i="3"/>
  <c r="P50" i="3"/>
  <c r="N50" i="3"/>
  <c r="E49" i="3"/>
  <c r="C50" i="3"/>
  <c r="H75" i="1"/>
  <c r="H82" i="1" s="1"/>
  <c r="N68" i="1"/>
  <c r="L44" i="6"/>
  <c r="H47" i="6"/>
  <c r="J44" i="6"/>
  <c r="O25" i="6"/>
  <c r="F65" i="1"/>
  <c r="F64" i="1"/>
  <c r="D52" i="6"/>
  <c r="F52" i="6"/>
  <c r="F49" i="6"/>
  <c r="H52" i="6"/>
  <c r="J49" i="6"/>
  <c r="L49" i="6"/>
  <c r="J66" i="1"/>
  <c r="L66" i="1"/>
  <c r="T66" i="1"/>
  <c r="J75" i="1"/>
  <c r="F67" i="1"/>
  <c r="I67" i="1"/>
  <c r="I50" i="6"/>
  <c r="K47" i="6"/>
  <c r="D51" i="3"/>
  <c r="F51" i="3"/>
  <c r="D50" i="6"/>
  <c r="F47" i="6"/>
  <c r="D48" i="6"/>
  <c r="F45" i="6"/>
  <c r="I66" i="1"/>
  <c r="P66" i="1"/>
  <c r="F66" i="1"/>
  <c r="F62" i="1"/>
  <c r="I48" i="6"/>
  <c r="K45" i="6"/>
  <c r="R68" i="1"/>
  <c r="K75" i="1"/>
  <c r="K82" i="1" s="1"/>
  <c r="H48" i="6"/>
  <c r="J45" i="6"/>
  <c r="L45" i="6"/>
  <c r="J67" i="1"/>
  <c r="L67" i="1"/>
  <c r="I52" i="6"/>
  <c r="K52" i="6"/>
  <c r="K49" i="6"/>
  <c r="S65" i="1"/>
  <c r="Q65" i="1"/>
  <c r="S66" i="1"/>
  <c r="Q66" i="1"/>
  <c r="S63" i="1"/>
  <c r="Q63" i="1"/>
  <c r="O66" i="1"/>
  <c r="M66" i="1"/>
  <c r="O65" i="1"/>
  <c r="M65" i="1"/>
  <c r="O63" i="1"/>
  <c r="T67" i="1"/>
  <c r="L74" i="1"/>
  <c r="L81" i="1" s="1"/>
  <c r="L48" i="6"/>
  <c r="H51" i="6"/>
  <c r="J48" i="6"/>
  <c r="K48" i="6"/>
  <c r="I51" i="6"/>
  <c r="K51" i="6"/>
  <c r="F73" i="1"/>
  <c r="O73" i="1" s="1"/>
  <c r="G49" i="6"/>
  <c r="C52" i="6"/>
  <c r="E49" i="6"/>
  <c r="T50" i="3"/>
  <c r="R51" i="3"/>
  <c r="T51" i="3"/>
  <c r="J70" i="1"/>
  <c r="S70" i="1" s="1"/>
  <c r="J74" i="1"/>
  <c r="S74" i="1" s="1"/>
  <c r="S67" i="1"/>
  <c r="Q67" i="1"/>
  <c r="I63" i="1"/>
  <c r="P63" i="1"/>
  <c r="I62" i="1"/>
  <c r="G51" i="6"/>
  <c r="E51" i="6"/>
  <c r="J72" i="1"/>
  <c r="S72" i="1" s="1"/>
  <c r="L62" i="1"/>
  <c r="L63" i="1"/>
  <c r="T63" i="1"/>
  <c r="G47" i="6"/>
  <c r="E47" i="6"/>
  <c r="C50" i="6"/>
  <c r="M62" i="1"/>
  <c r="F69" i="1"/>
  <c r="M69" i="1" s="1"/>
  <c r="O62" i="1"/>
  <c r="P67" i="1"/>
  <c r="I74" i="1"/>
  <c r="P74" i="1" s="1"/>
  <c r="L73" i="1"/>
  <c r="T73" i="1" s="1"/>
  <c r="L52" i="6"/>
  <c r="J52" i="6"/>
  <c r="I65" i="1"/>
  <c r="P65" i="1"/>
  <c r="I64" i="1"/>
  <c r="L64" i="1"/>
  <c r="L65" i="1"/>
  <c r="T65" i="1"/>
  <c r="J69" i="1"/>
  <c r="J76" i="1" s="1"/>
  <c r="Q62" i="1"/>
  <c r="S62" i="1"/>
  <c r="F72" i="1"/>
  <c r="O72" i="1" s="1"/>
  <c r="M51" i="3"/>
  <c r="O51" i="3"/>
  <c r="O50" i="3"/>
  <c r="I73" i="1"/>
  <c r="P73" i="1" s="1"/>
  <c r="I53" i="6"/>
  <c r="K53" i="6"/>
  <c r="K50" i="6"/>
  <c r="F70" i="1"/>
  <c r="F77" i="1" s="1"/>
  <c r="O77" i="1" s="1"/>
  <c r="F48" i="6"/>
  <c r="D51" i="6"/>
  <c r="F51" i="6"/>
  <c r="D53" i="6"/>
  <c r="F53" i="6"/>
  <c r="F50" i="6"/>
  <c r="F74" i="1"/>
  <c r="F81" i="1" s="1"/>
  <c r="O67" i="1"/>
  <c r="M67" i="1"/>
  <c r="J82" i="1"/>
  <c r="J89" i="1" s="1"/>
  <c r="J73" i="1"/>
  <c r="J80" i="1" s="1"/>
  <c r="F71" i="1"/>
  <c r="M71" i="1" s="1"/>
  <c r="O64" i="1"/>
  <c r="M64" i="1"/>
  <c r="H50" i="6"/>
  <c r="J47" i="6"/>
  <c r="L47" i="6"/>
  <c r="E50" i="3"/>
  <c r="C51" i="3"/>
  <c r="E51" i="3"/>
  <c r="P51" i="3"/>
  <c r="N51" i="3"/>
  <c r="J71" i="1"/>
  <c r="S71" i="1" s="1"/>
  <c r="Q64" i="1"/>
  <c r="S64" i="1"/>
  <c r="L50" i="6"/>
  <c r="J50" i="6"/>
  <c r="H53" i="6"/>
  <c r="T64" i="1"/>
  <c r="L71" i="1"/>
  <c r="L78" i="1" s="1"/>
  <c r="I72" i="1"/>
  <c r="P72" i="1" s="1"/>
  <c r="C53" i="6"/>
  <c r="E50" i="6"/>
  <c r="G50" i="6"/>
  <c r="T62" i="1"/>
  <c r="L69" i="1"/>
  <c r="L76" i="1" s="1"/>
  <c r="I70" i="1"/>
  <c r="P70" i="1" s="1"/>
  <c r="E52" i="6"/>
  <c r="G52" i="6"/>
  <c r="J51" i="6"/>
  <c r="L51" i="6"/>
  <c r="L72" i="1"/>
  <c r="T72" i="1" s="1"/>
  <c r="I71" i="1"/>
  <c r="I78" i="1" s="1"/>
  <c r="P64" i="1"/>
  <c r="L70" i="1"/>
  <c r="L77" i="1" s="1"/>
  <c r="I69" i="1"/>
  <c r="I76" i="1" s="1"/>
  <c r="P62" i="1"/>
  <c r="G53" i="6"/>
  <c r="E53" i="6"/>
  <c r="T71" i="1"/>
  <c r="J53" i="6"/>
  <c r="L53" i="6"/>
  <c r="AG4" i="7"/>
  <c r="Z4" i="7"/>
  <c r="AA4" i="7"/>
  <c r="AI4" i="7"/>
  <c r="AD7" i="7"/>
  <c r="X7" i="7"/>
  <c r="AE7" i="7"/>
  <c r="Z7" i="7"/>
  <c r="AF7" i="7"/>
  <c r="AD5" i="7"/>
  <c r="Z5" i="7"/>
  <c r="AF5" i="7"/>
  <c r="X5" i="7"/>
  <c r="AE5" i="7"/>
  <c r="AG5" i="7"/>
  <c r="AA5" i="7"/>
  <c r="AI5" i="7"/>
  <c r="AH5" i="7"/>
  <c r="AD6" i="7"/>
  <c r="X6" i="7"/>
  <c r="AE6" i="7"/>
  <c r="Z6" i="7"/>
  <c r="AF6" i="7"/>
  <c r="AG7" i="7"/>
  <c r="AA7" i="7"/>
  <c r="AI7" i="7"/>
  <c r="AH7" i="7"/>
  <c r="AG6" i="7"/>
  <c r="AA6" i="7"/>
  <c r="AI6" i="7"/>
  <c r="AH6" i="7"/>
  <c r="AD4" i="7"/>
  <c r="AF4" i="7"/>
  <c r="AH4" i="7"/>
  <c r="X4" i="7"/>
  <c r="AE4" i="7"/>
  <c r="Y7" i="7"/>
  <c r="J79" i="7"/>
  <c r="Y6" i="7"/>
  <c r="J67" i="7"/>
  <c r="Y4" i="7"/>
  <c r="Y5" i="7"/>
  <c r="J39" i="7"/>
  <c r="J41" i="7"/>
  <c r="J42" i="7"/>
  <c r="J40" i="7"/>
  <c r="M70" i="1" l="1"/>
  <c r="I77" i="1"/>
  <c r="P77" i="1" s="1"/>
  <c r="O71" i="1"/>
  <c r="M72" i="1"/>
  <c r="J81" i="1"/>
  <c r="J88" i="1" s="1"/>
  <c r="Q88" i="1" s="1"/>
  <c r="F80" i="1"/>
  <c r="O80" i="1" s="1"/>
  <c r="O70" i="1"/>
  <c r="Q70" i="1"/>
  <c r="Q71" i="1"/>
  <c r="I81" i="1"/>
  <c r="I88" i="1" s="1"/>
  <c r="P88" i="1" s="1"/>
  <c r="T69" i="1"/>
  <c r="F79" i="1"/>
  <c r="M79" i="1" s="1"/>
  <c r="M73" i="1"/>
  <c r="T76" i="1"/>
  <c r="L83" i="1"/>
  <c r="T83" i="1" s="1"/>
  <c r="F86" i="1"/>
  <c r="O86" i="1" s="1"/>
  <c r="Q81" i="1"/>
  <c r="Q69" i="1"/>
  <c r="S69" i="1"/>
  <c r="J78" i="1"/>
  <c r="S73" i="1"/>
  <c r="L79" i="1"/>
  <c r="L86" i="1" s="1"/>
  <c r="T86" i="1" s="1"/>
  <c r="T70" i="1"/>
  <c r="I79" i="1"/>
  <c r="F78" i="1"/>
  <c r="O74" i="1"/>
  <c r="T77" i="1"/>
  <c r="L84" i="1"/>
  <c r="T84" i="1" s="1"/>
  <c r="R78" i="1"/>
  <c r="K85" i="1"/>
  <c r="R85" i="1" s="1"/>
  <c r="P78" i="1"/>
  <c r="I85" i="1"/>
  <c r="P85" i="1" s="1"/>
  <c r="R71" i="1"/>
  <c r="P71" i="1"/>
  <c r="O69" i="1"/>
  <c r="L80" i="1"/>
  <c r="T80" i="1" s="1"/>
  <c r="Q72" i="1"/>
  <c r="R75" i="1"/>
  <c r="K76" i="1"/>
  <c r="Q74" i="1"/>
  <c r="F76" i="1"/>
  <c r="J77" i="1"/>
  <c r="Q76" i="1"/>
  <c r="J83" i="1"/>
  <c r="S76" i="1"/>
  <c r="I83" i="1"/>
  <c r="P83" i="1" s="1"/>
  <c r="P76" i="1"/>
  <c r="L85" i="1"/>
  <c r="T85" i="1" s="1"/>
  <c r="T78" i="1"/>
  <c r="S80" i="1"/>
  <c r="J87" i="1"/>
  <c r="Q80" i="1"/>
  <c r="O81" i="1"/>
  <c r="M81" i="1"/>
  <c r="F88" i="1"/>
  <c r="L88" i="1"/>
  <c r="T88" i="1" s="1"/>
  <c r="T81" i="1"/>
  <c r="H89" i="1"/>
  <c r="N89" i="1" s="1"/>
  <c r="N82" i="1"/>
  <c r="K89" i="1"/>
  <c r="R89" i="1" s="1"/>
  <c r="R82" i="1"/>
  <c r="P69" i="1"/>
  <c r="F84" i="1"/>
  <c r="T74" i="1"/>
  <c r="I80" i="1"/>
  <c r="M74" i="1"/>
  <c r="Q73" i="1"/>
  <c r="K81" i="1"/>
  <c r="M77" i="1"/>
  <c r="N75" i="1"/>
  <c r="F87" i="1"/>
  <c r="J79" i="1"/>
  <c r="P81" i="1" l="1"/>
  <c r="S88" i="1"/>
  <c r="S81" i="1"/>
  <c r="M80" i="1"/>
  <c r="M86" i="1"/>
  <c r="I84" i="1"/>
  <c r="P84" i="1" s="1"/>
  <c r="L87" i="1"/>
  <c r="T87" i="1" s="1"/>
  <c r="O79" i="1"/>
  <c r="T79" i="1"/>
  <c r="P79" i="1"/>
  <c r="I86" i="1"/>
  <c r="P86" i="1" s="1"/>
  <c r="J85" i="1"/>
  <c r="Q78" i="1"/>
  <c r="S78" i="1"/>
  <c r="O78" i="1"/>
  <c r="M78" i="1"/>
  <c r="F85" i="1"/>
  <c r="O76" i="1"/>
  <c r="M76" i="1"/>
  <c r="K83" i="1"/>
  <c r="R83" i="1" s="1"/>
  <c r="R76" i="1"/>
  <c r="F83" i="1"/>
  <c r="M83" i="1" s="1"/>
  <c r="Q77" i="1"/>
  <c r="S77" i="1"/>
  <c r="J84" i="1"/>
  <c r="R81" i="1"/>
  <c r="K88" i="1"/>
  <c r="R88" i="1" s="1"/>
  <c r="M84" i="1"/>
  <c r="O84" i="1"/>
  <c r="M88" i="1"/>
  <c r="O88" i="1"/>
  <c r="Q87" i="1"/>
  <c r="S87" i="1"/>
  <c r="S79" i="1"/>
  <c r="J86" i="1"/>
  <c r="Q79" i="1"/>
  <c r="M87" i="1"/>
  <c r="O87" i="1"/>
  <c r="P80" i="1"/>
  <c r="I87" i="1"/>
  <c r="P87" i="1" s="1"/>
  <c r="Q83" i="1"/>
  <c r="S83" i="1"/>
  <c r="O85" i="1" l="1"/>
  <c r="M85" i="1"/>
  <c r="Q85" i="1"/>
  <c r="S85" i="1"/>
  <c r="S84" i="1"/>
  <c r="Q84" i="1"/>
  <c r="O83" i="1"/>
  <c r="S86" i="1"/>
  <c r="Q86" i="1"/>
</calcChain>
</file>

<file path=xl/sharedStrings.xml><?xml version="1.0" encoding="utf-8"?>
<sst xmlns="http://schemas.openxmlformats.org/spreadsheetml/2006/main" count="913" uniqueCount="241">
  <si>
    <t>Product Type</t>
  </si>
  <si>
    <t>Size</t>
  </si>
  <si>
    <t>Voltage (V)</t>
  </si>
  <si>
    <t>Minimum Combined Energy Factor (lbs/kWh)</t>
  </si>
  <si>
    <t>Any</t>
  </si>
  <si>
    <t>Ventless or Vented Electric</t>
  </si>
  <si>
    <t>Standard*</t>
  </si>
  <si>
    <t>Compact**</t>
  </si>
  <si>
    <t>Vented Electric</t>
  </si>
  <si>
    <t>Ventless Electric</t>
  </si>
  <si>
    <t>Conventional Clothes Dryers</t>
  </si>
  <si>
    <t>* Standard is 4.4 cu-ft or greater</t>
  </si>
  <si>
    <t>** Compact is less than 4.4 cu-ft</t>
  </si>
  <si>
    <t>where</t>
  </si>
  <si>
    <t xml:space="preserve">pounds of laundry dried per cycle = </t>
  </si>
  <si>
    <t>UEC (kWh/yr)</t>
  </si>
  <si>
    <t>unit energy consumption in kWh</t>
  </si>
  <si>
    <t xml:space="preserve">CEF = </t>
  </si>
  <si>
    <t>combined energy factor</t>
  </si>
  <si>
    <t>Energy Savings</t>
  </si>
  <si>
    <t>Non-Qualified UEC (kWh/yr)</t>
  </si>
  <si>
    <t>UES (kWh/yr)</t>
  </si>
  <si>
    <t>Conventional Clothes Dryers - Converted to D2 Protocol Equivalents</t>
  </si>
  <si>
    <t>Energy Savings with Interactive Effects</t>
  </si>
  <si>
    <t>UEC =</t>
  </si>
  <si>
    <t>Hours of Operation</t>
  </si>
  <si>
    <t>Active</t>
  </si>
  <si>
    <t>Idle</t>
  </si>
  <si>
    <t>Sleep</t>
  </si>
  <si>
    <t>Total</t>
  </si>
  <si>
    <t>Off</t>
  </si>
  <si>
    <t>Power Consumption (W)</t>
  </si>
  <si>
    <t>HOU Assumptions</t>
  </si>
  <si>
    <t>Base Case UEC</t>
  </si>
  <si>
    <t xml:space="preserve"> (kWh/yr)</t>
  </si>
  <si>
    <t>ENERGY STAR UEC</t>
  </si>
  <si>
    <t>Base Case Power Draw Assumptions</t>
  </si>
  <si>
    <t>ENERGY STAR Power Draw Assumptions</t>
  </si>
  <si>
    <t xml:space="preserve"> (therms/yr)</t>
  </si>
  <si>
    <t>(kWh/yr.)</t>
  </si>
  <si>
    <t>ENERGY STAR +50% Power Draw Assumptions</t>
  </si>
  <si>
    <t>ENERGY STAR +50% UEC</t>
  </si>
  <si>
    <t>Vented Gas</t>
  </si>
  <si>
    <t>UES (therms/yr)</t>
  </si>
  <si>
    <t>per year according to the DOE TSD</t>
  </si>
  <si>
    <r>
      <t>cycles</t>
    </r>
    <r>
      <rPr>
        <vertAlign val="subscript"/>
        <sz val="12"/>
        <color theme="1"/>
        <rFont val="Calibri"/>
        <family val="2"/>
        <scheme val="minor"/>
      </rPr>
      <t>gas</t>
    </r>
    <r>
      <rPr>
        <sz val="12"/>
        <color theme="1"/>
        <rFont val="Calibri"/>
        <family val="2"/>
        <scheme val="minor"/>
      </rPr>
      <t xml:space="preserve"> = </t>
    </r>
  </si>
  <si>
    <t>NA</t>
  </si>
  <si>
    <t xml:space="preserve">UES = </t>
  </si>
  <si>
    <t>unit energy savings in kWh/year</t>
  </si>
  <si>
    <r>
      <t>C</t>
    </r>
    <r>
      <rPr>
        <vertAlign val="subscript"/>
        <sz val="12"/>
        <color theme="1"/>
        <rFont val="Calibri"/>
        <family val="2"/>
        <scheme val="minor"/>
      </rPr>
      <t>standard</t>
    </r>
    <r>
      <rPr>
        <sz val="12"/>
        <color theme="1"/>
        <rFont val="Calibri"/>
        <family val="2"/>
        <scheme val="minor"/>
      </rPr>
      <t xml:space="preserve"> = </t>
    </r>
  </si>
  <si>
    <r>
      <t>C</t>
    </r>
    <r>
      <rPr>
        <vertAlign val="subscript"/>
        <sz val="12"/>
        <color theme="1"/>
        <rFont val="Calibri"/>
        <family val="2"/>
        <scheme val="minor"/>
      </rPr>
      <t>compact</t>
    </r>
    <r>
      <rPr>
        <sz val="12"/>
        <color theme="1"/>
        <rFont val="Calibri"/>
        <family val="2"/>
        <scheme val="minor"/>
      </rPr>
      <t xml:space="preserve"> = </t>
    </r>
  </si>
  <si>
    <t xml:space="preserve">CDF = </t>
  </si>
  <si>
    <t>Lighting Measures Energy Impacts and HVAC Interactive Effects</t>
  </si>
  <si>
    <t>based on DEER2011 and DEER2014 READI output for the normalized lighting measures impacts</t>
  </si>
  <si>
    <t>IOU: PGE, SCE, SDGE</t>
  </si>
  <si>
    <t>Building Vintage: Existing</t>
  </si>
  <si>
    <t>Occupancy Sensor Scenario: No OS</t>
  </si>
  <si>
    <t>Climate Zone: IOU Territory</t>
  </si>
  <si>
    <t>Lighting Type: CFL</t>
  </si>
  <si>
    <t>DEER Version: 2014</t>
  </si>
  <si>
    <t>Building Type: Res</t>
  </si>
  <si>
    <t>HVAC Interactive Effects Factors</t>
  </si>
  <si>
    <t>kWh/kWh</t>
  </si>
  <si>
    <t>kW/kW</t>
  </si>
  <si>
    <t>therm/kWh</t>
  </si>
  <si>
    <t>PG&amp;E</t>
  </si>
  <si>
    <t>SCE</t>
  </si>
  <si>
    <t>SCG</t>
  </si>
  <si>
    <t>SDG&amp;E</t>
  </si>
  <si>
    <t>Utility</t>
  </si>
  <si>
    <t>PGE</t>
  </si>
  <si>
    <t>SDGE</t>
  </si>
  <si>
    <t>Without Interactive Effects</t>
  </si>
  <si>
    <t>Gas increase (therms/yr)</t>
  </si>
  <si>
    <t>With Interactive Effects</t>
  </si>
  <si>
    <t>UES</t>
  </si>
  <si>
    <t>kWh/year</t>
  </si>
  <si>
    <t>kW/year</t>
  </si>
  <si>
    <t>Clothes Dryer Calculations</t>
  </si>
  <si>
    <t>Air Cleaner Calculations</t>
  </si>
  <si>
    <t>Efficiency (CADR/W)</t>
  </si>
  <si>
    <t>Idle Power Draw (W)</t>
  </si>
  <si>
    <t>Active Power Draw (W)</t>
  </si>
  <si>
    <t>(W)</t>
  </si>
  <si>
    <t>Room Air Conditioner Calculations</t>
  </si>
  <si>
    <t>Product Class</t>
  </si>
  <si>
    <t>Louvered Sides?</t>
  </si>
  <si>
    <t>Yes</t>
  </si>
  <si>
    <t>Size Bin (Btu/h)</t>
  </si>
  <si>
    <t>Room Air Conditioner</t>
  </si>
  <si>
    <t>8000 - 13999</t>
  </si>
  <si>
    <t>(kW/year)</t>
  </si>
  <si>
    <t>Savings</t>
  </si>
  <si>
    <t>Size Bin (CADR)</t>
  </si>
  <si>
    <t>Sales-weighted average size (CADR)</t>
  </si>
  <si>
    <t>&lt; 100</t>
  </si>
  <si>
    <t>100 - 150</t>
  </si>
  <si>
    <t>&gt; 150</t>
  </si>
  <si>
    <t>Electric Vented</t>
  </si>
  <si>
    <t>DOE</t>
  </si>
  <si>
    <t>PNNL</t>
  </si>
  <si>
    <t>ORNL</t>
  </si>
  <si>
    <t>Source</t>
  </si>
  <si>
    <t>Appendix D1 CEF (lbs/kWh)</t>
  </si>
  <si>
    <t>Appendix D2 CEF (lbs/kWh)</t>
  </si>
  <si>
    <t>D1 vs. D2 Test Protocol Data</t>
  </si>
  <si>
    <t>Electric Ventless</t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</si>
  <si>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Standard Electric</t>
    </r>
    <r>
      <rPr>
        <sz val="12"/>
        <color theme="1"/>
        <rFont val="Calibri"/>
        <family val="2"/>
        <scheme val="minor"/>
      </rPr>
      <t xml:space="preserve"> =</t>
    </r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</si>
  <si>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Compact Electric</t>
    </r>
    <r>
      <rPr>
        <sz val="12"/>
        <color theme="1"/>
        <rFont val="Calibri"/>
        <family val="2"/>
        <scheme val="minor"/>
      </rPr>
      <t xml:space="preserve"> =</t>
    </r>
  </si>
  <si>
    <t>AVG</t>
  </si>
  <si>
    <r>
      <t>D2/D1 conversion</t>
    </r>
    <r>
      <rPr>
        <vertAlign val="subscript"/>
        <sz val="12"/>
        <color theme="1"/>
        <rFont val="Calibri"/>
        <family val="2"/>
        <scheme val="minor"/>
      </rPr>
      <t>Gas</t>
    </r>
    <r>
      <rPr>
        <sz val="12"/>
        <color theme="1"/>
        <rFont val="Calibri"/>
        <family val="2"/>
        <scheme val="minor"/>
      </rPr>
      <t xml:space="preserve"> =</t>
    </r>
  </si>
  <si>
    <t>--</t>
  </si>
  <si>
    <t>Soundbar Calculations</t>
  </si>
  <si>
    <r>
      <t>cycles</t>
    </r>
    <r>
      <rPr>
        <vertAlign val="subscript"/>
        <sz val="12"/>
        <color theme="1"/>
        <rFont val="Calibri"/>
        <family val="2"/>
        <scheme val="minor"/>
      </rPr>
      <t>electric standard</t>
    </r>
    <r>
      <rPr>
        <sz val="12"/>
        <color theme="1"/>
        <rFont val="Calibri"/>
        <family val="2"/>
        <scheme val="minor"/>
      </rPr>
      <t xml:space="preserve"> = </t>
    </r>
  </si>
  <si>
    <r>
      <t>cycles</t>
    </r>
    <r>
      <rPr>
        <vertAlign val="subscript"/>
        <sz val="12"/>
        <color theme="1"/>
        <rFont val="Calibri"/>
        <family val="2"/>
        <scheme val="minor"/>
      </rPr>
      <t>electric compact</t>
    </r>
    <r>
      <rPr>
        <sz val="12"/>
        <color theme="1"/>
        <rFont val="Calibri"/>
        <family val="2"/>
        <scheme val="minor"/>
      </rPr>
      <t xml:space="preserve"> = </t>
    </r>
  </si>
  <si>
    <t>Equations for Maximum Energy Use (kWh/yr)</t>
  </si>
  <si>
    <t>Based on AV (cu. ft.)</t>
  </si>
  <si>
    <t>8. Upright freezers with manual defrost.</t>
  </si>
  <si>
    <t>5.57AV + 193.7</t>
  </si>
  <si>
    <t xml:space="preserve">9. Upright freezers with automatic defrost without an automatic icemaker. </t>
  </si>
  <si>
    <t>8.62AV + 228.3</t>
  </si>
  <si>
    <t xml:space="preserve">9I. Upright freezers with automatic defrost with an automatic icemaker. </t>
  </si>
  <si>
    <t>8.62AV + 312.3</t>
  </si>
  <si>
    <t>9-BI. Built-In Upright freezers with automatic defrost without an automatic icemaker.</t>
  </si>
  <si>
    <t>9.86AV + 260.9</t>
  </si>
  <si>
    <t>9I-BI. Built-in upright freezers with automatic defrost with an automatic icemaker.</t>
  </si>
  <si>
    <t>9.86AV + 344.9</t>
  </si>
  <si>
    <t>10. Chest freezers and all other freezers except compact freezers.</t>
  </si>
  <si>
    <t>7.29AV + 107.8</t>
  </si>
  <si>
    <t>10A. Chest freezers with automatic defrost.</t>
  </si>
  <si>
    <t>10.24AV + 148.1</t>
  </si>
  <si>
    <t>Freezer Calculations</t>
  </si>
  <si>
    <t>Average Sizes Based on ENERGY STAR QPL</t>
  </si>
  <si>
    <t xml:space="preserve">5.01AV + 174.3 </t>
  </si>
  <si>
    <t xml:space="preserve">7.76AV + 205.5 </t>
  </si>
  <si>
    <t xml:space="preserve">7.76AV + 289.5 </t>
  </si>
  <si>
    <t xml:space="preserve">8.87AV + 234.8 </t>
  </si>
  <si>
    <t xml:space="preserve">8.87AV + 318.8 </t>
  </si>
  <si>
    <t xml:space="preserve">6.56AV + 97.0 </t>
  </si>
  <si>
    <t xml:space="preserve">9.22AV + 133.3 </t>
  </si>
  <si>
    <t>AV (cu. ft.)</t>
  </si>
  <si>
    <t>No qualifying models</t>
  </si>
  <si>
    <t>(kWh/year)</t>
  </si>
  <si>
    <t>13 - 16</t>
  </si>
  <si>
    <t>&lt; 13</t>
  </si>
  <si>
    <t>&gt; 16</t>
  </si>
  <si>
    <t>UEC for Average Size on QPL (kWh/year)</t>
  </si>
  <si>
    <t>UEC for Representative Size (kWh/year)</t>
  </si>
  <si>
    <t>Difference from DEER</t>
  </si>
  <si>
    <t>UESs</t>
  </si>
  <si>
    <t>ENERGY STAR + 50%</t>
  </si>
  <si>
    <t xml:space="preserve"> kWh/yr</t>
  </si>
  <si>
    <t xml:space="preserve"> therms/yr</t>
  </si>
  <si>
    <t>UEC by Mode</t>
  </si>
  <si>
    <t>ENERGY STAR UES</t>
  </si>
  <si>
    <t>ENERGY STAR +10% UES</t>
  </si>
  <si>
    <t>UEC for Average Size on QPL 
(kWh/year)</t>
  </si>
  <si>
    <t>Base Case (Federal Standard Maximum)</t>
  </si>
  <si>
    <t>Basic Tier Measure Case (ENERGY STAR Maximum)</t>
  </si>
  <si>
    <t xml:space="preserve">4.76AV + 165.6 </t>
  </si>
  <si>
    <t>7.37AV + 195.2</t>
  </si>
  <si>
    <t>Advanced Tier Measure Case (ENERGY STAR Maximum -5%)</t>
  </si>
  <si>
    <t xml:space="preserve">6.23AV + 92.2 </t>
  </si>
  <si>
    <t xml:space="preserve">8.76AV + 126.6 </t>
  </si>
  <si>
    <t xml:space="preserve">Basic Tier UES for Average Size on QPL   </t>
  </si>
  <si>
    <t xml:space="preserve">Basic Tier UES for Representative Size  </t>
  </si>
  <si>
    <t xml:space="preserve">Advanced Tier UES for Representative Size  </t>
  </si>
  <si>
    <t>ENERGY STAR + 30% Power Draw Assumptions</t>
  </si>
  <si>
    <t>ENERGY STAR +30% UEC</t>
  </si>
  <si>
    <t>Basic Tier (ENERGY STAR)</t>
  </si>
  <si>
    <t>Advanced Tier (ENERGY STAR +30%)</t>
  </si>
  <si>
    <t>Bin Representative Size from DEER 
(AV in cu. ft.)</t>
  </si>
  <si>
    <t>(therm/year)</t>
  </si>
  <si>
    <t xml:space="preserve">Basic Tier UES from DEER </t>
  </si>
  <si>
    <t xml:space="preserve">Advanced Tier UES Scaled from DEER </t>
  </si>
  <si>
    <t>(cu. ft.)</t>
  </si>
  <si>
    <t xml:space="preserve">Size Bin </t>
  </si>
  <si>
    <t>(kW)</t>
  </si>
  <si>
    <t>ENERGY STAR +15% Power Draw Assumptions</t>
  </si>
  <si>
    <t>ENERGY STAR +15% UEC</t>
  </si>
  <si>
    <t>ENERGY STAR + 15%</t>
  </si>
  <si>
    <t>ENERGY STAR</t>
  </si>
  <si>
    <t>ENERGY STAR +75% Power Draw Assumptions</t>
  </si>
  <si>
    <t>ENERGY STAR +75% UEC</t>
  </si>
  <si>
    <t>ENERGY STAR + 75%</t>
  </si>
  <si>
    <t>kW</t>
  </si>
  <si>
    <t>Basic Tier UEC (kWh/yr)</t>
  </si>
  <si>
    <t>Basic Tier UES (kWh/yr)</t>
  </si>
  <si>
    <t xml:space="preserve">Basic Tier kW reduction </t>
  </si>
  <si>
    <t>Basic Tier (ENERGY STAR) Clothes Dryers</t>
  </si>
  <si>
    <t>Advanced Tier (ENERGY STAR Emerging Technology Award) Clothes Dryers</t>
  </si>
  <si>
    <t>Advanced Tier UEC (kWh/yr)</t>
  </si>
  <si>
    <t>Advanced Tier UES (kWh/yr)</t>
  </si>
  <si>
    <t>Basic Tier UES (therms/yr)</t>
  </si>
  <si>
    <t>Advanced Tier UES (therms/yr)</t>
  </si>
  <si>
    <t>Basic Tier</t>
  </si>
  <si>
    <t>Advanced Tier</t>
  </si>
  <si>
    <t xml:space="preserve">kW reduction </t>
  </si>
  <si>
    <t>kW reduction</t>
  </si>
  <si>
    <t xml:space="preserve">Advanced Tier kW reduction </t>
  </si>
  <si>
    <t>Climate Zone</t>
  </si>
  <si>
    <t>Sources</t>
  </si>
  <si>
    <t>Estimated Annual Energy Savings (kWh/unit)</t>
  </si>
  <si>
    <t>Estimated Energy Peak Demand Reduction (kW/unit)</t>
  </si>
  <si>
    <t>Residential Retrofit HIM evaluation Report</t>
  </si>
  <si>
    <t>RASS EUC scaling factor</t>
  </si>
  <si>
    <t>Savings Values from SCE Workpaper</t>
  </si>
  <si>
    <t>Weight</t>
  </si>
  <si>
    <t>Weighted Savings Values for Basic Tier (ENERGY STAR)</t>
  </si>
  <si>
    <t>Savings Values Using Engineering Algorithm &amp; Split AC EFLH</t>
  </si>
  <si>
    <t>% Difference</t>
  </si>
  <si>
    <t>% Higher Than Basic Tier</t>
  </si>
  <si>
    <r>
      <t>EER</t>
    </r>
    <r>
      <rPr>
        <vertAlign val="subscript"/>
        <sz val="12"/>
        <color theme="1"/>
        <rFont val="Calibri (Body)"/>
      </rPr>
      <t xml:space="preserve">ENERGY STAR </t>
    </r>
    <r>
      <rPr>
        <sz val="12"/>
        <color theme="1"/>
        <rFont val="Calibri"/>
        <family val="2"/>
        <scheme val="minor"/>
      </rPr>
      <t xml:space="preserve">= </t>
    </r>
  </si>
  <si>
    <r>
      <t>EER</t>
    </r>
    <r>
      <rPr>
        <vertAlign val="subscript"/>
        <sz val="12"/>
        <color theme="1"/>
        <rFont val="Calibri (Body)"/>
      </rPr>
      <t>Baseline</t>
    </r>
    <r>
      <rPr>
        <sz val="12"/>
        <color theme="1"/>
        <rFont val="Calibri"/>
        <family val="2"/>
        <scheme val="minor"/>
      </rPr>
      <t xml:space="preserve"> = </t>
    </r>
  </si>
  <si>
    <t xml:space="preserve">Cap = </t>
  </si>
  <si>
    <t>Btu/h</t>
  </si>
  <si>
    <t>SCE Workpaper Assumptions</t>
  </si>
  <si>
    <t>CEER (Btu/Wh)</t>
  </si>
  <si>
    <t xml:space="preserve">DEER Climate Zone Weights </t>
  </si>
  <si>
    <t>DEER Full Load Cooling Hours for Split Acs</t>
  </si>
  <si>
    <t>DEER kW/kWh</t>
  </si>
  <si>
    <t>Savings using DEER Split AC FLHc</t>
  </si>
  <si>
    <t>Estimated Peak Demand Reduction (kW/unit)</t>
  </si>
  <si>
    <t>coincident demand factor for clothes dryers from Building America Analysis spreadsheet</t>
  </si>
  <si>
    <t>ENERGY STAR Qualifying Criteria</t>
  </si>
  <si>
    <t>ENERGY STAR +10% Qualifying Criteria</t>
  </si>
  <si>
    <t>Base Case (Federal minimum)</t>
  </si>
  <si>
    <t>RMC of clothes prior to drying prescribed by DOE appendix D2 test procedure</t>
  </si>
  <si>
    <t>RMC of clothes washed in ENERGY STAR compliant clothes washers, per 2012 DOE Clothes Washers TSD</t>
  </si>
  <si>
    <t>final moisture content of dryer load per the DOE appendix D2 test procedure</t>
  </si>
  <si>
    <t>from DEER</t>
  </si>
  <si>
    <r>
      <t>RMC</t>
    </r>
    <r>
      <rPr>
        <vertAlign val="subscript"/>
        <sz val="12"/>
        <color theme="1"/>
        <rFont val="Calibri (Body)"/>
      </rPr>
      <t>red</t>
    </r>
    <r>
      <rPr>
        <sz val="12"/>
        <color theme="1"/>
        <rFont val="Calibri"/>
        <family val="2"/>
        <scheme val="minor"/>
      </rPr>
      <t xml:space="preserve"> = </t>
    </r>
  </si>
  <si>
    <t>a factor accounting for the lower remaining moisture content (RMC) of clothes washed in ENERGY STAR washers</t>
  </si>
  <si>
    <r>
      <t>RMC</t>
    </r>
    <r>
      <rPr>
        <vertAlign val="subscript"/>
        <sz val="12"/>
        <color theme="1"/>
        <rFont val="Calibri (Body)"/>
      </rPr>
      <t>w,D2</t>
    </r>
    <r>
      <rPr>
        <sz val="12"/>
        <color theme="1"/>
        <rFont val="Calibri"/>
        <family val="2"/>
        <scheme val="minor"/>
      </rPr>
      <t xml:space="preserve"> = </t>
    </r>
  </si>
  <si>
    <r>
      <t>RMC</t>
    </r>
    <r>
      <rPr>
        <vertAlign val="subscript"/>
        <sz val="12"/>
        <color theme="1"/>
        <rFont val="Calibri (Body)"/>
      </rPr>
      <t>w,ENERGY STAR</t>
    </r>
    <r>
      <rPr>
        <sz val="12"/>
        <color theme="1"/>
        <rFont val="Calibri"/>
        <family val="2"/>
        <scheme val="minor"/>
      </rPr>
      <t xml:space="preserve"> = </t>
    </r>
  </si>
  <si>
    <r>
      <t>RMC</t>
    </r>
    <r>
      <rPr>
        <vertAlign val="subscript"/>
        <sz val="12"/>
        <color theme="1"/>
        <rFont val="Calibri (Body)"/>
      </rPr>
      <t>d,D2</t>
    </r>
    <r>
      <rPr>
        <sz val="12"/>
        <color theme="1"/>
        <rFont val="Calibri"/>
        <family val="2"/>
        <scheme val="minor"/>
      </rPr>
      <t xml:space="preserve"> = </t>
    </r>
  </si>
  <si>
    <t xml:space="preserve">Vented electric dryer internal heat gain fraction = </t>
  </si>
  <si>
    <t xml:space="preserve">Unit Type = </t>
  </si>
  <si>
    <t>room air conditioner with louvered sides</t>
  </si>
  <si>
    <t>Size (Btu/h)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</si>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</sst>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0"/>
    <numFmt numFmtId="166" formatCode="0.0000"/>
    <numFmt numFmtId="167" formatCode="0.000"/>
    <numFmt numFmtId="168" formatCode="0.0%"/>
  </numFmts>
  <fonts count="2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000000"/>
      <name val="Helv"/>
    </font>
    <font>
      <sz val="9"/>
      <color rgb="FF000000"/>
      <name val="Helv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indexed="23"/>
      <name val="Calibri"/>
      <family val="2"/>
    </font>
    <font>
      <sz val="11"/>
      <name val="Calibri"/>
      <family val="2"/>
    </font>
    <font>
      <sz val="9"/>
      <color rgb="FF000000"/>
      <name val="Helvetica"/>
    </font>
    <font>
      <sz val="9"/>
      <name val="Helv"/>
    </font>
    <font>
      <sz val="12"/>
      <name val="Calibri"/>
      <family val="2"/>
      <scheme val="minor"/>
    </font>
    <font>
      <b/>
      <sz val="9"/>
      <color rgb="FF000000"/>
      <name val="Helvetica"/>
    </font>
    <font>
      <b/>
      <sz val="9"/>
      <name val="Helvetica"/>
    </font>
    <font>
      <b/>
      <sz val="10"/>
      <color theme="1"/>
      <name val="Arial"/>
      <family val="2"/>
    </font>
    <font>
      <vertAlign val="subscript"/>
      <sz val="12"/>
      <color theme="1"/>
      <name val="Calibri (Body)"/>
    </font>
    <font>
      <sz val="9"/>
      <color theme="1"/>
      <name val="Helvetica"/>
    </font>
    <font>
      <sz val="8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4E5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9F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9F9F8"/>
        <bgColor rgb="FF000000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/>
      <bottom/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  <border>
      <left style="medium">
        <color rgb="FFD9D9D9"/>
      </left>
      <right/>
      <top style="medium">
        <color rgb="FFD9D9D9"/>
      </top>
      <bottom/>
      <diagonal/>
    </border>
    <border>
      <left/>
      <right/>
      <top/>
      <bottom style="medium">
        <color rgb="FFD9D9D9"/>
      </bottom>
      <diagonal/>
    </border>
    <border>
      <left/>
      <right/>
      <top style="medium">
        <color rgb="FFD9D9D9"/>
      </top>
      <bottom/>
      <diagonal/>
    </border>
    <border>
      <left/>
      <right/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/>
      <bottom/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D9D9D9"/>
      </left>
      <right/>
      <top/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/>
      <diagonal/>
    </border>
    <border>
      <left style="medium">
        <color rgb="FFD9D9D9"/>
      </left>
      <right/>
      <top style="medium">
        <color auto="1"/>
      </top>
      <bottom style="medium">
        <color rgb="FFD9D9D9"/>
      </bottom>
      <diagonal/>
    </border>
    <border>
      <left/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rgb="FFD9D9D9"/>
      </left>
      <right style="medium">
        <color auto="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/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 style="medium">
        <color auto="1"/>
      </bottom>
      <diagonal/>
    </border>
    <border>
      <left style="medium">
        <color rgb="FFD9D9D9"/>
      </left>
      <right/>
      <top style="medium">
        <color rgb="FFD9D9D9"/>
      </top>
      <bottom style="medium">
        <color auto="1"/>
      </bottom>
      <diagonal/>
    </border>
    <border>
      <left/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D9D9D9"/>
      </left>
      <right/>
      <top/>
      <bottom style="medium">
        <color auto="1"/>
      </bottom>
      <diagonal/>
    </border>
    <border>
      <left/>
      <right style="medium">
        <color rgb="FFD9D9D9"/>
      </right>
      <top/>
      <bottom style="medium">
        <color auto="1"/>
      </bottom>
      <diagonal/>
    </border>
    <border>
      <left style="medium">
        <color rgb="FFD9D9D9"/>
      </left>
      <right style="medium">
        <color rgb="FFD9D9D9"/>
      </right>
      <top/>
      <bottom style="medium">
        <color auto="1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 style="medium">
        <color auto="1"/>
      </bottom>
      <diagonal/>
    </border>
    <border>
      <left style="medium">
        <color rgb="FFD9D9D9"/>
      </left>
      <right/>
      <top style="medium">
        <color auto="1"/>
      </top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D9D9D9"/>
      </left>
      <right style="thin">
        <color rgb="FFD9D9D9"/>
      </right>
      <top style="medium">
        <color auto="1"/>
      </top>
      <bottom style="medium">
        <color auto="1"/>
      </bottom>
      <diagonal/>
    </border>
    <border>
      <left style="thin">
        <color rgb="FFD9D9D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rgb="FFD9D9D9"/>
      </top>
      <bottom style="medium">
        <color auto="1"/>
      </bottom>
      <diagonal/>
    </border>
    <border>
      <left style="thin">
        <color rgb="FFD9D9D9"/>
      </left>
      <right/>
      <top style="medium">
        <color auto="1"/>
      </top>
      <bottom style="medium">
        <color auto="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 style="medium">
        <color auto="1"/>
      </bottom>
      <diagonal/>
    </border>
    <border>
      <left style="medium">
        <color auto="1"/>
      </left>
      <right style="thin">
        <color rgb="FFD9D9D9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rgb="FFD9D9D9"/>
      </bottom>
      <diagonal/>
    </border>
    <border>
      <left/>
      <right style="medium">
        <color auto="1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theme="1"/>
      </bottom>
      <diagonal/>
    </border>
    <border>
      <left style="medium">
        <color rgb="FFD9D9D9"/>
      </left>
      <right style="medium">
        <color auto="1"/>
      </right>
      <top/>
      <bottom style="medium">
        <color rgb="FFD9D9D9"/>
      </bottom>
      <diagonal/>
    </border>
    <border>
      <left style="medium">
        <color rgb="FFD9D9D9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rgb="FFD9D9D9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/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 style="medium">
        <color auto="1"/>
      </top>
      <bottom style="medium">
        <color rgb="FFD9D9D9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/>
      <bottom style="medium">
        <color rgb="FFD9D9D9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rgb="FFD9D9D9"/>
      </bottom>
      <diagonal/>
    </border>
    <border>
      <left style="medium">
        <color auto="1"/>
      </left>
      <right style="medium">
        <color theme="0" tint="-0.24994659260841701"/>
      </right>
      <top/>
      <bottom style="medium">
        <color auto="1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auto="1"/>
      </bottom>
      <diagonal/>
    </border>
    <border>
      <left style="medium">
        <color rgb="FFD9D9D9"/>
      </left>
      <right style="medium">
        <color auto="1"/>
      </right>
      <top style="medium">
        <color rgb="FFD9D9D9"/>
      </top>
      <bottom style="medium">
        <color theme="1"/>
      </bottom>
      <diagonal/>
    </border>
    <border>
      <left/>
      <right style="medium">
        <color auto="1"/>
      </right>
      <top/>
      <bottom/>
      <diagonal/>
    </border>
    <border>
      <left style="medium">
        <color rgb="FFD9D9D9"/>
      </left>
      <right style="medium">
        <color rgb="FFD9D9D9"/>
      </right>
      <top style="medium">
        <color theme="1"/>
      </top>
      <bottom style="medium">
        <color rgb="FFD9D9D9"/>
      </bottom>
      <diagonal/>
    </border>
    <border>
      <left/>
      <right/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theme="0" tint="-0.14996795556505021"/>
      </top>
      <bottom style="medium">
        <color rgb="FFD9D9D9"/>
      </bottom>
      <diagonal/>
    </border>
    <border>
      <left style="medium">
        <color auto="1"/>
      </left>
      <right/>
      <top style="medium">
        <color rgb="FFD9D9D9"/>
      </top>
      <bottom/>
      <diagonal/>
    </border>
    <border>
      <left style="medium">
        <color auto="1"/>
      </left>
      <right/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theme="1"/>
      </bottom>
      <diagonal/>
    </border>
    <border>
      <left style="medium">
        <color auto="1"/>
      </left>
      <right/>
      <top style="medium">
        <color theme="1"/>
      </top>
      <bottom style="medium">
        <color rgb="FFD9D9D9"/>
      </bottom>
      <diagonal/>
    </border>
    <border>
      <left style="medium">
        <color rgb="FFD9D9D9"/>
      </left>
      <right style="medium">
        <color auto="1"/>
      </right>
      <top style="medium">
        <color theme="1"/>
      </top>
      <bottom style="medium">
        <color rgb="FFD9D9D9"/>
      </bottom>
      <diagonal/>
    </border>
    <border>
      <left/>
      <right style="medium">
        <color auto="1"/>
      </right>
      <top style="medium">
        <color auto="1"/>
      </top>
      <bottom style="medium">
        <color rgb="FFD9D9D9"/>
      </bottom>
      <diagonal/>
    </border>
    <border>
      <left style="medium">
        <color auto="1"/>
      </left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auto="1"/>
      </right>
      <top style="medium">
        <color rgb="FFD9D9D9"/>
      </top>
      <bottom/>
      <diagonal/>
    </border>
    <border>
      <left style="medium">
        <color auto="1"/>
      </left>
      <right style="medium">
        <color rgb="FFD9D9D9"/>
      </right>
      <top style="medium">
        <color rgb="FFD9D9D9"/>
      </top>
      <bottom style="medium">
        <color auto="1"/>
      </bottom>
      <diagonal/>
    </border>
    <border>
      <left style="medium">
        <color auto="1"/>
      </left>
      <right style="medium">
        <color theme="0" tint="-0.14996795556505021"/>
      </right>
      <top style="medium">
        <color auto="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auto="1"/>
      </right>
      <top style="medium">
        <color auto="1"/>
      </top>
      <bottom style="medium">
        <color theme="0" tint="-0.14996795556505021"/>
      </bottom>
      <diagonal/>
    </border>
    <border>
      <left style="medium">
        <color auto="1"/>
      </left>
      <right style="medium">
        <color theme="0" tint="-0.14996795556505021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6795556505021"/>
      </left>
      <right style="medium">
        <color auto="1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auto="1"/>
      </top>
      <bottom style="medium">
        <color theme="0" tint="-0.14996795556505021"/>
      </bottom>
      <diagonal/>
    </border>
    <border>
      <left style="medium">
        <color auto="1"/>
      </left>
      <right style="medium">
        <color theme="0" tint="-0.14996795556505021"/>
      </right>
      <top style="medium">
        <color auto="1"/>
      </top>
      <bottom/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auto="1"/>
      </top>
      <bottom/>
      <diagonal/>
    </border>
    <border>
      <left style="medium">
        <color theme="0" tint="-0.1499679555650502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rgb="FFD9D9D9"/>
      </left>
      <right style="medium">
        <color rgb="FFD9D9D9"/>
      </right>
      <top style="medium">
        <color auto="1"/>
      </top>
      <bottom/>
      <diagonal/>
    </border>
    <border>
      <left/>
      <right style="medium">
        <color rgb="FFD9D9D9"/>
      </right>
      <top style="medium">
        <color auto="1"/>
      </top>
      <bottom/>
      <diagonal/>
    </border>
    <border>
      <left style="medium">
        <color theme="0" tint="-0.1499679555650502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rgb="FFD9D9D9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0" tint="-0.14996795556505021"/>
      </left>
      <right style="medium">
        <color rgb="FFD9D9D9"/>
      </right>
      <top style="medium">
        <color auto="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medium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medium">
        <color rgb="FFD9D9D9"/>
      </right>
      <top style="medium">
        <color theme="0" tint="-0.14996795556505021"/>
      </top>
      <bottom style="medium">
        <color auto="1"/>
      </bottom>
      <diagonal/>
    </border>
    <border>
      <left style="medium">
        <color theme="0" tint="-0.14993743705557422"/>
      </left>
      <right style="medium">
        <color auto="1"/>
      </right>
      <top style="medium">
        <color theme="0" tint="-0.14996795556505021"/>
      </top>
      <bottom style="medium">
        <color auto="1"/>
      </bottom>
      <diagonal/>
    </border>
  </borders>
  <cellStyleXfs count="63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0"/>
    <xf numFmtId="0" fontId="13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54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" fontId="4" fillId="4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6" fillId="0" borderId="0" xfId="0" applyFont="1" applyAlignment="1"/>
    <xf numFmtId="0" fontId="3" fillId="5" borderId="2" xfId="0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/>
    </xf>
    <xf numFmtId="3" fontId="4" fillId="4" borderId="8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1" fontId="4" fillId="4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quotePrefix="1"/>
    <xf numFmtId="2" fontId="4" fillId="4" borderId="5" xfId="0" applyNumberFormat="1" applyFont="1" applyFill="1" applyBorder="1" applyAlignment="1">
      <alignment horizontal="center" vertical="center" wrapText="1"/>
    </xf>
    <xf numFmtId="0" fontId="12" fillId="0" borderId="0" xfId="33" applyFont="1"/>
    <xf numFmtId="0" fontId="11" fillId="0" borderId="0" xfId="33"/>
    <xf numFmtId="0" fontId="13" fillId="0" borderId="0" xfId="34" applyAlignment="1">
      <alignment horizontal="left"/>
    </xf>
    <xf numFmtId="0" fontId="14" fillId="0" borderId="0" xfId="34" applyFont="1" applyAlignment="1">
      <alignment horizontal="left"/>
    </xf>
    <xf numFmtId="0" fontId="0" fillId="0" borderId="15" xfId="0" applyBorder="1"/>
    <xf numFmtId="0" fontId="7" fillId="0" borderId="15" xfId="0" applyFont="1" applyBorder="1"/>
    <xf numFmtId="2" fontId="11" fillId="0" borderId="15" xfId="33" applyNumberFormat="1" applyBorder="1" applyAlignment="1">
      <alignment horizontal="center"/>
    </xf>
    <xf numFmtId="0" fontId="4" fillId="3" borderId="6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7" borderId="16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horizontal="center" vertical="center" wrapText="1"/>
    </xf>
    <xf numFmtId="2" fontId="4" fillId="3" borderId="21" xfId="0" applyNumberFormat="1" applyFont="1" applyFill="1" applyBorder="1" applyAlignment="1">
      <alignment horizontal="center" vertical="center" wrapText="1"/>
    </xf>
    <xf numFmtId="2" fontId="4" fillId="4" borderId="23" xfId="0" applyNumberFormat="1" applyFont="1" applyFill="1" applyBorder="1" applyAlignment="1">
      <alignment horizontal="center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vertical="center" wrapText="1"/>
    </xf>
    <xf numFmtId="0" fontId="4" fillId="3" borderId="26" xfId="0" applyFont="1" applyFill="1" applyBorder="1" applyAlignment="1">
      <alignment vertical="center" wrapText="1"/>
    </xf>
    <xf numFmtId="0" fontId="4" fillId="3" borderId="27" xfId="0" applyFont="1" applyFill="1" applyBorder="1" applyAlignment="1">
      <alignment horizontal="center" vertical="center" wrapText="1"/>
    </xf>
    <xf numFmtId="2" fontId="4" fillId="3" borderId="27" xfId="0" applyNumberFormat="1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19" xfId="0" applyFont="1" applyFill="1" applyBorder="1" applyAlignment="1">
      <alignment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vertical="center" wrapText="1"/>
    </xf>
    <xf numFmtId="0" fontId="4" fillId="6" borderId="31" xfId="0" applyFont="1" applyFill="1" applyBorder="1" applyAlignment="1">
      <alignment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3" fillId="0" borderId="0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164" fontId="4" fillId="3" borderId="36" xfId="0" applyNumberFormat="1" applyFont="1" applyFill="1" applyBorder="1" applyAlignment="1">
      <alignment horizontal="center" vertical="center"/>
    </xf>
    <xf numFmtId="164" fontId="4" fillId="3" borderId="37" xfId="0" applyNumberFormat="1" applyFont="1" applyFill="1" applyBorder="1" applyAlignment="1">
      <alignment horizontal="center" vertical="center"/>
    </xf>
    <xf numFmtId="164" fontId="4" fillId="4" borderId="34" xfId="0" applyNumberFormat="1" applyFont="1" applyFill="1" applyBorder="1" applyAlignment="1">
      <alignment horizontal="center" vertical="center"/>
    </xf>
    <xf numFmtId="164" fontId="4" fillId="4" borderId="3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0" fillId="0" borderId="0" xfId="0" applyBorder="1"/>
    <xf numFmtId="166" fontId="15" fillId="3" borderId="8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7" fillId="0" borderId="0" xfId="0" applyFont="1" applyFill="1" applyBorder="1"/>
    <xf numFmtId="0" fontId="4" fillId="0" borderId="18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 wrapText="1"/>
    </xf>
    <xf numFmtId="2" fontId="4" fillId="0" borderId="21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2" fontId="16" fillId="0" borderId="23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4" fillId="0" borderId="25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 wrapText="1"/>
    </xf>
    <xf numFmtId="0" fontId="4" fillId="0" borderId="27" xfId="0" applyFont="1" applyFill="1" applyBorder="1" applyAlignment="1">
      <alignment horizontal="center" vertical="center" wrapText="1"/>
    </xf>
    <xf numFmtId="2" fontId="4" fillId="0" borderId="27" xfId="0" applyNumberFormat="1" applyFont="1" applyFill="1" applyBorder="1" applyAlignment="1">
      <alignment horizontal="center" vertical="center" wrapText="1"/>
    </xf>
    <xf numFmtId="2" fontId="4" fillId="0" borderId="28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0" fillId="0" borderId="0" xfId="0" applyBorder="1" applyAlignment="1"/>
    <xf numFmtId="164" fontId="4" fillId="4" borderId="8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5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2" fontId="18" fillId="4" borderId="2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/>
    <xf numFmtId="2" fontId="18" fillId="4" borderId="2" xfId="0" applyNumberFormat="1" applyFont="1" applyFill="1" applyBorder="1" applyAlignment="1">
      <alignment horizontal="center" vertical="center" wrapText="1"/>
    </xf>
    <xf numFmtId="0" fontId="15" fillId="4" borderId="5" xfId="0" quotePrefix="1" applyFont="1" applyFill="1" applyBorder="1" applyAlignment="1">
      <alignment horizontal="center" vertical="center" wrapText="1"/>
    </xf>
    <xf numFmtId="0" fontId="15" fillId="4" borderId="2" xfId="0" quotePrefix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5" borderId="2" xfId="0" applyFont="1" applyFill="1" applyBorder="1" applyAlignment="1">
      <alignment horizontal="center" vertical="center"/>
    </xf>
    <xf numFmtId="0" fontId="20" fillId="8" borderId="39" xfId="0" applyFont="1" applyFill="1" applyBorder="1" applyAlignment="1">
      <alignment horizontal="center" vertical="center" wrapText="1"/>
    </xf>
    <xf numFmtId="164" fontId="5" fillId="0" borderId="39" xfId="0" applyNumberFormat="1" applyFont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 wrapText="1"/>
    </xf>
    <xf numFmtId="164" fontId="5" fillId="0" borderId="41" xfId="0" applyNumberFormat="1" applyFont="1" applyBorder="1" applyAlignment="1">
      <alignment horizontal="center" vertical="center" wrapText="1"/>
    </xf>
    <xf numFmtId="164" fontId="5" fillId="0" borderId="29" xfId="0" applyNumberFormat="1" applyFont="1" applyBorder="1" applyAlignment="1">
      <alignment horizontal="center" vertical="center" wrapText="1"/>
    </xf>
    <xf numFmtId="0" fontId="0" fillId="0" borderId="39" xfId="0" applyBorder="1"/>
    <xf numFmtId="0" fontId="5" fillId="0" borderId="39" xfId="0" applyFont="1" applyBorder="1" applyAlignment="1">
      <alignment horizontal="center" vertical="center" wrapText="1"/>
    </xf>
    <xf numFmtId="164" fontId="5" fillId="0" borderId="49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50" xfId="0" applyNumberFormat="1" applyFont="1" applyBorder="1" applyAlignment="1">
      <alignment horizontal="center" vertical="center" wrapText="1"/>
    </xf>
    <xf numFmtId="165" fontId="4" fillId="3" borderId="52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9" fontId="0" fillId="0" borderId="0" xfId="555" applyFont="1" applyFill="1" applyBorder="1"/>
    <xf numFmtId="9" fontId="0" fillId="0" borderId="0" xfId="555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3" fillId="2" borderId="5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4" fillId="0" borderId="18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165" fontId="4" fillId="4" borderId="34" xfId="0" applyNumberFormat="1" applyFont="1" applyFill="1" applyBorder="1" applyAlignment="1">
      <alignment horizontal="center" vertical="center"/>
    </xf>
    <xf numFmtId="165" fontId="4" fillId="3" borderId="36" xfId="0" applyNumberFormat="1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/>
    </xf>
    <xf numFmtId="0" fontId="3" fillId="5" borderId="16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 wrapText="1"/>
    </xf>
    <xf numFmtId="0" fontId="0" fillId="0" borderId="39" xfId="0" applyFill="1" applyBorder="1"/>
    <xf numFmtId="164" fontId="5" fillId="0" borderId="54" xfId="0" applyNumberFormat="1" applyFont="1" applyBorder="1" applyAlignment="1">
      <alignment horizontal="center" vertical="center" wrapText="1"/>
    </xf>
    <xf numFmtId="0" fontId="0" fillId="0" borderId="55" xfId="0" applyBorder="1"/>
    <xf numFmtId="9" fontId="5" fillId="0" borderId="41" xfId="555" applyFont="1" applyBorder="1" applyAlignment="1">
      <alignment horizontal="center" vertical="center" wrapText="1"/>
    </xf>
    <xf numFmtId="9" fontId="0" fillId="0" borderId="39" xfId="555" applyFont="1" applyBorder="1"/>
    <xf numFmtId="167" fontId="5" fillId="0" borderId="39" xfId="0" applyNumberFormat="1" applyFont="1" applyBorder="1" applyAlignment="1">
      <alignment horizontal="center" vertical="center" wrapText="1"/>
    </xf>
    <xf numFmtId="167" fontId="0" fillId="0" borderId="39" xfId="0" applyNumberFormat="1" applyBorder="1"/>
    <xf numFmtId="9" fontId="5" fillId="0" borderId="0" xfId="555" applyFont="1" applyBorder="1" applyAlignment="1">
      <alignment horizontal="center" vertical="center" wrapText="1"/>
    </xf>
    <xf numFmtId="9" fontId="0" fillId="0" borderId="0" xfId="555" applyFont="1" applyBorder="1"/>
    <xf numFmtId="167" fontId="5" fillId="0" borderId="54" xfId="0" applyNumberFormat="1" applyFont="1" applyBorder="1" applyAlignment="1">
      <alignment horizontal="center" vertical="center" wrapText="1"/>
    </xf>
    <xf numFmtId="167" fontId="0" fillId="0" borderId="55" xfId="0" applyNumberFormat="1" applyBorder="1"/>
    <xf numFmtId="0" fontId="5" fillId="0" borderId="49" xfId="0" applyFont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0" fillId="0" borderId="59" xfId="0" applyBorder="1"/>
    <xf numFmtId="9" fontId="5" fillId="0" borderId="49" xfId="555" applyFont="1" applyBorder="1" applyAlignment="1">
      <alignment horizontal="center" vertical="center" wrapText="1"/>
    </xf>
    <xf numFmtId="167" fontId="5" fillId="0" borderId="49" xfId="0" applyNumberFormat="1" applyFont="1" applyBorder="1" applyAlignment="1">
      <alignment horizontal="center" vertical="center" wrapText="1"/>
    </xf>
    <xf numFmtId="9" fontId="5" fillId="0" borderId="59" xfId="555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9" fontId="5" fillId="0" borderId="15" xfId="555" applyFont="1" applyBorder="1" applyAlignment="1">
      <alignment horizontal="center" vertical="center" wrapText="1"/>
    </xf>
    <xf numFmtId="167" fontId="5" fillId="0" borderId="15" xfId="0" applyNumberFormat="1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9" fontId="5" fillId="0" borderId="50" xfId="555" applyFont="1" applyBorder="1" applyAlignment="1">
      <alignment horizontal="center" vertical="center" wrapText="1"/>
    </xf>
    <xf numFmtId="167" fontId="5" fillId="0" borderId="50" xfId="0" applyNumberFormat="1" applyFont="1" applyBorder="1" applyAlignment="1">
      <alignment horizontal="center" vertical="center" wrapText="1"/>
    </xf>
    <xf numFmtId="167" fontId="5" fillId="0" borderId="48" xfId="0" applyNumberFormat="1" applyFont="1" applyBorder="1" applyAlignment="1">
      <alignment horizontal="center" vertical="center" wrapText="1"/>
    </xf>
    <xf numFmtId="0" fontId="0" fillId="0" borderId="60" xfId="0" applyBorder="1"/>
    <xf numFmtId="9" fontId="5" fillId="0" borderId="60" xfId="555" applyFont="1" applyBorder="1" applyAlignment="1">
      <alignment horizontal="center" vertical="center" wrapText="1"/>
    </xf>
    <xf numFmtId="0" fontId="0" fillId="0" borderId="61" xfId="0" applyBorder="1"/>
    <xf numFmtId="9" fontId="5" fillId="0" borderId="61" xfId="555" applyFont="1" applyBorder="1" applyAlignment="1">
      <alignment horizontal="center" vertical="center" wrapText="1"/>
    </xf>
    <xf numFmtId="164" fontId="5" fillId="0" borderId="49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164" fontId="5" fillId="0" borderId="50" xfId="0" applyNumberFormat="1" applyFont="1" applyFill="1" applyBorder="1" applyAlignment="1">
      <alignment horizontal="center" vertical="center" wrapText="1"/>
    </xf>
    <xf numFmtId="165" fontId="5" fillId="0" borderId="49" xfId="0" applyNumberFormat="1" applyFont="1" applyBorder="1" applyAlignment="1">
      <alignment horizontal="center" vertical="center" wrapText="1"/>
    </xf>
    <xf numFmtId="165" fontId="5" fillId="0" borderId="15" xfId="0" applyNumberFormat="1" applyFont="1" applyBorder="1" applyAlignment="1">
      <alignment horizontal="center" vertical="center" wrapText="1"/>
    </xf>
    <xf numFmtId="165" fontId="5" fillId="0" borderId="50" xfId="0" applyNumberFormat="1" applyFont="1" applyBorder="1" applyAlignment="1">
      <alignment horizontal="center" vertical="center" wrapText="1"/>
    </xf>
    <xf numFmtId="165" fontId="5" fillId="0" borderId="39" xfId="0" applyNumberFormat="1" applyFont="1" applyBorder="1" applyAlignment="1">
      <alignment horizontal="center" vertical="center" wrapText="1"/>
    </xf>
    <xf numFmtId="165" fontId="0" fillId="0" borderId="39" xfId="0" applyNumberFormat="1" applyBorder="1"/>
    <xf numFmtId="3" fontId="4" fillId="4" borderId="0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3" fillId="2" borderId="67" xfId="0" applyFont="1" applyFill="1" applyBorder="1" applyAlignment="1">
      <alignment horizontal="center" vertical="center"/>
    </xf>
    <xf numFmtId="164" fontId="4" fillId="3" borderId="68" xfId="0" applyNumberFormat="1" applyFont="1" applyFill="1" applyBorder="1" applyAlignment="1">
      <alignment horizontal="center" vertical="center"/>
    </xf>
    <xf numFmtId="164" fontId="4" fillId="4" borderId="55" xfId="0" applyNumberFormat="1" applyFont="1" applyFill="1" applyBorder="1" applyAlignment="1">
      <alignment horizontal="center" vertical="center"/>
    </xf>
    <xf numFmtId="164" fontId="4" fillId="9" borderId="36" xfId="0" applyNumberFormat="1" applyFont="1" applyFill="1" applyBorder="1" applyAlignment="1">
      <alignment horizontal="center" vertical="center"/>
    </xf>
    <xf numFmtId="164" fontId="4" fillId="3" borderId="52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0" fillId="10" borderId="0" xfId="0" applyFill="1"/>
    <xf numFmtId="0" fontId="0" fillId="10" borderId="0" xfId="0" quotePrefix="1" applyFill="1"/>
    <xf numFmtId="0" fontId="0" fillId="10" borderId="0" xfId="0" applyFill="1" applyBorder="1"/>
    <xf numFmtId="0" fontId="0" fillId="10" borderId="0" xfId="0" applyFill="1" applyBorder="1" applyAlignment="1">
      <alignment horizontal="center"/>
    </xf>
    <xf numFmtId="9" fontId="0" fillId="10" borderId="0" xfId="0" applyNumberFormat="1" applyFill="1" applyBorder="1" applyAlignment="1">
      <alignment horizontal="center"/>
    </xf>
    <xf numFmtId="164" fontId="4" fillId="0" borderId="36" xfId="0" applyNumberFormat="1" applyFont="1" applyFill="1" applyBorder="1" applyAlignment="1">
      <alignment horizontal="center" vertical="center"/>
    </xf>
    <xf numFmtId="0" fontId="3" fillId="2" borderId="72" xfId="0" applyFont="1" applyFill="1" applyBorder="1" applyAlignment="1">
      <alignment horizontal="center" vertical="center" wrapText="1"/>
    </xf>
    <xf numFmtId="1" fontId="4" fillId="0" borderId="20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16" fillId="0" borderId="5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9" fontId="0" fillId="0" borderId="0" xfId="0" applyNumberFormat="1"/>
    <xf numFmtId="0" fontId="3" fillId="5" borderId="14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9" fontId="15" fillId="3" borderId="21" xfId="555" applyFont="1" applyFill="1" applyBorder="1" applyAlignment="1">
      <alignment horizontal="center" vertical="center" wrapText="1"/>
    </xf>
    <xf numFmtId="9" fontId="15" fillId="3" borderId="73" xfId="555" applyFont="1" applyFill="1" applyBorder="1" applyAlignment="1">
      <alignment horizontal="center" vertical="center" wrapText="1"/>
    </xf>
    <xf numFmtId="0" fontId="15" fillId="3" borderId="32" xfId="0" applyFont="1" applyFill="1" applyBorder="1" applyAlignment="1">
      <alignment horizontal="center" vertical="center" wrapText="1"/>
    </xf>
    <xf numFmtId="9" fontId="15" fillId="3" borderId="74" xfId="555" applyFont="1" applyFill="1" applyBorder="1" applyAlignment="1">
      <alignment horizontal="center" vertical="center" wrapText="1"/>
    </xf>
    <xf numFmtId="164" fontId="15" fillId="3" borderId="8" xfId="0" applyNumberFormat="1" applyFont="1" applyFill="1" applyBorder="1" applyAlignment="1">
      <alignment horizontal="center" vertical="center" wrapText="1"/>
    </xf>
    <xf numFmtId="0" fontId="15" fillId="3" borderId="75" xfId="0" applyFont="1" applyFill="1" applyBorder="1" applyAlignment="1">
      <alignment horizontal="center" vertical="center" wrapText="1"/>
    </xf>
    <xf numFmtId="164" fontId="15" fillId="3" borderId="20" xfId="0" applyNumberFormat="1" applyFont="1" applyFill="1" applyBorder="1" applyAlignment="1">
      <alignment horizontal="center" vertical="center" wrapText="1"/>
    </xf>
    <xf numFmtId="0" fontId="15" fillId="3" borderId="76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164" fontId="15" fillId="3" borderId="32" xfId="0" applyNumberFormat="1" applyFont="1" applyFill="1" applyBorder="1" applyAlignment="1">
      <alignment horizontal="center" vertical="center" wrapText="1"/>
    </xf>
    <xf numFmtId="0" fontId="15" fillId="3" borderId="75" xfId="0" applyFont="1" applyFill="1" applyBorder="1" applyAlignment="1">
      <alignment horizontal="left" vertical="center" wrapText="1"/>
    </xf>
    <xf numFmtId="2" fontId="15" fillId="3" borderId="21" xfId="0" applyNumberFormat="1" applyFont="1" applyFill="1" applyBorder="1" applyAlignment="1">
      <alignment horizontal="center" vertical="center" wrapText="1"/>
    </xf>
    <xf numFmtId="0" fontId="15" fillId="3" borderId="76" xfId="0" applyFont="1" applyFill="1" applyBorder="1" applyAlignment="1">
      <alignment horizontal="left" vertical="center" wrapText="1"/>
    </xf>
    <xf numFmtId="2" fontId="15" fillId="3" borderId="73" xfId="0" applyNumberFormat="1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left" vertical="center" wrapText="1"/>
    </xf>
    <xf numFmtId="2" fontId="15" fillId="3" borderId="74" xfId="0" applyNumberFormat="1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164" fontId="15" fillId="3" borderId="16" xfId="0" applyNumberFormat="1" applyFont="1" applyFill="1" applyBorder="1" applyAlignment="1">
      <alignment horizontal="center" vertical="center" wrapText="1"/>
    </xf>
    <xf numFmtId="0" fontId="15" fillId="3" borderId="77" xfId="0" applyFont="1" applyFill="1" applyBorder="1" applyAlignment="1">
      <alignment horizontal="left" vertical="center" wrapText="1"/>
    </xf>
    <xf numFmtId="164" fontId="15" fillId="3" borderId="78" xfId="0" applyNumberFormat="1" applyFont="1" applyFill="1" applyBorder="1" applyAlignment="1">
      <alignment horizontal="center" vertical="center" wrapText="1"/>
    </xf>
    <xf numFmtId="9" fontId="15" fillId="3" borderId="78" xfId="555" applyFont="1" applyFill="1" applyBorder="1" applyAlignment="1">
      <alignment horizontal="center" vertical="center" wrapText="1"/>
    </xf>
    <xf numFmtId="2" fontId="15" fillId="3" borderId="78" xfId="0" applyNumberFormat="1" applyFont="1" applyFill="1" applyBorder="1" applyAlignment="1">
      <alignment horizontal="center" vertical="center" wrapText="1"/>
    </xf>
    <xf numFmtId="0" fontId="15" fillId="3" borderId="79" xfId="0" applyFont="1" applyFill="1" applyBorder="1" applyAlignment="1">
      <alignment horizontal="left" vertical="center" wrapText="1"/>
    </xf>
    <xf numFmtId="164" fontId="15" fillId="3" borderId="80" xfId="0" applyNumberFormat="1" applyFont="1" applyFill="1" applyBorder="1" applyAlignment="1">
      <alignment horizontal="center" vertical="center" wrapText="1"/>
    </xf>
    <xf numFmtId="9" fontId="15" fillId="3" borderId="80" xfId="555" applyFont="1" applyFill="1" applyBorder="1" applyAlignment="1">
      <alignment horizontal="center" vertical="center" wrapText="1"/>
    </xf>
    <xf numFmtId="2" fontId="15" fillId="3" borderId="80" xfId="0" applyNumberFormat="1" applyFont="1" applyFill="1" applyBorder="1" applyAlignment="1">
      <alignment horizontal="center" vertical="center" wrapText="1"/>
    </xf>
    <xf numFmtId="0" fontId="15" fillId="3" borderId="81" xfId="0" applyFont="1" applyFill="1" applyBorder="1" applyAlignment="1">
      <alignment horizontal="left" vertical="center" wrapText="1"/>
    </xf>
    <xf numFmtId="164" fontId="15" fillId="3" borderId="82" xfId="0" applyNumberFormat="1" applyFont="1" applyFill="1" applyBorder="1" applyAlignment="1">
      <alignment horizontal="center" vertical="center" wrapText="1"/>
    </xf>
    <xf numFmtId="9" fontId="15" fillId="3" borderId="82" xfId="555" applyFont="1" applyFill="1" applyBorder="1" applyAlignment="1">
      <alignment horizontal="center" vertical="center" wrapText="1"/>
    </xf>
    <xf numFmtId="2" fontId="15" fillId="3" borderId="8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3" fillId="5" borderId="7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3" fillId="5" borderId="16" xfId="0" applyFont="1" applyFill="1" applyBorder="1" applyAlignment="1">
      <alignment vertical="center"/>
    </xf>
    <xf numFmtId="0" fontId="15" fillId="3" borderId="6" xfId="0" applyFont="1" applyFill="1" applyBorder="1" applyAlignment="1">
      <alignment horizontal="center" vertical="center" wrapText="1"/>
    </xf>
    <xf numFmtId="9" fontId="23" fillId="4" borderId="8" xfId="555" applyFont="1" applyFill="1" applyBorder="1" applyAlignment="1">
      <alignment horizontal="center" vertical="center" wrapText="1"/>
    </xf>
    <xf numFmtId="0" fontId="15" fillId="0" borderId="76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167" fontId="15" fillId="0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center" vertical="center" wrapText="1"/>
    </xf>
    <xf numFmtId="9" fontId="15" fillId="0" borderId="0" xfId="555" applyFont="1" applyFill="1" applyBorder="1" applyAlignment="1">
      <alignment horizontal="center" vertical="center" wrapText="1"/>
    </xf>
    <xf numFmtId="9" fontId="0" fillId="0" borderId="0" xfId="0" applyNumberFormat="1" applyFill="1" applyBorder="1"/>
    <xf numFmtId="164" fontId="15" fillId="0" borderId="16" xfId="0" applyNumberFormat="1" applyFont="1" applyFill="1" applyBorder="1" applyAlignment="1">
      <alignment horizontal="center" vertical="center" wrapText="1"/>
    </xf>
    <xf numFmtId="0" fontId="4" fillId="0" borderId="8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6" borderId="86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3" fillId="2" borderId="84" xfId="0" applyFont="1" applyFill="1" applyBorder="1" applyAlignment="1">
      <alignment horizontal="center" vertical="center" wrapText="1"/>
    </xf>
    <xf numFmtId="0" fontId="3" fillId="2" borderId="91" xfId="0" applyFont="1" applyFill="1" applyBorder="1" applyAlignment="1">
      <alignment horizontal="center" vertical="center" wrapText="1"/>
    </xf>
    <xf numFmtId="0" fontId="3" fillId="2" borderId="83" xfId="0" applyFont="1" applyFill="1" applyBorder="1" applyAlignment="1">
      <alignment horizontal="center" vertical="center" wrapText="1"/>
    </xf>
    <xf numFmtId="1" fontId="4" fillId="0" borderId="92" xfId="0" applyNumberFormat="1" applyFont="1" applyFill="1" applyBorder="1" applyAlignment="1">
      <alignment horizontal="center" vertical="center" wrapText="1"/>
    </xf>
    <xf numFmtId="2" fontId="4" fillId="0" borderId="93" xfId="0" applyNumberFormat="1" applyFont="1" applyFill="1" applyBorder="1" applyAlignment="1">
      <alignment horizontal="center" vertical="center" wrapText="1"/>
    </xf>
    <xf numFmtId="1" fontId="4" fillId="0" borderId="66" xfId="0" applyNumberFormat="1" applyFont="1" applyFill="1" applyBorder="1" applyAlignment="1">
      <alignment horizontal="center" vertical="center" wrapText="1"/>
    </xf>
    <xf numFmtId="1" fontId="16" fillId="0" borderId="66" xfId="0" applyNumberFormat="1" applyFont="1" applyFill="1" applyBorder="1" applyAlignment="1">
      <alignment horizontal="center" vertical="center" wrapText="1"/>
    </xf>
    <xf numFmtId="1" fontId="4" fillId="0" borderId="67" xfId="0" applyNumberFormat="1" applyFont="1" applyFill="1" applyBorder="1" applyAlignment="1">
      <alignment horizontal="center" vertical="center" wrapText="1"/>
    </xf>
    <xf numFmtId="1" fontId="4" fillId="0" borderId="90" xfId="0" applyNumberFormat="1" applyFont="1" applyFill="1" applyBorder="1" applyAlignment="1">
      <alignment horizontal="center" vertical="center" wrapText="1"/>
    </xf>
    <xf numFmtId="1" fontId="4" fillId="4" borderId="87" xfId="0" applyNumberFormat="1" applyFont="1" applyFill="1" applyBorder="1" applyAlignment="1">
      <alignment horizontal="center" vertical="center" wrapText="1"/>
    </xf>
    <xf numFmtId="1" fontId="4" fillId="3" borderId="87" xfId="0" applyNumberFormat="1" applyFont="1" applyFill="1" applyBorder="1" applyAlignment="1">
      <alignment horizontal="center" vertical="center" wrapText="1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4" borderId="23" xfId="0" applyNumberFormat="1" applyFont="1" applyFill="1" applyBorder="1" applyAlignment="1">
      <alignment horizontal="center" vertical="center" wrapText="1"/>
    </xf>
    <xf numFmtId="0" fontId="3" fillId="2" borderId="95" xfId="0" applyFont="1" applyFill="1" applyBorder="1" applyAlignment="1">
      <alignment horizontal="center" vertical="center" wrapText="1"/>
    </xf>
    <xf numFmtId="0" fontId="3" fillId="2" borderId="96" xfId="0" applyFont="1" applyFill="1" applyBorder="1" applyAlignment="1">
      <alignment horizontal="center" vertical="center" wrapText="1"/>
    </xf>
    <xf numFmtId="164" fontId="4" fillId="0" borderId="75" xfId="0" applyNumberFormat="1" applyFont="1" applyFill="1" applyBorder="1" applyAlignment="1">
      <alignment horizontal="center" vertical="center" wrapText="1"/>
    </xf>
    <xf numFmtId="164" fontId="4" fillId="0" borderId="87" xfId="0" applyNumberFormat="1" applyFont="1" applyFill="1" applyBorder="1" applyAlignment="1">
      <alignment horizontal="center" vertical="center" wrapText="1"/>
    </xf>
    <xf numFmtId="164" fontId="16" fillId="0" borderId="87" xfId="0" applyNumberFormat="1" applyFont="1" applyFill="1" applyBorder="1" applyAlignment="1">
      <alignment horizontal="center" vertical="center" wrapText="1"/>
    </xf>
    <xf numFmtId="164" fontId="4" fillId="0" borderId="97" xfId="0" applyNumberFormat="1" applyFont="1" applyFill="1" applyBorder="1" applyAlignment="1">
      <alignment horizontal="center" vertical="center" wrapText="1"/>
    </xf>
    <xf numFmtId="164" fontId="4" fillId="0" borderId="88" xfId="0" applyNumberFormat="1" applyFont="1" applyFill="1" applyBorder="1" applyAlignment="1">
      <alignment horizontal="center" vertical="center" wrapText="1"/>
    </xf>
    <xf numFmtId="164" fontId="4" fillId="3" borderId="75" xfId="0" applyNumberFormat="1" applyFont="1" applyFill="1" applyBorder="1" applyAlignment="1">
      <alignment horizontal="center" vertical="center" wrapText="1"/>
    </xf>
    <xf numFmtId="164" fontId="4" fillId="4" borderId="87" xfId="0" applyNumberFormat="1" applyFont="1" applyFill="1" applyBorder="1" applyAlignment="1">
      <alignment horizontal="center" vertical="center" wrapText="1"/>
    </xf>
    <xf numFmtId="164" fontId="4" fillId="3" borderId="87" xfId="0" applyNumberFormat="1" applyFont="1" applyFill="1" applyBorder="1" applyAlignment="1">
      <alignment horizontal="center" vertical="center" wrapText="1"/>
    </xf>
    <xf numFmtId="164" fontId="4" fillId="3" borderId="97" xfId="0" applyNumberFormat="1" applyFont="1" applyFill="1" applyBorder="1" applyAlignment="1">
      <alignment horizontal="center" vertical="center" wrapText="1"/>
    </xf>
    <xf numFmtId="0" fontId="3" fillId="2" borderId="100" xfId="0" applyFont="1" applyFill="1" applyBorder="1" applyAlignment="1">
      <alignment horizontal="center" vertical="center"/>
    </xf>
    <xf numFmtId="0" fontId="3" fillId="2" borderId="101" xfId="0" applyFont="1" applyFill="1" applyBorder="1" applyAlignment="1">
      <alignment horizontal="center" vertical="center"/>
    </xf>
    <xf numFmtId="164" fontId="4" fillId="4" borderId="75" xfId="0" applyNumberFormat="1" applyFont="1" applyFill="1" applyBorder="1" applyAlignment="1">
      <alignment horizontal="center" vertical="center"/>
    </xf>
    <xf numFmtId="164" fontId="4" fillId="4" borderId="76" xfId="0" applyNumberFormat="1" applyFont="1" applyFill="1" applyBorder="1" applyAlignment="1">
      <alignment horizontal="center" vertical="center"/>
    </xf>
    <xf numFmtId="164" fontId="4" fillId="4" borderId="24" xfId="0" applyNumberFormat="1" applyFont="1" applyFill="1" applyBorder="1" applyAlignment="1">
      <alignment horizontal="center" vertical="center"/>
    </xf>
    <xf numFmtId="164" fontId="4" fillId="4" borderId="87" xfId="0" applyNumberFormat="1" applyFont="1" applyFill="1" applyBorder="1" applyAlignment="1">
      <alignment horizontal="center" vertical="center"/>
    </xf>
    <xf numFmtId="164" fontId="4" fillId="4" borderId="97" xfId="0" applyNumberFormat="1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73" xfId="0" applyFont="1" applyFill="1" applyBorder="1" applyAlignment="1">
      <alignment horizontal="center" vertical="center"/>
    </xf>
    <xf numFmtId="0" fontId="4" fillId="4" borderId="7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49" fontId="0" fillId="0" borderId="0" xfId="0" applyNumberFormat="1"/>
    <xf numFmtId="168" fontId="0" fillId="0" borderId="0" xfId="0" applyNumberFormat="1"/>
    <xf numFmtId="167" fontId="0" fillId="0" borderId="0" xfId="0" applyNumberFormat="1"/>
    <xf numFmtId="0" fontId="4" fillId="4" borderId="109" xfId="0" applyFont="1" applyFill="1" applyBorder="1" applyAlignment="1">
      <alignment horizontal="center" vertical="center"/>
    </xf>
    <xf numFmtId="0" fontId="4" fillId="4" borderId="110" xfId="0" applyFont="1" applyFill="1" applyBorder="1" applyAlignment="1">
      <alignment horizontal="center" vertical="center"/>
    </xf>
    <xf numFmtId="0" fontId="4" fillId="4" borderId="108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4" fillId="4" borderId="111" xfId="0" applyFont="1" applyFill="1" applyBorder="1" applyAlignment="1">
      <alignment horizontal="center" vertical="center"/>
    </xf>
    <xf numFmtId="165" fontId="5" fillId="0" borderId="62" xfId="0" applyNumberFormat="1" applyFont="1" applyBorder="1" applyAlignment="1">
      <alignment horizontal="center" vertical="center" wrapText="1"/>
    </xf>
    <xf numFmtId="165" fontId="5" fillId="0" borderId="63" xfId="0" applyNumberFormat="1" applyFont="1" applyBorder="1" applyAlignment="1">
      <alignment horizontal="center" vertical="center" wrapText="1"/>
    </xf>
    <xf numFmtId="165" fontId="5" fillId="0" borderId="64" xfId="0" applyNumberFormat="1" applyFont="1" applyBorder="1" applyAlignment="1">
      <alignment horizontal="center" vertical="center" wrapText="1"/>
    </xf>
    <xf numFmtId="165" fontId="5" fillId="0" borderId="62" xfId="0" applyNumberFormat="1" applyFont="1" applyFill="1" applyBorder="1" applyAlignment="1">
      <alignment horizontal="center" vertical="center" wrapText="1"/>
    </xf>
    <xf numFmtId="165" fontId="5" fillId="0" borderId="63" xfId="0" applyNumberFormat="1" applyFont="1" applyFill="1" applyBorder="1" applyAlignment="1">
      <alignment horizontal="center" vertical="center" wrapText="1"/>
    </xf>
    <xf numFmtId="165" fontId="5" fillId="0" borderId="64" xfId="0" applyNumberFormat="1" applyFont="1" applyFill="1" applyBorder="1" applyAlignment="1">
      <alignment horizontal="center" vertical="center" wrapText="1"/>
    </xf>
    <xf numFmtId="167" fontId="5" fillId="0" borderId="44" xfId="0" applyNumberFormat="1" applyFont="1" applyBorder="1" applyAlignment="1">
      <alignment horizontal="center" vertical="center" wrapText="1"/>
    </xf>
    <xf numFmtId="167" fontId="5" fillId="0" borderId="46" xfId="0" applyNumberFormat="1" applyFont="1" applyBorder="1" applyAlignment="1">
      <alignment horizontal="center" vertical="center" wrapText="1"/>
    </xf>
    <xf numFmtId="167" fontId="5" fillId="0" borderId="44" xfId="0" applyNumberFormat="1" applyFont="1" applyFill="1" applyBorder="1" applyAlignment="1">
      <alignment horizontal="center" vertical="center" wrapText="1"/>
    </xf>
    <xf numFmtId="167" fontId="5" fillId="0" borderId="46" xfId="0" applyNumberFormat="1" applyFont="1" applyFill="1" applyBorder="1" applyAlignment="1">
      <alignment horizontal="center" vertical="center" wrapText="1"/>
    </xf>
    <xf numFmtId="167" fontId="5" fillId="0" borderId="48" xfId="0" applyNumberFormat="1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/>
    <xf numFmtId="164" fontId="4" fillId="0" borderId="8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4" fillId="4" borderId="5" xfId="0" applyNumberFormat="1" applyFont="1" applyFill="1" applyBorder="1" applyAlignment="1">
      <alignment horizontal="center" vertical="center" wrapText="1"/>
    </xf>
    <xf numFmtId="164" fontId="4" fillId="0" borderId="87" xfId="0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3" fillId="5" borderId="13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/>
    </xf>
    <xf numFmtId="0" fontId="4" fillId="4" borderId="112" xfId="0" applyFont="1" applyFill="1" applyBorder="1" applyAlignment="1">
      <alignment horizontal="center" vertical="center"/>
    </xf>
    <xf numFmtId="0" fontId="4" fillId="4" borderId="113" xfId="0" applyFont="1" applyFill="1" applyBorder="1" applyAlignment="1">
      <alignment horizontal="center" vertical="center"/>
    </xf>
    <xf numFmtId="164" fontId="4" fillId="4" borderId="113" xfId="0" applyNumberFormat="1" applyFont="1" applyFill="1" applyBorder="1" applyAlignment="1">
      <alignment horizontal="center" vertical="center"/>
    </xf>
    <xf numFmtId="164" fontId="4" fillId="4" borderId="111" xfId="0" applyNumberFormat="1" applyFont="1" applyFill="1" applyBorder="1" applyAlignment="1">
      <alignment horizontal="center" vertical="center"/>
    </xf>
    <xf numFmtId="164" fontId="4" fillId="4" borderId="114" xfId="0" applyNumberFormat="1" applyFont="1" applyFill="1" applyBorder="1" applyAlignment="1">
      <alignment horizontal="center" vertical="center"/>
    </xf>
    <xf numFmtId="0" fontId="3" fillId="2" borderId="106" xfId="0" applyFont="1" applyFill="1" applyBorder="1" applyAlignment="1">
      <alignment horizontal="left" vertical="center" wrapText="1"/>
    </xf>
    <xf numFmtId="0" fontId="4" fillId="4" borderId="32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164" fontId="4" fillId="4" borderId="116" xfId="0" applyNumberFormat="1" applyFont="1" applyFill="1" applyBorder="1" applyAlignment="1">
      <alignment horizontal="center" vertical="center"/>
    </xf>
    <xf numFmtId="166" fontId="4" fillId="4" borderId="58" xfId="0" applyNumberFormat="1" applyFont="1" applyFill="1" applyBorder="1" applyAlignment="1">
      <alignment horizontal="center" vertical="center"/>
    </xf>
    <xf numFmtId="166" fontId="4" fillId="4" borderId="115" xfId="0" applyNumberFormat="1" applyFont="1" applyFill="1" applyBorder="1" applyAlignment="1">
      <alignment horizontal="center" vertical="center"/>
    </xf>
    <xf numFmtId="166" fontId="4" fillId="4" borderId="107" xfId="0" applyNumberFormat="1" applyFont="1" applyFill="1" applyBorder="1" applyAlignment="1">
      <alignment horizontal="center" vertical="center"/>
    </xf>
    <xf numFmtId="166" fontId="4" fillId="4" borderId="117" xfId="0" applyNumberFormat="1" applyFont="1" applyFill="1" applyBorder="1" applyAlignment="1">
      <alignment horizontal="center" vertical="center"/>
    </xf>
    <xf numFmtId="166" fontId="4" fillId="4" borderId="99" xfId="0" applyNumberFormat="1" applyFont="1" applyFill="1" applyBorder="1" applyAlignment="1">
      <alignment horizontal="center" vertical="center"/>
    </xf>
    <xf numFmtId="166" fontId="15" fillId="3" borderId="21" xfId="0" applyNumberFormat="1" applyFont="1" applyFill="1" applyBorder="1" applyAlignment="1">
      <alignment horizontal="center" vertical="center" wrapText="1"/>
    </xf>
    <xf numFmtId="166" fontId="15" fillId="3" borderId="73" xfId="0" applyNumberFormat="1" applyFont="1" applyFill="1" applyBorder="1" applyAlignment="1">
      <alignment horizontal="center" vertical="center" wrapText="1"/>
    </xf>
    <xf numFmtId="166" fontId="15" fillId="3" borderId="74" xfId="0" applyNumberFormat="1" applyFont="1" applyFill="1" applyBorder="1" applyAlignment="1">
      <alignment horizontal="center" vertical="center" wrapText="1"/>
    </xf>
    <xf numFmtId="166" fontId="4" fillId="0" borderId="21" xfId="0" applyNumberFormat="1" applyFont="1" applyFill="1" applyBorder="1" applyAlignment="1">
      <alignment horizontal="center" vertical="center" wrapText="1"/>
    </xf>
    <xf numFmtId="166" fontId="4" fillId="0" borderId="23" xfId="0" applyNumberFormat="1" applyFont="1" applyFill="1" applyBorder="1" applyAlignment="1">
      <alignment horizontal="center" vertical="center" wrapText="1"/>
    </xf>
    <xf numFmtId="166" fontId="16" fillId="0" borderId="23" xfId="0" applyNumberFormat="1" applyFont="1" applyFill="1" applyBorder="1" applyAlignment="1">
      <alignment horizontal="center" vertical="center" wrapText="1"/>
    </xf>
    <xf numFmtId="166" fontId="4" fillId="3" borderId="21" xfId="0" applyNumberFormat="1" applyFont="1" applyFill="1" applyBorder="1" applyAlignment="1">
      <alignment horizontal="center" vertical="center" wrapText="1"/>
    </xf>
    <xf numFmtId="166" fontId="4" fillId="3" borderId="23" xfId="0" applyNumberFormat="1" applyFont="1" applyFill="1" applyBorder="1" applyAlignment="1">
      <alignment horizontal="center" vertical="center" wrapText="1"/>
    </xf>
    <xf numFmtId="166" fontId="4" fillId="4" borderId="23" xfId="0" applyNumberFormat="1" applyFont="1" applyFill="1" applyBorder="1" applyAlignment="1">
      <alignment horizontal="center" vertical="center" wrapText="1"/>
    </xf>
    <xf numFmtId="166" fontId="4" fillId="4" borderId="21" xfId="0" applyNumberFormat="1" applyFont="1" applyFill="1" applyBorder="1" applyAlignment="1">
      <alignment horizontal="center" vertical="center"/>
    </xf>
    <xf numFmtId="166" fontId="4" fillId="4" borderId="23" xfId="0" applyNumberFormat="1" applyFont="1" applyFill="1" applyBorder="1" applyAlignment="1">
      <alignment horizontal="center" vertical="center"/>
    </xf>
    <xf numFmtId="166" fontId="4" fillId="4" borderId="28" xfId="0" applyNumberFormat="1" applyFont="1" applyFill="1" applyBorder="1" applyAlignment="1">
      <alignment horizontal="center" vertical="center"/>
    </xf>
    <xf numFmtId="166" fontId="4" fillId="4" borderId="20" xfId="0" applyNumberFormat="1" applyFont="1" applyFill="1" applyBorder="1" applyAlignment="1">
      <alignment horizontal="center" vertical="center"/>
    </xf>
    <xf numFmtId="166" fontId="4" fillId="4" borderId="5" xfId="0" applyNumberFormat="1" applyFont="1" applyFill="1" applyBorder="1" applyAlignment="1">
      <alignment horizontal="center" vertical="center"/>
    </xf>
    <xf numFmtId="166" fontId="4" fillId="4" borderId="27" xfId="0" applyNumberFormat="1" applyFont="1" applyFill="1" applyBorder="1" applyAlignment="1">
      <alignment horizontal="center" vertical="center"/>
    </xf>
    <xf numFmtId="2" fontId="4" fillId="0" borderId="20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16" fillId="0" borderId="5" xfId="0" applyNumberFormat="1" applyFont="1" applyFill="1" applyBorder="1" applyAlignment="1">
      <alignment horizontal="center" vertical="center" wrapText="1"/>
    </xf>
    <xf numFmtId="2" fontId="4" fillId="3" borderId="20" xfId="0" applyNumberFormat="1" applyFont="1" applyFill="1" applyBorder="1" applyAlignment="1">
      <alignment horizontal="center" vertical="center" wrapText="1"/>
    </xf>
    <xf numFmtId="2" fontId="4" fillId="4" borderId="21" xfId="0" applyNumberFormat="1" applyFont="1" applyFill="1" applyBorder="1" applyAlignment="1">
      <alignment horizontal="center" vertical="center"/>
    </xf>
    <xf numFmtId="2" fontId="4" fillId="4" borderId="23" xfId="0" applyNumberFormat="1" applyFont="1" applyFill="1" applyBorder="1" applyAlignment="1">
      <alignment horizontal="center" vertical="center"/>
    </xf>
    <xf numFmtId="2" fontId="4" fillId="4" borderId="28" xfId="0" applyNumberFormat="1" applyFont="1" applyFill="1" applyBorder="1" applyAlignment="1">
      <alignment horizontal="center" vertical="center"/>
    </xf>
    <xf numFmtId="2" fontId="4" fillId="3" borderId="37" xfId="0" applyNumberFormat="1" applyFont="1" applyFill="1" applyBorder="1" applyAlignment="1">
      <alignment horizontal="center" vertical="center"/>
    </xf>
    <xf numFmtId="2" fontId="4" fillId="4" borderId="35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4" fillId="4" borderId="5" xfId="0" applyFont="1" applyFill="1" applyBorder="1" applyAlignment="1">
      <alignment horizontal="left" vertical="center" wrapText="1"/>
    </xf>
    <xf numFmtId="164" fontId="4" fillId="4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164" fontId="4" fillId="3" borderId="6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3" fillId="2" borderId="57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3" fillId="2" borderId="90" xfId="0" applyFont="1" applyFill="1" applyBorder="1" applyAlignment="1">
      <alignment horizontal="center" vertical="center" wrapText="1"/>
    </xf>
    <xf numFmtId="0" fontId="3" fillId="2" borderId="86" xfId="0" applyFont="1" applyFill="1" applyBorder="1" applyAlignment="1">
      <alignment horizontal="center" vertical="center" wrapText="1"/>
    </xf>
    <xf numFmtId="0" fontId="3" fillId="2" borderId="9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" fontId="4" fillId="0" borderId="66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3" fillId="2" borderId="8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4" fillId="0" borderId="90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1" fontId="16" fillId="0" borderId="66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1" fontId="4" fillId="0" borderId="67" xfId="0" applyNumberFormat="1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center" vertical="center" wrapText="1"/>
    </xf>
    <xf numFmtId="1" fontId="4" fillId="4" borderId="66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1" fontId="4" fillId="3" borderId="65" xfId="0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" fontId="4" fillId="3" borderId="67" xfId="0" applyNumberFormat="1" applyFont="1" applyFill="1" applyBorder="1" applyAlignment="1">
      <alignment horizontal="center" vertical="center" wrapText="1"/>
    </xf>
    <xf numFmtId="1" fontId="4" fillId="3" borderId="26" xfId="0" applyNumberFormat="1" applyFont="1" applyFill="1" applyBorder="1" applyAlignment="1">
      <alignment horizontal="center" vertical="center" wrapText="1"/>
    </xf>
    <xf numFmtId="1" fontId="4" fillId="3" borderId="90" xfId="0" applyNumberFormat="1" applyFont="1" applyFill="1" applyBorder="1" applyAlignment="1">
      <alignment horizontal="center" vertical="center" wrapText="1"/>
    </xf>
    <xf numFmtId="1" fontId="4" fillId="3" borderId="19" xfId="0" applyNumberFormat="1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15" fillId="4" borderId="4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1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69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0" fontId="3" fillId="2" borderId="98" xfId="0" applyFont="1" applyFill="1" applyBorder="1" applyAlignment="1">
      <alignment horizontal="center" vertical="center"/>
    </xf>
    <xf numFmtId="0" fontId="3" fillId="2" borderId="99" xfId="0" applyFont="1" applyFill="1" applyBorder="1" applyAlignment="1">
      <alignment horizontal="center" vertical="center"/>
    </xf>
    <xf numFmtId="0" fontId="3" fillId="2" borderId="102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03" xfId="0" applyFont="1" applyFill="1" applyBorder="1" applyAlignment="1">
      <alignment horizontal="center" vertical="center"/>
    </xf>
    <xf numFmtId="0" fontId="3" fillId="2" borderId="104" xfId="0" applyFont="1" applyFill="1" applyBorder="1" applyAlignment="1">
      <alignment horizontal="center" vertical="center"/>
    </xf>
    <xf numFmtId="0" fontId="3" fillId="2" borderId="105" xfId="0" applyFont="1" applyFill="1" applyBorder="1" applyAlignment="1">
      <alignment horizontal="center" vertical="center"/>
    </xf>
    <xf numFmtId="0" fontId="3" fillId="2" borderId="98" xfId="0" applyFont="1" applyFill="1" applyBorder="1" applyAlignment="1">
      <alignment horizontal="center" vertical="center" wrapText="1"/>
    </xf>
    <xf numFmtId="0" fontId="3" fillId="2" borderId="106" xfId="0" applyFont="1" applyFill="1" applyBorder="1" applyAlignment="1">
      <alignment horizontal="center" vertical="center" wrapText="1"/>
    </xf>
    <xf numFmtId="0" fontId="3" fillId="2" borderId="100" xfId="0" applyFont="1" applyFill="1" applyBorder="1" applyAlignment="1">
      <alignment horizontal="center" vertical="center" wrapText="1"/>
    </xf>
    <xf numFmtId="0" fontId="3" fillId="2" borderId="99" xfId="0" applyFont="1" applyFill="1" applyBorder="1" applyAlignment="1">
      <alignment horizontal="center" vertical="center" wrapText="1"/>
    </xf>
    <xf numFmtId="0" fontId="3" fillId="2" borderId="107" xfId="0" applyFont="1" applyFill="1" applyBorder="1" applyAlignment="1">
      <alignment horizontal="center" vertical="center" wrapText="1"/>
    </xf>
    <xf numFmtId="0" fontId="3" fillId="2" borderId="101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left" vertical="center" wrapText="1"/>
    </xf>
    <xf numFmtId="0" fontId="5" fillId="0" borderId="45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left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/>
    </xf>
    <xf numFmtId="0" fontId="20" fillId="8" borderId="40" xfId="0" applyFont="1" applyFill="1" applyBorder="1" applyAlignment="1">
      <alignment horizontal="center" vertical="center" wrapText="1"/>
    </xf>
    <xf numFmtId="0" fontId="20" fillId="8" borderId="4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0" borderId="40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20" fillId="8" borderId="41" xfId="0" applyFont="1" applyFill="1" applyBorder="1" applyAlignment="1">
      <alignment horizontal="center" vertical="center" wrapText="1"/>
    </xf>
    <xf numFmtId="0" fontId="20" fillId="8" borderId="39" xfId="0" applyFont="1" applyFill="1" applyBorder="1" applyAlignment="1">
      <alignment horizontal="center" vertical="center" wrapText="1"/>
    </xf>
    <xf numFmtId="0" fontId="20" fillId="8" borderId="57" xfId="0" applyFont="1" applyFill="1" applyBorder="1" applyAlignment="1">
      <alignment horizontal="center" vertical="center" wrapText="1"/>
    </xf>
    <xf numFmtId="0" fontId="20" fillId="8" borderId="38" xfId="0" applyFont="1" applyFill="1" applyBorder="1" applyAlignment="1">
      <alignment horizontal="center" vertical="center" wrapText="1"/>
    </xf>
    <xf numFmtId="0" fontId="20" fillId="8" borderId="58" xfId="0" applyFont="1" applyFill="1" applyBorder="1" applyAlignment="1">
      <alignment horizontal="center" vertical="center" wrapText="1"/>
    </xf>
    <xf numFmtId="0" fontId="20" fillId="8" borderId="54" xfId="0" applyFont="1" applyFill="1" applyBorder="1" applyAlignment="1">
      <alignment horizontal="center" vertical="center" wrapText="1"/>
    </xf>
    <xf numFmtId="0" fontId="20" fillId="8" borderId="29" xfId="0" applyFont="1" applyFill="1" applyBorder="1" applyAlignment="1">
      <alignment horizontal="center" vertical="center" wrapText="1"/>
    </xf>
    <xf numFmtId="0" fontId="20" fillId="8" borderId="56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/>
    </xf>
  </cellXfs>
  <cellStyles count="633">
    <cellStyle name="Explanatory Text 2" xfId="3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Normal" xfId="0" builtinId="0"/>
    <cellStyle name="Normal 16" xfId="33"/>
    <cellStyle name="Normal 16 2" xfId="620"/>
    <cellStyle name="Percent" xfId="555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104775</xdr:rowOff>
    </xdr:from>
    <xdr:to>
      <xdr:col>3</xdr:col>
      <xdr:colOff>1014492</xdr:colOff>
      <xdr:row>8</xdr:row>
      <xdr:rowOff>66674</xdr:rowOff>
    </xdr:to>
    <xdr:pic>
      <xdr:nvPicPr>
        <xdr:cNvPr id="3" name="Picture 2" descr="UE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79575"/>
          <a:ext cx="3948192" cy="469899"/>
        </a:xfrm>
        <a:prstGeom prst="rect">
          <a:avLst/>
        </a:prstGeom>
      </xdr:spPr>
    </xdr:pic>
    <xdr:clientData/>
  </xdr:twoCellAnchor>
  <xdr:twoCellAnchor>
    <xdr:from>
      <xdr:col>3</xdr:col>
      <xdr:colOff>688976</xdr:colOff>
      <xdr:row>1</xdr:row>
      <xdr:rowOff>85724</xdr:rowOff>
    </xdr:from>
    <xdr:to>
      <xdr:col>6</xdr:col>
      <xdr:colOff>543904</xdr:colOff>
      <xdr:row>2</xdr:row>
      <xdr:rowOff>304799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9176" y="327024"/>
          <a:ext cx="2369528" cy="473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</xdr:row>
      <xdr:rowOff>133351</xdr:rowOff>
    </xdr:from>
    <xdr:to>
      <xdr:col>2</xdr:col>
      <xdr:colOff>152400</xdr:colOff>
      <xdr:row>3</xdr:row>
      <xdr:rowOff>4864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371476"/>
          <a:ext cx="2238375" cy="4334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88900</xdr:colOff>
      <xdr:row>3</xdr:row>
      <xdr:rowOff>101600</xdr:rowOff>
    </xdr:from>
    <xdr:to>
      <xdr:col>3</xdr:col>
      <xdr:colOff>457200</xdr:colOff>
      <xdr:row>5</xdr:row>
      <xdr:rowOff>203200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914400"/>
          <a:ext cx="3302000" cy="609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10</xdr:col>
      <xdr:colOff>487543</xdr:colOff>
      <xdr:row>15</xdr:row>
      <xdr:rowOff>127000</xdr:rowOff>
    </xdr:to>
    <xdr:pic>
      <xdr:nvPicPr>
        <xdr:cNvPr id="2" name="Picture 1" descr="home audio UEC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7057676" cy="279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342900</xdr:colOff>
      <xdr:row>4</xdr:row>
      <xdr:rowOff>127000</xdr:rowOff>
    </xdr:to>
    <xdr:pic>
      <xdr:nvPicPr>
        <xdr:cNvPr id="2" name="Picture 1" descr="Air Cleaner UEC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1993900" cy="698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1</xdr:col>
      <xdr:colOff>38100</xdr:colOff>
      <xdr:row>7</xdr:row>
      <xdr:rowOff>139700</xdr:rowOff>
    </xdr:to>
    <xdr:pic>
      <xdr:nvPicPr>
        <xdr:cNvPr id="3" name="Picture 2" descr="Air Cleaner Power Draw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0600"/>
          <a:ext cx="863600" cy="5207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8</xdr:col>
      <xdr:colOff>0</xdr:colOff>
      <xdr:row>18</xdr:row>
      <xdr:rowOff>88900</xdr:rowOff>
    </xdr:to>
    <xdr:pic>
      <xdr:nvPicPr>
        <xdr:cNvPr id="4" name="Picture 3" descr="Air Cleaner Definitions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62100"/>
          <a:ext cx="6604000" cy="1993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2</xdr:col>
      <xdr:colOff>393700</xdr:colOff>
      <xdr:row>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9400"/>
          <a:ext cx="3848100" cy="1016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50800</xdr:rowOff>
    </xdr:from>
    <xdr:to>
      <xdr:col>4</xdr:col>
      <xdr:colOff>444500</xdr:colOff>
      <xdr:row>9</xdr:row>
      <xdr:rowOff>165100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46200"/>
          <a:ext cx="5956300" cy="116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2"/>
  <sheetViews>
    <sheetView topLeftCell="K55" workbookViewId="0">
      <selection activeCell="M78" sqref="M78"/>
    </sheetView>
  </sheetViews>
  <sheetFormatPr defaultColWidth="11" defaultRowHeight="15.75"/>
  <cols>
    <col min="1" max="1" width="6.875" customWidth="1"/>
    <col min="2" max="2" width="23.5" customWidth="1"/>
    <col min="3" max="3" width="8.125" customWidth="1"/>
    <col min="4" max="4" width="15" customWidth="1"/>
    <col min="5" max="5" width="13" customWidth="1"/>
    <col min="6" max="6" width="5" customWidth="1"/>
    <col min="7" max="7" width="15.125" customWidth="1"/>
    <col min="8" max="8" width="15.375" customWidth="1"/>
    <col min="9" max="9" width="11" customWidth="1"/>
    <col min="10" max="10" width="14.625" customWidth="1"/>
    <col min="11" max="11" width="10.875" customWidth="1"/>
    <col min="12" max="12" width="12.375" customWidth="1"/>
    <col min="13" max="13" width="19.375" customWidth="1"/>
    <col min="14" max="14" width="15.5" customWidth="1"/>
    <col min="15" max="15" width="11.5" customWidth="1"/>
    <col min="16" max="16" width="19.875" customWidth="1"/>
    <col min="17" max="17" width="13" customWidth="1"/>
  </cols>
  <sheetData>
    <row r="1" spans="1:17" ht="18.75">
      <c r="A1" s="464" t="s">
        <v>78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  <c r="O1" s="464"/>
      <c r="P1" s="464"/>
      <c r="Q1" s="464"/>
    </row>
    <row r="2" spans="1:17" ht="19.5" thickBot="1">
      <c r="A2" s="13"/>
      <c r="B2" s="13"/>
      <c r="C2" s="13"/>
      <c r="D2" s="13"/>
      <c r="E2" s="13"/>
      <c r="F2" s="13"/>
      <c r="G2" s="13"/>
      <c r="H2" s="13"/>
      <c r="L2" s="465" t="s">
        <v>105</v>
      </c>
      <c r="M2" s="465"/>
      <c r="N2" s="465"/>
      <c r="O2" s="465"/>
      <c r="P2" s="465"/>
      <c r="Q2" s="465"/>
    </row>
    <row r="3" spans="1:17" ht="24.75" thickBot="1">
      <c r="A3" s="13"/>
      <c r="B3" s="13"/>
      <c r="C3" s="13"/>
      <c r="D3" s="13"/>
      <c r="E3" s="13"/>
      <c r="F3" s="13"/>
      <c r="G3" s="13"/>
      <c r="H3" s="13"/>
      <c r="L3" s="125" t="s">
        <v>0</v>
      </c>
      <c r="M3" s="126" t="s">
        <v>1</v>
      </c>
      <c r="N3" s="126" t="s">
        <v>2</v>
      </c>
      <c r="O3" s="127" t="s">
        <v>102</v>
      </c>
      <c r="P3" s="126" t="s">
        <v>103</v>
      </c>
      <c r="Q3" s="126" t="s">
        <v>104</v>
      </c>
    </row>
    <row r="4" spans="1:17" ht="19.5" thickBot="1">
      <c r="A4" s="13"/>
      <c r="B4" s="13"/>
      <c r="C4" s="13"/>
      <c r="D4" s="13"/>
      <c r="E4" s="13"/>
      <c r="F4" s="13"/>
      <c r="G4" s="13"/>
      <c r="H4" s="13"/>
      <c r="L4" s="466" t="s">
        <v>98</v>
      </c>
      <c r="M4" s="466" t="s">
        <v>6</v>
      </c>
      <c r="N4" s="466" t="s">
        <v>4</v>
      </c>
      <c r="O4" s="123" t="s">
        <v>99</v>
      </c>
      <c r="P4" s="123">
        <v>3.58</v>
      </c>
      <c r="Q4" s="124">
        <v>3.16</v>
      </c>
    </row>
    <row r="5" spans="1:17" ht="19.5" thickBot="1">
      <c r="A5" s="33"/>
      <c r="B5" s="33"/>
      <c r="C5" s="33"/>
      <c r="D5" s="33"/>
      <c r="E5" s="33"/>
      <c r="F5" s="33"/>
      <c r="G5" s="33"/>
      <c r="H5" s="33"/>
      <c r="L5" s="467"/>
      <c r="M5" s="467"/>
      <c r="N5" s="467"/>
      <c r="O5" s="97" t="s">
        <v>99</v>
      </c>
      <c r="P5" s="97">
        <v>3.93</v>
      </c>
      <c r="Q5" s="122">
        <v>2.73</v>
      </c>
    </row>
    <row r="6" spans="1:17" ht="19.5" thickBot="1">
      <c r="A6" s="33"/>
      <c r="B6" s="33"/>
      <c r="C6" s="33"/>
      <c r="D6" s="33"/>
      <c r="E6" s="33"/>
      <c r="F6" s="33"/>
      <c r="G6" s="33"/>
      <c r="H6" s="33"/>
      <c r="L6" s="467"/>
      <c r="M6" s="467"/>
      <c r="N6" s="467"/>
      <c r="O6" s="123" t="s">
        <v>99</v>
      </c>
      <c r="P6" s="123">
        <v>3.83</v>
      </c>
      <c r="Q6" s="124">
        <v>3.49</v>
      </c>
    </row>
    <row r="7" spans="1:17" ht="19.5" thickBot="1">
      <c r="A7" s="33"/>
      <c r="B7" s="33"/>
      <c r="C7" s="33"/>
      <c r="D7" s="33"/>
      <c r="E7" s="33"/>
      <c r="F7" s="33"/>
      <c r="G7" s="33"/>
      <c r="H7" s="33"/>
      <c r="L7" s="467"/>
      <c r="M7" s="467"/>
      <c r="N7" s="467"/>
      <c r="O7" s="97" t="s">
        <v>99</v>
      </c>
      <c r="P7" s="97">
        <v>3.71</v>
      </c>
      <c r="Q7" s="122">
        <v>3.48</v>
      </c>
    </row>
    <row r="8" spans="1:17" ht="19.5" thickBot="1">
      <c r="A8" s="33"/>
      <c r="B8" s="33"/>
      <c r="C8" s="33"/>
      <c r="D8" s="33"/>
      <c r="E8" s="33"/>
      <c r="F8" s="33"/>
      <c r="G8" s="33"/>
      <c r="H8" s="33"/>
      <c r="L8" s="467"/>
      <c r="M8" s="467"/>
      <c r="N8" s="467"/>
      <c r="O8" s="123" t="s">
        <v>99</v>
      </c>
      <c r="P8" s="123">
        <v>3.9</v>
      </c>
      <c r="Q8" s="124">
        <v>3.51</v>
      </c>
    </row>
    <row r="9" spans="1:17" ht="19.5" thickBot="1">
      <c r="A9" s="33"/>
      <c r="B9" s="33"/>
      <c r="C9" s="33"/>
      <c r="D9" s="33"/>
      <c r="E9" s="33"/>
      <c r="F9" s="33"/>
      <c r="G9" s="33"/>
      <c r="H9" s="33"/>
      <c r="L9" s="467"/>
      <c r="M9" s="467"/>
      <c r="N9" s="467"/>
      <c r="O9" s="97" t="s">
        <v>99</v>
      </c>
      <c r="P9" s="97">
        <v>3.8</v>
      </c>
      <c r="Q9" s="122">
        <v>2.71</v>
      </c>
    </row>
    <row r="10" spans="1:17" ht="16.5" thickBot="1">
      <c r="A10" t="s">
        <v>13</v>
      </c>
      <c r="L10" s="467"/>
      <c r="M10" s="467"/>
      <c r="N10" s="467"/>
      <c r="O10" s="123" t="s">
        <v>99</v>
      </c>
      <c r="P10" s="123">
        <v>3.84</v>
      </c>
      <c r="Q10" s="124">
        <v>3.06</v>
      </c>
    </row>
    <row r="11" spans="1:17" ht="16.5" thickBot="1">
      <c r="B11" t="s">
        <v>24</v>
      </c>
      <c r="C11" t="s">
        <v>16</v>
      </c>
      <c r="L11" s="467"/>
      <c r="M11" s="467"/>
      <c r="N11" s="467"/>
      <c r="O11" s="97" t="s">
        <v>99</v>
      </c>
      <c r="P11" s="97">
        <v>3.71</v>
      </c>
      <c r="Q11" s="122">
        <v>3.11</v>
      </c>
    </row>
    <row r="12" spans="1:17" ht="19.5" thickBot="1">
      <c r="B12" t="s">
        <v>113</v>
      </c>
      <c r="C12">
        <v>283</v>
      </c>
      <c r="D12" t="s">
        <v>44</v>
      </c>
      <c r="L12" s="467"/>
      <c r="M12" s="467"/>
      <c r="N12" s="467"/>
      <c r="O12" s="123" t="s">
        <v>100</v>
      </c>
      <c r="P12" s="123">
        <v>3.99</v>
      </c>
      <c r="Q12" s="124">
        <v>3.22</v>
      </c>
    </row>
    <row r="13" spans="1:17" ht="19.5" thickBot="1">
      <c r="B13" t="s">
        <v>114</v>
      </c>
      <c r="C13">
        <v>251</v>
      </c>
      <c r="D13" t="s">
        <v>44</v>
      </c>
      <c r="L13" s="467"/>
      <c r="M13" s="467"/>
      <c r="N13" s="467"/>
      <c r="O13" s="97" t="s">
        <v>100</v>
      </c>
      <c r="P13" s="97">
        <v>4.01</v>
      </c>
      <c r="Q13" s="122">
        <v>3.41</v>
      </c>
    </row>
    <row r="14" spans="1:17" ht="19.5" thickBot="1">
      <c r="B14" t="s">
        <v>45</v>
      </c>
      <c r="C14">
        <v>274</v>
      </c>
      <c r="D14" t="s">
        <v>44</v>
      </c>
      <c r="L14" s="467"/>
      <c r="M14" s="467"/>
      <c r="N14" s="467"/>
      <c r="O14" s="123" t="s">
        <v>101</v>
      </c>
      <c r="P14" s="123">
        <v>3.92</v>
      </c>
      <c r="Q14" s="124">
        <v>3.19</v>
      </c>
    </row>
    <row r="15" spans="1:17" ht="19.5" thickBot="1">
      <c r="B15" t="s">
        <v>49</v>
      </c>
      <c r="C15" t="s">
        <v>14</v>
      </c>
      <c r="F15">
        <v>8.4499999999999993</v>
      </c>
      <c r="L15" s="467"/>
      <c r="M15" s="467"/>
      <c r="N15" s="467"/>
      <c r="O15" s="97" t="s">
        <v>101</v>
      </c>
      <c r="P15" s="97">
        <v>3.78</v>
      </c>
      <c r="Q15" s="122">
        <v>3.19</v>
      </c>
    </row>
    <row r="16" spans="1:17" ht="19.5" thickBot="1">
      <c r="B16" t="s">
        <v>50</v>
      </c>
      <c r="C16" t="s">
        <v>14</v>
      </c>
      <c r="F16">
        <v>3</v>
      </c>
      <c r="L16" s="468"/>
      <c r="M16" s="468"/>
      <c r="N16" s="468"/>
      <c r="O16" s="129" t="s">
        <v>109</v>
      </c>
      <c r="P16" s="130">
        <f>AVERAGE(P4:P15)</f>
        <v>3.8333333333333335</v>
      </c>
      <c r="Q16" s="130">
        <f>AVERAGE(Q4:Q15)</f>
        <v>3.188333333333333</v>
      </c>
    </row>
    <row r="17" spans="1:17" ht="16.5" thickBot="1">
      <c r="B17" t="s">
        <v>17</v>
      </c>
      <c r="C17" t="s">
        <v>18</v>
      </c>
      <c r="L17" s="458" t="s">
        <v>98</v>
      </c>
      <c r="M17" s="458" t="s">
        <v>7</v>
      </c>
      <c r="N17" s="458">
        <v>240</v>
      </c>
      <c r="O17" s="97" t="s">
        <v>99</v>
      </c>
      <c r="P17" s="97">
        <v>3.53</v>
      </c>
      <c r="Q17" s="122">
        <v>3.32</v>
      </c>
    </row>
    <row r="18" spans="1:17" ht="16.5" thickBot="1">
      <c r="B18" t="s">
        <v>47</v>
      </c>
      <c r="C18" t="s">
        <v>48</v>
      </c>
      <c r="L18" s="459"/>
      <c r="M18" s="459"/>
      <c r="N18" s="459"/>
      <c r="O18" s="123" t="s">
        <v>99</v>
      </c>
      <c r="P18" s="123">
        <v>3.56</v>
      </c>
      <c r="Q18" s="124">
        <v>2.27</v>
      </c>
    </row>
    <row r="19" spans="1:17" ht="16.5" thickBot="1">
      <c r="B19" t="s">
        <v>51</v>
      </c>
      <c r="C19" s="335">
        <f>AVERAGE(0.057,0.061,0.055)</f>
        <v>5.7666666666666665E-2</v>
      </c>
      <c r="D19" s="40" t="s">
        <v>223</v>
      </c>
      <c r="L19" s="459"/>
      <c r="M19" s="459"/>
      <c r="N19" s="459"/>
      <c r="O19" s="97" t="s">
        <v>100</v>
      </c>
      <c r="P19" s="97">
        <v>3.69</v>
      </c>
      <c r="Q19" s="122">
        <v>3.19</v>
      </c>
    </row>
    <row r="20" spans="1:17" ht="20.25" thickBot="1">
      <c r="B20" t="s">
        <v>231</v>
      </c>
      <c r="C20" s="238">
        <f>(C22-C23)/(C21-C23)</f>
        <v>0.63228699551569501</v>
      </c>
      <c r="D20" s="333" t="s">
        <v>232</v>
      </c>
      <c r="L20" s="459"/>
      <c r="M20" s="459"/>
      <c r="N20" s="459"/>
      <c r="O20" s="123" t="s">
        <v>101</v>
      </c>
      <c r="P20" s="123">
        <v>3.74</v>
      </c>
      <c r="Q20" s="124">
        <v>3.51</v>
      </c>
    </row>
    <row r="21" spans="1:17" ht="20.25" thickBot="1">
      <c r="B21" s="356" t="s">
        <v>233</v>
      </c>
      <c r="C21" s="334">
        <v>0.57499999999999996</v>
      </c>
      <c r="D21" t="s">
        <v>227</v>
      </c>
      <c r="L21" s="459"/>
      <c r="M21" s="459"/>
      <c r="N21" s="460"/>
      <c r="O21" s="97" t="s">
        <v>101</v>
      </c>
      <c r="P21" s="97">
        <v>3.74</v>
      </c>
      <c r="Q21" s="122">
        <v>3.14</v>
      </c>
    </row>
    <row r="22" spans="1:17" ht="20.25" thickBot="1">
      <c r="B22" s="356" t="s">
        <v>234</v>
      </c>
      <c r="C22" s="238">
        <v>0.37</v>
      </c>
      <c r="D22" t="s">
        <v>228</v>
      </c>
      <c r="G22" s="40"/>
      <c r="L22" s="460"/>
      <c r="M22" s="459"/>
      <c r="N22" s="123">
        <v>120</v>
      </c>
      <c r="O22" s="123" t="s">
        <v>99</v>
      </c>
      <c r="P22" s="123">
        <v>3.75</v>
      </c>
      <c r="Q22" s="124">
        <v>2.1800000000000002</v>
      </c>
    </row>
    <row r="23" spans="1:17" ht="15.95" customHeight="1" thickBot="1">
      <c r="B23" s="356" t="s">
        <v>235</v>
      </c>
      <c r="C23" s="361">
        <v>1.7500000000000002E-2</v>
      </c>
      <c r="D23" t="s">
        <v>229</v>
      </c>
      <c r="G23" s="40"/>
      <c r="L23" s="128" t="s">
        <v>106</v>
      </c>
      <c r="M23" s="459"/>
      <c r="N23" s="97">
        <v>240</v>
      </c>
      <c r="O23" s="97" t="s">
        <v>99</v>
      </c>
      <c r="P23" s="97">
        <v>2.98</v>
      </c>
      <c r="Q23" s="122">
        <v>2.73</v>
      </c>
    </row>
    <row r="24" spans="1:17" ht="33.950000000000003" customHeight="1" thickBot="1">
      <c r="B24" s="358" t="s">
        <v>236</v>
      </c>
      <c r="C24" s="356">
        <v>0.2</v>
      </c>
      <c r="D24" t="s">
        <v>230</v>
      </c>
      <c r="L24" s="136" t="s">
        <v>111</v>
      </c>
      <c r="M24" s="460"/>
      <c r="N24" s="137" t="s">
        <v>111</v>
      </c>
      <c r="O24" s="131" t="s">
        <v>109</v>
      </c>
      <c r="P24" s="131">
        <f>AVERAGE(P17:P23)</f>
        <v>3.57</v>
      </c>
      <c r="Q24" s="132">
        <f>AVERAGE(Q17:Q23)</f>
        <v>2.9057142857142857</v>
      </c>
    </row>
    <row r="25" spans="1:17" ht="16.5" thickBot="1">
      <c r="A25" s="415" t="s">
        <v>189</v>
      </c>
      <c r="B25" s="415"/>
      <c r="C25" s="415"/>
      <c r="D25" s="415"/>
      <c r="E25" s="415"/>
      <c r="F25" s="415"/>
      <c r="G25" s="415"/>
      <c r="H25" s="415"/>
      <c r="L25" s="458" t="s">
        <v>42</v>
      </c>
      <c r="M25" s="461" t="s">
        <v>6</v>
      </c>
      <c r="N25" s="458" t="s">
        <v>4</v>
      </c>
      <c r="O25" s="122" t="s">
        <v>99</v>
      </c>
      <c r="P25" s="97">
        <v>3.43</v>
      </c>
      <c r="Q25" s="122">
        <v>2.7</v>
      </c>
    </row>
    <row r="26" spans="1:17" ht="30.95" customHeight="1" thickBot="1">
      <c r="A26" s="427" t="s">
        <v>0</v>
      </c>
      <c r="B26" s="428"/>
      <c r="C26" s="428"/>
      <c r="D26" s="1" t="s">
        <v>1</v>
      </c>
      <c r="E26" s="1" t="s">
        <v>2</v>
      </c>
      <c r="F26" s="406" t="s">
        <v>3</v>
      </c>
      <c r="G26" s="407"/>
      <c r="H26" s="2" t="s">
        <v>15</v>
      </c>
      <c r="L26" s="459"/>
      <c r="M26" s="462"/>
      <c r="N26" s="459"/>
      <c r="O26" s="124" t="s">
        <v>99</v>
      </c>
      <c r="P26" s="123">
        <v>3.31</v>
      </c>
      <c r="Q26" s="124">
        <v>2.87</v>
      </c>
    </row>
    <row r="27" spans="1:17" ht="15.95" customHeight="1" thickBot="1">
      <c r="A27" s="410" t="s">
        <v>5</v>
      </c>
      <c r="B27" s="411"/>
      <c r="C27" s="412"/>
      <c r="D27" s="28" t="s">
        <v>6</v>
      </c>
      <c r="E27" s="28" t="s">
        <v>4</v>
      </c>
      <c r="F27" s="408">
        <v>3.93</v>
      </c>
      <c r="G27" s="409"/>
      <c r="H27" s="10">
        <f>$C$12*F15/F27*$C$20</f>
        <v>384.73778797110867</v>
      </c>
      <c r="L27" s="459"/>
      <c r="M27" s="462"/>
      <c r="N27" s="459"/>
      <c r="O27" s="122" t="s">
        <v>99</v>
      </c>
      <c r="P27" s="97">
        <v>3.49</v>
      </c>
      <c r="Q27" s="122">
        <v>3.07</v>
      </c>
    </row>
    <row r="28" spans="1:17" ht="15.95" customHeight="1" thickBot="1">
      <c r="A28" s="430" t="s">
        <v>5</v>
      </c>
      <c r="B28" s="431"/>
      <c r="C28" s="432"/>
      <c r="D28" s="7" t="s">
        <v>7</v>
      </c>
      <c r="E28" s="3">
        <v>120</v>
      </c>
      <c r="F28" s="469">
        <v>3.8</v>
      </c>
      <c r="G28" s="470"/>
      <c r="H28" s="37">
        <f>$C$13*F16/F28*$C$20</f>
        <v>125.29265990087325</v>
      </c>
      <c r="L28" s="459"/>
      <c r="M28" s="462"/>
      <c r="N28" s="459"/>
      <c r="O28" s="124" t="s">
        <v>99</v>
      </c>
      <c r="P28" s="123">
        <v>3.39</v>
      </c>
      <c r="Q28" s="124">
        <v>2.69</v>
      </c>
    </row>
    <row r="29" spans="1:17" ht="15.95" customHeight="1" thickBot="1">
      <c r="A29" s="410" t="s">
        <v>8</v>
      </c>
      <c r="B29" s="411"/>
      <c r="C29" s="412"/>
      <c r="D29" s="28" t="s">
        <v>7</v>
      </c>
      <c r="E29" s="27">
        <v>240</v>
      </c>
      <c r="F29" s="408">
        <v>3.45</v>
      </c>
      <c r="G29" s="409"/>
      <c r="H29" s="10">
        <f>$C$13*F16/F29*$C$20</f>
        <v>138.00350945603429</v>
      </c>
      <c r="L29" s="459"/>
      <c r="M29" s="462"/>
      <c r="N29" s="459"/>
      <c r="O29" s="122" t="s">
        <v>99</v>
      </c>
      <c r="P29" s="97">
        <v>3.37</v>
      </c>
      <c r="Q29" s="122">
        <v>3.25</v>
      </c>
    </row>
    <row r="30" spans="1:17" ht="15.95" customHeight="1" thickBot="1">
      <c r="A30" s="430" t="s">
        <v>9</v>
      </c>
      <c r="B30" s="431"/>
      <c r="C30" s="432"/>
      <c r="D30" s="7" t="s">
        <v>7</v>
      </c>
      <c r="E30" s="3">
        <v>240</v>
      </c>
      <c r="F30" s="469">
        <v>2.68</v>
      </c>
      <c r="G30" s="470"/>
      <c r="H30" s="37">
        <f>$C$13*F16/F30*$C$20</f>
        <v>177.65377150123817</v>
      </c>
      <c r="L30" s="459"/>
      <c r="M30" s="462"/>
      <c r="N30" s="459"/>
      <c r="O30" s="122" t="s">
        <v>99</v>
      </c>
      <c r="P30" s="97">
        <v>3.37</v>
      </c>
      <c r="Q30" s="122">
        <v>2.94</v>
      </c>
    </row>
    <row r="31" spans="1:17" ht="16.5" thickBot="1">
      <c r="A31" s="410" t="s">
        <v>42</v>
      </c>
      <c r="B31" s="411"/>
      <c r="C31" s="412"/>
      <c r="D31" s="32" t="s">
        <v>4</v>
      </c>
      <c r="E31" s="29" t="s">
        <v>4</v>
      </c>
      <c r="F31" s="408">
        <v>3.48</v>
      </c>
      <c r="G31" s="409"/>
      <c r="H31" s="10">
        <f>$C$14*F15/F31*$C$20</f>
        <v>420.67071284985303</v>
      </c>
      <c r="L31" s="459"/>
      <c r="M31" s="462"/>
      <c r="N31" s="459"/>
      <c r="O31" s="124" t="s">
        <v>100</v>
      </c>
      <c r="P31" s="123">
        <v>3.35</v>
      </c>
      <c r="Q31" s="124">
        <v>2.54</v>
      </c>
    </row>
    <row r="32" spans="1:17" ht="16.5" thickBot="1">
      <c r="L32" s="459"/>
      <c r="M32" s="462"/>
      <c r="N32" s="459"/>
      <c r="O32" s="122" t="s">
        <v>101</v>
      </c>
      <c r="P32" s="97">
        <v>3.74</v>
      </c>
      <c r="Q32" s="122">
        <v>2.93</v>
      </c>
    </row>
    <row r="33" spans="1:18" ht="16.5" thickBot="1">
      <c r="A33" s="415" t="s">
        <v>190</v>
      </c>
      <c r="B33" s="415"/>
      <c r="C33" s="415"/>
      <c r="D33" s="415"/>
      <c r="E33" s="415"/>
      <c r="F33" s="415"/>
      <c r="G33" s="415"/>
      <c r="H33" s="415"/>
      <c r="L33" s="460"/>
      <c r="M33" s="463"/>
      <c r="N33" s="460"/>
      <c r="O33" s="131" t="s">
        <v>109</v>
      </c>
      <c r="P33" s="135">
        <f>AVERAGE(P25:P32)</f>
        <v>3.4312500000000004</v>
      </c>
      <c r="Q33" s="135">
        <f>AVERAGE(Q25:Q32)</f>
        <v>2.8737499999999998</v>
      </c>
    </row>
    <row r="34" spans="1:18" ht="21.95" customHeight="1" thickBot="1">
      <c r="A34" s="427" t="s">
        <v>0</v>
      </c>
      <c r="B34" s="428"/>
      <c r="C34" s="428"/>
      <c r="D34" s="167" t="s">
        <v>1</v>
      </c>
      <c r="E34" s="167" t="s">
        <v>2</v>
      </c>
      <c r="F34" s="406" t="s">
        <v>3</v>
      </c>
      <c r="G34" s="407"/>
      <c r="H34" s="168" t="s">
        <v>15</v>
      </c>
    </row>
    <row r="35" spans="1:18" ht="16.5" thickBot="1">
      <c r="A35" s="410" t="s">
        <v>5</v>
      </c>
      <c r="B35" s="411"/>
      <c r="C35" s="412"/>
      <c r="D35" s="166" t="s">
        <v>6</v>
      </c>
      <c r="E35" s="166" t="s">
        <v>4</v>
      </c>
      <c r="F35" s="408">
        <v>4.7</v>
      </c>
      <c r="G35" s="409"/>
      <c r="H35" s="10">
        <f>$C$12*F15/F35*$C$20</f>
        <v>321.70627802690575</v>
      </c>
    </row>
    <row r="36" spans="1:18" ht="17.100000000000001" customHeight="1" thickBot="1">
      <c r="A36" s="404" t="s">
        <v>5</v>
      </c>
      <c r="B36" s="404"/>
      <c r="C36" s="404"/>
      <c r="D36" s="7" t="s">
        <v>7</v>
      </c>
      <c r="E36" s="163" t="s">
        <v>4</v>
      </c>
      <c r="F36" s="405">
        <v>6.83</v>
      </c>
      <c r="G36" s="405"/>
      <c r="H36" s="14">
        <f>$C$13*F16/F36*$C$20</f>
        <v>69.708946943384817</v>
      </c>
    </row>
    <row r="37" spans="1:18" ht="17.100000000000001" customHeight="1" thickBot="1">
      <c r="A37" s="410" t="s">
        <v>42</v>
      </c>
      <c r="B37" s="411"/>
      <c r="C37" s="412"/>
      <c r="D37" s="166" t="s">
        <v>4</v>
      </c>
      <c r="E37" s="166" t="s">
        <v>4</v>
      </c>
      <c r="F37" s="413">
        <v>4</v>
      </c>
      <c r="G37" s="414"/>
      <c r="H37" s="10">
        <f>$C$14*F15/F37*$C$20</f>
        <v>365.98352017937214</v>
      </c>
    </row>
    <row r="38" spans="1:18" ht="17.100000000000001" customHeight="1"/>
    <row r="39" spans="1:18" ht="16.5" thickBot="1">
      <c r="A39" s="415" t="s">
        <v>10</v>
      </c>
      <c r="B39" s="415"/>
      <c r="C39" s="415"/>
      <c r="D39" s="415"/>
      <c r="E39" s="415"/>
      <c r="F39" s="415"/>
      <c r="G39" s="415"/>
      <c r="H39" s="36"/>
      <c r="I39" s="415" t="s">
        <v>22</v>
      </c>
      <c r="J39" s="415"/>
      <c r="K39" s="415"/>
      <c r="L39" s="415"/>
      <c r="M39" s="415"/>
      <c r="N39" s="415"/>
    </row>
    <row r="40" spans="1:18" ht="29.1" customHeight="1" thickBot="1">
      <c r="A40" s="427" t="s">
        <v>0</v>
      </c>
      <c r="B40" s="428"/>
      <c r="C40" s="428"/>
      <c r="D40" s="1" t="s">
        <v>1</v>
      </c>
      <c r="E40" s="1" t="s">
        <v>2</v>
      </c>
      <c r="F40" s="406" t="s">
        <v>3</v>
      </c>
      <c r="G40" s="407"/>
      <c r="H40" s="17"/>
      <c r="I40" s="427" t="s">
        <v>0</v>
      </c>
      <c r="J40" s="428"/>
      <c r="K40" s="8" t="s">
        <v>1</v>
      </c>
      <c r="L40" s="8" t="s">
        <v>2</v>
      </c>
      <c r="M40" s="15" t="s">
        <v>3</v>
      </c>
      <c r="N40" s="2" t="s">
        <v>15</v>
      </c>
    </row>
    <row r="41" spans="1:18" ht="15.95" customHeight="1" thickBot="1">
      <c r="A41" s="419" t="s">
        <v>5</v>
      </c>
      <c r="B41" s="419"/>
      <c r="C41" s="419"/>
      <c r="D41" s="4" t="s">
        <v>6</v>
      </c>
      <c r="E41" s="4" t="s">
        <v>4</v>
      </c>
      <c r="F41" s="426">
        <v>3.73</v>
      </c>
      <c r="G41" s="426"/>
      <c r="I41" s="419" t="s">
        <v>5</v>
      </c>
      <c r="J41" s="419"/>
      <c r="K41" s="9" t="s">
        <v>6</v>
      </c>
      <c r="L41" s="9" t="s">
        <v>4</v>
      </c>
      <c r="M41" s="16">
        <f>F41*R41</f>
        <v>3.1023869565217388</v>
      </c>
      <c r="N41" s="10">
        <f>$C$12*F15/M41*$C$20</f>
        <v>487.37295763442341</v>
      </c>
      <c r="P41" t="s">
        <v>107</v>
      </c>
      <c r="R41" s="133">
        <f>Q16/P16</f>
        <v>0.83173913043478254</v>
      </c>
    </row>
    <row r="42" spans="1:18" ht="15.95" customHeight="1" thickBot="1">
      <c r="A42" s="404" t="s">
        <v>5</v>
      </c>
      <c r="B42" s="404"/>
      <c r="C42" s="404"/>
      <c r="D42" s="11" t="s">
        <v>7</v>
      </c>
      <c r="E42" s="11">
        <v>120</v>
      </c>
      <c r="F42" s="416">
        <v>3.61</v>
      </c>
      <c r="G42" s="416"/>
      <c r="I42" s="404" t="s">
        <v>5</v>
      </c>
      <c r="J42" s="404"/>
      <c r="K42" s="12" t="s">
        <v>7</v>
      </c>
      <c r="L42" s="12">
        <v>120</v>
      </c>
      <c r="M42" s="16">
        <f>F42*R42</f>
        <v>2.9382713085234093</v>
      </c>
      <c r="N42" s="359">
        <f>$C$13*F16/M42*$C$20</f>
        <v>162.03817062168517</v>
      </c>
      <c r="P42" s="134" t="s">
        <v>108</v>
      </c>
      <c r="R42" s="133">
        <f>Q24/P24</f>
        <v>0.81392557022809131</v>
      </c>
    </row>
    <row r="43" spans="1:18" ht="15.95" customHeight="1" thickBot="1">
      <c r="A43" s="419" t="s">
        <v>8</v>
      </c>
      <c r="B43" s="419"/>
      <c r="C43" s="419"/>
      <c r="D43" s="4" t="s">
        <v>7</v>
      </c>
      <c r="E43" s="4">
        <v>240</v>
      </c>
      <c r="F43" s="426">
        <v>3.27</v>
      </c>
      <c r="G43" s="426"/>
      <c r="I43" s="419" t="s">
        <v>8</v>
      </c>
      <c r="J43" s="419"/>
      <c r="K43" s="9" t="s">
        <v>7</v>
      </c>
      <c r="L43" s="9">
        <v>240</v>
      </c>
      <c r="M43" s="16">
        <f>F43*R42</f>
        <v>2.6615366146458586</v>
      </c>
      <c r="N43" s="10">
        <f>$C$13*F16/M43*$C$20</f>
        <v>178.88617612975025</v>
      </c>
      <c r="P43" s="134" t="s">
        <v>110</v>
      </c>
      <c r="R43" s="133">
        <f>Q33/P33</f>
        <v>0.8375227686703095</v>
      </c>
    </row>
    <row r="44" spans="1:18" ht="16.5" thickBot="1">
      <c r="A44" s="404" t="s">
        <v>9</v>
      </c>
      <c r="B44" s="404"/>
      <c r="C44" s="404"/>
      <c r="D44" s="11" t="s">
        <v>7</v>
      </c>
      <c r="E44" s="11">
        <v>240</v>
      </c>
      <c r="F44" s="416">
        <v>2.5499999999999998</v>
      </c>
      <c r="G44" s="416"/>
      <c r="I44" s="404" t="s">
        <v>9</v>
      </c>
      <c r="J44" s="404"/>
      <c r="K44" s="12" t="s">
        <v>7</v>
      </c>
      <c r="L44" s="12">
        <v>240</v>
      </c>
      <c r="M44" s="16">
        <f>F44*R42</f>
        <v>2.0755102040816329</v>
      </c>
      <c r="N44" s="14">
        <f>$C$13*F16/M44*$C$20</f>
        <v>229.3952140957974</v>
      </c>
    </row>
    <row r="45" spans="1:18" ht="16.5" thickBot="1">
      <c r="A45" s="419" t="s">
        <v>42</v>
      </c>
      <c r="B45" s="419"/>
      <c r="C45" s="419"/>
      <c r="D45" s="29" t="s">
        <v>4</v>
      </c>
      <c r="E45" s="29" t="s">
        <v>4</v>
      </c>
      <c r="F45" s="426">
        <v>3.3</v>
      </c>
      <c r="G45" s="426"/>
      <c r="I45" s="419" t="s">
        <v>42</v>
      </c>
      <c r="J45" s="419"/>
      <c r="K45" s="29" t="s">
        <v>4</v>
      </c>
      <c r="L45" s="29" t="s">
        <v>4</v>
      </c>
      <c r="M45" s="16">
        <f>F45*R43</f>
        <v>2.763825136612021</v>
      </c>
      <c r="N45" s="10">
        <f>$C$14*F15/M45*$C$20</f>
        <v>529.67680962335498</v>
      </c>
    </row>
    <row r="47" spans="1:18">
      <c r="A47" s="5" t="s">
        <v>11</v>
      </c>
    </row>
    <row r="48" spans="1:18">
      <c r="A48" s="5" t="s">
        <v>12</v>
      </c>
    </row>
    <row r="50" spans="1:22" ht="16.5" thickBot="1">
      <c r="A50" s="415" t="s">
        <v>19</v>
      </c>
      <c r="B50" s="415"/>
      <c r="C50" s="415"/>
      <c r="D50" s="415"/>
      <c r="E50" s="415"/>
      <c r="F50" s="415"/>
      <c r="G50" s="415"/>
      <c r="H50" s="415"/>
      <c r="I50" s="415"/>
      <c r="J50" s="415"/>
      <c r="K50" s="415"/>
      <c r="L50" s="415"/>
      <c r="M50" s="415"/>
      <c r="N50" s="415"/>
      <c r="O50" s="415"/>
    </row>
    <row r="51" spans="1:22" ht="27" customHeight="1" thickBot="1">
      <c r="A51" s="427" t="s">
        <v>0</v>
      </c>
      <c r="B51" s="428"/>
      <c r="C51" s="428"/>
      <c r="D51" s="1" t="s">
        <v>1</v>
      </c>
      <c r="E51" s="1" t="s">
        <v>2</v>
      </c>
      <c r="F51" s="429" t="s">
        <v>20</v>
      </c>
      <c r="G51" s="429"/>
      <c r="H51" s="6" t="s">
        <v>186</v>
      </c>
      <c r="I51" s="162" t="s">
        <v>187</v>
      </c>
      <c r="J51" s="31" t="s">
        <v>193</v>
      </c>
      <c r="K51" s="96" t="s">
        <v>188</v>
      </c>
      <c r="L51" s="162" t="s">
        <v>191</v>
      </c>
      <c r="M51" s="162" t="s">
        <v>192</v>
      </c>
      <c r="N51" s="162" t="s">
        <v>194</v>
      </c>
      <c r="O51" s="162" t="s">
        <v>199</v>
      </c>
      <c r="P51" s="87"/>
      <c r="Q51" s="87"/>
      <c r="R51" s="87"/>
    </row>
    <row r="52" spans="1:22" ht="16.5" thickBot="1">
      <c r="A52" s="419" t="s">
        <v>5</v>
      </c>
      <c r="B52" s="419"/>
      <c r="C52" s="419"/>
      <c r="D52" s="4" t="s">
        <v>6</v>
      </c>
      <c r="E52" s="4" t="s">
        <v>4</v>
      </c>
      <c r="F52" s="417">
        <f>N41</f>
        <v>487.37295763442341</v>
      </c>
      <c r="G52" s="418"/>
      <c r="H52" s="10">
        <f>H27</f>
        <v>384.73778797110867</v>
      </c>
      <c r="I52" s="10">
        <f>F52-H52</f>
        <v>102.63516966331474</v>
      </c>
      <c r="J52" s="29" t="s">
        <v>46</v>
      </c>
      <c r="K52" s="16">
        <f>I52/365*$C$19</f>
        <v>1.621541949931822E-2</v>
      </c>
      <c r="L52" s="10">
        <f>H35</f>
        <v>321.70627802690575</v>
      </c>
      <c r="M52" s="10">
        <f>F52-L52</f>
        <v>165.66667960751766</v>
      </c>
      <c r="N52" s="161" t="s">
        <v>46</v>
      </c>
      <c r="O52" s="16">
        <f>M52/365*$C$19</f>
        <v>2.6173822440274479E-2</v>
      </c>
      <c r="P52" s="88"/>
      <c r="Q52" s="88"/>
      <c r="R52" s="89"/>
    </row>
    <row r="53" spans="1:22" ht="16.5" thickBot="1">
      <c r="A53" s="404" t="s">
        <v>5</v>
      </c>
      <c r="B53" s="404"/>
      <c r="C53" s="404"/>
      <c r="D53" s="11" t="s">
        <v>7</v>
      </c>
      <c r="E53" s="11">
        <v>120</v>
      </c>
      <c r="F53" s="417">
        <f>N42</f>
        <v>162.03817062168517</v>
      </c>
      <c r="G53" s="418"/>
      <c r="H53" s="14">
        <f>H28</f>
        <v>125.29265990087325</v>
      </c>
      <c r="I53" s="14">
        <f>F53-H53</f>
        <v>36.745510720811922</v>
      </c>
      <c r="J53" s="30" t="s">
        <v>46</v>
      </c>
      <c r="K53" s="16">
        <f>I53/365*$C$19</f>
        <v>5.8054551184479105E-3</v>
      </c>
      <c r="L53" s="14">
        <f>H36</f>
        <v>69.708946943384817</v>
      </c>
      <c r="M53" s="10">
        <f>F53-L53</f>
        <v>92.329223678300352</v>
      </c>
      <c r="N53" s="163" t="s">
        <v>46</v>
      </c>
      <c r="O53" s="16">
        <f>M53/365*$C$19</f>
        <v>1.4587174151914118E-2</v>
      </c>
      <c r="P53" s="88"/>
      <c r="Q53" s="88"/>
      <c r="R53" s="89"/>
    </row>
    <row r="54" spans="1:22" ht="16.5" thickBot="1">
      <c r="A54" s="419" t="s">
        <v>8</v>
      </c>
      <c r="B54" s="419"/>
      <c r="C54" s="419"/>
      <c r="D54" s="4" t="s">
        <v>7</v>
      </c>
      <c r="E54" s="4">
        <v>240</v>
      </c>
      <c r="F54" s="417">
        <f>N43</f>
        <v>178.88617612975025</v>
      </c>
      <c r="G54" s="418"/>
      <c r="H54" s="10">
        <f>H29</f>
        <v>138.00350945603429</v>
      </c>
      <c r="I54" s="10">
        <f>F54-H54</f>
        <v>40.88266667371596</v>
      </c>
      <c r="J54" s="29" t="s">
        <v>46</v>
      </c>
      <c r="K54" s="16">
        <f>I54/365*$C$19</f>
        <v>6.4590879767606035E-3</v>
      </c>
      <c r="L54" s="10">
        <f>H36</f>
        <v>69.708946943384817</v>
      </c>
      <c r="M54" s="10">
        <f>F54-L54</f>
        <v>109.17722918636544</v>
      </c>
      <c r="N54" s="161" t="s">
        <v>46</v>
      </c>
      <c r="O54" s="16">
        <f>M54/365*$C$19</f>
        <v>1.7249005159124402E-2</v>
      </c>
      <c r="P54" s="88"/>
      <c r="Q54" s="88"/>
      <c r="R54" s="89"/>
    </row>
    <row r="55" spans="1:22" ht="16.5" thickBot="1">
      <c r="A55" s="404" t="s">
        <v>9</v>
      </c>
      <c r="B55" s="404"/>
      <c r="C55" s="404"/>
      <c r="D55" s="11" t="s">
        <v>7</v>
      </c>
      <c r="E55" s="11">
        <v>240</v>
      </c>
      <c r="F55" s="417">
        <f>N44</f>
        <v>229.3952140957974</v>
      </c>
      <c r="G55" s="418"/>
      <c r="H55" s="14">
        <f>H30</f>
        <v>177.65377150123817</v>
      </c>
      <c r="I55" s="14">
        <f>F55-H55</f>
        <v>51.741442594559231</v>
      </c>
      <c r="J55" s="30" t="s">
        <v>46</v>
      </c>
      <c r="K55" s="16">
        <f>I55/365*$C$19</f>
        <v>8.1746754053504539E-3</v>
      </c>
      <c r="L55" s="14">
        <f>H36</f>
        <v>69.708946943384817</v>
      </c>
      <c r="M55" s="10">
        <f>F55-L55</f>
        <v>159.6862671524126</v>
      </c>
      <c r="N55" s="163" t="s">
        <v>46</v>
      </c>
      <c r="O55" s="16">
        <f>M55/365*$C$19</f>
        <v>2.522897188800674E-2</v>
      </c>
      <c r="P55" s="88"/>
      <c r="Q55" s="88"/>
      <c r="R55" s="89"/>
    </row>
    <row r="56" spans="1:22" ht="16.5" thickBot="1">
      <c r="A56" s="419" t="s">
        <v>42</v>
      </c>
      <c r="B56" s="419"/>
      <c r="C56" s="419"/>
      <c r="D56" s="29" t="s">
        <v>4</v>
      </c>
      <c r="E56" s="29" t="s">
        <v>4</v>
      </c>
      <c r="F56" s="417">
        <f>N45</f>
        <v>529.67680962335498</v>
      </c>
      <c r="G56" s="418"/>
      <c r="H56" s="10">
        <f>H31</f>
        <v>420.67071284985303</v>
      </c>
      <c r="I56" s="10">
        <f>F56-H56</f>
        <v>109.00609677350195</v>
      </c>
      <c r="J56" s="16">
        <f>I56*0.03412</f>
        <v>3.7192880219118862</v>
      </c>
      <c r="K56" s="10" t="s">
        <v>46</v>
      </c>
      <c r="L56" s="10">
        <f>H37</f>
        <v>365.98352017937214</v>
      </c>
      <c r="M56" s="10">
        <f t="shared" ref="M56" si="0">F56-L56</f>
        <v>163.69328944398285</v>
      </c>
      <c r="N56" s="16">
        <f>M56*0.03412</f>
        <v>5.5852150358286945</v>
      </c>
      <c r="O56" s="10" t="s">
        <v>46</v>
      </c>
    </row>
    <row r="58" spans="1:22" ht="16.5" thickBot="1">
      <c r="A58" s="403" t="s">
        <v>23</v>
      </c>
      <c r="B58" s="403"/>
      <c r="C58" s="403"/>
      <c r="D58" s="403"/>
      <c r="E58" s="403"/>
      <c r="F58" s="403"/>
      <c r="G58" s="403"/>
      <c r="H58" s="403"/>
      <c r="I58" s="403"/>
      <c r="J58" s="403"/>
      <c r="K58" s="403"/>
      <c r="L58" s="403"/>
      <c r="M58" s="403"/>
      <c r="N58" s="403"/>
      <c r="O58" s="403"/>
      <c r="P58" s="403"/>
      <c r="Q58" s="403"/>
      <c r="R58" s="403"/>
      <c r="S58" s="403"/>
      <c r="T58" s="403"/>
      <c r="U58" s="76"/>
      <c r="V58" s="76"/>
    </row>
    <row r="59" spans="1:22" ht="15.95" customHeight="1" thickBot="1">
      <c r="A59" s="439" t="s">
        <v>69</v>
      </c>
      <c r="B59" s="428" t="s">
        <v>0</v>
      </c>
      <c r="C59" s="428"/>
      <c r="D59" s="436" t="s">
        <v>1</v>
      </c>
      <c r="E59" s="439" t="s">
        <v>2</v>
      </c>
      <c r="F59" s="420" t="s">
        <v>72</v>
      </c>
      <c r="G59" s="421"/>
      <c r="H59" s="421"/>
      <c r="I59" s="421"/>
      <c r="J59" s="421"/>
      <c r="K59" s="421"/>
      <c r="L59" s="422"/>
      <c r="M59" s="420" t="s">
        <v>74</v>
      </c>
      <c r="N59" s="421"/>
      <c r="O59" s="421"/>
      <c r="P59" s="421"/>
      <c r="Q59" s="421"/>
      <c r="R59" s="421"/>
      <c r="S59" s="421"/>
      <c r="T59" s="422"/>
      <c r="U59" s="76"/>
      <c r="V59" s="76"/>
    </row>
    <row r="60" spans="1:22" ht="15.95" customHeight="1" thickBot="1">
      <c r="A60" s="440"/>
      <c r="B60" s="442"/>
      <c r="C60" s="442"/>
      <c r="D60" s="441"/>
      <c r="E60" s="440"/>
      <c r="F60" s="420" t="s">
        <v>195</v>
      </c>
      <c r="G60" s="421"/>
      <c r="H60" s="421"/>
      <c r="I60" s="422"/>
      <c r="J60" s="420" t="s">
        <v>196</v>
      </c>
      <c r="K60" s="421"/>
      <c r="L60" s="422"/>
      <c r="M60" s="423" t="s">
        <v>195</v>
      </c>
      <c r="N60" s="424"/>
      <c r="O60" s="424"/>
      <c r="P60" s="425"/>
      <c r="Q60" s="423" t="s">
        <v>196</v>
      </c>
      <c r="R60" s="424"/>
      <c r="S60" s="424"/>
      <c r="T60" s="425"/>
      <c r="U60" s="76"/>
      <c r="V60" s="76"/>
    </row>
    <row r="61" spans="1:22" ht="21.75" thickBot="1">
      <c r="A61" s="440"/>
      <c r="B61" s="442"/>
      <c r="C61" s="442"/>
      <c r="D61" s="441"/>
      <c r="E61" s="440"/>
      <c r="F61" s="435" t="s">
        <v>21</v>
      </c>
      <c r="G61" s="436"/>
      <c r="H61" s="170" t="s">
        <v>43</v>
      </c>
      <c r="I61" s="297" t="s">
        <v>197</v>
      </c>
      <c r="J61" s="298" t="s">
        <v>21</v>
      </c>
      <c r="K61" s="232" t="s">
        <v>43</v>
      </c>
      <c r="L61" s="299" t="s">
        <v>197</v>
      </c>
      <c r="M61" s="310" t="s">
        <v>21</v>
      </c>
      <c r="N61" s="170" t="s">
        <v>43</v>
      </c>
      <c r="O61" s="170" t="s">
        <v>73</v>
      </c>
      <c r="P61" s="311" t="s">
        <v>198</v>
      </c>
      <c r="Q61" s="310" t="s">
        <v>21</v>
      </c>
      <c r="R61" s="170" t="s">
        <v>43</v>
      </c>
      <c r="S61" s="170" t="s">
        <v>73</v>
      </c>
      <c r="T61" s="311" t="s">
        <v>198</v>
      </c>
      <c r="U61" s="76"/>
      <c r="V61" s="76"/>
    </row>
    <row r="62" spans="1:22" s="102" customFormat="1" ht="15.95" customHeight="1" thickBot="1">
      <c r="A62" s="445" t="s">
        <v>70</v>
      </c>
      <c r="B62" s="104" t="s">
        <v>9</v>
      </c>
      <c r="C62" s="105"/>
      <c r="D62" s="106" t="s">
        <v>6</v>
      </c>
      <c r="E62" s="287" t="s">
        <v>4</v>
      </c>
      <c r="F62" s="437">
        <f>I52</f>
        <v>102.63516966331474</v>
      </c>
      <c r="G62" s="438"/>
      <c r="H62" s="106" t="s">
        <v>46</v>
      </c>
      <c r="I62" s="107">
        <f>K52</f>
        <v>1.621541949931822E-2</v>
      </c>
      <c r="J62" s="300">
        <f>M52</f>
        <v>165.66667960751766</v>
      </c>
      <c r="K62" s="286" t="s">
        <v>46</v>
      </c>
      <c r="L62" s="301">
        <f>O52</f>
        <v>2.6173822440274479E-2</v>
      </c>
      <c r="M62" s="312">
        <f>F62*'Interactive Effects'!B11</f>
        <v>104.68787305658104</v>
      </c>
      <c r="N62" s="106" t="s">
        <v>46</v>
      </c>
      <c r="O62" s="394">
        <f>F62*'Interactive Effects'!D11</f>
        <v>-2.4632440719195539</v>
      </c>
      <c r="P62" s="382">
        <f>I62*'Interactive Effects'!C11</f>
        <v>2.18908163240796E-2</v>
      </c>
      <c r="Q62" s="312">
        <f>J62*'Interactive Effects'!B11</f>
        <v>168.98001319966801</v>
      </c>
      <c r="R62" s="233" t="str">
        <f>K62</f>
        <v>NA</v>
      </c>
      <c r="S62" s="394">
        <f>J62*'Interactive Effects'!D11</f>
        <v>-3.976000310580424</v>
      </c>
      <c r="T62" s="382">
        <f>L62*'Interactive Effects'!C11</f>
        <v>3.5334660294370553E-2</v>
      </c>
      <c r="U62" s="76"/>
      <c r="V62" s="76"/>
    </row>
    <row r="63" spans="1:22" s="102" customFormat="1" ht="15.95" customHeight="1" thickBot="1">
      <c r="A63" s="446"/>
      <c r="B63" s="98" t="s">
        <v>8</v>
      </c>
      <c r="C63" s="99"/>
      <c r="D63" s="100" t="s">
        <v>6</v>
      </c>
      <c r="E63" s="288" t="s">
        <v>4</v>
      </c>
      <c r="F63" s="433">
        <f>I52</f>
        <v>102.63516966331474</v>
      </c>
      <c r="G63" s="434"/>
      <c r="H63" s="100" t="s">
        <v>46</v>
      </c>
      <c r="I63" s="101">
        <f>K52</f>
        <v>1.621541949931822E-2</v>
      </c>
      <c r="J63" s="302">
        <f>M52</f>
        <v>165.66667960751766</v>
      </c>
      <c r="K63" s="100" t="s">
        <v>46</v>
      </c>
      <c r="L63" s="101">
        <f>O52</f>
        <v>2.6173822440274479E-2</v>
      </c>
      <c r="M63" s="357">
        <f>$C$24*F63*'Interactive Effects'!$B$11+(1-$C$24)*F63</f>
        <v>103.045710341968</v>
      </c>
      <c r="N63" s="100" t="s">
        <v>46</v>
      </c>
      <c r="O63" s="395">
        <f>$C$24*F63*'Interactive Effects'!$D$11</f>
        <v>-0.49264881438391078</v>
      </c>
      <c r="P63" s="383">
        <f>$C$24*I63*'Interactive Effects'!$C$11+(1-$C$24)*I63</f>
        <v>1.7350498864270498E-2</v>
      </c>
      <c r="Q63" s="313">
        <f>$C$24*J63*'Interactive Effects'!$B$11+(1-$C$24)*J63</f>
        <v>166.32934632594777</v>
      </c>
      <c r="R63" s="100" t="s">
        <v>46</v>
      </c>
      <c r="S63" s="395">
        <f>$C$24*J63*'Interactive Effects'!$D$11</f>
        <v>-0.79520006211608496</v>
      </c>
      <c r="T63" s="383">
        <f>$C$24*L63*'Interactive Effects'!$C$11+(1-$C$24)*L63</f>
        <v>2.8005990011093697E-2</v>
      </c>
      <c r="U63" s="76"/>
      <c r="V63" s="76"/>
    </row>
    <row r="64" spans="1:22" s="112" customFormat="1" ht="15.95" customHeight="1" thickBot="1">
      <c r="A64" s="446"/>
      <c r="B64" s="108" t="s">
        <v>9</v>
      </c>
      <c r="C64" s="109"/>
      <c r="D64" s="110" t="s">
        <v>7</v>
      </c>
      <c r="E64" s="289">
        <v>120</v>
      </c>
      <c r="F64" s="443">
        <f>I53</f>
        <v>36.745510720811922</v>
      </c>
      <c r="G64" s="444"/>
      <c r="H64" s="110" t="s">
        <v>46</v>
      </c>
      <c r="I64" s="111">
        <f>K53</f>
        <v>5.8054551184479105E-3</v>
      </c>
      <c r="J64" s="303">
        <f>M53</f>
        <v>92.329223678300352</v>
      </c>
      <c r="K64" s="110" t="s">
        <v>46</v>
      </c>
      <c r="L64" s="111">
        <f>O53</f>
        <v>1.4587174151914118E-2</v>
      </c>
      <c r="M64" s="314">
        <f>F64*'Interactive Effects'!B11</f>
        <v>37.48042093522816</v>
      </c>
      <c r="N64" s="110" t="s">
        <v>46</v>
      </c>
      <c r="O64" s="396">
        <f>F64*'Interactive Effects'!D11</f>
        <v>-0.88189225729948617</v>
      </c>
      <c r="P64" s="384">
        <f>I64*'Interactive Effects'!C11</f>
        <v>7.8373644099046791E-3</v>
      </c>
      <c r="Q64" s="314">
        <f>J64*'Interactive Effects'!B11</f>
        <v>94.175808151866363</v>
      </c>
      <c r="R64" s="235" t="str">
        <f t="shared" ref="R64:R68" si="1">K64</f>
        <v>NA</v>
      </c>
      <c r="S64" s="396">
        <f>J64*'Interactive Effects'!D11</f>
        <v>-2.2159013682792086</v>
      </c>
      <c r="T64" s="384">
        <f>L64*'Interactive Effects'!C11</f>
        <v>1.9692685105084061E-2</v>
      </c>
      <c r="U64" s="103"/>
      <c r="V64" s="103"/>
    </row>
    <row r="65" spans="1:22" s="102" customFormat="1" ht="15.95" customHeight="1" thickBot="1">
      <c r="A65" s="446"/>
      <c r="B65" s="98" t="s">
        <v>8</v>
      </c>
      <c r="C65" s="99"/>
      <c r="D65" s="100" t="s">
        <v>7</v>
      </c>
      <c r="E65" s="288">
        <v>120</v>
      </c>
      <c r="F65" s="433">
        <f>I53</f>
        <v>36.745510720811922</v>
      </c>
      <c r="G65" s="434"/>
      <c r="H65" s="100" t="s">
        <v>46</v>
      </c>
      <c r="I65" s="101">
        <f>K53</f>
        <v>5.8054551184479105E-3</v>
      </c>
      <c r="J65" s="302">
        <f>M53</f>
        <v>92.329223678300352</v>
      </c>
      <c r="K65" s="100" t="s">
        <v>46</v>
      </c>
      <c r="L65" s="101">
        <f>O53</f>
        <v>1.4587174151914118E-2</v>
      </c>
      <c r="M65" s="360">
        <f>$C$24*F65*'Interactive Effects'!$B$11+(1-$C$24)*F65</f>
        <v>36.892492763695174</v>
      </c>
      <c r="N65" s="100" t="s">
        <v>46</v>
      </c>
      <c r="O65" s="395">
        <f>$C$24*F65*'Interactive Effects'!$D$11</f>
        <v>-0.17637845145989722</v>
      </c>
      <c r="P65" s="383">
        <f>$C$24*I65*'Interactive Effects'!$C$11+(1-$C$24)*I65</f>
        <v>6.2118369767392642E-3</v>
      </c>
      <c r="Q65" s="360">
        <f>$C$24*J65*'Interactive Effects'!$B$11+(1-$C$24)*J65</f>
        <v>92.69854057301356</v>
      </c>
      <c r="R65" s="100" t="s">
        <v>46</v>
      </c>
      <c r="S65" s="395">
        <f>$C$24*J65*'Interactive Effects'!$D$11</f>
        <v>-0.44318027365584167</v>
      </c>
      <c r="T65" s="383">
        <f>$C$24*L65*'Interactive Effects'!$C$11+(1-$C$24)*L65</f>
        <v>1.5608276342548107E-2</v>
      </c>
      <c r="U65" s="76"/>
      <c r="V65" s="76"/>
    </row>
    <row r="66" spans="1:22" s="102" customFormat="1" ht="15.95" customHeight="1" thickBot="1">
      <c r="A66" s="446"/>
      <c r="B66" s="98" t="s">
        <v>8</v>
      </c>
      <c r="C66" s="99"/>
      <c r="D66" s="100" t="s">
        <v>7</v>
      </c>
      <c r="E66" s="288">
        <v>240</v>
      </c>
      <c r="F66" s="433">
        <f>I54</f>
        <v>40.88266667371596</v>
      </c>
      <c r="G66" s="434"/>
      <c r="H66" s="100" t="s">
        <v>46</v>
      </c>
      <c r="I66" s="101">
        <f>K54</f>
        <v>6.4590879767606035E-3</v>
      </c>
      <c r="J66" s="302">
        <f>M54</f>
        <v>109.17722918636544</v>
      </c>
      <c r="K66" s="100" t="s">
        <v>46</v>
      </c>
      <c r="L66" s="101">
        <f>O54</f>
        <v>1.7249005159124402E-2</v>
      </c>
      <c r="M66" s="360">
        <f>$C$24*F66*'Interactive Effects'!$B$11+(1-$C$24)*F66</f>
        <v>41.046197340410828</v>
      </c>
      <c r="N66" s="100" t="s">
        <v>46</v>
      </c>
      <c r="O66" s="395">
        <f>$C$24*F66*'Interactive Effects'!$D$11</f>
        <v>-0.19623680003383662</v>
      </c>
      <c r="P66" s="383">
        <f>$C$24*I66*'Interactive Effects'!$C$11+(1-$C$24)*I66</f>
        <v>6.9112241351338456E-3</v>
      </c>
      <c r="Q66" s="360">
        <f>$C$24*J66*'Interactive Effects'!$B$11+(1-$C$24)*J66</f>
        <v>109.61393810311091</v>
      </c>
      <c r="R66" s="100" t="s">
        <v>46</v>
      </c>
      <c r="S66" s="395">
        <f>$C$24*J66*'Interactive Effects'!$D$11</f>
        <v>-0.52405070009455412</v>
      </c>
      <c r="T66" s="383">
        <f>$C$24*L66*'Interactive Effects'!$C$11+(1-$C$24)*L66</f>
        <v>1.8456435520263111E-2</v>
      </c>
      <c r="U66" s="76"/>
      <c r="V66" s="76"/>
    </row>
    <row r="67" spans="1:22" s="102" customFormat="1" ht="15.95" customHeight="1" thickBot="1">
      <c r="A67" s="446"/>
      <c r="B67" s="98" t="s">
        <v>9</v>
      </c>
      <c r="C67" s="99"/>
      <c r="D67" s="100" t="s">
        <v>7</v>
      </c>
      <c r="E67" s="288">
        <v>240</v>
      </c>
      <c r="F67" s="433">
        <f>I55</f>
        <v>51.741442594559231</v>
      </c>
      <c r="G67" s="434"/>
      <c r="H67" s="100" t="s">
        <v>46</v>
      </c>
      <c r="I67" s="101">
        <f>K55</f>
        <v>8.1746754053504539E-3</v>
      </c>
      <c r="J67" s="302">
        <f>M55</f>
        <v>159.6862671524126</v>
      </c>
      <c r="K67" s="100" t="s">
        <v>46</v>
      </c>
      <c r="L67" s="101">
        <f>O55</f>
        <v>2.522897188800674E-2</v>
      </c>
      <c r="M67" s="313">
        <f>F67*'Interactive Effects'!B11</f>
        <v>52.776271446450416</v>
      </c>
      <c r="N67" s="100" t="s">
        <v>46</v>
      </c>
      <c r="O67" s="395">
        <f>F67*'Interactive Effects'!D11</f>
        <v>-1.2417946222694216</v>
      </c>
      <c r="P67" s="383">
        <f>I67*'Interactive Effects'!C11</f>
        <v>1.1035811797223113E-2</v>
      </c>
      <c r="Q67" s="313">
        <f>J67*'Interactive Effects'!B11</f>
        <v>162.87999249546084</v>
      </c>
      <c r="R67" s="234" t="str">
        <f t="shared" si="1"/>
        <v>NA</v>
      </c>
      <c r="S67" s="395">
        <f>J67*'Interactive Effects'!D11</f>
        <v>-3.8324704116579023</v>
      </c>
      <c r="T67" s="383">
        <f>L67*'Interactive Effects'!C11</f>
        <v>3.4059112048809105E-2</v>
      </c>
      <c r="U67" s="76"/>
      <c r="V67" s="76"/>
    </row>
    <row r="68" spans="1:22" s="102" customFormat="1" ht="15.95" customHeight="1" thickBot="1">
      <c r="A68" s="447"/>
      <c r="B68" s="113" t="s">
        <v>42</v>
      </c>
      <c r="C68" s="114"/>
      <c r="D68" s="115" t="s">
        <v>4</v>
      </c>
      <c r="E68" s="290" t="s">
        <v>4</v>
      </c>
      <c r="F68" s="448" t="s">
        <v>240</v>
      </c>
      <c r="G68" s="449"/>
      <c r="H68" s="116">
        <f>J56</f>
        <v>3.7192880219118862</v>
      </c>
      <c r="I68" s="117" t="s">
        <v>46</v>
      </c>
      <c r="J68" s="304" t="s">
        <v>240</v>
      </c>
      <c r="K68" s="116">
        <f>N56</f>
        <v>5.5852150358286945</v>
      </c>
      <c r="L68" s="117" t="s">
        <v>46</v>
      </c>
      <c r="M68" s="315" t="s">
        <v>240</v>
      </c>
      <c r="N68" s="116">
        <f>H68</f>
        <v>3.7192880219118862</v>
      </c>
      <c r="O68" s="116">
        <v>0</v>
      </c>
      <c r="P68" s="117" t="s">
        <v>46</v>
      </c>
      <c r="Q68" s="315" t="s">
        <v>240</v>
      </c>
      <c r="R68" s="116">
        <f t="shared" si="1"/>
        <v>5.5852150358286945</v>
      </c>
      <c r="S68" s="116">
        <v>0</v>
      </c>
      <c r="T68" s="117" t="s">
        <v>46</v>
      </c>
      <c r="U68" s="76"/>
      <c r="V68" s="76"/>
    </row>
    <row r="69" spans="1:22" ht="15.95" customHeight="1" thickBot="1">
      <c r="A69" s="445" t="s">
        <v>66</v>
      </c>
      <c r="B69" s="59" t="s">
        <v>9</v>
      </c>
      <c r="C69" s="60"/>
      <c r="D69" s="61" t="s">
        <v>6</v>
      </c>
      <c r="E69" s="291" t="s">
        <v>4</v>
      </c>
      <c r="F69" s="456">
        <f t="shared" ref="F69:F89" si="2">F62</f>
        <v>102.63516966331474</v>
      </c>
      <c r="G69" s="457"/>
      <c r="H69" s="61" t="str">
        <f t="shared" ref="H69:L89" si="3">H62</f>
        <v>NA</v>
      </c>
      <c r="I69" s="62">
        <f t="shared" si="3"/>
        <v>1.621541949931822E-2</v>
      </c>
      <c r="J69" s="305">
        <f>J62</f>
        <v>165.66667960751766</v>
      </c>
      <c r="K69" s="169" t="str">
        <f>K62</f>
        <v>NA</v>
      </c>
      <c r="L69" s="107">
        <f>L62</f>
        <v>2.6173822440274479E-2</v>
      </c>
      <c r="M69" s="317">
        <f>F69*'Interactive Effects'!B12</f>
        <v>109.81963153974678</v>
      </c>
      <c r="N69" s="61" t="s">
        <v>46</v>
      </c>
      <c r="O69" s="397">
        <f>F69*'Interactive Effects'!D12</f>
        <v>-1.9705952575356429</v>
      </c>
      <c r="P69" s="385">
        <f>I69*'Interactive Effects'!C12</f>
        <v>2.2377278909059141E-2</v>
      </c>
      <c r="Q69" s="312">
        <f>J69*'Interactive Effects'!B12</f>
        <v>177.26334718004392</v>
      </c>
      <c r="R69" s="233" t="str">
        <f>K69</f>
        <v>NA</v>
      </c>
      <c r="S69" s="394">
        <f>J69*'Interactive Effects'!D12</f>
        <v>-3.180800248464339</v>
      </c>
      <c r="T69" s="382">
        <f>L69*'Interactive Effects'!C12</f>
        <v>3.6119874967578777E-2</v>
      </c>
      <c r="U69" s="76"/>
      <c r="V69" s="76"/>
    </row>
    <row r="70" spans="1:22" ht="15.95" customHeight="1" thickBot="1">
      <c r="A70" s="446"/>
      <c r="B70" s="51" t="s">
        <v>8</v>
      </c>
      <c r="C70" s="52"/>
      <c r="D70" s="35" t="s">
        <v>6</v>
      </c>
      <c r="E70" s="164" t="s">
        <v>4</v>
      </c>
      <c r="F70" s="450">
        <f t="shared" si="2"/>
        <v>102.63516966331474</v>
      </c>
      <c r="G70" s="451"/>
      <c r="H70" s="163" t="str">
        <f t="shared" si="3"/>
        <v>NA</v>
      </c>
      <c r="I70" s="63">
        <f t="shared" si="3"/>
        <v>1.621541949931822E-2</v>
      </c>
      <c r="J70" s="306">
        <f t="shared" si="3"/>
        <v>165.66667960751766</v>
      </c>
      <c r="K70" s="14" t="str">
        <f t="shared" si="3"/>
        <v>NA</v>
      </c>
      <c r="L70" s="63">
        <f t="shared" si="3"/>
        <v>2.6173822440274479E-2</v>
      </c>
      <c r="M70" s="360">
        <f>$C$24*F70*'Interactive Effects'!$B$11+(1-$C$24)*F70</f>
        <v>103.045710341968</v>
      </c>
      <c r="N70" s="163" t="s">
        <v>46</v>
      </c>
      <c r="O70" s="395">
        <f>$C$24*F70*'Interactive Effects'!$D$11</f>
        <v>-0.49264881438391078</v>
      </c>
      <c r="P70" s="383">
        <f>$C$24*I70*'Interactive Effects'!$C$11+(1-$C$24)*I70</f>
        <v>1.7350498864270498E-2</v>
      </c>
      <c r="Q70" s="360">
        <f>$C$24*J70*'Interactive Effects'!$B$11+(1-$C$24)*J70</f>
        <v>166.32934632594777</v>
      </c>
      <c r="R70" s="332" t="s">
        <v>46</v>
      </c>
      <c r="S70" s="395">
        <f>$C$24*J70*'Interactive Effects'!$D$11</f>
        <v>-0.79520006211608496</v>
      </c>
      <c r="T70" s="383">
        <f>$C$24*L70*'Interactive Effects'!$C$11+(1-$C$24)*L70</f>
        <v>2.8005990011093697E-2</v>
      </c>
      <c r="U70" s="76"/>
      <c r="V70" s="76"/>
    </row>
    <row r="71" spans="1:22" ht="16.5" thickBot="1">
      <c r="A71" s="446"/>
      <c r="B71" s="49" t="s">
        <v>9</v>
      </c>
      <c r="C71" s="50"/>
      <c r="D71" s="34" t="s">
        <v>7</v>
      </c>
      <c r="E71" s="165">
        <v>120</v>
      </c>
      <c r="F71" s="452">
        <f t="shared" si="2"/>
        <v>36.745510720811922</v>
      </c>
      <c r="G71" s="453"/>
      <c r="H71" s="161" t="str">
        <f t="shared" si="3"/>
        <v>NA</v>
      </c>
      <c r="I71" s="64">
        <f t="shared" si="3"/>
        <v>5.8054551184479105E-3</v>
      </c>
      <c r="J71" s="307">
        <f t="shared" si="3"/>
        <v>92.329223678300352</v>
      </c>
      <c r="K71" s="16" t="str">
        <f t="shared" si="3"/>
        <v>NA</v>
      </c>
      <c r="L71" s="64">
        <f t="shared" si="3"/>
        <v>1.4587174151914118E-2</v>
      </c>
      <c r="M71" s="319">
        <f>F71*'Interactive Effects'!B12</f>
        <v>39.317696471268761</v>
      </c>
      <c r="N71" s="161" t="s">
        <v>46</v>
      </c>
      <c r="O71" s="16">
        <f>F71*'Interactive Effects'!D12</f>
        <v>-0.70551380583958878</v>
      </c>
      <c r="P71" s="386">
        <f>I71*'Interactive Effects'!C12</f>
        <v>8.0115280634581159E-3</v>
      </c>
      <c r="Q71" s="314">
        <f>J71*'Interactive Effects'!B12</f>
        <v>98.792269335781384</v>
      </c>
      <c r="R71" s="235" t="str">
        <f t="shared" ref="R71:R89" si="4">K71</f>
        <v>NA</v>
      </c>
      <c r="S71" s="396">
        <f>J71*'Interactive Effects'!D12</f>
        <v>-1.7727210946233667</v>
      </c>
      <c r="T71" s="384">
        <f>L71*'Interactive Effects'!C12</f>
        <v>2.0130300329641481E-2</v>
      </c>
      <c r="U71" s="76"/>
      <c r="V71" s="76"/>
    </row>
    <row r="72" spans="1:22" ht="16.5" thickBot="1">
      <c r="A72" s="446"/>
      <c r="B72" s="51" t="s">
        <v>8</v>
      </c>
      <c r="C72" s="52"/>
      <c r="D72" s="35" t="s">
        <v>7</v>
      </c>
      <c r="E72" s="164">
        <v>120</v>
      </c>
      <c r="F72" s="450">
        <f t="shared" si="2"/>
        <v>36.745510720811922</v>
      </c>
      <c r="G72" s="451"/>
      <c r="H72" s="163" t="str">
        <f t="shared" si="3"/>
        <v>NA</v>
      </c>
      <c r="I72" s="63">
        <f t="shared" si="3"/>
        <v>5.8054551184479105E-3</v>
      </c>
      <c r="J72" s="306">
        <f t="shared" si="3"/>
        <v>92.329223678300352</v>
      </c>
      <c r="K72" s="41" t="str">
        <f t="shared" si="3"/>
        <v>NA</v>
      </c>
      <c r="L72" s="63">
        <f t="shared" si="3"/>
        <v>1.4587174151914118E-2</v>
      </c>
      <c r="M72" s="360">
        <f>$C$24*F72*'Interactive Effects'!$B$11+(1-$C$24)*F72</f>
        <v>36.892492763695174</v>
      </c>
      <c r="N72" s="163" t="s">
        <v>46</v>
      </c>
      <c r="O72" s="395">
        <f>$C$24*F72*'Interactive Effects'!$D$11</f>
        <v>-0.17637845145989722</v>
      </c>
      <c r="P72" s="383">
        <f>$C$24*I72*'Interactive Effects'!$C$11+(1-$C$24)*I72</f>
        <v>6.2118369767392642E-3</v>
      </c>
      <c r="Q72" s="360">
        <f>$C$24*J72*'Interactive Effects'!$B$11+(1-$C$24)*J72</f>
        <v>92.69854057301356</v>
      </c>
      <c r="R72" s="332" t="s">
        <v>46</v>
      </c>
      <c r="S72" s="395">
        <f>$C$24*J72*'Interactive Effects'!$D$11</f>
        <v>-0.44318027365584167</v>
      </c>
      <c r="T72" s="383">
        <f>$C$24*L72*'Interactive Effects'!$C$11+(1-$C$24)*L72</f>
        <v>1.5608276342548107E-2</v>
      </c>
      <c r="U72" s="76"/>
      <c r="V72" s="76"/>
    </row>
    <row r="73" spans="1:22" ht="16.5" thickBot="1">
      <c r="A73" s="446"/>
      <c r="B73" s="49" t="s">
        <v>8</v>
      </c>
      <c r="C73" s="50"/>
      <c r="D73" s="34" t="s">
        <v>7</v>
      </c>
      <c r="E73" s="165">
        <v>240</v>
      </c>
      <c r="F73" s="452">
        <f t="shared" si="2"/>
        <v>40.88266667371596</v>
      </c>
      <c r="G73" s="453"/>
      <c r="H73" s="161" t="str">
        <f t="shared" si="3"/>
        <v>NA</v>
      </c>
      <c r="I73" s="64">
        <f t="shared" si="3"/>
        <v>6.4590879767606035E-3</v>
      </c>
      <c r="J73" s="307">
        <f t="shared" si="3"/>
        <v>109.17722918636544</v>
      </c>
      <c r="K73" s="16" t="str">
        <f t="shared" si="3"/>
        <v>NA</v>
      </c>
      <c r="L73" s="64">
        <f t="shared" si="3"/>
        <v>1.7249005159124402E-2</v>
      </c>
      <c r="M73" s="360">
        <f>$C$24*F73*'Interactive Effects'!$B$11+(1-$C$24)*F73</f>
        <v>41.046197340410828</v>
      </c>
      <c r="N73" s="161" t="s">
        <v>46</v>
      </c>
      <c r="O73" s="395">
        <f>$C$24*F73*'Interactive Effects'!$D$11</f>
        <v>-0.19623680003383662</v>
      </c>
      <c r="P73" s="383">
        <f>$C$24*I73*'Interactive Effects'!$C$11+(1-$C$24)*I73</f>
        <v>6.9112241351338456E-3</v>
      </c>
      <c r="Q73" s="360">
        <f>$C$24*J73*'Interactive Effects'!$B$11+(1-$C$24)*J73</f>
        <v>109.61393810311091</v>
      </c>
      <c r="R73" s="331" t="s">
        <v>46</v>
      </c>
      <c r="S73" s="395">
        <f>$C$24*J73*'Interactive Effects'!$D$11</f>
        <v>-0.52405070009455412</v>
      </c>
      <c r="T73" s="383">
        <f>$C$24*L73*'Interactive Effects'!$C$11+(1-$C$24)*L73</f>
        <v>1.8456435520263111E-2</v>
      </c>
      <c r="U73" s="76"/>
      <c r="V73" s="76"/>
    </row>
    <row r="74" spans="1:22" ht="16.5" thickBot="1">
      <c r="A74" s="446"/>
      <c r="B74" s="51" t="s">
        <v>9</v>
      </c>
      <c r="C74" s="52"/>
      <c r="D74" s="35" t="s">
        <v>7</v>
      </c>
      <c r="E74" s="164">
        <v>240</v>
      </c>
      <c r="F74" s="450">
        <f t="shared" si="2"/>
        <v>51.741442594559231</v>
      </c>
      <c r="G74" s="451"/>
      <c r="H74" s="163" t="str">
        <f t="shared" si="3"/>
        <v>NA</v>
      </c>
      <c r="I74" s="63">
        <f t="shared" si="3"/>
        <v>8.1746754053504539E-3</v>
      </c>
      <c r="J74" s="306">
        <f t="shared" si="3"/>
        <v>159.6862671524126</v>
      </c>
      <c r="K74" s="41" t="str">
        <f t="shared" si="3"/>
        <v>NA</v>
      </c>
      <c r="L74" s="63">
        <f t="shared" si="3"/>
        <v>2.522897188800674E-2</v>
      </c>
      <c r="M74" s="318">
        <f>F74*'Interactive Effects'!B12</f>
        <v>55.36334357617838</v>
      </c>
      <c r="N74" s="163" t="s">
        <v>46</v>
      </c>
      <c r="O74" s="41">
        <f>F74*'Interactive Effects'!D12</f>
        <v>-0.9934356978155372</v>
      </c>
      <c r="P74" s="387">
        <f>I74*'Interactive Effects'!C12</f>
        <v>1.1281052059383626E-2</v>
      </c>
      <c r="Q74" s="313">
        <f>J74*'Interactive Effects'!B12</f>
        <v>170.86430585308148</v>
      </c>
      <c r="R74" s="234" t="str">
        <f t="shared" si="4"/>
        <v>NA</v>
      </c>
      <c r="S74" s="395">
        <f>J74*'Interactive Effects'!D12</f>
        <v>-3.0659763293263218</v>
      </c>
      <c r="T74" s="383">
        <f>L74*'Interactive Effects'!C12</f>
        <v>3.4815981205449299E-2</v>
      </c>
      <c r="U74" s="76"/>
      <c r="V74" s="76"/>
    </row>
    <row r="75" spans="1:22" ht="16.5" thickBot="1">
      <c r="A75" s="447"/>
      <c r="B75" s="65" t="s">
        <v>42</v>
      </c>
      <c r="C75" s="66"/>
      <c r="D75" s="67" t="s">
        <v>4</v>
      </c>
      <c r="E75" s="292" t="s">
        <v>4</v>
      </c>
      <c r="F75" s="454" t="str">
        <f t="shared" si="2"/>
        <v>N/A</v>
      </c>
      <c r="G75" s="455"/>
      <c r="H75" s="68">
        <f t="shared" si="3"/>
        <v>3.7192880219118862</v>
      </c>
      <c r="I75" s="69" t="str">
        <f t="shared" si="3"/>
        <v>NA</v>
      </c>
      <c r="J75" s="304" t="str">
        <f t="shared" si="3"/>
        <v>N/A</v>
      </c>
      <c r="K75" s="236">
        <f t="shared" si="3"/>
        <v>5.5852150358286945</v>
      </c>
      <c r="L75" s="117" t="str">
        <f t="shared" si="3"/>
        <v>NA</v>
      </c>
      <c r="M75" s="320" t="s">
        <v>240</v>
      </c>
      <c r="N75" s="68">
        <f>H75</f>
        <v>3.7192880219118862</v>
      </c>
      <c r="O75" s="68">
        <v>0</v>
      </c>
      <c r="P75" s="69" t="s">
        <v>46</v>
      </c>
      <c r="Q75" s="315" t="s">
        <v>240</v>
      </c>
      <c r="R75" s="116">
        <f t="shared" si="4"/>
        <v>5.5852150358286945</v>
      </c>
      <c r="S75" s="116">
        <v>0</v>
      </c>
      <c r="T75" s="117" t="s">
        <v>46</v>
      </c>
      <c r="U75" s="76"/>
      <c r="V75" s="76"/>
    </row>
    <row r="76" spans="1:22" ht="16.5" thickBot="1">
      <c r="A76" s="445" t="s">
        <v>67</v>
      </c>
      <c r="B76" s="59" t="s">
        <v>9</v>
      </c>
      <c r="C76" s="60"/>
      <c r="D76" s="61" t="s">
        <v>6</v>
      </c>
      <c r="E76" s="291" t="s">
        <v>4</v>
      </c>
      <c r="F76" s="456">
        <f t="shared" si="2"/>
        <v>102.63516966331474</v>
      </c>
      <c r="G76" s="457"/>
      <c r="H76" s="61" t="str">
        <f t="shared" si="3"/>
        <v>NA</v>
      </c>
      <c r="I76" s="62">
        <f t="shared" si="3"/>
        <v>1.621541949931822E-2</v>
      </c>
      <c r="J76" s="305">
        <f>J69</f>
        <v>165.66667960751766</v>
      </c>
      <c r="K76" s="169" t="str">
        <f>K69</f>
        <v>NA</v>
      </c>
      <c r="L76" s="308">
        <f>L69</f>
        <v>2.6173822440274479E-2</v>
      </c>
      <c r="M76" s="317">
        <f>F76*'Interactive Effects'!B13</f>
        <v>109.81963153974678</v>
      </c>
      <c r="N76" s="61" t="s">
        <v>46</v>
      </c>
      <c r="O76" s="397">
        <f>F76*'Interactive Effects'!D13</f>
        <v>-1.9705952575356429</v>
      </c>
      <c r="P76" s="385">
        <f>I76*'Interactive Effects'!C13</f>
        <v>2.2377278909059141E-2</v>
      </c>
      <c r="Q76" s="312">
        <f>J76*'Interactive Effects'!B13</f>
        <v>177.26334718004392</v>
      </c>
      <c r="R76" s="233" t="str">
        <f>K76</f>
        <v>NA</v>
      </c>
      <c r="S76" s="394">
        <f>J76*'Interactive Effects'!D13</f>
        <v>-3.180800248464339</v>
      </c>
      <c r="T76" s="382">
        <f>L76*'Interactive Effects'!C13</f>
        <v>3.6119874967578777E-2</v>
      </c>
      <c r="U76" s="76"/>
      <c r="V76" s="76"/>
    </row>
    <row r="77" spans="1:22" ht="16.5" thickBot="1">
      <c r="A77" s="446"/>
      <c r="B77" s="51" t="s">
        <v>8</v>
      </c>
      <c r="C77" s="52"/>
      <c r="D77" s="35" t="s">
        <v>6</v>
      </c>
      <c r="E77" s="164" t="s">
        <v>4</v>
      </c>
      <c r="F77" s="450">
        <f t="shared" si="2"/>
        <v>102.63516966331474</v>
      </c>
      <c r="G77" s="451"/>
      <c r="H77" s="163" t="str">
        <f t="shared" si="3"/>
        <v>NA</v>
      </c>
      <c r="I77" s="63">
        <f t="shared" si="3"/>
        <v>1.621541949931822E-2</v>
      </c>
      <c r="J77" s="306">
        <f t="shared" ref="J77:L77" si="5">J70</f>
        <v>165.66667960751766</v>
      </c>
      <c r="K77" s="14" t="str">
        <f t="shared" si="5"/>
        <v>NA</v>
      </c>
      <c r="L77" s="309">
        <f t="shared" si="5"/>
        <v>2.6173822440274479E-2</v>
      </c>
      <c r="M77" s="360">
        <f>$C$24*F77*'Interactive Effects'!$B$11+(1-$C$24)*F77</f>
        <v>103.045710341968</v>
      </c>
      <c r="N77" s="163" t="s">
        <v>46</v>
      </c>
      <c r="O77" s="395">
        <f>$C$24*F77*'Interactive Effects'!$D$11</f>
        <v>-0.49264881438391078</v>
      </c>
      <c r="P77" s="383">
        <f>$C$24*I77*'Interactive Effects'!$C$11+(1-$C$24)*I77</f>
        <v>1.7350498864270498E-2</v>
      </c>
      <c r="Q77" s="360">
        <f>$C$24*J77*'Interactive Effects'!$B$11+(1-$C$24)*J77</f>
        <v>166.32934632594777</v>
      </c>
      <c r="R77" s="332" t="s">
        <v>46</v>
      </c>
      <c r="S77" s="395">
        <f>$C$24*J77*'Interactive Effects'!$D$11</f>
        <v>-0.79520006211608496</v>
      </c>
      <c r="T77" s="383">
        <f>$C$24*L77*'Interactive Effects'!$C$11+(1-$C$24)*L77</f>
        <v>2.8005990011093697E-2</v>
      </c>
      <c r="U77" s="76"/>
      <c r="V77" s="76"/>
    </row>
    <row r="78" spans="1:22" ht="16.5" thickBot="1">
      <c r="A78" s="446"/>
      <c r="B78" s="49" t="s">
        <v>9</v>
      </c>
      <c r="C78" s="50"/>
      <c r="D78" s="34" t="s">
        <v>7</v>
      </c>
      <c r="E78" s="165">
        <v>120</v>
      </c>
      <c r="F78" s="452">
        <f t="shared" si="2"/>
        <v>36.745510720811922</v>
      </c>
      <c r="G78" s="453"/>
      <c r="H78" s="161" t="str">
        <f t="shared" si="3"/>
        <v>NA</v>
      </c>
      <c r="I78" s="64">
        <f t="shared" si="3"/>
        <v>5.8054551184479105E-3</v>
      </c>
      <c r="J78" s="307">
        <f t="shared" ref="J78:L78" si="6">J71</f>
        <v>92.329223678300352</v>
      </c>
      <c r="K78" s="16" t="str">
        <f t="shared" si="6"/>
        <v>NA</v>
      </c>
      <c r="L78" s="64">
        <f t="shared" si="6"/>
        <v>1.4587174151914118E-2</v>
      </c>
      <c r="M78" s="319">
        <f>F78*'Interactive Effects'!B13</f>
        <v>39.317696471268761</v>
      </c>
      <c r="N78" s="161" t="s">
        <v>46</v>
      </c>
      <c r="O78" s="16">
        <f>F78*'Interactive Effects'!D13</f>
        <v>-0.70551380583958878</v>
      </c>
      <c r="P78" s="386">
        <f>I78*'Interactive Effects'!C13</f>
        <v>8.0115280634581159E-3</v>
      </c>
      <c r="Q78" s="316">
        <f>J78*'Interactive Effects'!B13</f>
        <v>98.792269335781384</v>
      </c>
      <c r="R78" s="235" t="str">
        <f t="shared" si="4"/>
        <v>NA</v>
      </c>
      <c r="S78" s="396">
        <f>J78*'Interactive Effects'!D13</f>
        <v>-1.7727210946233667</v>
      </c>
      <c r="T78" s="384">
        <f>L78*'Interactive Effects'!C13</f>
        <v>2.0130300329641481E-2</v>
      </c>
      <c r="U78" s="76"/>
      <c r="V78" s="76"/>
    </row>
    <row r="79" spans="1:22" ht="16.5" thickBot="1">
      <c r="A79" s="446"/>
      <c r="B79" s="51" t="s">
        <v>8</v>
      </c>
      <c r="C79" s="52"/>
      <c r="D79" s="35" t="s">
        <v>7</v>
      </c>
      <c r="E79" s="164">
        <v>120</v>
      </c>
      <c r="F79" s="450">
        <f t="shared" si="2"/>
        <v>36.745510720811922</v>
      </c>
      <c r="G79" s="451"/>
      <c r="H79" s="163" t="str">
        <f t="shared" si="3"/>
        <v>NA</v>
      </c>
      <c r="I79" s="63">
        <f t="shared" si="3"/>
        <v>5.8054551184479105E-3</v>
      </c>
      <c r="J79" s="306">
        <f t="shared" ref="J79:L79" si="7">J72</f>
        <v>92.329223678300352</v>
      </c>
      <c r="K79" s="41" t="str">
        <f t="shared" si="7"/>
        <v>NA</v>
      </c>
      <c r="L79" s="63">
        <f t="shared" si="7"/>
        <v>1.4587174151914118E-2</v>
      </c>
      <c r="M79" s="360">
        <f>$C$24*F79*'Interactive Effects'!$B$11+(1-$C$24)*F79</f>
        <v>36.892492763695174</v>
      </c>
      <c r="N79" s="163" t="s">
        <v>46</v>
      </c>
      <c r="O79" s="395">
        <f>$C$24*F79*'Interactive Effects'!$D$11</f>
        <v>-0.17637845145989722</v>
      </c>
      <c r="P79" s="383">
        <f>$C$24*I79*'Interactive Effects'!$C$11+(1-$C$24)*I79</f>
        <v>6.2118369767392642E-3</v>
      </c>
      <c r="Q79" s="360">
        <f>$C$24*J79*'Interactive Effects'!$B$11+(1-$C$24)*J79</f>
        <v>92.69854057301356</v>
      </c>
      <c r="R79" s="332" t="s">
        <v>46</v>
      </c>
      <c r="S79" s="395">
        <f>$C$24*J79*'Interactive Effects'!$D$11</f>
        <v>-0.44318027365584167</v>
      </c>
      <c r="T79" s="383">
        <f>$C$24*L79*'Interactive Effects'!$C$11+(1-$C$24)*L79</f>
        <v>1.5608276342548107E-2</v>
      </c>
      <c r="U79" s="76"/>
      <c r="V79" s="76"/>
    </row>
    <row r="80" spans="1:22" ht="16.5" thickBot="1">
      <c r="A80" s="446"/>
      <c r="B80" s="49" t="s">
        <v>8</v>
      </c>
      <c r="C80" s="50"/>
      <c r="D80" s="34" t="s">
        <v>7</v>
      </c>
      <c r="E80" s="165">
        <v>240</v>
      </c>
      <c r="F80" s="452">
        <f t="shared" si="2"/>
        <v>40.88266667371596</v>
      </c>
      <c r="G80" s="453"/>
      <c r="H80" s="161" t="str">
        <f t="shared" si="3"/>
        <v>NA</v>
      </c>
      <c r="I80" s="64">
        <f t="shared" si="3"/>
        <v>6.4590879767606035E-3</v>
      </c>
      <c r="J80" s="307">
        <f t="shared" ref="J80:L80" si="8">J73</f>
        <v>109.17722918636544</v>
      </c>
      <c r="K80" s="16" t="str">
        <f t="shared" si="8"/>
        <v>NA</v>
      </c>
      <c r="L80" s="64">
        <f t="shared" si="8"/>
        <v>1.7249005159124402E-2</v>
      </c>
      <c r="M80" s="360">
        <f>$C$24*F80*'Interactive Effects'!$B$11+(1-$C$24)*F80</f>
        <v>41.046197340410828</v>
      </c>
      <c r="N80" s="161" t="s">
        <v>46</v>
      </c>
      <c r="O80" s="395">
        <f>$C$24*F80*'Interactive Effects'!$D$11</f>
        <v>-0.19623680003383662</v>
      </c>
      <c r="P80" s="383">
        <f>$C$24*I80*'Interactive Effects'!$C$11+(1-$C$24)*I80</f>
        <v>6.9112241351338456E-3</v>
      </c>
      <c r="Q80" s="360">
        <f>$C$24*J80*'Interactive Effects'!$B$11+(1-$C$24)*J80</f>
        <v>109.61393810311091</v>
      </c>
      <c r="R80" s="331" t="s">
        <v>46</v>
      </c>
      <c r="S80" s="395">
        <f>$C$24*J80*'Interactive Effects'!$D$11</f>
        <v>-0.52405070009455412</v>
      </c>
      <c r="T80" s="383">
        <f>$C$24*L80*'Interactive Effects'!$C$11+(1-$C$24)*L80</f>
        <v>1.8456435520263111E-2</v>
      </c>
      <c r="U80" s="76"/>
      <c r="V80" s="76"/>
    </row>
    <row r="81" spans="1:22" ht="16.5" thickBot="1">
      <c r="A81" s="446"/>
      <c r="B81" s="51" t="s">
        <v>9</v>
      </c>
      <c r="C81" s="52"/>
      <c r="D81" s="35" t="s">
        <v>7</v>
      </c>
      <c r="E81" s="164">
        <v>240</v>
      </c>
      <c r="F81" s="450">
        <f t="shared" si="2"/>
        <v>51.741442594559231</v>
      </c>
      <c r="G81" s="451"/>
      <c r="H81" s="163" t="str">
        <f t="shared" si="3"/>
        <v>NA</v>
      </c>
      <c r="I81" s="63">
        <f t="shared" si="3"/>
        <v>8.1746754053504539E-3</v>
      </c>
      <c r="J81" s="306">
        <f t="shared" ref="J81:L81" si="9">J74</f>
        <v>159.6862671524126</v>
      </c>
      <c r="K81" s="41" t="str">
        <f t="shared" si="9"/>
        <v>NA</v>
      </c>
      <c r="L81" s="63">
        <f t="shared" si="9"/>
        <v>2.522897188800674E-2</v>
      </c>
      <c r="M81" s="318">
        <f>F81*'Interactive Effects'!B13</f>
        <v>55.36334357617838</v>
      </c>
      <c r="N81" s="163" t="s">
        <v>46</v>
      </c>
      <c r="O81" s="41">
        <f>F81*'Interactive Effects'!D13</f>
        <v>-0.9934356978155372</v>
      </c>
      <c r="P81" s="387">
        <f>I81*'Interactive Effects'!C13</f>
        <v>1.1281052059383626E-2</v>
      </c>
      <c r="Q81" s="313">
        <f>J81*'Interactive Effects'!B13</f>
        <v>170.86430585308148</v>
      </c>
      <c r="R81" s="234" t="str">
        <f t="shared" si="4"/>
        <v>NA</v>
      </c>
      <c r="S81" s="395">
        <f>J81*'Interactive Effects'!D13</f>
        <v>-3.0659763293263218</v>
      </c>
      <c r="T81" s="383">
        <f>L81*'Interactive Effects'!C13</f>
        <v>3.4815981205449299E-2</v>
      </c>
      <c r="U81" s="76"/>
      <c r="V81" s="76"/>
    </row>
    <row r="82" spans="1:22" ht="16.5" thickBot="1">
      <c r="A82" s="447"/>
      <c r="B82" s="65" t="s">
        <v>42</v>
      </c>
      <c r="C82" s="66"/>
      <c r="D82" s="67" t="s">
        <v>4</v>
      </c>
      <c r="E82" s="292" t="s">
        <v>4</v>
      </c>
      <c r="F82" s="454" t="str">
        <f t="shared" si="2"/>
        <v>N/A</v>
      </c>
      <c r="G82" s="455"/>
      <c r="H82" s="68">
        <f t="shared" si="3"/>
        <v>3.7192880219118862</v>
      </c>
      <c r="I82" s="69" t="str">
        <f t="shared" si="3"/>
        <v>NA</v>
      </c>
      <c r="J82" s="304" t="str">
        <f t="shared" ref="J82:L82" si="10">J75</f>
        <v>N/A</v>
      </c>
      <c r="K82" s="236">
        <f t="shared" si="10"/>
        <v>5.5852150358286945</v>
      </c>
      <c r="L82" s="117" t="str">
        <f t="shared" si="10"/>
        <v>NA</v>
      </c>
      <c r="M82" s="320" t="s">
        <v>240</v>
      </c>
      <c r="N82" s="68">
        <f>H82</f>
        <v>3.7192880219118862</v>
      </c>
      <c r="O82" s="68">
        <v>0</v>
      </c>
      <c r="P82" s="69" t="s">
        <v>46</v>
      </c>
      <c r="Q82" s="315" t="s">
        <v>240</v>
      </c>
      <c r="R82" s="116">
        <f t="shared" si="4"/>
        <v>5.5852150358286945</v>
      </c>
      <c r="S82" s="116">
        <v>0</v>
      </c>
      <c r="T82" s="117" t="s">
        <v>46</v>
      </c>
      <c r="U82" s="76"/>
      <c r="V82" s="76"/>
    </row>
    <row r="83" spans="1:22" ht="16.5" thickBot="1">
      <c r="A83" s="445" t="s">
        <v>71</v>
      </c>
      <c r="B83" s="70" t="s">
        <v>9</v>
      </c>
      <c r="C83" s="71"/>
      <c r="D83" s="72" t="s">
        <v>6</v>
      </c>
      <c r="E83" s="293" t="s">
        <v>4</v>
      </c>
      <c r="F83" s="456">
        <f t="shared" si="2"/>
        <v>102.63516966331474</v>
      </c>
      <c r="G83" s="457"/>
      <c r="H83" s="61" t="str">
        <f t="shared" si="3"/>
        <v>NA</v>
      </c>
      <c r="I83" s="62">
        <f t="shared" si="3"/>
        <v>1.621541949931822E-2</v>
      </c>
      <c r="J83" s="305">
        <f>J76</f>
        <v>165.66667960751766</v>
      </c>
      <c r="K83" s="169" t="str">
        <f>K76</f>
        <v>NA</v>
      </c>
      <c r="L83" s="308">
        <f>L76</f>
        <v>2.6173822440274479E-2</v>
      </c>
      <c r="M83" s="317">
        <f>F83*'Interactive Effects'!B14</f>
        <v>105.71422475321418</v>
      </c>
      <c r="N83" s="61" t="s">
        <v>46</v>
      </c>
      <c r="O83" s="397">
        <f>F83*'Interactive Effects'!D14</f>
        <v>-1.8063789860743396</v>
      </c>
      <c r="P83" s="385">
        <f>I83*'Interactive Effects'!C14</f>
        <v>2.0755736959127323E-2</v>
      </c>
      <c r="Q83" s="312">
        <f>J83*'Interactive Effects'!B14</f>
        <v>170.63667999574321</v>
      </c>
      <c r="R83" s="233" t="str">
        <f>K83</f>
        <v>NA</v>
      </c>
      <c r="S83" s="394">
        <f>J83*'Interactive Effects'!D14</f>
        <v>-2.9157335610923112</v>
      </c>
      <c r="T83" s="382">
        <f>L83*'Interactive Effects'!C14</f>
        <v>3.3502492723551332E-2</v>
      </c>
      <c r="U83" s="76"/>
      <c r="V83" s="76"/>
    </row>
    <row r="84" spans="1:22" ht="16.5" thickBot="1">
      <c r="A84" s="446"/>
      <c r="B84" s="53" t="s">
        <v>8</v>
      </c>
      <c r="C84" s="54"/>
      <c r="D84" s="55" t="s">
        <v>6</v>
      </c>
      <c r="E84" s="294" t="s">
        <v>4</v>
      </c>
      <c r="F84" s="450">
        <f t="shared" si="2"/>
        <v>102.63516966331474</v>
      </c>
      <c r="G84" s="451"/>
      <c r="H84" s="163" t="str">
        <f t="shared" si="3"/>
        <v>NA</v>
      </c>
      <c r="I84" s="63">
        <f t="shared" si="3"/>
        <v>1.621541949931822E-2</v>
      </c>
      <c r="J84" s="306">
        <f t="shared" ref="J84:L84" si="11">J77</f>
        <v>165.66667960751766</v>
      </c>
      <c r="K84" s="14" t="str">
        <f t="shared" si="11"/>
        <v>NA</v>
      </c>
      <c r="L84" s="309">
        <f t="shared" si="11"/>
        <v>2.6173822440274479E-2</v>
      </c>
      <c r="M84" s="360">
        <f>$C$24*F84*'Interactive Effects'!$B$11+(1-$C$24)*F84</f>
        <v>103.045710341968</v>
      </c>
      <c r="N84" s="163" t="s">
        <v>46</v>
      </c>
      <c r="O84" s="395">
        <f>$C$24*F84*'Interactive Effects'!$D$11</f>
        <v>-0.49264881438391078</v>
      </c>
      <c r="P84" s="383">
        <f>$C$24*I84*'Interactive Effects'!$C$11+(1-$C$24)*I84</f>
        <v>1.7350498864270498E-2</v>
      </c>
      <c r="Q84" s="360">
        <f>$C$24*J84*'Interactive Effects'!$B$11+(1-$C$24)*J84</f>
        <v>166.32934632594777</v>
      </c>
      <c r="R84" s="332" t="s">
        <v>46</v>
      </c>
      <c r="S84" s="395">
        <f>$C$24*J84*'Interactive Effects'!$D$11</f>
        <v>-0.79520006211608496</v>
      </c>
      <c r="T84" s="383">
        <f>$C$24*L84*'Interactive Effects'!$C$11+(1-$C$24)*L84</f>
        <v>2.8005990011093697E-2</v>
      </c>
      <c r="U84" s="76"/>
      <c r="V84" s="76"/>
    </row>
    <row r="85" spans="1:22" ht="16.5" thickBot="1">
      <c r="A85" s="446"/>
      <c r="B85" s="56" t="s">
        <v>9</v>
      </c>
      <c r="C85" s="57"/>
      <c r="D85" s="58" t="s">
        <v>7</v>
      </c>
      <c r="E85" s="295">
        <v>120</v>
      </c>
      <c r="F85" s="452">
        <f t="shared" si="2"/>
        <v>36.745510720811922</v>
      </c>
      <c r="G85" s="453"/>
      <c r="H85" s="161" t="str">
        <f t="shared" si="3"/>
        <v>NA</v>
      </c>
      <c r="I85" s="64">
        <f t="shared" si="3"/>
        <v>5.8054551184479105E-3</v>
      </c>
      <c r="J85" s="307">
        <f t="shared" ref="J85:L85" si="12">J78</f>
        <v>92.329223678300352</v>
      </c>
      <c r="K85" s="16" t="str">
        <f t="shared" si="12"/>
        <v>NA</v>
      </c>
      <c r="L85" s="64">
        <f t="shared" si="12"/>
        <v>1.4587174151914118E-2</v>
      </c>
      <c r="M85" s="319">
        <f>F85*'Interactive Effects'!B14</f>
        <v>37.847876042436283</v>
      </c>
      <c r="N85" s="161" t="s">
        <v>46</v>
      </c>
      <c r="O85" s="16">
        <f>F85*'Interactive Effects'!D14</f>
        <v>-0.64672098868628991</v>
      </c>
      <c r="P85" s="386">
        <f>I85*'Interactive Effects'!C14</f>
        <v>7.4309825516133254E-3</v>
      </c>
      <c r="Q85" s="316">
        <f>J85*'Interactive Effects'!B14</f>
        <v>95.099100388649362</v>
      </c>
      <c r="R85" s="235" t="str">
        <f t="shared" si="4"/>
        <v>NA</v>
      </c>
      <c r="S85" s="396">
        <f>J85*'Interactive Effects'!D14</f>
        <v>-1.6249943367380864</v>
      </c>
      <c r="T85" s="384">
        <f>L85*'Interactive Effects'!C14</f>
        <v>1.867158291445007E-2</v>
      </c>
      <c r="U85" s="76"/>
      <c r="V85" s="76"/>
    </row>
    <row r="86" spans="1:22" ht="16.5" thickBot="1">
      <c r="A86" s="446"/>
      <c r="B86" s="53" t="s">
        <v>8</v>
      </c>
      <c r="C86" s="54"/>
      <c r="D86" s="55" t="s">
        <v>7</v>
      </c>
      <c r="E86" s="294">
        <v>120</v>
      </c>
      <c r="F86" s="450">
        <f t="shared" si="2"/>
        <v>36.745510720811922</v>
      </c>
      <c r="G86" s="451"/>
      <c r="H86" s="163" t="str">
        <f t="shared" si="3"/>
        <v>NA</v>
      </c>
      <c r="I86" s="63">
        <f t="shared" si="3"/>
        <v>5.8054551184479105E-3</v>
      </c>
      <c r="J86" s="306">
        <f t="shared" ref="J86:L86" si="13">J79</f>
        <v>92.329223678300352</v>
      </c>
      <c r="K86" s="41" t="str">
        <f t="shared" si="13"/>
        <v>NA</v>
      </c>
      <c r="L86" s="63">
        <f t="shared" si="13"/>
        <v>1.4587174151914118E-2</v>
      </c>
      <c r="M86" s="360">
        <f>$C$24*F86*'Interactive Effects'!$B$11+(1-$C$24)*F86</f>
        <v>36.892492763695174</v>
      </c>
      <c r="N86" s="163" t="s">
        <v>46</v>
      </c>
      <c r="O86" s="395">
        <f>$C$24*F86*'Interactive Effects'!$D$11</f>
        <v>-0.17637845145989722</v>
      </c>
      <c r="P86" s="383">
        <f>$C$24*I86*'Interactive Effects'!$C$11+(1-$C$24)*I86</f>
        <v>6.2118369767392642E-3</v>
      </c>
      <c r="Q86" s="360">
        <f>$C$24*J86*'Interactive Effects'!$B$11+(1-$C$24)*J86</f>
        <v>92.69854057301356</v>
      </c>
      <c r="R86" s="332" t="s">
        <v>46</v>
      </c>
      <c r="S86" s="395">
        <f>$C$24*J86*'Interactive Effects'!$D$11</f>
        <v>-0.44318027365584167</v>
      </c>
      <c r="T86" s="383">
        <f>$C$24*L86*'Interactive Effects'!$C$11+(1-$C$24)*L86</f>
        <v>1.5608276342548107E-2</v>
      </c>
      <c r="U86" s="76"/>
      <c r="V86" s="76"/>
    </row>
    <row r="87" spans="1:22" ht="16.5" thickBot="1">
      <c r="A87" s="446"/>
      <c r="B87" s="56" t="s">
        <v>8</v>
      </c>
      <c r="C87" s="57"/>
      <c r="D87" s="58" t="s">
        <v>7</v>
      </c>
      <c r="E87" s="295">
        <v>240</v>
      </c>
      <c r="F87" s="452">
        <f t="shared" si="2"/>
        <v>40.88266667371596</v>
      </c>
      <c r="G87" s="453"/>
      <c r="H87" s="161" t="str">
        <f t="shared" si="3"/>
        <v>NA</v>
      </c>
      <c r="I87" s="64">
        <f t="shared" si="3"/>
        <v>6.4590879767606035E-3</v>
      </c>
      <c r="J87" s="307">
        <f t="shared" ref="J87:L87" si="14">J80</f>
        <v>109.17722918636544</v>
      </c>
      <c r="K87" s="16" t="str">
        <f t="shared" si="14"/>
        <v>NA</v>
      </c>
      <c r="L87" s="64">
        <f t="shared" si="14"/>
        <v>1.7249005159124402E-2</v>
      </c>
      <c r="M87" s="360">
        <f>$C$24*F87*'Interactive Effects'!$B$11+(1-$C$24)*F87</f>
        <v>41.046197340410828</v>
      </c>
      <c r="N87" s="161" t="s">
        <v>46</v>
      </c>
      <c r="O87" s="395">
        <f>$C$24*F87*'Interactive Effects'!$D$11</f>
        <v>-0.19623680003383662</v>
      </c>
      <c r="P87" s="383">
        <f>$C$24*I87*'Interactive Effects'!$C$11+(1-$C$24)*I87</f>
        <v>6.9112241351338456E-3</v>
      </c>
      <c r="Q87" s="360">
        <f>$C$24*J87*'Interactive Effects'!$B$11+(1-$C$24)*J87</f>
        <v>109.61393810311091</v>
      </c>
      <c r="R87" s="331" t="s">
        <v>46</v>
      </c>
      <c r="S87" s="395">
        <f>$C$24*J87*'Interactive Effects'!$D$11</f>
        <v>-0.52405070009455412</v>
      </c>
      <c r="T87" s="383">
        <f>$C$24*L87*'Interactive Effects'!$C$11+(1-$C$24)*L87</f>
        <v>1.8456435520263111E-2</v>
      </c>
      <c r="U87" s="76"/>
      <c r="V87" s="76"/>
    </row>
    <row r="88" spans="1:22" ht="16.5" thickBot="1">
      <c r="A88" s="446"/>
      <c r="B88" s="53" t="s">
        <v>9</v>
      </c>
      <c r="C88" s="54"/>
      <c r="D88" s="55" t="s">
        <v>7</v>
      </c>
      <c r="E88" s="294">
        <v>240</v>
      </c>
      <c r="F88" s="450">
        <f t="shared" si="2"/>
        <v>51.741442594559231</v>
      </c>
      <c r="G88" s="451"/>
      <c r="H88" s="163" t="str">
        <f t="shared" si="3"/>
        <v>NA</v>
      </c>
      <c r="I88" s="63">
        <f t="shared" si="3"/>
        <v>8.1746754053504539E-3</v>
      </c>
      <c r="J88" s="306">
        <f t="shared" ref="J88:L88" si="15">J81</f>
        <v>159.6862671524126</v>
      </c>
      <c r="K88" s="41" t="str">
        <f t="shared" si="15"/>
        <v>NA</v>
      </c>
      <c r="L88" s="63">
        <f t="shared" si="15"/>
        <v>2.522897188800674E-2</v>
      </c>
      <c r="M88" s="318">
        <f>F88*'Interactive Effects'!B14</f>
        <v>53.293685872396011</v>
      </c>
      <c r="N88" s="163" t="s">
        <v>46</v>
      </c>
      <c r="O88" s="41">
        <f>F88*'Interactive Effects'!D14</f>
        <v>-0.91064938966424258</v>
      </c>
      <c r="P88" s="387">
        <f>I88*'Interactive Effects'!C14</f>
        <v>1.0463584518848582E-2</v>
      </c>
      <c r="Q88" s="313">
        <f>J88*'Interactive Effects'!B14</f>
        <v>164.47685516698499</v>
      </c>
      <c r="R88" s="234" t="str">
        <f t="shared" si="4"/>
        <v>NA</v>
      </c>
      <c r="S88" s="395">
        <f>J88*'Interactive Effects'!D14</f>
        <v>-2.8104783018824619</v>
      </c>
      <c r="T88" s="383">
        <f>L88*'Interactive Effects'!C14</f>
        <v>3.2293084016648627E-2</v>
      </c>
      <c r="U88" s="76"/>
      <c r="V88" s="76"/>
    </row>
    <row r="89" spans="1:22" ht="16.5" thickBot="1">
      <c r="A89" s="447"/>
      <c r="B89" s="73" t="s">
        <v>42</v>
      </c>
      <c r="C89" s="74"/>
      <c r="D89" s="75" t="s">
        <v>4</v>
      </c>
      <c r="E89" s="296" t="s">
        <v>4</v>
      </c>
      <c r="F89" s="454" t="str">
        <f t="shared" si="2"/>
        <v>N/A</v>
      </c>
      <c r="G89" s="455"/>
      <c r="H89" s="68">
        <f t="shared" si="3"/>
        <v>3.7192880219118862</v>
      </c>
      <c r="I89" s="69" t="str">
        <f t="shared" si="3"/>
        <v>NA</v>
      </c>
      <c r="J89" s="304" t="str">
        <f t="shared" ref="J89:L89" si="16">J82</f>
        <v>N/A</v>
      </c>
      <c r="K89" s="236">
        <f t="shared" si="16"/>
        <v>5.5852150358286945</v>
      </c>
      <c r="L89" s="117" t="str">
        <f t="shared" si="16"/>
        <v>NA</v>
      </c>
      <c r="M89" s="320" t="s">
        <v>240</v>
      </c>
      <c r="N89" s="68">
        <f>H89</f>
        <v>3.7192880219118862</v>
      </c>
      <c r="O89" s="68">
        <v>0</v>
      </c>
      <c r="P89" s="69" t="s">
        <v>46</v>
      </c>
      <c r="Q89" s="315" t="s">
        <v>240</v>
      </c>
      <c r="R89" s="116">
        <f t="shared" si="4"/>
        <v>5.5852150358286945</v>
      </c>
      <c r="S89" s="116">
        <v>0</v>
      </c>
      <c r="T89" s="117" t="s">
        <v>46</v>
      </c>
      <c r="U89" s="76"/>
      <c r="V89" s="76"/>
    </row>
    <row r="90" spans="1:22">
      <c r="M90" s="121"/>
      <c r="O90" s="76"/>
      <c r="P90" s="76"/>
      <c r="Q90" s="76"/>
      <c r="R90" s="76"/>
      <c r="S90" s="76"/>
      <c r="T90" s="76"/>
      <c r="U90" s="76"/>
      <c r="V90" s="76"/>
    </row>
    <row r="91" spans="1:22">
      <c r="M91" s="121"/>
      <c r="O91" s="76"/>
      <c r="P91" s="76"/>
      <c r="Q91" s="76"/>
      <c r="R91" s="76"/>
      <c r="S91" s="76"/>
      <c r="T91" s="76"/>
      <c r="U91" s="76"/>
      <c r="V91" s="76"/>
    </row>
    <row r="92" spans="1:22">
      <c r="M92" s="121"/>
      <c r="O92" s="76"/>
      <c r="P92" s="76"/>
      <c r="Q92" s="76"/>
      <c r="R92" s="76"/>
      <c r="S92" s="76"/>
      <c r="T92" s="76"/>
      <c r="U92" s="76"/>
      <c r="V92" s="76"/>
    </row>
    <row r="93" spans="1:22">
      <c r="M93" s="121"/>
      <c r="O93" s="76"/>
      <c r="P93" s="76"/>
      <c r="Q93" s="76"/>
      <c r="R93" s="76"/>
      <c r="S93" s="76"/>
      <c r="T93" s="76"/>
      <c r="U93" s="76"/>
      <c r="V93" s="76"/>
    </row>
    <row r="94" spans="1:22">
      <c r="M94" s="121"/>
      <c r="O94" s="76"/>
      <c r="P94" s="76"/>
      <c r="Q94" s="76"/>
      <c r="R94" s="76"/>
      <c r="S94" s="76"/>
      <c r="T94" s="76"/>
      <c r="U94" s="76"/>
      <c r="V94" s="76"/>
    </row>
    <row r="95" spans="1:22">
      <c r="M95" s="121"/>
      <c r="O95" s="76"/>
      <c r="P95" s="76"/>
      <c r="Q95" s="76"/>
      <c r="R95" s="76"/>
      <c r="S95" s="76"/>
      <c r="T95" s="76"/>
      <c r="U95" s="76"/>
      <c r="V95" s="76"/>
    </row>
    <row r="96" spans="1:22">
      <c r="M96" s="121"/>
      <c r="O96" s="76"/>
      <c r="P96" s="76"/>
      <c r="Q96" s="76"/>
      <c r="R96" s="76"/>
      <c r="S96" s="76"/>
      <c r="T96" s="76"/>
      <c r="U96" s="76"/>
      <c r="V96" s="76"/>
    </row>
    <row r="97" spans="13:13">
      <c r="M97" s="121"/>
    </row>
    <row r="98" spans="13:13">
      <c r="M98" s="121"/>
    </row>
    <row r="99" spans="13:13">
      <c r="M99" s="121"/>
    </row>
    <row r="100" spans="13:13">
      <c r="M100" s="121"/>
    </row>
    <row r="101" spans="13:13">
      <c r="M101" s="121"/>
    </row>
    <row r="102" spans="13:13">
      <c r="M102" s="121"/>
    </row>
    <row r="103" spans="13:13">
      <c r="M103" s="121"/>
    </row>
    <row r="104" spans="13:13">
      <c r="M104" s="121"/>
    </row>
    <row r="105" spans="13:13">
      <c r="M105" s="121"/>
    </row>
    <row r="106" spans="13:13">
      <c r="M106" s="121"/>
    </row>
    <row r="107" spans="13:13">
      <c r="M107" s="121"/>
    </row>
    <row r="108" spans="13:13">
      <c r="M108" s="121"/>
    </row>
    <row r="109" spans="13:13">
      <c r="M109" s="121"/>
    </row>
    <row r="110" spans="13:13">
      <c r="M110" s="121"/>
    </row>
    <row r="111" spans="13:13">
      <c r="M111" s="121"/>
    </row>
    <row r="112" spans="13:13">
      <c r="M112" s="121"/>
    </row>
  </sheetData>
  <autoFilter ref="A61:V89">
    <filterColumn colId="1" showButton="0"/>
    <filterColumn colId="5" showButton="0"/>
  </autoFilter>
  <mergeCells count="110">
    <mergeCell ref="Q60:T60"/>
    <mergeCell ref="L17:L22"/>
    <mergeCell ref="N17:N21"/>
    <mergeCell ref="M17:M24"/>
    <mergeCell ref="N25:N33"/>
    <mergeCell ref="M25:M33"/>
    <mergeCell ref="L25:L33"/>
    <mergeCell ref="A1:Q1"/>
    <mergeCell ref="L2:Q2"/>
    <mergeCell ref="L4:L16"/>
    <mergeCell ref="M4:M16"/>
    <mergeCell ref="N4:N16"/>
    <mergeCell ref="A30:C30"/>
    <mergeCell ref="A25:H25"/>
    <mergeCell ref="F28:G28"/>
    <mergeCell ref="F29:G29"/>
    <mergeCell ref="F30:G30"/>
    <mergeCell ref="A26:C26"/>
    <mergeCell ref="A39:G39"/>
    <mergeCell ref="I39:N39"/>
    <mergeCell ref="I40:J40"/>
    <mergeCell ref="I41:J41"/>
    <mergeCell ref="I42:J42"/>
    <mergeCell ref="A42:C42"/>
    <mergeCell ref="F79:G79"/>
    <mergeCell ref="F80:G80"/>
    <mergeCell ref="F81:G81"/>
    <mergeCell ref="F82:G82"/>
    <mergeCell ref="A69:A75"/>
    <mergeCell ref="F83:G83"/>
    <mergeCell ref="F84:G84"/>
    <mergeCell ref="F85:G85"/>
    <mergeCell ref="F86:G86"/>
    <mergeCell ref="A76:A82"/>
    <mergeCell ref="A83:A89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87:G87"/>
    <mergeCell ref="F88:G88"/>
    <mergeCell ref="F89:G89"/>
    <mergeCell ref="F78:G78"/>
    <mergeCell ref="F63:G63"/>
    <mergeCell ref="F66:G66"/>
    <mergeCell ref="F61:G61"/>
    <mergeCell ref="F62:G62"/>
    <mergeCell ref="A59:A61"/>
    <mergeCell ref="D59:D61"/>
    <mergeCell ref="B59:C61"/>
    <mergeCell ref="E59:E61"/>
    <mergeCell ref="F64:G64"/>
    <mergeCell ref="A62:A68"/>
    <mergeCell ref="F65:G65"/>
    <mergeCell ref="F67:G67"/>
    <mergeCell ref="F68:G68"/>
    <mergeCell ref="F60:I60"/>
    <mergeCell ref="A27:C27"/>
    <mergeCell ref="F26:G26"/>
    <mergeCell ref="F27:G27"/>
    <mergeCell ref="A40:C40"/>
    <mergeCell ref="A41:C41"/>
    <mergeCell ref="F40:G40"/>
    <mergeCell ref="F41:G41"/>
    <mergeCell ref="A31:C31"/>
    <mergeCell ref="F31:G31"/>
    <mergeCell ref="A28:C28"/>
    <mergeCell ref="A29:C29"/>
    <mergeCell ref="A34:C34"/>
    <mergeCell ref="A35:C35"/>
    <mergeCell ref="J60:L60"/>
    <mergeCell ref="F59:L59"/>
    <mergeCell ref="M60:P60"/>
    <mergeCell ref="M59:T59"/>
    <mergeCell ref="I43:J43"/>
    <mergeCell ref="A53:C53"/>
    <mergeCell ref="A54:C54"/>
    <mergeCell ref="A55:C55"/>
    <mergeCell ref="F52:G52"/>
    <mergeCell ref="F53:G53"/>
    <mergeCell ref="F54:G54"/>
    <mergeCell ref="A44:C44"/>
    <mergeCell ref="A45:C45"/>
    <mergeCell ref="F45:G45"/>
    <mergeCell ref="A51:C51"/>
    <mergeCell ref="F51:G51"/>
    <mergeCell ref="I44:J44"/>
    <mergeCell ref="F43:G43"/>
    <mergeCell ref="F44:G44"/>
    <mergeCell ref="A43:C43"/>
    <mergeCell ref="I45:J45"/>
    <mergeCell ref="A56:C56"/>
    <mergeCell ref="F56:G56"/>
    <mergeCell ref="A50:O50"/>
    <mergeCell ref="A58:T58"/>
    <mergeCell ref="A36:C36"/>
    <mergeCell ref="F36:G36"/>
    <mergeCell ref="F34:G34"/>
    <mergeCell ref="F35:G35"/>
    <mergeCell ref="A37:C37"/>
    <mergeCell ref="F37:G37"/>
    <mergeCell ref="A33:H33"/>
    <mergeCell ref="F42:G42"/>
    <mergeCell ref="F55:G55"/>
    <mergeCell ref="A52:C52"/>
  </mergeCells>
  <pageMargins left="0.75" right="0.75" top="1" bottom="1" header="0.5" footer="0.5"/>
  <pageSetup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abSelected="1" topLeftCell="A16" workbookViewId="0">
      <selection activeCell="X55" sqref="X55"/>
    </sheetView>
  </sheetViews>
  <sheetFormatPr defaultColWidth="11" defaultRowHeight="15.75"/>
  <cols>
    <col min="1" max="1" width="5.5" bestFit="1" customWidth="1"/>
    <col min="2" max="2" width="9.875" customWidth="1"/>
    <col min="3" max="3" width="10.875" customWidth="1"/>
    <col min="4" max="4" width="6.625" bestFit="1" customWidth="1"/>
    <col min="5" max="5" width="7" bestFit="1" customWidth="1"/>
    <col min="6" max="6" width="8.5" bestFit="1" customWidth="1"/>
    <col min="7" max="7" width="9.5" customWidth="1"/>
    <col min="8" max="8" width="11.125" customWidth="1"/>
    <col min="9" max="9" width="6.625" bestFit="1" customWidth="1"/>
    <col min="10" max="10" width="10.625" customWidth="1"/>
    <col min="11" max="11" width="10.5" customWidth="1"/>
    <col min="12" max="12" width="10" hidden="1" customWidth="1"/>
    <col min="13" max="13" width="11" hidden="1" customWidth="1"/>
    <col min="14" max="14" width="6.625" hidden="1" customWidth="1"/>
    <col min="15" max="15" width="7.125" hidden="1" customWidth="1"/>
    <col min="16" max="16" width="8.5" hidden="1" customWidth="1"/>
    <col min="17" max="17" width="10.5" hidden="1" customWidth="1"/>
    <col min="18" max="18" width="10.125" hidden="1" customWidth="1"/>
    <col min="19" max="19" width="6.625" hidden="1" customWidth="1"/>
    <col min="20" max="20" width="7" hidden="1" customWidth="1"/>
    <col min="21" max="21" width="8.5" hidden="1" customWidth="1"/>
    <col min="23" max="23" width="2" bestFit="1" customWidth="1"/>
    <col min="24" max="24" width="4.5" bestFit="1" customWidth="1"/>
    <col min="25" max="25" width="62.625" bestFit="1" customWidth="1"/>
  </cols>
  <sheetData>
    <row r="1" spans="1:18" ht="18.75">
      <c r="A1" s="464" t="s">
        <v>112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18"/>
      <c r="M1" s="18"/>
      <c r="N1" s="18"/>
      <c r="O1" s="18"/>
      <c r="P1" s="18"/>
      <c r="Q1" s="18"/>
      <c r="R1" s="18"/>
    </row>
    <row r="18" spans="1:26" ht="16.5" thickBot="1">
      <c r="E18" s="489" t="s">
        <v>36</v>
      </c>
      <c r="F18" s="489"/>
      <c r="G18" s="489"/>
      <c r="H18" s="489"/>
      <c r="I18" s="489"/>
      <c r="J18" s="465" t="s">
        <v>33</v>
      </c>
      <c r="K18" s="465"/>
      <c r="N18" s="76"/>
      <c r="V18" s="226"/>
      <c r="W18" s="226"/>
      <c r="X18" s="226"/>
      <c r="Y18" s="226"/>
      <c r="Z18" s="226"/>
    </row>
    <row r="19" spans="1:26">
      <c r="F19" s="480" t="s">
        <v>31</v>
      </c>
      <c r="G19" s="481"/>
      <c r="H19" s="482"/>
      <c r="J19" s="484" t="s">
        <v>39</v>
      </c>
      <c r="K19" s="484" t="s">
        <v>83</v>
      </c>
      <c r="M19" s="76" t="s">
        <v>153</v>
      </c>
      <c r="N19" s="77"/>
      <c r="V19" s="226"/>
      <c r="W19" s="226"/>
      <c r="X19" s="229"/>
      <c r="Y19" s="228"/>
      <c r="Z19" s="226"/>
    </row>
    <row r="20" spans="1:26" ht="16.5" thickBot="1">
      <c r="A20" s="465" t="s">
        <v>32</v>
      </c>
      <c r="B20" s="465"/>
      <c r="C20" s="465"/>
      <c r="D20" s="465"/>
      <c r="F20" s="23" t="s">
        <v>26</v>
      </c>
      <c r="G20" s="19" t="s">
        <v>27</v>
      </c>
      <c r="H20" s="19" t="s">
        <v>28</v>
      </c>
      <c r="J20" s="485"/>
      <c r="K20" s="485"/>
      <c r="M20" s="85" t="s">
        <v>26</v>
      </c>
      <c r="N20" s="85" t="s">
        <v>27</v>
      </c>
      <c r="O20" s="85" t="s">
        <v>28</v>
      </c>
      <c r="V20" s="226"/>
      <c r="W20" s="227"/>
      <c r="X20" s="230"/>
      <c r="Y20" s="228"/>
      <c r="Z20" s="226"/>
    </row>
    <row r="21" spans="1:26" ht="16.5" thickBot="1">
      <c r="A21" s="480" t="s">
        <v>25</v>
      </c>
      <c r="B21" s="481"/>
      <c r="C21" s="481"/>
      <c r="D21" s="482"/>
      <c r="F21" s="24">
        <v>30</v>
      </c>
      <c r="G21" s="21">
        <v>12</v>
      </c>
      <c r="H21" s="21">
        <v>4</v>
      </c>
      <c r="J21" s="25">
        <f>(F21*A23+G21*B23+H21*C23)/1000</f>
        <v>81.96</v>
      </c>
      <c r="K21" s="25">
        <f>F21</f>
        <v>30</v>
      </c>
      <c r="M21" s="86">
        <f>F21*A23/1000</f>
        <v>47.4</v>
      </c>
      <c r="N21" s="86">
        <f>B23*G21/1000</f>
        <v>8.76</v>
      </c>
      <c r="O21">
        <f>C23*H21/1000</f>
        <v>25.8</v>
      </c>
      <c r="P21" s="121">
        <f>SUM(M21:O21)</f>
        <v>81.96</v>
      </c>
      <c r="V21" s="226"/>
      <c r="W21" s="227"/>
      <c r="X21" s="230"/>
      <c r="Y21" s="228"/>
      <c r="Z21" s="226"/>
    </row>
    <row r="22" spans="1:26" ht="16.5" thickBot="1">
      <c r="A22" s="23" t="s">
        <v>26</v>
      </c>
      <c r="B22" s="19" t="s">
        <v>27</v>
      </c>
      <c r="C22" s="19" t="s">
        <v>28</v>
      </c>
      <c r="D22" s="19" t="s">
        <v>29</v>
      </c>
      <c r="M22" s="155">
        <f>M21/P21</f>
        <v>0.57833089311859442</v>
      </c>
      <c r="N22" s="155">
        <f>N21/P21</f>
        <v>0.10688140556368961</v>
      </c>
      <c r="O22" s="156">
        <f>O21/P21</f>
        <v>0.314787701317716</v>
      </c>
      <c r="V22" s="226"/>
      <c r="W22" s="226"/>
      <c r="X22" s="226"/>
      <c r="Y22" s="226"/>
      <c r="Z22" s="226"/>
    </row>
    <row r="23" spans="1:26" ht="16.5" thickBot="1">
      <c r="A23" s="26">
        <v>1580</v>
      </c>
      <c r="B23" s="21">
        <v>730</v>
      </c>
      <c r="C23" s="20">
        <v>6450</v>
      </c>
      <c r="D23" s="20">
        <v>8760</v>
      </c>
      <c r="L23" s="119"/>
      <c r="M23" s="77"/>
      <c r="N23" s="490">
        <f>SUM(N22:O22)</f>
        <v>0.42166910688140558</v>
      </c>
      <c r="O23" s="490"/>
      <c r="V23" s="226"/>
      <c r="Z23" s="226"/>
    </row>
    <row r="24" spans="1:26" ht="16.5" hidden="1" thickBot="1">
      <c r="A24" s="218"/>
      <c r="B24" s="219"/>
      <c r="C24" s="218"/>
      <c r="D24" s="218"/>
      <c r="E24" s="479" t="s">
        <v>37</v>
      </c>
      <c r="F24" s="479"/>
      <c r="G24" s="479"/>
      <c r="H24" s="479"/>
      <c r="I24" s="479"/>
      <c r="J24" s="465" t="s">
        <v>35</v>
      </c>
      <c r="K24" s="465"/>
      <c r="L24" s="119"/>
      <c r="M24" s="77"/>
      <c r="N24" s="176"/>
      <c r="O24" s="176"/>
      <c r="V24" s="226"/>
      <c r="Z24" s="226"/>
    </row>
    <row r="25" spans="1:26" hidden="1">
      <c r="F25" s="480" t="s">
        <v>31</v>
      </c>
      <c r="G25" s="481"/>
      <c r="H25" s="482"/>
      <c r="J25" s="484" t="s">
        <v>39</v>
      </c>
      <c r="K25" s="484" t="s">
        <v>83</v>
      </c>
      <c r="L25" s="119"/>
      <c r="M25" s="77"/>
      <c r="N25" s="176"/>
      <c r="O25" s="176"/>
    </row>
    <row r="26" spans="1:26" ht="16.5" hidden="1" thickBot="1">
      <c r="F26" s="23" t="s">
        <v>26</v>
      </c>
      <c r="G26" s="178" t="s">
        <v>27</v>
      </c>
      <c r="H26" s="178" t="s">
        <v>28</v>
      </c>
      <c r="J26" s="485"/>
      <c r="K26" s="485"/>
      <c r="L26" s="119"/>
      <c r="M26" s="77"/>
      <c r="N26" s="176"/>
      <c r="O26" s="176"/>
    </row>
    <row r="27" spans="1:26" ht="16.5" hidden="1" thickBot="1">
      <c r="F27" s="24">
        <v>16</v>
      </c>
      <c r="G27" s="21">
        <v>8.3000000000000007</v>
      </c>
      <c r="H27" s="21">
        <v>1.4</v>
      </c>
      <c r="J27" s="25">
        <f>(F27*$A$23+G27*$B$23+H27*$C$23)/1000</f>
        <v>40.369</v>
      </c>
      <c r="K27" s="25">
        <f>F27</f>
        <v>16</v>
      </c>
      <c r="L27" s="119"/>
      <c r="M27" s="77"/>
      <c r="N27" s="176"/>
      <c r="O27" s="176"/>
    </row>
    <row r="28" spans="1:26">
      <c r="L28" s="119"/>
      <c r="M28" s="77"/>
      <c r="N28" s="176"/>
      <c r="O28" s="176"/>
    </row>
    <row r="29" spans="1:26" ht="16.5" thickBot="1">
      <c r="E29" s="489" t="s">
        <v>178</v>
      </c>
      <c r="F29" s="489"/>
      <c r="G29" s="489"/>
      <c r="H29" s="489"/>
      <c r="I29" s="489"/>
      <c r="J29" s="465" t="s">
        <v>179</v>
      </c>
      <c r="K29" s="465"/>
      <c r="L29" s="119"/>
      <c r="M29" s="77"/>
      <c r="N29" s="176"/>
      <c r="O29" s="176"/>
    </row>
    <row r="30" spans="1:26">
      <c r="F30" s="480" t="s">
        <v>31</v>
      </c>
      <c r="G30" s="481"/>
      <c r="H30" s="482"/>
      <c r="J30" s="484" t="s">
        <v>39</v>
      </c>
      <c r="K30" s="484" t="s">
        <v>83</v>
      </c>
      <c r="M30" s="78"/>
      <c r="N30" s="78"/>
    </row>
    <row r="31" spans="1:26" ht="16.5" thickBot="1">
      <c r="F31" s="23" t="s">
        <v>26</v>
      </c>
      <c r="G31" s="19" t="s">
        <v>27</v>
      </c>
      <c r="H31" s="19" t="s">
        <v>28</v>
      </c>
      <c r="J31" s="485"/>
      <c r="K31" s="485"/>
      <c r="M31" s="85" t="s">
        <v>26</v>
      </c>
      <c r="N31" s="85" t="s">
        <v>27</v>
      </c>
      <c r="O31" s="85" t="s">
        <v>28</v>
      </c>
    </row>
    <row r="32" spans="1:26" ht="16.5" thickBot="1">
      <c r="F32" s="120">
        <v>8</v>
      </c>
      <c r="G32" s="21">
        <v>9.1999999999999993</v>
      </c>
      <c r="H32" s="21">
        <v>1.5</v>
      </c>
      <c r="J32" s="25">
        <f>(F32*$A$23+G32*$B$23+H32*$C$23)/1000</f>
        <v>29.030999999999999</v>
      </c>
      <c r="K32" s="25">
        <f>F32</f>
        <v>8</v>
      </c>
      <c r="M32" s="86">
        <f>F32*A23/1000</f>
        <v>12.64</v>
      </c>
      <c r="N32" s="86">
        <f>G32*B23/1000</f>
        <v>6.7159999999999993</v>
      </c>
      <c r="O32">
        <f>H32*C23/1000</f>
        <v>9.6750000000000007</v>
      </c>
      <c r="P32" s="121">
        <f>SUM(M32:O32)</f>
        <v>29.031000000000002</v>
      </c>
    </row>
    <row r="33" spans="1:21">
      <c r="M33" s="155">
        <f>M32/P32</f>
        <v>0.43539664496572628</v>
      </c>
      <c r="N33" s="155">
        <f>N32/P32</f>
        <v>0.23133891357514377</v>
      </c>
      <c r="O33" s="156">
        <f>O32/P32</f>
        <v>0.33326444145912987</v>
      </c>
    </row>
    <row r="34" spans="1:21" ht="16.5" thickBot="1">
      <c r="E34" s="479" t="s">
        <v>40</v>
      </c>
      <c r="F34" s="479"/>
      <c r="G34" s="479"/>
      <c r="H34" s="479"/>
      <c r="I34" s="479"/>
      <c r="J34" s="465" t="s">
        <v>41</v>
      </c>
      <c r="K34" s="465"/>
      <c r="L34" s="119"/>
      <c r="M34" s="77"/>
      <c r="N34" s="490">
        <f>SUM(N33:O33)</f>
        <v>0.56460335503427361</v>
      </c>
      <c r="O34" s="490"/>
    </row>
    <row r="35" spans="1:21">
      <c r="F35" s="480" t="s">
        <v>31</v>
      </c>
      <c r="G35" s="481"/>
      <c r="H35" s="482"/>
      <c r="J35" s="484" t="s">
        <v>39</v>
      </c>
      <c r="K35" s="484" t="s">
        <v>83</v>
      </c>
    </row>
    <row r="36" spans="1:21" ht="16.5" thickBot="1">
      <c r="F36" s="23" t="s">
        <v>26</v>
      </c>
      <c r="G36" s="139" t="s">
        <v>27</v>
      </c>
      <c r="H36" s="139" t="s">
        <v>28</v>
      </c>
      <c r="J36" s="485"/>
      <c r="K36" s="485"/>
    </row>
    <row r="37" spans="1:21" ht="16.5" thickBot="1">
      <c r="F37" s="120">
        <v>9</v>
      </c>
      <c r="G37" s="21">
        <v>5.5</v>
      </c>
      <c r="H37" s="93">
        <v>1</v>
      </c>
      <c r="J37" s="25">
        <f>(F37*$A$23+G37*$B$23+H37*$C$23)/1000</f>
        <v>24.684999999999999</v>
      </c>
      <c r="K37" s="25">
        <f>F37</f>
        <v>9</v>
      </c>
    </row>
    <row r="39" spans="1:21" ht="16.5" hidden="1" thickBot="1">
      <c r="E39" s="479" t="s">
        <v>182</v>
      </c>
      <c r="F39" s="479"/>
      <c r="G39" s="479"/>
      <c r="H39" s="479"/>
      <c r="I39" s="479"/>
      <c r="J39" s="465" t="s">
        <v>183</v>
      </c>
      <c r="K39" s="465"/>
    </row>
    <row r="40" spans="1:21" hidden="1">
      <c r="F40" s="480" t="s">
        <v>31</v>
      </c>
      <c r="G40" s="481"/>
      <c r="H40" s="482"/>
      <c r="J40" s="484" t="s">
        <v>39</v>
      </c>
      <c r="K40" s="484" t="s">
        <v>83</v>
      </c>
    </row>
    <row r="41" spans="1:21" ht="16.5" hidden="1" thickBot="1">
      <c r="F41" s="23" t="s">
        <v>26</v>
      </c>
      <c r="G41" s="178" t="s">
        <v>27</v>
      </c>
      <c r="H41" s="178" t="s">
        <v>28</v>
      </c>
      <c r="J41" s="485"/>
      <c r="K41" s="485"/>
    </row>
    <row r="42" spans="1:21" ht="16.5" hidden="1" thickBot="1">
      <c r="F42" s="24">
        <v>9</v>
      </c>
      <c r="G42" s="21">
        <v>7.8</v>
      </c>
      <c r="H42" s="21">
        <v>1.8</v>
      </c>
      <c r="J42" s="25">
        <f>(F42*$A$23+G42*$B$23+H42*$C$23)/1000</f>
        <v>31.524000000000001</v>
      </c>
      <c r="K42" s="25">
        <f>F42</f>
        <v>9</v>
      </c>
    </row>
    <row r="43" spans="1:21" hidden="1"/>
    <row r="44" spans="1:21">
      <c r="A44" s="479" t="s">
        <v>149</v>
      </c>
      <c r="B44" s="479"/>
      <c r="C44" s="479"/>
      <c r="D44" s="479"/>
      <c r="E44" s="479"/>
      <c r="F44" s="479"/>
      <c r="G44" s="479"/>
      <c r="H44" s="479"/>
      <c r="I44" s="479"/>
      <c r="J44" s="479"/>
      <c r="K44" s="479"/>
      <c r="L44" s="479"/>
      <c r="M44" s="479"/>
      <c r="N44" s="479"/>
      <c r="O44" s="479"/>
      <c r="P44" s="479"/>
      <c r="Q44" s="479"/>
      <c r="R44" s="479"/>
      <c r="S44" s="479"/>
      <c r="T44" s="479"/>
      <c r="U44" s="479"/>
    </row>
    <row r="45" spans="1:21" ht="16.5" thickBot="1">
      <c r="A45" s="442" t="s">
        <v>69</v>
      </c>
      <c r="B45" s="476" t="s">
        <v>180</v>
      </c>
      <c r="C45" s="477"/>
      <c r="D45" s="477"/>
      <c r="E45" s="477"/>
      <c r="F45" s="478"/>
      <c r="G45" s="476" t="s">
        <v>150</v>
      </c>
      <c r="H45" s="477"/>
      <c r="I45" s="477"/>
      <c r="J45" s="477"/>
      <c r="K45" s="478"/>
      <c r="L45" s="476" t="s">
        <v>184</v>
      </c>
      <c r="M45" s="477"/>
      <c r="N45" s="477"/>
      <c r="O45" s="477"/>
      <c r="P45" s="478"/>
      <c r="Q45" s="487" t="s">
        <v>181</v>
      </c>
      <c r="R45" s="488"/>
      <c r="S45" s="488"/>
      <c r="T45" s="488"/>
      <c r="U45" s="488"/>
    </row>
    <row r="46" spans="1:21" ht="16.5" thickBot="1">
      <c r="A46" s="442"/>
      <c r="B46" s="471" t="s">
        <v>72</v>
      </c>
      <c r="C46" s="472"/>
      <c r="D46" s="473" t="s">
        <v>74</v>
      </c>
      <c r="E46" s="474"/>
      <c r="F46" s="475"/>
      <c r="G46" s="471" t="s">
        <v>72</v>
      </c>
      <c r="H46" s="472"/>
      <c r="I46" s="473" t="s">
        <v>74</v>
      </c>
      <c r="J46" s="474"/>
      <c r="K46" s="475"/>
      <c r="L46" s="471" t="s">
        <v>72</v>
      </c>
      <c r="M46" s="472"/>
      <c r="N46" s="473" t="s">
        <v>74</v>
      </c>
      <c r="O46" s="474"/>
      <c r="P46" s="475"/>
      <c r="Q46" s="471" t="s">
        <v>72</v>
      </c>
      <c r="R46" s="472"/>
      <c r="S46" s="486" t="s">
        <v>74</v>
      </c>
      <c r="T46" s="477"/>
      <c r="U46" s="477"/>
    </row>
    <row r="47" spans="1:21" ht="16.5" thickBot="1">
      <c r="A47" s="483"/>
      <c r="B47" s="220" t="s">
        <v>76</v>
      </c>
      <c r="C47" s="175" t="s">
        <v>185</v>
      </c>
      <c r="D47" s="174" t="s">
        <v>151</v>
      </c>
      <c r="E47" s="174" t="s">
        <v>185</v>
      </c>
      <c r="F47" s="225" t="s">
        <v>152</v>
      </c>
      <c r="G47" s="220" t="s">
        <v>76</v>
      </c>
      <c r="H47" s="175" t="s">
        <v>185</v>
      </c>
      <c r="I47" s="174" t="s">
        <v>151</v>
      </c>
      <c r="J47" s="175" t="s">
        <v>185</v>
      </c>
      <c r="K47" s="225" t="s">
        <v>152</v>
      </c>
      <c r="L47" s="220" t="s">
        <v>76</v>
      </c>
      <c r="M47" s="175" t="s">
        <v>185</v>
      </c>
      <c r="N47" s="174" t="s">
        <v>151</v>
      </c>
      <c r="O47" s="175" t="s">
        <v>185</v>
      </c>
      <c r="P47" s="225" t="s">
        <v>152</v>
      </c>
      <c r="Q47" s="220" t="s">
        <v>76</v>
      </c>
      <c r="R47" s="175" t="s">
        <v>185</v>
      </c>
      <c r="S47" s="174" t="s">
        <v>151</v>
      </c>
      <c r="T47" s="175" t="s">
        <v>185</v>
      </c>
      <c r="U47" s="174" t="s">
        <v>152</v>
      </c>
    </row>
    <row r="48" spans="1:21" ht="16.5" thickBot="1">
      <c r="A48" s="80" t="s">
        <v>70</v>
      </c>
      <c r="B48" s="221">
        <f>J21-J32</f>
        <v>52.928999999999995</v>
      </c>
      <c r="C48" s="173">
        <f>(K21-K32)*0.031/1000</f>
        <v>6.8199999999999999E-4</v>
      </c>
      <c r="D48" s="231">
        <f>B48*'Interactive Effects'!B11</f>
        <v>53.987579999999994</v>
      </c>
      <c r="E48" s="173">
        <f>C48*'Interactive Effects'!C11</f>
        <v>9.207000000000001E-4</v>
      </c>
      <c r="F48" s="401">
        <f>B48*'Interactive Effects'!D11</f>
        <v>-1.2702959999999999</v>
      </c>
      <c r="G48" s="221">
        <f>J21-J37</f>
        <v>57.274999999999991</v>
      </c>
      <c r="H48" s="173">
        <f>(K21-K37)*0.031/1000</f>
        <v>6.5099999999999999E-4</v>
      </c>
      <c r="I48" s="231">
        <f>G48*'Interactive Effects'!$B$11</f>
        <v>58.42049999999999</v>
      </c>
      <c r="J48" s="150">
        <f>H48*'Interactive Effects'!$C$11</f>
        <v>8.7885000000000003E-4</v>
      </c>
      <c r="K48" s="401">
        <f>G48*'Interactive Effects'!$D$11</f>
        <v>-1.3745999999999998</v>
      </c>
      <c r="L48" s="221">
        <f>J21-J42</f>
        <v>50.435999999999993</v>
      </c>
      <c r="M48" s="173">
        <f>(K21-K42)*0.031/1000</f>
        <v>6.5099999999999999E-4</v>
      </c>
      <c r="N48" s="223">
        <f>L48*'Interactive Effects'!$B$11</f>
        <v>51.444719999999997</v>
      </c>
      <c r="O48" s="150">
        <f>M48*'Interactive Effects'!$C$11</f>
        <v>8.7885000000000003E-4</v>
      </c>
      <c r="P48" s="82">
        <f>L48*'Interactive Effects'!$D$11</f>
        <v>-1.2104639999999998</v>
      </c>
      <c r="Q48" s="221">
        <f>J21-J27</f>
        <v>41.590999999999994</v>
      </c>
      <c r="R48" s="173">
        <f>(K21-K27)*0.031/1000</f>
        <v>4.3399999999999998E-4</v>
      </c>
      <c r="S48" s="223">
        <f>Q48*'Interactive Effects'!B11</f>
        <v>42.422819999999994</v>
      </c>
      <c r="T48" s="150">
        <f>R48*'Interactive Effects'!C11</f>
        <v>5.8589999999999998E-4</v>
      </c>
      <c r="U48" s="224">
        <f>Q48*'Interactive Effects'!D11</f>
        <v>-0.99818399999999985</v>
      </c>
    </row>
    <row r="49" spans="1:21" ht="16.5" thickBot="1">
      <c r="A49" s="80" t="s">
        <v>66</v>
      </c>
      <c r="B49" s="222">
        <f t="shared" ref="B49:C51" si="0">B48</f>
        <v>52.928999999999995</v>
      </c>
      <c r="C49" s="172">
        <f t="shared" si="0"/>
        <v>6.8199999999999999E-4</v>
      </c>
      <c r="D49" s="83">
        <f>B49*'Interactive Effects'!B12</f>
        <v>56.634029999999996</v>
      </c>
      <c r="E49" s="172">
        <f>C49*'Interactive Effects'!C12</f>
        <v>9.4115999999999991E-4</v>
      </c>
      <c r="F49" s="402">
        <f>B49*'Interactive Effects'!D12</f>
        <v>-1.0162367999999997</v>
      </c>
      <c r="G49" s="221">
        <f t="shared" ref="G49:H51" si="1">G48</f>
        <v>57.274999999999991</v>
      </c>
      <c r="H49" s="172">
        <f t="shared" si="1"/>
        <v>6.5099999999999999E-4</v>
      </c>
      <c r="I49" s="83">
        <f>G49*'Interactive Effects'!$B$12</f>
        <v>61.284249999999993</v>
      </c>
      <c r="J49" s="172">
        <f>H49*'Interactive Effects'!$C$12</f>
        <v>8.9837999999999995E-4</v>
      </c>
      <c r="K49" s="402">
        <f>G49*'Interactive Effects'!$D$12</f>
        <v>-1.0996799999999998</v>
      </c>
      <c r="L49" s="221">
        <f t="shared" ref="L49:M51" si="2">L48</f>
        <v>50.435999999999993</v>
      </c>
      <c r="M49" s="172">
        <f t="shared" si="2"/>
        <v>6.5099999999999999E-4</v>
      </c>
      <c r="N49" s="83">
        <f>L49*'Interactive Effects'!$B$12</f>
        <v>53.966519999999996</v>
      </c>
      <c r="O49" s="172">
        <f>M49*'Interactive Effects'!$C$12</f>
        <v>8.9837999999999995E-4</v>
      </c>
      <c r="P49" s="84">
        <f>L49*'Interactive Effects'!$D$12</f>
        <v>-0.96837119999999977</v>
      </c>
      <c r="Q49" s="221">
        <f t="shared" ref="Q49:Q51" si="3">Q48</f>
        <v>41.590999999999994</v>
      </c>
      <c r="R49" s="172">
        <f t="shared" ref="R49:R51" si="4">R48</f>
        <v>4.3399999999999998E-4</v>
      </c>
      <c r="S49" s="83">
        <f>Q49*'Interactive Effects'!B12</f>
        <v>44.502369999999999</v>
      </c>
      <c r="T49" s="172">
        <f>R49*'Interactive Effects'!C12</f>
        <v>5.9891999999999996E-4</v>
      </c>
      <c r="U49" s="83">
        <f>Q49*'Interactive Effects'!D12</f>
        <v>-0.79854719999999979</v>
      </c>
    </row>
    <row r="50" spans="1:21" ht="16.5" thickBot="1">
      <c r="A50" s="79" t="s">
        <v>67</v>
      </c>
      <c r="B50" s="221">
        <f t="shared" si="0"/>
        <v>52.928999999999995</v>
      </c>
      <c r="C50" s="173">
        <f t="shared" si="0"/>
        <v>6.8199999999999999E-4</v>
      </c>
      <c r="D50" s="81">
        <f>B50*'Interactive Effects'!B13</f>
        <v>56.634029999999996</v>
      </c>
      <c r="E50" s="173">
        <f>C50*'Interactive Effects'!C13</f>
        <v>9.4115999999999991E-4</v>
      </c>
      <c r="F50" s="401">
        <f>B50*'Interactive Effects'!D13</f>
        <v>-1.0162367999999997</v>
      </c>
      <c r="G50" s="221">
        <f t="shared" si="1"/>
        <v>57.274999999999991</v>
      </c>
      <c r="H50" s="173">
        <f t="shared" si="1"/>
        <v>6.5099999999999999E-4</v>
      </c>
      <c r="I50" s="81">
        <f>G50*'Interactive Effects'!$B$13</f>
        <v>61.284249999999993</v>
      </c>
      <c r="J50" s="150">
        <f>H50*'Interactive Effects'!$C$13</f>
        <v>8.9837999999999995E-4</v>
      </c>
      <c r="K50" s="401">
        <f>G50*'Interactive Effects'!$D$13</f>
        <v>-1.0996799999999998</v>
      </c>
      <c r="L50" s="221">
        <f t="shared" si="2"/>
        <v>50.435999999999993</v>
      </c>
      <c r="M50" s="173">
        <f t="shared" si="2"/>
        <v>6.5099999999999999E-4</v>
      </c>
      <c r="N50" s="81">
        <f>L50*'Interactive Effects'!$B$13</f>
        <v>53.966519999999996</v>
      </c>
      <c r="O50" s="150">
        <f>M50*'Interactive Effects'!$C$13</f>
        <v>8.9837999999999995E-4</v>
      </c>
      <c r="P50" s="82">
        <f>L50*'Interactive Effects'!$D$13</f>
        <v>-0.96837119999999977</v>
      </c>
      <c r="Q50" s="221">
        <f t="shared" si="3"/>
        <v>41.590999999999994</v>
      </c>
      <c r="R50" s="173">
        <f t="shared" si="4"/>
        <v>4.3399999999999998E-4</v>
      </c>
      <c r="S50" s="81">
        <f>Q50*'Interactive Effects'!B13</f>
        <v>44.502369999999999</v>
      </c>
      <c r="T50" s="150">
        <f>R50*'Interactive Effects'!C13</f>
        <v>5.9891999999999996E-4</v>
      </c>
      <c r="U50" s="224">
        <f>Q50*'Interactive Effects'!D13</f>
        <v>-0.79854719999999979</v>
      </c>
    </row>
    <row r="51" spans="1:21" ht="16.5" thickBot="1">
      <c r="A51" s="80" t="s">
        <v>71</v>
      </c>
      <c r="B51" s="222">
        <f t="shared" si="0"/>
        <v>52.928999999999995</v>
      </c>
      <c r="C51" s="172">
        <f t="shared" si="0"/>
        <v>6.8199999999999999E-4</v>
      </c>
      <c r="D51" s="83">
        <f>B51*'Interactive Effects'!B14</f>
        <v>54.516869999999997</v>
      </c>
      <c r="E51" s="172">
        <f>C51*'Interactive Effects'!C14</f>
        <v>8.7295999999999999E-4</v>
      </c>
      <c r="F51" s="402">
        <f>B51*'Interactive Effects'!D14</f>
        <v>-0.9315504</v>
      </c>
      <c r="G51" s="222">
        <f t="shared" si="1"/>
        <v>57.274999999999991</v>
      </c>
      <c r="H51" s="172">
        <f t="shared" si="1"/>
        <v>6.5099999999999999E-4</v>
      </c>
      <c r="I51" s="83">
        <f>G51*'Interactive Effects'!$B$14</f>
        <v>58.993249999999996</v>
      </c>
      <c r="J51" s="172">
        <f>H51*'Interactive Effects'!$C$14</f>
        <v>8.3328000000000004E-4</v>
      </c>
      <c r="K51" s="402">
        <f>G51*'Interactive Effects'!$D$14</f>
        <v>-1.0080399999999998</v>
      </c>
      <c r="L51" s="222">
        <f t="shared" si="2"/>
        <v>50.435999999999993</v>
      </c>
      <c r="M51" s="172">
        <f t="shared" si="2"/>
        <v>6.5099999999999999E-4</v>
      </c>
      <c r="N51" s="83">
        <f>L51*'Interactive Effects'!$B$14</f>
        <v>51.949079999999995</v>
      </c>
      <c r="O51" s="172">
        <f>M51*'Interactive Effects'!$C$14</f>
        <v>8.3328000000000004E-4</v>
      </c>
      <c r="P51" s="84">
        <f>L51*'Interactive Effects'!$D$14</f>
        <v>-0.88767359999999995</v>
      </c>
      <c r="Q51" s="222">
        <f t="shared" si="3"/>
        <v>41.590999999999994</v>
      </c>
      <c r="R51" s="172">
        <f t="shared" si="4"/>
        <v>4.3399999999999998E-4</v>
      </c>
      <c r="S51" s="83">
        <f>Q51*'Interactive Effects'!B14</f>
        <v>42.838729999999998</v>
      </c>
      <c r="T51" s="172">
        <f>R51*'Interactive Effects'!C14</f>
        <v>5.5551999999999999E-4</v>
      </c>
      <c r="U51" s="83">
        <f>Q51*'Interactive Effects'!D14</f>
        <v>-0.73200159999999992</v>
      </c>
    </row>
  </sheetData>
  <mergeCells count="44">
    <mergeCell ref="N23:O23"/>
    <mergeCell ref="N34:O34"/>
    <mergeCell ref="J18:K18"/>
    <mergeCell ref="J29:K29"/>
    <mergeCell ref="J34:K34"/>
    <mergeCell ref="J30:J31"/>
    <mergeCell ref="J25:J26"/>
    <mergeCell ref="K25:K26"/>
    <mergeCell ref="J24:K24"/>
    <mergeCell ref="A1:K1"/>
    <mergeCell ref="A20:D20"/>
    <mergeCell ref="F30:H30"/>
    <mergeCell ref="A21:D21"/>
    <mergeCell ref="F19:H19"/>
    <mergeCell ref="J19:J20"/>
    <mergeCell ref="K19:K20"/>
    <mergeCell ref="E18:I18"/>
    <mergeCell ref="E29:I29"/>
    <mergeCell ref="K30:K31"/>
    <mergeCell ref="F25:H25"/>
    <mergeCell ref="E24:I24"/>
    <mergeCell ref="E39:I39"/>
    <mergeCell ref="J39:K39"/>
    <mergeCell ref="F40:H40"/>
    <mergeCell ref="A45:A47"/>
    <mergeCell ref="E34:I34"/>
    <mergeCell ref="B45:F45"/>
    <mergeCell ref="B46:C46"/>
    <mergeCell ref="D46:F46"/>
    <mergeCell ref="J35:J36"/>
    <mergeCell ref="F35:H35"/>
    <mergeCell ref="K35:K36"/>
    <mergeCell ref="J40:J41"/>
    <mergeCell ref="K40:K41"/>
    <mergeCell ref="A44:U44"/>
    <mergeCell ref="S46:U46"/>
    <mergeCell ref="Q45:U45"/>
    <mergeCell ref="Q46:R46"/>
    <mergeCell ref="G46:H46"/>
    <mergeCell ref="I46:K46"/>
    <mergeCell ref="G45:K45"/>
    <mergeCell ref="L45:P45"/>
    <mergeCell ref="L46:M46"/>
    <mergeCell ref="N46:P46"/>
  </mergeCells>
  <pageMargins left="0.75" right="0.75" top="1" bottom="1" header="0.5" footer="0.5"/>
  <pageSetup orientation="portrait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opLeftCell="A25" workbookViewId="0">
      <selection activeCell="B34" sqref="B34"/>
    </sheetView>
  </sheetViews>
  <sheetFormatPr defaultColWidth="11" defaultRowHeight="15.75"/>
  <cols>
    <col min="9" max="9" width="9.625" customWidth="1"/>
    <col min="10" max="10" width="15.5" customWidth="1"/>
    <col min="11" max="11" width="13" customWidth="1"/>
    <col min="12" max="12" width="8.5" customWidth="1"/>
    <col min="13" max="13" width="16.125" bestFit="1" customWidth="1"/>
    <col min="15" max="17" width="0" hidden="1" customWidth="1"/>
  </cols>
  <sheetData>
    <row r="1" spans="1:13" ht="18.75">
      <c r="A1" s="464" t="s">
        <v>79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19" spans="1:17">
      <c r="M19" s="76"/>
      <c r="N19" s="76"/>
    </row>
    <row r="20" spans="1:17" ht="16.5" thickBot="1">
      <c r="G20" s="465" t="s">
        <v>36</v>
      </c>
      <c r="H20" s="465"/>
      <c r="I20" s="465"/>
      <c r="J20" s="465"/>
      <c r="K20" s="465"/>
      <c r="M20" s="39" t="s">
        <v>33</v>
      </c>
      <c r="N20" s="76"/>
      <c r="O20" s="76" t="s">
        <v>153</v>
      </c>
      <c r="P20" s="77"/>
    </row>
    <row r="21" spans="1:17" ht="42.75" thickBot="1">
      <c r="G21" s="118" t="s">
        <v>93</v>
      </c>
      <c r="H21" s="22" t="s">
        <v>94</v>
      </c>
      <c r="I21" s="22" t="s">
        <v>80</v>
      </c>
      <c r="J21" s="22" t="s">
        <v>82</v>
      </c>
      <c r="K21" s="22" t="s">
        <v>81</v>
      </c>
      <c r="M21" s="38" t="s">
        <v>39</v>
      </c>
      <c r="N21" s="91"/>
      <c r="O21" s="85" t="s">
        <v>26</v>
      </c>
      <c r="P21" s="85" t="s">
        <v>27</v>
      </c>
      <c r="Q21" s="85"/>
    </row>
    <row r="22" spans="1:17" ht="16.5" thickBot="1">
      <c r="C22" s="119"/>
      <c r="D22" s="119"/>
      <c r="E22" s="119"/>
      <c r="F22" s="119"/>
      <c r="G22" s="24" t="s">
        <v>95</v>
      </c>
      <c r="H22" s="24">
        <v>70.3</v>
      </c>
      <c r="I22" s="21">
        <v>1</v>
      </c>
      <c r="J22" s="21">
        <f>H22/I22</f>
        <v>70.3</v>
      </c>
      <c r="K22" s="21">
        <v>1</v>
      </c>
      <c r="M22" s="25">
        <f>(J22*$A$26+K22*$B$26)/1000</f>
        <v>211.18529999999998</v>
      </c>
      <c r="N22" s="91"/>
      <c r="O22" s="86">
        <f>J22*A26/1000</f>
        <v>205.34629999999999</v>
      </c>
      <c r="P22" s="86">
        <f>K22*B26/1000</f>
        <v>5.8390000000000004</v>
      </c>
      <c r="Q22" s="121">
        <f>SUM(O22:P22)</f>
        <v>211.18529999999998</v>
      </c>
    </row>
    <row r="23" spans="1:17" ht="16.5" thickBot="1">
      <c r="C23" s="119"/>
      <c r="D23" s="119"/>
      <c r="E23" s="119"/>
      <c r="F23" s="119"/>
      <c r="G23" s="24" t="s">
        <v>96</v>
      </c>
      <c r="H23" s="24">
        <v>132.19999999999999</v>
      </c>
      <c r="I23" s="21">
        <v>1</v>
      </c>
      <c r="J23" s="21">
        <f>H23/I23</f>
        <v>132.19999999999999</v>
      </c>
      <c r="K23" s="21">
        <v>1</v>
      </c>
      <c r="M23" s="25">
        <f>(J23*$A$26+K23*$B$26)/1000</f>
        <v>391.99519999999995</v>
      </c>
      <c r="N23" s="91"/>
      <c r="O23" s="155">
        <f>O22/Q22</f>
        <v>0.97235129528428355</v>
      </c>
      <c r="P23" s="155">
        <f>P22/Q22</f>
        <v>2.7648704715716486E-2</v>
      </c>
      <c r="Q23" s="156"/>
    </row>
    <row r="24" spans="1:17" ht="16.5" thickBot="1">
      <c r="A24" s="489" t="s">
        <v>32</v>
      </c>
      <c r="B24" s="489"/>
      <c r="C24" s="489"/>
      <c r="D24" s="489"/>
      <c r="E24" s="489"/>
      <c r="F24" s="119"/>
      <c r="G24" s="24" t="s">
        <v>97</v>
      </c>
      <c r="H24" s="24">
        <v>240.5</v>
      </c>
      <c r="I24" s="21">
        <v>1</v>
      </c>
      <c r="J24" s="21">
        <f>H24/I24</f>
        <v>240.5</v>
      </c>
      <c r="K24" s="21">
        <v>1</v>
      </c>
      <c r="M24" s="25">
        <f>(J24*$A$26+K24*$B$26)/1000</f>
        <v>708.33950000000004</v>
      </c>
      <c r="N24" s="91"/>
      <c r="O24" s="86">
        <f>J23*A26/1000</f>
        <v>386.15619999999996</v>
      </c>
      <c r="P24" s="86">
        <f>K23*B26/1000</f>
        <v>5.8390000000000004</v>
      </c>
      <c r="Q24" s="121">
        <f>SUM(O24:P24)</f>
        <v>391.99519999999995</v>
      </c>
    </row>
    <row r="25" spans="1:17" ht="16.5" thickBot="1">
      <c r="A25" s="23" t="s">
        <v>26</v>
      </c>
      <c r="B25" s="19" t="s">
        <v>27</v>
      </c>
      <c r="C25" s="19" t="s">
        <v>28</v>
      </c>
      <c r="D25" s="90" t="s">
        <v>30</v>
      </c>
      <c r="E25" s="19" t="s">
        <v>29</v>
      </c>
      <c r="N25" s="76"/>
      <c r="O25" s="155">
        <f>O24/Q24</f>
        <v>0.98510440944174826</v>
      </c>
      <c r="P25" s="155">
        <f>P24/Q24</f>
        <v>1.4895590558251737E-2</v>
      </c>
    </row>
    <row r="26" spans="1:17" ht="16.5" thickBot="1">
      <c r="A26" s="26">
        <v>2921</v>
      </c>
      <c r="B26" s="26">
        <v>5839</v>
      </c>
      <c r="C26" s="26">
        <v>0</v>
      </c>
      <c r="D26" s="26">
        <v>0</v>
      </c>
      <c r="E26" s="26">
        <f>SUM(A26:D26)</f>
        <v>8760</v>
      </c>
      <c r="G26" s="465" t="s">
        <v>37</v>
      </c>
      <c r="H26" s="465"/>
      <c r="I26" s="465"/>
      <c r="J26" s="465"/>
      <c r="K26" s="465"/>
      <c r="M26" s="39" t="s">
        <v>35</v>
      </c>
      <c r="N26" s="76"/>
      <c r="O26">
        <f>J24*A26/1000</f>
        <v>702.50049999999999</v>
      </c>
      <c r="P26">
        <f>K24*B26/1000</f>
        <v>5.8390000000000004</v>
      </c>
      <c r="Q26">
        <f>SUM(O26:P26)</f>
        <v>708.33950000000004</v>
      </c>
    </row>
    <row r="27" spans="1:17" ht="42.75" thickBot="1">
      <c r="G27" s="118" t="s">
        <v>93</v>
      </c>
      <c r="H27" s="22" t="s">
        <v>94</v>
      </c>
      <c r="I27" s="22" t="s">
        <v>80</v>
      </c>
      <c r="J27" s="22" t="s">
        <v>82</v>
      </c>
      <c r="K27" s="22" t="s">
        <v>81</v>
      </c>
      <c r="M27" s="38" t="s">
        <v>39</v>
      </c>
      <c r="O27" s="156">
        <f>O26/Q26</f>
        <v>0.99175677764687686</v>
      </c>
      <c r="P27" s="156">
        <f>P26/Q26</f>
        <v>8.2432223531230427E-3</v>
      </c>
    </row>
    <row r="28" spans="1:17" ht="16.5" thickBot="1">
      <c r="G28" s="24" t="s">
        <v>95</v>
      </c>
      <c r="H28" s="24">
        <v>70.3</v>
      </c>
      <c r="I28" s="21">
        <v>2</v>
      </c>
      <c r="J28" s="92">
        <f>H28/I28</f>
        <v>35.15</v>
      </c>
      <c r="K28" s="21">
        <v>0.6</v>
      </c>
      <c r="M28" s="25">
        <f>(J28*$A$26+K28*$B$26)/1000</f>
        <v>106.17654999999999</v>
      </c>
      <c r="O28">
        <f>J28*A26/1000</f>
        <v>102.67314999999999</v>
      </c>
      <c r="P28">
        <f>K28*B26/1000</f>
        <v>3.5034000000000001</v>
      </c>
      <c r="Q28">
        <f>SUM(O28:P28)</f>
        <v>106.17654999999999</v>
      </c>
    </row>
    <row r="29" spans="1:17" ht="16.5" thickBot="1">
      <c r="G29" s="24" t="s">
        <v>96</v>
      </c>
      <c r="H29" s="24">
        <v>132.19999999999999</v>
      </c>
      <c r="I29" s="21">
        <v>2</v>
      </c>
      <c r="J29" s="92">
        <f>H29/I29</f>
        <v>66.099999999999994</v>
      </c>
      <c r="K29" s="21">
        <v>0.6</v>
      </c>
      <c r="M29" s="25">
        <f>(J29*$A$26+K29*$B$26)/1000</f>
        <v>196.58149999999998</v>
      </c>
      <c r="O29" s="156">
        <f>O28/Q28</f>
        <v>0.96700401359810617</v>
      </c>
      <c r="P29" s="156">
        <f>P28/Q28</f>
        <v>3.2995986401893829E-2</v>
      </c>
    </row>
    <row r="30" spans="1:17" ht="16.5" thickBot="1">
      <c r="G30" s="24" t="s">
        <v>97</v>
      </c>
      <c r="H30" s="24">
        <v>240.5</v>
      </c>
      <c r="I30" s="21">
        <v>2</v>
      </c>
      <c r="J30" s="92">
        <f>H30/I30</f>
        <v>120.25</v>
      </c>
      <c r="K30" s="21">
        <v>0.6</v>
      </c>
      <c r="M30" s="25">
        <f>(J30*$A$26+K30*$B$26)/1000</f>
        <v>354.75365000000005</v>
      </c>
      <c r="O30">
        <f>J29*A26/1000</f>
        <v>193.07809999999998</v>
      </c>
      <c r="P30">
        <f>K29*B26/1000</f>
        <v>3.5034000000000001</v>
      </c>
      <c r="Q30">
        <f>SUM(O30:P30)</f>
        <v>196.58149999999998</v>
      </c>
    </row>
    <row r="32" spans="1:17" ht="16.5" thickBot="1">
      <c r="G32" s="465" t="s">
        <v>167</v>
      </c>
      <c r="H32" s="465"/>
      <c r="I32" s="465"/>
      <c r="J32" s="465"/>
      <c r="K32" s="465"/>
      <c r="M32" s="153" t="s">
        <v>168</v>
      </c>
    </row>
    <row r="33" spans="1:17" ht="42.75" thickBot="1">
      <c r="G33" s="118" t="s">
        <v>93</v>
      </c>
      <c r="H33" s="22" t="s">
        <v>94</v>
      </c>
      <c r="I33" s="22" t="s">
        <v>80</v>
      </c>
      <c r="J33" s="22" t="s">
        <v>82</v>
      </c>
      <c r="K33" s="22" t="s">
        <v>81</v>
      </c>
      <c r="M33" s="154" t="s">
        <v>39</v>
      </c>
    </row>
    <row r="34" spans="1:17" ht="16.5" thickBot="1">
      <c r="G34" s="24" t="s">
        <v>95</v>
      </c>
      <c r="H34" s="24">
        <v>70.3</v>
      </c>
      <c r="I34" s="21">
        <v>2.6</v>
      </c>
      <c r="J34" s="93">
        <f>H34/I34</f>
        <v>27.038461538461537</v>
      </c>
      <c r="K34" s="21">
        <v>0.5</v>
      </c>
      <c r="M34" s="25">
        <f>(J34*$A$26+K34*$B$26)/1000</f>
        <v>81.898846153846137</v>
      </c>
    </row>
    <row r="35" spans="1:17" ht="16.5" thickBot="1">
      <c r="G35" s="24" t="s">
        <v>96</v>
      </c>
      <c r="H35" s="24">
        <v>132.19999999999999</v>
      </c>
      <c r="I35" s="21">
        <v>2.6</v>
      </c>
      <c r="J35" s="93">
        <f>H35/I35</f>
        <v>50.84615384615384</v>
      </c>
      <c r="K35" s="21">
        <v>0.5</v>
      </c>
      <c r="M35" s="25">
        <f>(J35*$A$26+K35*$B$26)/1000</f>
        <v>151.44111538461539</v>
      </c>
    </row>
    <row r="36" spans="1:17" ht="16.5" thickBot="1">
      <c r="G36" s="24" t="s">
        <v>97</v>
      </c>
      <c r="H36" s="24">
        <v>240.5</v>
      </c>
      <c r="I36" s="21">
        <v>2.6</v>
      </c>
      <c r="J36" s="93">
        <f>H36/I36</f>
        <v>92.5</v>
      </c>
      <c r="K36" s="21">
        <v>0.5</v>
      </c>
      <c r="M36" s="25">
        <f>(J36*$A$26+K36*$B$26)/1000</f>
        <v>273.11200000000002</v>
      </c>
    </row>
    <row r="38" spans="1:17" ht="16.5" thickBot="1">
      <c r="A38" s="479" t="s">
        <v>75</v>
      </c>
      <c r="B38" s="479"/>
      <c r="C38" s="479"/>
      <c r="D38" s="479"/>
      <c r="E38" s="479"/>
      <c r="F38" s="479"/>
      <c r="G38" s="479"/>
      <c r="H38" s="479"/>
      <c r="I38" s="479"/>
      <c r="J38" s="479"/>
      <c r="K38" s="479"/>
      <c r="L38" s="479"/>
      <c r="O38" s="156">
        <f>O30/Q30</f>
        <v>0.98217838402901592</v>
      </c>
      <c r="P38" s="156">
        <f>P30/Q30</f>
        <v>1.7821615970984046E-2</v>
      </c>
    </row>
    <row r="39" spans="1:17" ht="16.5" thickBot="1">
      <c r="A39" s="500" t="s">
        <v>69</v>
      </c>
      <c r="B39" s="503" t="s">
        <v>93</v>
      </c>
      <c r="C39" s="497" t="s">
        <v>169</v>
      </c>
      <c r="D39" s="498"/>
      <c r="E39" s="498"/>
      <c r="F39" s="498"/>
      <c r="G39" s="499"/>
      <c r="H39" s="497" t="s">
        <v>170</v>
      </c>
      <c r="I39" s="498"/>
      <c r="J39" s="498"/>
      <c r="K39" s="498"/>
      <c r="L39" s="499"/>
      <c r="O39" s="156"/>
      <c r="P39" s="156"/>
    </row>
    <row r="40" spans="1:17" ht="15.95" customHeight="1" thickBot="1">
      <c r="A40" s="501"/>
      <c r="B40" s="504"/>
      <c r="C40" s="491" t="s">
        <v>72</v>
      </c>
      <c r="D40" s="492"/>
      <c r="E40" s="491" t="s">
        <v>74</v>
      </c>
      <c r="F40" s="493"/>
      <c r="G40" s="492"/>
      <c r="H40" s="491" t="s">
        <v>72</v>
      </c>
      <c r="I40" s="492"/>
      <c r="J40" s="491" t="s">
        <v>74</v>
      </c>
      <c r="K40" s="493"/>
      <c r="L40" s="492"/>
      <c r="O40">
        <f>J30*A26/1000</f>
        <v>351.25024999999999</v>
      </c>
      <c r="P40">
        <f>K30*B26/1000</f>
        <v>3.5034000000000001</v>
      </c>
      <c r="Q40">
        <f>SUM(O40:P40)</f>
        <v>354.75364999999999</v>
      </c>
    </row>
    <row r="41" spans="1:17" ht="16.5" thickBot="1">
      <c r="A41" s="502"/>
      <c r="B41" s="505"/>
      <c r="C41" s="321" t="s">
        <v>76</v>
      </c>
      <c r="D41" s="322" t="s">
        <v>77</v>
      </c>
      <c r="E41" s="321" t="s">
        <v>34</v>
      </c>
      <c r="F41" s="160" t="s">
        <v>77</v>
      </c>
      <c r="G41" s="322" t="s">
        <v>38</v>
      </c>
      <c r="H41" s="321" t="s">
        <v>76</v>
      </c>
      <c r="I41" s="322" t="s">
        <v>77</v>
      </c>
      <c r="J41" s="321" t="s">
        <v>34</v>
      </c>
      <c r="K41" s="160" t="s">
        <v>77</v>
      </c>
      <c r="L41" s="322" t="s">
        <v>38</v>
      </c>
      <c r="O41" s="156">
        <f>O40/Q40</f>
        <v>0.99012441450567179</v>
      </c>
      <c r="P41" s="156">
        <f>P40/Q40</f>
        <v>9.8755854943282477E-3</v>
      </c>
    </row>
    <row r="42" spans="1:17" ht="16.5" thickBot="1">
      <c r="A42" s="494" t="s">
        <v>70</v>
      </c>
      <c r="B42" s="328" t="s">
        <v>95</v>
      </c>
      <c r="C42" s="323">
        <f>M22-M28</f>
        <v>105.00874999999999</v>
      </c>
      <c r="D42" s="388">
        <f>(J22-J28)/1000*0.33</f>
        <v>1.15995E-2</v>
      </c>
      <c r="E42" s="323">
        <f>C42*'Interactive Effects'!$B$11</f>
        <v>107.108925</v>
      </c>
      <c r="F42" s="391">
        <f>D42*'Interactive Effects'!$C$11</f>
        <v>1.5659325000000002E-2</v>
      </c>
      <c r="G42" s="398">
        <f>C42*'Interactive Effects'!$D$11</f>
        <v>-2.5202100000000001</v>
      </c>
      <c r="H42" s="323">
        <f>M22-M34</f>
        <v>129.28645384615385</v>
      </c>
      <c r="I42" s="388">
        <f>(J22-J34)/1000*0.33</f>
        <v>1.4276307692307694E-2</v>
      </c>
      <c r="J42" s="323">
        <f>H42*'Interactive Effects'!$B$11</f>
        <v>131.87218292307693</v>
      </c>
      <c r="K42" s="391">
        <f>I42*'Interactive Effects'!$C$11</f>
        <v>1.9273015384615389E-2</v>
      </c>
      <c r="L42" s="398">
        <f>H42*'Interactive Effects'!$D$11</f>
        <v>-3.1028748923076925</v>
      </c>
    </row>
    <row r="43" spans="1:17" ht="16.5" thickBot="1">
      <c r="A43" s="495"/>
      <c r="B43" s="329" t="s">
        <v>96</v>
      </c>
      <c r="C43" s="324">
        <f>M23-M29</f>
        <v>195.41369999999998</v>
      </c>
      <c r="D43" s="389">
        <f>(J23-J29)/1000*0.33</f>
        <v>2.1812999999999999E-2</v>
      </c>
      <c r="E43" s="326">
        <f>C43*'Interactive Effects'!$B$11</f>
        <v>199.32197399999998</v>
      </c>
      <c r="F43" s="392">
        <f>D43*'Interactive Effects'!$C$11</f>
        <v>2.9447549999999999E-2</v>
      </c>
      <c r="G43" s="399">
        <f>C43*'Interactive Effects'!$D$11</f>
        <v>-4.6899287999999997</v>
      </c>
      <c r="H43" s="324">
        <f>M23-M35</f>
        <v>240.55408461538457</v>
      </c>
      <c r="I43" s="389">
        <f>(J23-J35)/1000*0.33</f>
        <v>2.684676923076923E-2</v>
      </c>
      <c r="J43" s="326">
        <f>H43*'Interactive Effects'!$B$11</f>
        <v>245.36516630769228</v>
      </c>
      <c r="K43" s="392">
        <f>I43*'Interactive Effects'!$C$11</f>
        <v>3.6243138461538461E-2</v>
      </c>
      <c r="L43" s="399">
        <f>H43*'Interactive Effects'!$D$11</f>
        <v>-5.7732980307692294</v>
      </c>
    </row>
    <row r="44" spans="1:17" ht="16.5" thickBot="1">
      <c r="A44" s="496"/>
      <c r="B44" s="330" t="s">
        <v>97</v>
      </c>
      <c r="C44" s="325">
        <f>M24-M30</f>
        <v>353.58584999999999</v>
      </c>
      <c r="D44" s="390">
        <f>(J24-J30)/1000*0.33</f>
        <v>3.9682500000000002E-2</v>
      </c>
      <c r="E44" s="327">
        <f>C44*'Interactive Effects'!$B$11</f>
        <v>360.65756699999997</v>
      </c>
      <c r="F44" s="393">
        <f>D44*'Interactive Effects'!$C$11</f>
        <v>5.3571375000000004E-2</v>
      </c>
      <c r="G44" s="400">
        <f>C44*'Interactive Effects'!$D$11</f>
        <v>-8.4860603999999995</v>
      </c>
      <c r="H44" s="325">
        <f>M24-M36</f>
        <v>435.22750000000002</v>
      </c>
      <c r="I44" s="390">
        <f>(J24-J36)/1000*0.33</f>
        <v>4.8840000000000001E-2</v>
      </c>
      <c r="J44" s="327">
        <f>H44*'Interactive Effects'!$B$11</f>
        <v>443.93205</v>
      </c>
      <c r="K44" s="393">
        <f>I44*'Interactive Effects'!$C$11</f>
        <v>6.5934000000000006E-2</v>
      </c>
      <c r="L44" s="400">
        <f>H44*'Interactive Effects'!$D$11</f>
        <v>-10.445460000000001</v>
      </c>
    </row>
    <row r="45" spans="1:17" ht="16.5" thickBot="1">
      <c r="A45" s="494" t="s">
        <v>66</v>
      </c>
      <c r="B45" s="328" t="s">
        <v>95</v>
      </c>
      <c r="C45" s="323">
        <f t="shared" ref="C45:D50" si="0">C42</f>
        <v>105.00874999999999</v>
      </c>
      <c r="D45" s="388">
        <f t="shared" si="0"/>
        <v>1.15995E-2</v>
      </c>
      <c r="E45" s="323">
        <f>C45*'Interactive Effects'!$B$12</f>
        <v>112.3593625</v>
      </c>
      <c r="F45" s="391">
        <f>D45*'Interactive Effects'!$C$12</f>
        <v>1.600731E-2</v>
      </c>
      <c r="G45" s="398">
        <f>C45*'Interactive Effects'!$D$12</f>
        <v>-2.0161679999999995</v>
      </c>
      <c r="H45" s="323">
        <f t="shared" ref="H45:I53" si="1">H42</f>
        <v>129.28645384615385</v>
      </c>
      <c r="I45" s="388">
        <f t="shared" si="1"/>
        <v>1.4276307692307694E-2</v>
      </c>
      <c r="J45" s="323">
        <f>H45*'Interactive Effects'!$B$12</f>
        <v>138.33650561538462</v>
      </c>
      <c r="K45" s="391">
        <f>I45*'Interactive Effects'!$C$12</f>
        <v>1.9701304615384618E-2</v>
      </c>
      <c r="L45" s="398">
        <f>H45*'Interactive Effects'!$D$12</f>
        <v>-2.4822999138461537</v>
      </c>
    </row>
    <row r="46" spans="1:17" ht="16.5" thickBot="1">
      <c r="A46" s="495"/>
      <c r="B46" s="329" t="s">
        <v>96</v>
      </c>
      <c r="C46" s="326">
        <f t="shared" si="0"/>
        <v>195.41369999999998</v>
      </c>
      <c r="D46" s="389">
        <f t="shared" si="0"/>
        <v>2.1812999999999999E-2</v>
      </c>
      <c r="E46" s="326">
        <f>C46*'Interactive Effects'!$B$12</f>
        <v>209.092659</v>
      </c>
      <c r="F46" s="392">
        <f>D46*'Interactive Effects'!$C$12</f>
        <v>3.0101939999999997E-2</v>
      </c>
      <c r="G46" s="399">
        <f>C46*'Interactive Effects'!$D$12</f>
        <v>-3.7519430399999991</v>
      </c>
      <c r="H46" s="326">
        <f t="shared" si="1"/>
        <v>240.55408461538457</v>
      </c>
      <c r="I46" s="389">
        <f t="shared" si="1"/>
        <v>2.684676923076923E-2</v>
      </c>
      <c r="J46" s="326">
        <f>H46*'Interactive Effects'!$B$12</f>
        <v>257.39287053846152</v>
      </c>
      <c r="K46" s="392">
        <f>I46*'Interactive Effects'!$C$12</f>
        <v>3.7048541538461537E-2</v>
      </c>
      <c r="L46" s="399">
        <f>H46*'Interactive Effects'!$D$12</f>
        <v>-4.6186384246153835</v>
      </c>
    </row>
    <row r="47" spans="1:17" ht="16.5" thickBot="1">
      <c r="A47" s="496"/>
      <c r="B47" s="330" t="s">
        <v>97</v>
      </c>
      <c r="C47" s="327">
        <f t="shared" si="0"/>
        <v>353.58584999999999</v>
      </c>
      <c r="D47" s="390">
        <f t="shared" si="0"/>
        <v>3.9682500000000002E-2</v>
      </c>
      <c r="E47" s="327">
        <f>C47*'Interactive Effects'!$B$12</f>
        <v>378.3368595</v>
      </c>
      <c r="F47" s="393">
        <f>D47*'Interactive Effects'!$C$12</f>
        <v>5.4761850000000001E-2</v>
      </c>
      <c r="G47" s="400">
        <f>C47*'Interactive Effects'!$D$12</f>
        <v>-6.7888483199999996</v>
      </c>
      <c r="H47" s="327">
        <f t="shared" si="1"/>
        <v>435.22750000000002</v>
      </c>
      <c r="I47" s="390">
        <f t="shared" si="1"/>
        <v>4.8840000000000001E-2</v>
      </c>
      <c r="J47" s="327">
        <f>H47*'Interactive Effects'!$B$12</f>
        <v>465.69342500000005</v>
      </c>
      <c r="K47" s="393">
        <f>I47*'Interactive Effects'!$C$12</f>
        <v>6.7399199999999992E-2</v>
      </c>
      <c r="L47" s="400">
        <f>H47*'Interactive Effects'!$D$12</f>
        <v>-8.3563679999999998</v>
      </c>
    </row>
    <row r="48" spans="1:17" ht="16.5" thickBot="1">
      <c r="A48" s="494" t="s">
        <v>67</v>
      </c>
      <c r="B48" s="328" t="s">
        <v>95</v>
      </c>
      <c r="C48" s="323">
        <f t="shared" si="0"/>
        <v>105.00874999999999</v>
      </c>
      <c r="D48" s="388">
        <f t="shared" si="0"/>
        <v>1.15995E-2</v>
      </c>
      <c r="E48" s="323">
        <f>C48*'Interactive Effects'!$B$13</f>
        <v>112.3593625</v>
      </c>
      <c r="F48" s="391">
        <f>D48*'Interactive Effects'!$C$13</f>
        <v>1.600731E-2</v>
      </c>
      <c r="G48" s="398">
        <f>C48*'Interactive Effects'!$D$13</f>
        <v>-2.0161679999999995</v>
      </c>
      <c r="H48" s="323">
        <f t="shared" si="1"/>
        <v>129.28645384615385</v>
      </c>
      <c r="I48" s="388">
        <f t="shared" si="1"/>
        <v>1.4276307692307694E-2</v>
      </c>
      <c r="J48" s="323">
        <f>H48*'Interactive Effects'!$B$13</f>
        <v>138.33650561538462</v>
      </c>
      <c r="K48" s="391">
        <f>I48*'Interactive Effects'!$C$13</f>
        <v>1.9701304615384618E-2</v>
      </c>
      <c r="L48" s="398">
        <f>H48*'Interactive Effects'!$D$13</f>
        <v>-2.4822999138461537</v>
      </c>
    </row>
    <row r="49" spans="1:12" ht="16.5" thickBot="1">
      <c r="A49" s="495"/>
      <c r="B49" s="329" t="s">
        <v>96</v>
      </c>
      <c r="C49" s="326">
        <f t="shared" si="0"/>
        <v>195.41369999999998</v>
      </c>
      <c r="D49" s="389">
        <f t="shared" si="0"/>
        <v>2.1812999999999999E-2</v>
      </c>
      <c r="E49" s="326">
        <f>C49*'Interactive Effects'!$B$13</f>
        <v>209.092659</v>
      </c>
      <c r="F49" s="392">
        <f>D49*'Interactive Effects'!$C$13</f>
        <v>3.0101939999999997E-2</v>
      </c>
      <c r="G49" s="399">
        <f>C49*'Interactive Effects'!$D$13</f>
        <v>-3.7519430399999991</v>
      </c>
      <c r="H49" s="326">
        <f t="shared" si="1"/>
        <v>240.55408461538457</v>
      </c>
      <c r="I49" s="389">
        <f t="shared" si="1"/>
        <v>2.684676923076923E-2</v>
      </c>
      <c r="J49" s="326">
        <f>H49*'Interactive Effects'!$B$13</f>
        <v>257.39287053846152</v>
      </c>
      <c r="K49" s="392">
        <f>I49*'Interactive Effects'!$C$13</f>
        <v>3.7048541538461537E-2</v>
      </c>
      <c r="L49" s="399">
        <f>H49*'Interactive Effects'!$D$13</f>
        <v>-4.6186384246153835</v>
      </c>
    </row>
    <row r="50" spans="1:12" ht="16.5" thickBot="1">
      <c r="A50" s="496"/>
      <c r="B50" s="330" t="s">
        <v>97</v>
      </c>
      <c r="C50" s="327">
        <f t="shared" si="0"/>
        <v>353.58584999999999</v>
      </c>
      <c r="D50" s="390">
        <f t="shared" si="0"/>
        <v>3.9682500000000002E-2</v>
      </c>
      <c r="E50" s="327">
        <f>C50*'Interactive Effects'!$B$13</f>
        <v>378.3368595</v>
      </c>
      <c r="F50" s="393">
        <f>D50*'Interactive Effects'!$C$13</f>
        <v>5.4761850000000001E-2</v>
      </c>
      <c r="G50" s="400">
        <f>C50*'Interactive Effects'!$D$13</f>
        <v>-6.7888483199999996</v>
      </c>
      <c r="H50" s="327">
        <f t="shared" si="1"/>
        <v>435.22750000000002</v>
      </c>
      <c r="I50" s="390">
        <f t="shared" si="1"/>
        <v>4.8840000000000001E-2</v>
      </c>
      <c r="J50" s="327">
        <f>H50*'Interactive Effects'!$B$13</f>
        <v>465.69342500000005</v>
      </c>
      <c r="K50" s="393">
        <f>I50*'Interactive Effects'!$C$13</f>
        <v>6.7399199999999992E-2</v>
      </c>
      <c r="L50" s="400">
        <f>H50*'Interactive Effects'!$D$13</f>
        <v>-8.3563679999999998</v>
      </c>
    </row>
    <row r="51" spans="1:12" ht="16.5" thickBot="1">
      <c r="A51" s="494" t="s">
        <v>71</v>
      </c>
      <c r="B51" s="328" t="s">
        <v>95</v>
      </c>
      <c r="C51" s="323">
        <f t="shared" ref="C51:D53" si="2">C48</f>
        <v>105.00874999999999</v>
      </c>
      <c r="D51" s="388">
        <f t="shared" si="2"/>
        <v>1.15995E-2</v>
      </c>
      <c r="E51" s="323">
        <f>C51*'Interactive Effects'!$B$14</f>
        <v>108.15901249999999</v>
      </c>
      <c r="F51" s="391">
        <f>D51*'Interactive Effects'!$C$14</f>
        <v>1.484736E-2</v>
      </c>
      <c r="G51" s="398">
        <f>C51*'Interactive Effects'!$D$14</f>
        <v>-1.8481540000000001</v>
      </c>
      <c r="H51" s="323">
        <f t="shared" si="1"/>
        <v>129.28645384615385</v>
      </c>
      <c r="I51" s="388">
        <f t="shared" si="1"/>
        <v>1.4276307692307694E-2</v>
      </c>
      <c r="J51" s="323">
        <f>H51*'Interactive Effects'!$B$14</f>
        <v>133.16504746153848</v>
      </c>
      <c r="K51" s="391">
        <f>I51*'Interactive Effects'!$C$14</f>
        <v>1.8273673846153849E-2</v>
      </c>
      <c r="L51" s="398">
        <f>H51*'Interactive Effects'!$D$14</f>
        <v>-2.275441587692308</v>
      </c>
    </row>
    <row r="52" spans="1:12" ht="16.5" thickBot="1">
      <c r="A52" s="495"/>
      <c r="B52" s="329" t="s">
        <v>96</v>
      </c>
      <c r="C52" s="326">
        <f t="shared" si="2"/>
        <v>195.41369999999998</v>
      </c>
      <c r="D52" s="389">
        <f t="shared" si="2"/>
        <v>2.1812999999999999E-2</v>
      </c>
      <c r="E52" s="326">
        <f>C52*'Interactive Effects'!$B$14</f>
        <v>201.27611099999999</v>
      </c>
      <c r="F52" s="392">
        <f>D52*'Interactive Effects'!$C$14</f>
        <v>2.792064E-2</v>
      </c>
      <c r="G52" s="399">
        <f>C52*'Interactive Effects'!$D$14</f>
        <v>-3.43928112</v>
      </c>
      <c r="H52" s="326">
        <f t="shared" si="1"/>
        <v>240.55408461538457</v>
      </c>
      <c r="I52" s="389">
        <f t="shared" si="1"/>
        <v>2.684676923076923E-2</v>
      </c>
      <c r="J52" s="326">
        <f>H52*'Interactive Effects'!$B$14</f>
        <v>247.7707071538461</v>
      </c>
      <c r="K52" s="392">
        <f>I52*'Interactive Effects'!$C$14</f>
        <v>3.4363864615384612E-2</v>
      </c>
      <c r="L52" s="399">
        <f>H52*'Interactive Effects'!$D$14</f>
        <v>-4.2337518892307688</v>
      </c>
    </row>
    <row r="53" spans="1:12" ht="16.5" thickBot="1">
      <c r="A53" s="496"/>
      <c r="B53" s="330" t="s">
        <v>97</v>
      </c>
      <c r="C53" s="327">
        <f t="shared" si="2"/>
        <v>353.58584999999999</v>
      </c>
      <c r="D53" s="390">
        <f t="shared" si="2"/>
        <v>3.9682500000000002E-2</v>
      </c>
      <c r="E53" s="327">
        <f>C53*'Interactive Effects'!$B$14</f>
        <v>364.19342549999999</v>
      </c>
      <c r="F53" s="393">
        <f>D53*'Interactive Effects'!$C$14</f>
        <v>5.0793600000000001E-2</v>
      </c>
      <c r="G53" s="400">
        <f>C53*'Interactive Effects'!$D$14</f>
        <v>-6.2231109600000005</v>
      </c>
      <c r="H53" s="327">
        <f t="shared" si="1"/>
        <v>435.22750000000002</v>
      </c>
      <c r="I53" s="390">
        <f t="shared" si="1"/>
        <v>4.8840000000000001E-2</v>
      </c>
      <c r="J53" s="327">
        <f>H53*'Interactive Effects'!$B$14</f>
        <v>448.28432500000002</v>
      </c>
      <c r="K53" s="393">
        <f>I53*'Interactive Effects'!$C$14</f>
        <v>6.2515200000000007E-2</v>
      </c>
      <c r="L53" s="400">
        <f>H53*'Interactive Effects'!$D$14</f>
        <v>-7.6600040000000007</v>
      </c>
    </row>
  </sheetData>
  <mergeCells count="18">
    <mergeCell ref="A1:M1"/>
    <mergeCell ref="G26:K26"/>
    <mergeCell ref="G20:K20"/>
    <mergeCell ref="C40:D40"/>
    <mergeCell ref="E40:G40"/>
    <mergeCell ref="A24:E24"/>
    <mergeCell ref="G32:K32"/>
    <mergeCell ref="C39:G39"/>
    <mergeCell ref="A38:L38"/>
    <mergeCell ref="A39:A41"/>
    <mergeCell ref="B39:B41"/>
    <mergeCell ref="H39:L39"/>
    <mergeCell ref="H40:I40"/>
    <mergeCell ref="J40:L40"/>
    <mergeCell ref="A48:A50"/>
    <mergeCell ref="A51:A53"/>
    <mergeCell ref="A42:A44"/>
    <mergeCell ref="A45:A47"/>
  </mergeCells>
  <pageMargins left="0.75" right="0.75" top="1" bottom="1" header="0.5" footer="0.5"/>
  <pageSetup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9"/>
  <sheetViews>
    <sheetView topLeftCell="A56" workbookViewId="0">
      <selection activeCell="G82" sqref="G82"/>
    </sheetView>
  </sheetViews>
  <sheetFormatPr defaultColWidth="11" defaultRowHeight="15.75"/>
  <cols>
    <col min="1" max="1" width="16.125" customWidth="1"/>
    <col min="2" max="2" width="29.125" bestFit="1" customWidth="1"/>
    <col min="3" max="3" width="12.375" customWidth="1"/>
    <col min="4" max="4" width="14.625" customWidth="1"/>
    <col min="5" max="5" width="12.125" customWidth="1"/>
    <col min="6" max="8" width="10.875" customWidth="1"/>
    <col min="9" max="9" width="13" hidden="1" customWidth="1"/>
    <col min="10" max="10" width="11.5" hidden="1" customWidth="1"/>
    <col min="11" max="11" width="15.625" hidden="1" customWidth="1"/>
    <col min="12" max="13" width="13.125" customWidth="1"/>
    <col min="14" max="14" width="3" customWidth="1"/>
    <col min="15" max="15" width="6.875" bestFit="1" customWidth="1"/>
    <col min="16" max="16" width="10.625" bestFit="1" customWidth="1"/>
    <col min="17" max="17" width="6" bestFit="1" customWidth="1"/>
    <col min="18" max="18" width="4.625" customWidth="1"/>
    <col min="19" max="19" width="13.625" hidden="1" customWidth="1"/>
    <col min="20" max="20" width="17.625" hidden="1" customWidth="1"/>
    <col min="21" max="21" width="14" hidden="1" customWidth="1"/>
    <col min="22" max="22" width="4.875" hidden="1" customWidth="1"/>
    <col min="23" max="23" width="0" hidden="1" customWidth="1"/>
    <col min="24" max="24" width="14.625" hidden="1" customWidth="1"/>
    <col min="25" max="25" width="10.375" hidden="1" customWidth="1"/>
    <col min="26" max="26" width="13.125" hidden="1" customWidth="1"/>
    <col min="27" max="27" width="10.375" hidden="1" customWidth="1"/>
    <col min="28" max="32" width="0" hidden="1" customWidth="1"/>
    <col min="33" max="33" width="14.125" hidden="1" customWidth="1"/>
    <col min="34" max="35" width="0" hidden="1" customWidth="1"/>
  </cols>
  <sheetData>
    <row r="1" spans="1:35" ht="18.75">
      <c r="A1" s="464" t="s">
        <v>84</v>
      </c>
      <c r="B1" s="464"/>
      <c r="C1" s="464"/>
      <c r="D1" s="464"/>
      <c r="E1" s="464"/>
      <c r="F1" s="464"/>
      <c r="G1" s="464"/>
      <c r="H1" s="464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35">
      <c r="L2" s="76"/>
      <c r="M2" s="237"/>
      <c r="N2" s="76"/>
      <c r="O2" s="76"/>
      <c r="P2" s="76"/>
      <c r="S2" s="479" t="s">
        <v>208</v>
      </c>
      <c r="T2" s="479"/>
      <c r="U2" s="479"/>
      <c r="W2" s="479" t="s">
        <v>209</v>
      </c>
      <c r="X2" s="479"/>
      <c r="Y2" s="479"/>
      <c r="Z2" s="479"/>
      <c r="AA2" s="479"/>
      <c r="AC2" s="479" t="s">
        <v>209</v>
      </c>
      <c r="AD2" s="479"/>
      <c r="AE2" s="479"/>
      <c r="AF2" s="479"/>
      <c r="AG2" s="479"/>
      <c r="AH2" s="479"/>
    </row>
    <row r="3" spans="1:35" ht="50.1" customHeight="1" thickBot="1">
      <c r="L3" s="76"/>
      <c r="M3" s="76"/>
      <c r="N3" s="76"/>
      <c r="O3" s="76"/>
      <c r="P3" s="76"/>
      <c r="S3" s="239" t="s">
        <v>69</v>
      </c>
      <c r="T3" s="240" t="s">
        <v>202</v>
      </c>
      <c r="U3" s="240" t="s">
        <v>203</v>
      </c>
      <c r="W3" s="239" t="s">
        <v>69</v>
      </c>
      <c r="X3" s="240" t="s">
        <v>202</v>
      </c>
      <c r="Y3" s="240" t="s">
        <v>210</v>
      </c>
      <c r="Z3" s="240" t="s">
        <v>203</v>
      </c>
      <c r="AA3" s="240" t="s">
        <v>210</v>
      </c>
      <c r="AC3" s="239" t="s">
        <v>69</v>
      </c>
      <c r="AD3" s="240" t="s">
        <v>202</v>
      </c>
      <c r="AE3" s="240" t="s">
        <v>211</v>
      </c>
      <c r="AF3" s="240" t="s">
        <v>210</v>
      </c>
      <c r="AG3" s="240" t="s">
        <v>203</v>
      </c>
      <c r="AH3" s="240" t="s">
        <v>211</v>
      </c>
      <c r="AI3" s="240" t="s">
        <v>210</v>
      </c>
    </row>
    <row r="4" spans="1:35" ht="16.5" thickBot="1">
      <c r="L4" s="76"/>
      <c r="M4" s="76"/>
      <c r="N4" s="76"/>
      <c r="O4" s="76"/>
      <c r="P4" s="76"/>
      <c r="S4" s="252" t="s">
        <v>65</v>
      </c>
      <c r="T4" s="248">
        <f>$H20*C20+$H21*C21+$H22*C22+$H23*C23+$H24*C24+$H25*C30+$H26*C31+$H27*C32+$H28*C35</f>
        <v>32.83108</v>
      </c>
      <c r="U4" s="253">
        <f>$H20*D20+$H21*D21+$H22*D22+$H23*D23+$H24*D24+$H25*D30+$H26*D31+$H27*D32+$H28*D35</f>
        <v>3.532362E-2</v>
      </c>
      <c r="W4" s="261" t="s">
        <v>65</v>
      </c>
      <c r="X4" s="262">
        <f>AVERAGE(E59:E59)</f>
        <v>32.83108</v>
      </c>
      <c r="Y4" s="263">
        <f>(X4-T4)/T4</f>
        <v>0</v>
      </c>
      <c r="Z4" s="264">
        <f>AVERAGE(F59:F59)</f>
        <v>3.532362E-2</v>
      </c>
      <c r="AA4" s="263">
        <f>(Z4-U4)/U4</f>
        <v>0</v>
      </c>
      <c r="AC4" s="261" t="s">
        <v>65</v>
      </c>
      <c r="AD4" s="262">
        <f>AVERAGE(E67:E67)</f>
        <v>62.406185123966985</v>
      </c>
      <c r="AE4" s="263">
        <f>(AD4-X4)/X4</f>
        <v>0.90082644628099307</v>
      </c>
      <c r="AF4" s="263">
        <f>(AD4-Z4)/Z4</f>
        <v>1765.6984619347334</v>
      </c>
      <c r="AG4" s="264">
        <f>AVERAGE(F67:F67)</f>
        <v>6.714407107438021E-2</v>
      </c>
      <c r="AH4" s="263">
        <f>(AG4-Z4)/Z4</f>
        <v>0.90082644628099295</v>
      </c>
      <c r="AI4" s="263" t="e">
        <f>(AG4-AA4)/AA4</f>
        <v>#DIV/0!</v>
      </c>
    </row>
    <row r="5" spans="1:35" ht="16.5" thickBot="1">
      <c r="L5" s="76"/>
      <c r="M5" s="76"/>
      <c r="N5" s="76"/>
      <c r="O5" s="76"/>
      <c r="P5" s="76"/>
      <c r="S5" s="254" t="s">
        <v>66</v>
      </c>
      <c r="T5" s="246">
        <f>$H29*C24+$H30*C25+$H31*C27+$H32*C28+$H33*C29+$H34*C32+$H35*C33+$H36*C34+$H37*C35</f>
        <v>44.637600000000006</v>
      </c>
      <c r="U5" s="255">
        <f>$H29*D24+$H30*D25+$H31*D27+$H32*D28+$H33*D29+$H34*D32+$H35*D33+$H36*D34+$H37*D35</f>
        <v>4.7411900000000007E-2</v>
      </c>
      <c r="W5" s="265" t="s">
        <v>66</v>
      </c>
      <c r="X5" s="266">
        <f>AVERAGE(E60:E60)</f>
        <v>44.637600000000006</v>
      </c>
      <c r="Y5" s="267">
        <f t="shared" ref="Y5:Y7" si="0">(X5-T5)/T5</f>
        <v>0</v>
      </c>
      <c r="Z5" s="268">
        <f>AVERAGE(F60:F60)</f>
        <v>4.7411900000000007E-2</v>
      </c>
      <c r="AA5" s="267">
        <f t="shared" ref="AA5:AA7" si="1">(Z5-U5)/U5</f>
        <v>0</v>
      </c>
      <c r="AC5" s="265" t="s">
        <v>66</v>
      </c>
      <c r="AD5" s="266">
        <f>AVERAGE(E68:E68)</f>
        <v>84.84833057851246</v>
      </c>
      <c r="AE5" s="267">
        <f t="shared" ref="AE5:AE7" si="2">(AD5-X5)/X5</f>
        <v>0.90082644628099284</v>
      </c>
      <c r="AF5" s="267">
        <f t="shared" ref="AF5:AF7" si="3">(AD5-Z5)/Z5</f>
        <v>1788.599880589313</v>
      </c>
      <c r="AG5" s="268">
        <f>AVERAGE(F68:F68)</f>
        <v>9.0121793388429822E-2</v>
      </c>
      <c r="AH5" s="267">
        <f t="shared" ref="AH5:AH7" si="4">(AG5-Z5)/Z5</f>
        <v>0.90082644628099295</v>
      </c>
      <c r="AI5" s="267" t="e">
        <f>(AG5-AA5)/AA5</f>
        <v>#DIV/0!</v>
      </c>
    </row>
    <row r="6" spans="1:35" ht="16.5" thickBot="1">
      <c r="L6" s="76"/>
      <c r="M6" s="76"/>
      <c r="N6" s="76"/>
      <c r="O6" s="76"/>
      <c r="P6" s="76"/>
      <c r="S6" s="254" t="s">
        <v>67</v>
      </c>
      <c r="T6" s="246">
        <f>$H38*C23+$H39*C24+$H40*C25+$H41*C26+$H42*C27+$H43*C28+$H44*C29+$H45*C32+$H46*C33+$H47*C34+$H48*C35</f>
        <v>40.580600000000004</v>
      </c>
      <c r="U6" s="255">
        <f>$H38*D23+$H39*D24+$H40*D25+$H41*D26+$H42*D27+$H43*D28+$H44*D29+$H45*D32+$H46*D33+$H47*D34+$H48*D35</f>
        <v>4.2006700000000001E-2</v>
      </c>
      <c r="W6" s="265" t="s">
        <v>67</v>
      </c>
      <c r="X6" s="266">
        <f>AVERAGE(E61:E61)</f>
        <v>40.580600000000004</v>
      </c>
      <c r="Y6" s="267">
        <f t="shared" si="0"/>
        <v>0</v>
      </c>
      <c r="Z6" s="268">
        <f>AVERAGE(F61:F61)</f>
        <v>4.2006700000000001E-2</v>
      </c>
      <c r="AA6" s="267">
        <f t="shared" si="1"/>
        <v>0</v>
      </c>
      <c r="AC6" s="265" t="s">
        <v>67</v>
      </c>
      <c r="AD6" s="266">
        <f>AVERAGE(E69:E69)</f>
        <v>77.136677685950474</v>
      </c>
      <c r="AE6" s="267">
        <f t="shared" si="2"/>
        <v>0.90082644628099307</v>
      </c>
      <c r="AF6" s="267">
        <f t="shared" si="3"/>
        <v>1835.2946312362187</v>
      </c>
      <c r="AG6" s="268">
        <f>AVERAGE(F69:F69)</f>
        <v>7.9847446280991788E-2</v>
      </c>
      <c r="AH6" s="267">
        <f t="shared" si="4"/>
        <v>0.90082644628099295</v>
      </c>
      <c r="AI6" s="267" t="e">
        <f>(AG6-AA6)/AA6</f>
        <v>#DIV/0!</v>
      </c>
    </row>
    <row r="7" spans="1:35" ht="16.5" thickBot="1">
      <c r="L7" s="76"/>
      <c r="M7" s="76"/>
      <c r="N7" s="76"/>
      <c r="O7" s="76"/>
      <c r="P7" s="76"/>
      <c r="S7" s="256" t="s">
        <v>68</v>
      </c>
      <c r="T7" s="251">
        <f>$H49*C25+$H50*C26+$H51*C27+$H52*C29+$H53*C33+$H54*C34</f>
        <v>31.207200000000004</v>
      </c>
      <c r="U7" s="257">
        <f>$H49*D25+$H50*D26+$H51*D27+$H52*D29+$H53*D33+$H54*D34</f>
        <v>2.8912E-2</v>
      </c>
      <c r="W7" s="269" t="s">
        <v>68</v>
      </c>
      <c r="X7" s="270">
        <f>AVERAGE(E62:E62)</f>
        <v>31.207200000000004</v>
      </c>
      <c r="Y7" s="271">
        <f t="shared" si="0"/>
        <v>0</v>
      </c>
      <c r="Z7" s="272">
        <f>AVERAGE(F62:F62)</f>
        <v>2.8912E-2</v>
      </c>
      <c r="AA7" s="271">
        <f t="shared" si="1"/>
        <v>0</v>
      </c>
      <c r="AC7" s="269" t="s">
        <v>68</v>
      </c>
      <c r="AD7" s="270">
        <f>AVERAGE(E70:E70)</f>
        <v>59.31947107438021</v>
      </c>
      <c r="AE7" s="271">
        <f t="shared" si="2"/>
        <v>0.90082644628099295</v>
      </c>
      <c r="AF7" s="271">
        <f t="shared" si="3"/>
        <v>2050.7249264796696</v>
      </c>
      <c r="AG7" s="272">
        <f>AVERAGE(F70:F70)</f>
        <v>5.4956694214876069E-2</v>
      </c>
      <c r="AH7" s="271">
        <f t="shared" si="4"/>
        <v>0.90082644628099295</v>
      </c>
      <c r="AI7" s="271" t="e">
        <f>(AG7-AA7)/AA7</f>
        <v>#DIV/0!</v>
      </c>
    </row>
    <row r="8" spans="1:35">
      <c r="L8" s="76"/>
      <c r="M8" s="76"/>
      <c r="N8" s="76"/>
      <c r="O8" s="76"/>
      <c r="P8" s="76"/>
    </row>
    <row r="9" spans="1:35">
      <c r="K9" s="102"/>
      <c r="L9" s="76"/>
      <c r="M9" s="76"/>
      <c r="N9" s="76"/>
      <c r="O9" s="76"/>
      <c r="P9" s="76"/>
    </row>
    <row r="10" spans="1:35">
      <c r="F10" s="94"/>
      <c r="G10" s="94"/>
      <c r="H10" s="76"/>
      <c r="I10" s="76"/>
      <c r="J10" s="76"/>
      <c r="K10" s="76"/>
      <c r="L10" s="76"/>
      <c r="M10" s="76"/>
      <c r="N10" s="76"/>
      <c r="O10" s="76"/>
      <c r="P10" s="76"/>
    </row>
    <row r="11" spans="1:35">
      <c r="F11" s="94"/>
      <c r="G11" s="94"/>
      <c r="H11" s="76"/>
      <c r="I11" s="91"/>
      <c r="J11" s="91"/>
      <c r="K11" s="282"/>
      <c r="L11" s="281"/>
      <c r="M11" s="282"/>
      <c r="N11" s="76"/>
      <c r="O11" s="76"/>
      <c r="P11" s="76"/>
    </row>
    <row r="12" spans="1:35">
      <c r="A12" s="479" t="s">
        <v>216</v>
      </c>
      <c r="B12" s="479"/>
      <c r="C12" s="479"/>
      <c r="F12" s="94"/>
      <c r="G12" s="94"/>
      <c r="H12" s="76"/>
      <c r="I12" s="91"/>
      <c r="J12" s="91"/>
      <c r="K12" s="282"/>
      <c r="L12" s="281"/>
      <c r="M12" s="282"/>
      <c r="N12" s="76"/>
      <c r="O12" s="76"/>
      <c r="P12" s="76"/>
    </row>
    <row r="13" spans="1:35" ht="19.5">
      <c r="A13" s="356" t="s">
        <v>212</v>
      </c>
      <c r="B13" s="356">
        <v>12</v>
      </c>
      <c r="C13" s="356"/>
      <c r="F13" s="94"/>
      <c r="G13" s="94"/>
      <c r="H13" s="76"/>
      <c r="I13" s="91"/>
      <c r="J13" s="91"/>
      <c r="K13" s="282"/>
      <c r="L13" s="281"/>
      <c r="M13" s="282"/>
      <c r="N13" s="76"/>
      <c r="O13" s="76"/>
      <c r="P13" s="76"/>
    </row>
    <row r="14" spans="1:35" ht="19.5">
      <c r="A14" s="356" t="s">
        <v>213</v>
      </c>
      <c r="B14" s="356">
        <v>10.9</v>
      </c>
      <c r="C14" s="356"/>
      <c r="F14" s="94"/>
      <c r="G14" s="94"/>
      <c r="H14" s="76"/>
      <c r="I14" s="91"/>
      <c r="J14" s="91"/>
      <c r="K14" s="282"/>
      <c r="M14" s="282"/>
      <c r="N14" s="76"/>
      <c r="O14" s="76"/>
      <c r="P14" s="76"/>
    </row>
    <row r="15" spans="1:35">
      <c r="A15" s="356" t="s">
        <v>214</v>
      </c>
      <c r="B15" s="273">
        <v>10000</v>
      </c>
      <c r="C15" s="356" t="s">
        <v>215</v>
      </c>
      <c r="F15" s="94"/>
      <c r="G15" s="94"/>
      <c r="H15" s="76"/>
      <c r="I15" s="76"/>
      <c r="J15" s="76"/>
      <c r="K15" s="76"/>
      <c r="L15" s="76"/>
      <c r="M15" s="76"/>
      <c r="N15" s="76"/>
      <c r="O15" s="76"/>
      <c r="P15" s="76"/>
    </row>
    <row r="16" spans="1:35">
      <c r="A16" t="s">
        <v>237</v>
      </c>
      <c r="B16" s="273" t="s">
        <v>238</v>
      </c>
      <c r="F16" s="94"/>
      <c r="G16" s="94"/>
      <c r="H16" s="76"/>
      <c r="I16" s="76"/>
      <c r="J16" s="76"/>
      <c r="K16" s="76"/>
      <c r="L16" s="76"/>
      <c r="M16" s="76"/>
      <c r="N16" s="76"/>
      <c r="O16" s="76"/>
      <c r="P16" s="76"/>
      <c r="R16" s="238"/>
    </row>
    <row r="17" spans="1:36">
      <c r="F17" s="94"/>
      <c r="G17" s="94"/>
      <c r="H17" s="76"/>
      <c r="I17" s="91"/>
      <c r="J17" s="91"/>
      <c r="K17" s="282"/>
      <c r="L17" s="281"/>
      <c r="M17" s="282"/>
      <c r="N17" s="76"/>
      <c r="O17" s="91"/>
      <c r="P17" s="91"/>
      <c r="Q17" s="283"/>
      <c r="R17" s="284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</row>
    <row r="18" spans="1:36">
      <c r="A18" s="479" t="s">
        <v>206</v>
      </c>
      <c r="B18" s="479"/>
      <c r="C18" s="479"/>
      <c r="D18" s="479"/>
      <c r="F18" s="489" t="s">
        <v>218</v>
      </c>
      <c r="G18" s="489"/>
      <c r="H18" s="489"/>
      <c r="I18" s="91"/>
      <c r="J18" s="91"/>
      <c r="K18" s="282"/>
      <c r="L18" s="281"/>
      <c r="M18" s="282"/>
      <c r="N18" s="76"/>
      <c r="O18" s="91"/>
      <c r="P18" s="91"/>
      <c r="Q18" s="283"/>
      <c r="R18" s="284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</row>
    <row r="19" spans="1:36" ht="42.75" thickBot="1">
      <c r="A19" s="239" t="s">
        <v>200</v>
      </c>
      <c r="B19" s="239" t="s">
        <v>201</v>
      </c>
      <c r="C19" s="240" t="s">
        <v>202</v>
      </c>
      <c r="D19" s="274" t="s">
        <v>222</v>
      </c>
      <c r="F19" s="239" t="s">
        <v>69</v>
      </c>
      <c r="G19" s="239" t="s">
        <v>200</v>
      </c>
      <c r="H19" s="240" t="s">
        <v>207</v>
      </c>
      <c r="I19" s="279"/>
      <c r="J19" s="280"/>
      <c r="K19" s="285"/>
      <c r="L19" s="281"/>
      <c r="M19" s="282"/>
      <c r="N19" s="76"/>
      <c r="O19" s="91"/>
      <c r="P19" s="91"/>
      <c r="Q19" s="283"/>
      <c r="R19" s="284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</row>
    <row r="20" spans="1:36" ht="16.5" thickBot="1">
      <c r="A20" s="247">
        <v>1</v>
      </c>
      <c r="B20" s="241" t="s">
        <v>205</v>
      </c>
      <c r="C20" s="248">
        <v>0</v>
      </c>
      <c r="D20" s="379">
        <v>0</v>
      </c>
      <c r="F20" s="509" t="s">
        <v>65</v>
      </c>
      <c r="G20" s="241">
        <v>1</v>
      </c>
      <c r="H20" s="242">
        <v>1.2999999999999999E-2</v>
      </c>
      <c r="I20" s="102"/>
      <c r="J20" s="102"/>
      <c r="K20" s="102"/>
      <c r="M20" s="76"/>
      <c r="N20" s="76"/>
      <c r="O20" s="76"/>
      <c r="P20" s="76"/>
    </row>
    <row r="21" spans="1:36" ht="16.5" thickBot="1">
      <c r="A21" s="249">
        <v>2</v>
      </c>
      <c r="B21" s="352" t="s">
        <v>205</v>
      </c>
      <c r="C21" s="246">
        <v>12.47</v>
      </c>
      <c r="D21" s="380">
        <v>9.3799999999999994E-3</v>
      </c>
      <c r="F21" s="510"/>
      <c r="G21" s="171">
        <v>2</v>
      </c>
      <c r="H21" s="243">
        <v>7.3999999999999996E-2</v>
      </c>
      <c r="I21" s="279"/>
      <c r="J21" s="280"/>
      <c r="K21" s="285"/>
      <c r="L21" s="355"/>
      <c r="M21" s="282"/>
      <c r="N21" s="76"/>
      <c r="O21" s="76"/>
      <c r="P21" s="76"/>
    </row>
    <row r="22" spans="1:36" ht="16.5" thickBot="1">
      <c r="A22" s="249">
        <v>3</v>
      </c>
      <c r="B22" s="352" t="s">
        <v>205</v>
      </c>
      <c r="C22" s="246">
        <v>4.45</v>
      </c>
      <c r="D22" s="380">
        <v>3.3500000000000001E-3</v>
      </c>
      <c r="F22" s="510"/>
      <c r="G22" s="171">
        <v>3</v>
      </c>
      <c r="H22" s="243">
        <v>0.25</v>
      </c>
      <c r="I22" s="249"/>
      <c r="J22" s="171"/>
      <c r="K22" s="285"/>
      <c r="L22" s="281"/>
      <c r="M22" s="282"/>
      <c r="N22" s="76"/>
      <c r="O22" s="76"/>
      <c r="P22" s="76"/>
    </row>
    <row r="23" spans="1:36" ht="16.5" thickBot="1">
      <c r="A23" s="249">
        <v>4</v>
      </c>
      <c r="B23" s="352" t="s">
        <v>205</v>
      </c>
      <c r="C23" s="246">
        <v>19.809999999999999</v>
      </c>
      <c r="D23" s="380">
        <v>1.49E-2</v>
      </c>
      <c r="F23" s="510"/>
      <c r="G23" s="171">
        <v>4</v>
      </c>
      <c r="H23" s="243">
        <v>0.14000000000000001</v>
      </c>
      <c r="I23" s="249"/>
      <c r="J23" s="171"/>
      <c r="K23" s="285"/>
      <c r="L23" s="281"/>
      <c r="M23" s="282"/>
      <c r="N23" s="76"/>
      <c r="O23" s="76"/>
      <c r="P23" s="76"/>
    </row>
    <row r="24" spans="1:36" ht="16.5" thickBot="1">
      <c r="A24" s="249">
        <v>5</v>
      </c>
      <c r="B24" s="352" t="s">
        <v>205</v>
      </c>
      <c r="C24" s="246">
        <v>1.78</v>
      </c>
      <c r="D24" s="380">
        <v>1.34E-3</v>
      </c>
      <c r="F24" s="510"/>
      <c r="G24" s="171">
        <v>5</v>
      </c>
      <c r="H24" s="243">
        <v>0.03</v>
      </c>
      <c r="I24" s="249"/>
      <c r="J24" s="171"/>
      <c r="K24" s="285"/>
      <c r="L24" s="281"/>
      <c r="M24" s="282"/>
      <c r="N24" s="76"/>
      <c r="O24" s="76"/>
      <c r="P24" s="76"/>
    </row>
    <row r="25" spans="1:36" ht="18" customHeight="1" thickBot="1">
      <c r="A25" s="249">
        <v>6</v>
      </c>
      <c r="B25" s="352" t="s">
        <v>204</v>
      </c>
      <c r="C25" s="246">
        <v>18.260000000000002</v>
      </c>
      <c r="D25" s="380">
        <v>1.37E-2</v>
      </c>
      <c r="F25" s="510"/>
      <c r="G25" s="171">
        <v>11</v>
      </c>
      <c r="H25" s="243">
        <v>0.09</v>
      </c>
      <c r="I25" s="249"/>
      <c r="J25" s="171"/>
      <c r="K25" s="285"/>
      <c r="L25" s="281"/>
      <c r="M25" s="282"/>
      <c r="N25" s="76"/>
      <c r="O25" s="76"/>
      <c r="P25" s="76"/>
    </row>
    <row r="26" spans="1:36" ht="18.95" customHeight="1" thickBot="1">
      <c r="A26" s="249">
        <v>7</v>
      </c>
      <c r="B26" s="352" t="s">
        <v>204</v>
      </c>
      <c r="C26" s="246">
        <v>21.8</v>
      </c>
      <c r="D26" s="380">
        <v>1.47E-2</v>
      </c>
      <c r="F26" s="510"/>
      <c r="G26" s="171">
        <v>12</v>
      </c>
      <c r="H26" s="243">
        <v>0.26</v>
      </c>
      <c r="I26" s="249"/>
      <c r="J26" s="171"/>
      <c r="K26" s="285"/>
      <c r="L26" s="281"/>
      <c r="N26" s="76"/>
      <c r="O26" s="76"/>
      <c r="P26" s="76"/>
    </row>
    <row r="27" spans="1:36" ht="18" customHeight="1" thickBot="1">
      <c r="A27" s="249">
        <v>8</v>
      </c>
      <c r="B27" s="352" t="s">
        <v>204</v>
      </c>
      <c r="C27" s="246">
        <v>30.24</v>
      </c>
      <c r="D27" s="380">
        <v>3.3399999999999999E-2</v>
      </c>
      <c r="F27" s="510"/>
      <c r="G27" s="171">
        <v>13</v>
      </c>
      <c r="H27" s="243">
        <v>0.12</v>
      </c>
      <c r="I27" s="249"/>
      <c r="J27" s="171"/>
      <c r="K27" s="285"/>
      <c r="L27" s="281"/>
      <c r="M27" s="282"/>
      <c r="N27" s="76"/>
      <c r="O27" s="76"/>
      <c r="P27" s="76"/>
    </row>
    <row r="28" spans="1:36" ht="21" customHeight="1" thickBot="1">
      <c r="A28" s="249">
        <v>9</v>
      </c>
      <c r="B28" s="352" t="s">
        <v>204</v>
      </c>
      <c r="C28" s="246">
        <v>44.05</v>
      </c>
      <c r="D28" s="380">
        <v>4.02E-2</v>
      </c>
      <c r="F28" s="510"/>
      <c r="G28" s="244">
        <v>16</v>
      </c>
      <c r="H28" s="245">
        <v>0.02</v>
      </c>
      <c r="I28" s="249"/>
      <c r="J28" s="171"/>
      <c r="K28" s="285"/>
      <c r="L28" s="281"/>
      <c r="M28" s="282"/>
      <c r="N28" s="76"/>
      <c r="O28" s="76"/>
      <c r="P28" s="76"/>
    </row>
    <row r="29" spans="1:36" ht="18.95" customHeight="1" thickBot="1">
      <c r="A29" s="249">
        <v>10</v>
      </c>
      <c r="B29" s="352" t="s">
        <v>204</v>
      </c>
      <c r="C29" s="246">
        <v>53.77</v>
      </c>
      <c r="D29" s="380">
        <v>6.1800000000000001E-2</v>
      </c>
      <c r="F29" s="509" t="s">
        <v>66</v>
      </c>
      <c r="G29" s="241">
        <v>5</v>
      </c>
      <c r="H29" s="242">
        <v>0</v>
      </c>
      <c r="I29" s="249"/>
      <c r="J29" s="171"/>
      <c r="K29" s="260"/>
      <c r="L29" s="281"/>
      <c r="M29" s="282"/>
      <c r="N29" s="76"/>
      <c r="O29" s="76"/>
      <c r="P29" s="76"/>
    </row>
    <row r="30" spans="1:36" ht="18.95" customHeight="1" thickBot="1">
      <c r="A30" s="249">
        <v>11</v>
      </c>
      <c r="B30" s="352" t="s">
        <v>205</v>
      </c>
      <c r="C30" s="246">
        <v>82.64</v>
      </c>
      <c r="D30" s="380">
        <v>9.4979999999999995E-2</v>
      </c>
      <c r="F30" s="510"/>
      <c r="G30" s="171">
        <v>6</v>
      </c>
      <c r="H30" s="243">
        <v>0.16</v>
      </c>
      <c r="I30" s="249"/>
      <c r="J30" s="171"/>
      <c r="K30" s="260"/>
      <c r="L30" s="281"/>
      <c r="M30" s="282"/>
      <c r="N30" s="76"/>
      <c r="O30" s="76"/>
      <c r="P30" s="76"/>
    </row>
    <row r="31" spans="1:36" ht="18.95" customHeight="1" thickBot="1">
      <c r="A31" s="249">
        <v>12</v>
      </c>
      <c r="B31" s="352" t="s">
        <v>205</v>
      </c>
      <c r="C31" s="246">
        <v>37.380000000000003</v>
      </c>
      <c r="D31" s="380">
        <v>4.1200000000000001E-2</v>
      </c>
      <c r="F31" s="510"/>
      <c r="G31" s="171">
        <v>8</v>
      </c>
      <c r="H31" s="243">
        <v>0.2</v>
      </c>
      <c r="I31" s="249"/>
      <c r="J31" s="171"/>
      <c r="K31" s="260"/>
      <c r="L31" s="281"/>
      <c r="M31" s="282"/>
      <c r="N31" s="76"/>
      <c r="O31" s="76"/>
      <c r="P31" s="76"/>
    </row>
    <row r="32" spans="1:36" ht="18.95" customHeight="1" thickBot="1">
      <c r="A32" s="249">
        <v>13</v>
      </c>
      <c r="B32" s="352" t="s">
        <v>205</v>
      </c>
      <c r="C32" s="246">
        <v>86.16</v>
      </c>
      <c r="D32" s="380">
        <v>9.9030000000000007E-2</v>
      </c>
      <c r="F32" s="510"/>
      <c r="G32" s="171">
        <v>9</v>
      </c>
      <c r="H32" s="243">
        <v>0.23</v>
      </c>
      <c r="I32" s="249"/>
      <c r="J32" s="171"/>
      <c r="K32" s="260"/>
      <c r="L32" s="281"/>
      <c r="M32" s="282"/>
      <c r="N32" s="76"/>
      <c r="O32" s="76"/>
      <c r="P32" s="76"/>
    </row>
    <row r="33" spans="1:18" ht="18.95" customHeight="1" thickBot="1">
      <c r="A33" s="249">
        <v>14</v>
      </c>
      <c r="B33" s="352" t="s">
        <v>205</v>
      </c>
      <c r="C33" s="246">
        <v>94.32</v>
      </c>
      <c r="D33" s="380">
        <v>0.1084</v>
      </c>
      <c r="F33" s="510"/>
      <c r="G33" s="171">
        <v>10</v>
      </c>
      <c r="H33" s="243">
        <v>0.22</v>
      </c>
      <c r="I33" s="249"/>
      <c r="J33" s="171"/>
      <c r="K33" s="260"/>
      <c r="L33" s="281"/>
      <c r="M33" s="282"/>
      <c r="N33" s="76"/>
      <c r="O33" s="76"/>
      <c r="P33" s="76"/>
    </row>
    <row r="34" spans="1:18" ht="18.95" customHeight="1" thickBot="1">
      <c r="A34" s="249">
        <v>15</v>
      </c>
      <c r="B34" s="352" t="s">
        <v>205</v>
      </c>
      <c r="C34" s="246">
        <v>72.5</v>
      </c>
      <c r="D34" s="380">
        <v>8.3299999999999999E-2</v>
      </c>
      <c r="F34" s="510"/>
      <c r="G34" s="171">
        <v>13</v>
      </c>
      <c r="H34" s="243">
        <v>0.03</v>
      </c>
      <c r="I34" s="249"/>
      <c r="J34" s="171"/>
      <c r="K34" s="260"/>
      <c r="L34" s="281"/>
      <c r="M34" s="282"/>
      <c r="N34" s="76"/>
      <c r="O34" s="76"/>
      <c r="P34" s="76"/>
    </row>
    <row r="35" spans="1:18" ht="18.95" customHeight="1" thickBot="1">
      <c r="A35" s="250">
        <v>16</v>
      </c>
      <c r="B35" s="244" t="s">
        <v>205</v>
      </c>
      <c r="C35" s="251">
        <v>23.67</v>
      </c>
      <c r="D35" s="381">
        <v>2.6100000000000002E-2</v>
      </c>
      <c r="F35" s="510"/>
      <c r="G35" s="171">
        <v>14</v>
      </c>
      <c r="H35" s="243">
        <v>0.09</v>
      </c>
      <c r="I35" s="249"/>
      <c r="J35" s="171"/>
      <c r="K35" s="260"/>
      <c r="L35" s="281"/>
      <c r="M35" s="282"/>
      <c r="N35" s="76"/>
      <c r="O35" s="76"/>
      <c r="P35" s="76"/>
    </row>
    <row r="36" spans="1:18" ht="18.95" customHeight="1" thickBot="1">
      <c r="A36" s="282"/>
      <c r="B36" s="282"/>
      <c r="C36" s="282"/>
      <c r="D36" s="282"/>
      <c r="F36" s="510"/>
      <c r="G36" s="171">
        <v>15</v>
      </c>
      <c r="H36" s="243">
        <v>0.02</v>
      </c>
      <c r="I36" s="249"/>
      <c r="J36" s="171"/>
      <c r="K36" s="260"/>
      <c r="L36" s="281"/>
      <c r="M36" s="282"/>
      <c r="N36" s="76"/>
      <c r="O36" s="76"/>
      <c r="P36" s="76"/>
    </row>
    <row r="37" spans="1:18" ht="16.5" thickBot="1">
      <c r="A37" s="489" t="s">
        <v>226</v>
      </c>
      <c r="B37" s="489"/>
      <c r="C37" s="489"/>
      <c r="D37" s="489"/>
      <c r="F37" s="510"/>
      <c r="G37" s="244">
        <v>16</v>
      </c>
      <c r="H37" s="245">
        <v>0.05</v>
      </c>
      <c r="I37" s="249"/>
      <c r="J37" s="171"/>
      <c r="K37" s="260"/>
      <c r="L37" s="281"/>
      <c r="N37" s="76"/>
      <c r="O37" s="76"/>
      <c r="P37" s="76"/>
    </row>
    <row r="38" spans="1:18" ht="16.5" thickBot="1">
      <c r="A38" s="239" t="s">
        <v>85</v>
      </c>
      <c r="B38" s="362" t="s">
        <v>86</v>
      </c>
      <c r="C38" s="362" t="s">
        <v>88</v>
      </c>
      <c r="D38" s="362" t="s">
        <v>217</v>
      </c>
      <c r="F38" s="506" t="s">
        <v>67</v>
      </c>
      <c r="G38" s="241">
        <v>4</v>
      </c>
      <c r="H38" s="242">
        <v>0.01</v>
      </c>
      <c r="I38" s="276" t="s">
        <v>219</v>
      </c>
      <c r="J38" s="276" t="s">
        <v>210</v>
      </c>
      <c r="K38" s="177" t="s">
        <v>220</v>
      </c>
    </row>
    <row r="39" spans="1:18" ht="16.5" thickBot="1">
      <c r="A39" s="363" t="s">
        <v>89</v>
      </c>
      <c r="B39" s="364" t="s">
        <v>87</v>
      </c>
      <c r="C39" s="364" t="s">
        <v>90</v>
      </c>
      <c r="D39" s="365">
        <v>10.9</v>
      </c>
      <c r="F39" s="507"/>
      <c r="G39" s="171">
        <v>5</v>
      </c>
      <c r="H39" s="243">
        <v>0.02</v>
      </c>
      <c r="I39" s="277">
        <v>356.7</v>
      </c>
      <c r="J39" s="156" t="e">
        <f>(#REF!-I39)/I39</f>
        <v>#REF!</v>
      </c>
      <c r="K39" s="95">
        <v>1.2403825813954801E-3</v>
      </c>
    </row>
    <row r="40" spans="1:18" ht="16.5" thickBot="1">
      <c r="A40" s="356"/>
      <c r="B40" s="356"/>
      <c r="C40" s="356"/>
      <c r="D40" s="356"/>
      <c r="F40" s="507"/>
      <c r="G40" s="171">
        <v>6</v>
      </c>
      <c r="H40" s="243">
        <v>0.18</v>
      </c>
      <c r="I40" s="277">
        <v>375.2</v>
      </c>
      <c r="J40" s="156" t="e">
        <f>(#REF!-I40)/I40</f>
        <v>#REF!</v>
      </c>
      <c r="K40" s="95">
        <v>1.6082839174609194E-3</v>
      </c>
    </row>
    <row r="41" spans="1:18" ht="16.5" thickBot="1">
      <c r="A41" s="489" t="s">
        <v>224</v>
      </c>
      <c r="B41" s="489"/>
      <c r="C41" s="489"/>
      <c r="D41" s="489"/>
      <c r="F41" s="507"/>
      <c r="G41" s="171">
        <v>7</v>
      </c>
      <c r="H41" s="243">
        <v>0</v>
      </c>
      <c r="I41" s="277">
        <v>348.3</v>
      </c>
      <c r="J41" s="156" t="e">
        <f>(#REF!-I41)/I41</f>
        <v>#REF!</v>
      </c>
      <c r="K41" s="95">
        <v>1.6695512153917997E-3</v>
      </c>
    </row>
    <row r="42" spans="1:18" ht="16.5" thickBot="1">
      <c r="A42" s="239" t="s">
        <v>85</v>
      </c>
      <c r="B42" s="362" t="s">
        <v>86</v>
      </c>
      <c r="C42" s="362" t="s">
        <v>88</v>
      </c>
      <c r="D42" s="362" t="s">
        <v>217</v>
      </c>
      <c r="F42" s="507"/>
      <c r="G42" s="171">
        <v>8</v>
      </c>
      <c r="H42" s="243">
        <v>0.22</v>
      </c>
      <c r="I42" s="277">
        <v>258.3</v>
      </c>
      <c r="J42" s="156" t="e">
        <f>(#REF!-I42)/I42</f>
        <v>#REF!</v>
      </c>
      <c r="K42" s="95">
        <v>1.8112639545480921E-3</v>
      </c>
    </row>
    <row r="43" spans="1:18" ht="16.5" thickBot="1">
      <c r="A43" s="363" t="s">
        <v>89</v>
      </c>
      <c r="B43" s="364" t="s">
        <v>87</v>
      </c>
      <c r="C43" s="364" t="s">
        <v>90</v>
      </c>
      <c r="D43" s="366">
        <v>12</v>
      </c>
      <c r="F43" s="507"/>
      <c r="G43" s="171">
        <v>9</v>
      </c>
      <c r="H43" s="243">
        <v>0.28000000000000003</v>
      </c>
    </row>
    <row r="44" spans="1:18" ht="18" customHeight="1" thickBot="1">
      <c r="A44" s="356"/>
      <c r="B44" s="356"/>
      <c r="C44" s="356"/>
      <c r="D44" s="356"/>
      <c r="F44" s="507"/>
      <c r="G44" s="171">
        <v>10</v>
      </c>
      <c r="H44" s="243">
        <v>0.2</v>
      </c>
    </row>
    <row r="45" spans="1:18" ht="16.5" thickBot="1">
      <c r="A45" s="489" t="s">
        <v>225</v>
      </c>
      <c r="B45" s="489"/>
      <c r="C45" s="489"/>
      <c r="D45" s="489"/>
      <c r="F45" s="507"/>
      <c r="G45" s="171">
        <v>13</v>
      </c>
      <c r="H45" s="243">
        <v>0.03</v>
      </c>
      <c r="R45" s="238"/>
    </row>
    <row r="46" spans="1:18" ht="16.5" thickBot="1">
      <c r="A46" s="239" t="s">
        <v>85</v>
      </c>
      <c r="B46" s="362" t="s">
        <v>86</v>
      </c>
      <c r="C46" s="362" t="s">
        <v>88</v>
      </c>
      <c r="D46" s="362" t="s">
        <v>217</v>
      </c>
      <c r="F46" s="507"/>
      <c r="G46" s="171">
        <v>14</v>
      </c>
      <c r="H46" s="243">
        <v>0.04</v>
      </c>
    </row>
    <row r="47" spans="1:18" ht="16.5" thickBot="1">
      <c r="A47" s="363" t="s">
        <v>89</v>
      </c>
      <c r="B47" s="364" t="s">
        <v>87</v>
      </c>
      <c r="C47" s="364" t="s">
        <v>90</v>
      </c>
      <c r="D47" s="366">
        <f>D43*1.1</f>
        <v>13.200000000000001</v>
      </c>
      <c r="F47" s="507"/>
      <c r="G47" s="171">
        <v>15</v>
      </c>
      <c r="H47" s="243">
        <v>0.01</v>
      </c>
    </row>
    <row r="48" spans="1:18" ht="16.5" thickBot="1">
      <c r="A48" s="356"/>
      <c r="B48" s="356"/>
      <c r="C48" s="356"/>
      <c r="D48" s="356"/>
      <c r="F48" s="508"/>
      <c r="G48" s="244">
        <v>16</v>
      </c>
      <c r="H48" s="245">
        <v>0.01</v>
      </c>
    </row>
    <row r="49" spans="1:18" ht="16.5" thickBot="1">
      <c r="A49" s="356"/>
      <c r="B49" s="356"/>
      <c r="C49" s="356"/>
      <c r="D49" s="356"/>
      <c r="F49" s="506" t="s">
        <v>68</v>
      </c>
      <c r="G49" s="241">
        <v>6</v>
      </c>
      <c r="H49" s="242">
        <v>0.1</v>
      </c>
    </row>
    <row r="50" spans="1:18" ht="16.5" thickBot="1">
      <c r="A50" s="356"/>
      <c r="B50" s="356"/>
      <c r="C50" s="356"/>
      <c r="D50" s="356"/>
      <c r="F50" s="507"/>
      <c r="G50" s="171">
        <v>7</v>
      </c>
      <c r="H50" s="243">
        <v>0.6</v>
      </c>
    </row>
    <row r="51" spans="1:18" ht="16.5" thickBot="1">
      <c r="A51" s="356"/>
      <c r="B51" s="356"/>
      <c r="C51" s="356"/>
      <c r="D51" s="356"/>
      <c r="F51" s="507"/>
      <c r="G51" s="171">
        <v>8</v>
      </c>
      <c r="H51" s="243">
        <v>0.01</v>
      </c>
    </row>
    <row r="52" spans="1:18" ht="16.5" thickBot="1">
      <c r="A52" s="356"/>
      <c r="B52" s="356"/>
      <c r="C52" s="356"/>
      <c r="D52" s="356"/>
      <c r="F52" s="507"/>
      <c r="G52" s="171">
        <v>10</v>
      </c>
      <c r="H52" s="243">
        <v>0.28000000000000003</v>
      </c>
    </row>
    <row r="53" spans="1:18" ht="16.5" thickBot="1">
      <c r="A53" s="356"/>
      <c r="B53" s="356"/>
      <c r="C53" s="356"/>
      <c r="D53" s="356"/>
      <c r="F53" s="507"/>
      <c r="G53" s="171">
        <v>14</v>
      </c>
      <c r="H53" s="243">
        <v>0.01</v>
      </c>
    </row>
    <row r="54" spans="1:18" ht="16.5" thickBot="1">
      <c r="A54" s="356"/>
      <c r="B54" s="356"/>
      <c r="C54" s="356"/>
      <c r="D54" s="356"/>
      <c r="F54" s="508"/>
      <c r="G54" s="244">
        <v>15</v>
      </c>
      <c r="H54" s="245">
        <v>0</v>
      </c>
    </row>
    <row r="55" spans="1:18">
      <c r="A55" s="356"/>
      <c r="B55" s="356"/>
      <c r="C55" s="356"/>
      <c r="D55" s="356"/>
      <c r="F55" s="275"/>
      <c r="G55" s="356"/>
      <c r="H55" s="356"/>
    </row>
    <row r="56" spans="1:18">
      <c r="A56" s="479" t="s">
        <v>154</v>
      </c>
      <c r="B56" s="479"/>
      <c r="C56" s="479"/>
      <c r="D56" s="479"/>
      <c r="E56" s="479"/>
      <c r="F56" s="479"/>
      <c r="G56" s="356"/>
      <c r="H56" s="356"/>
    </row>
    <row r="57" spans="1:18" ht="24.95" customHeight="1" thickBot="1">
      <c r="A57" s="511" t="s">
        <v>69</v>
      </c>
      <c r="B57" s="513" t="s">
        <v>85</v>
      </c>
      <c r="C57" s="513" t="s">
        <v>86</v>
      </c>
      <c r="D57" s="513" t="s">
        <v>239</v>
      </c>
      <c r="E57" s="486" t="s">
        <v>92</v>
      </c>
      <c r="F57" s="477"/>
      <c r="R57" s="238"/>
    </row>
    <row r="58" spans="1:18" ht="16.5" thickBot="1">
      <c r="A58" s="512"/>
      <c r="B58" s="514"/>
      <c r="C58" s="514"/>
      <c r="D58" s="514"/>
      <c r="E58" s="151" t="s">
        <v>34</v>
      </c>
      <c r="F58" s="151" t="s">
        <v>91</v>
      </c>
    </row>
    <row r="59" spans="1:18" ht="16.5" thickBot="1">
      <c r="A59" s="353" t="s">
        <v>70</v>
      </c>
      <c r="B59" s="336" t="s">
        <v>89</v>
      </c>
      <c r="C59" s="337" t="s">
        <v>87</v>
      </c>
      <c r="D59" s="339">
        <v>10000</v>
      </c>
      <c r="E59" s="368">
        <f>C20*$H20+C21*$H21+C22*$H22+C23*$H23+C24*$H24+C30*$H25+C31*$H26+C32*$H27+C35*$H28</f>
        <v>32.83108</v>
      </c>
      <c r="F59" s="374">
        <f>D20*$H20+D21*$H21+D22*$H22+D23*$H23+D24*$H24+D30*$H25+D31*$H26+D32*$H27+D35*$H28</f>
        <v>3.532362E-2</v>
      </c>
    </row>
    <row r="60" spans="1:18" ht="16.5" thickBot="1">
      <c r="A60" s="369" t="s">
        <v>66</v>
      </c>
      <c r="B60" s="338" t="s">
        <v>89</v>
      </c>
      <c r="C60" s="338" t="s">
        <v>87</v>
      </c>
      <c r="D60" s="340">
        <v>10000</v>
      </c>
      <c r="E60" s="367">
        <f>C24*$H29+C25*$H30+C27*$H31+C28*$H32+C29*$H33+C32*$H34+C33*$H35+C34*$H36+C35*$H37</f>
        <v>44.637600000000006</v>
      </c>
      <c r="F60" s="375">
        <f>D24*$H29+D25*$H30+D27*$H31+D28*$H32+D29*$H33+D32*$H34+D33*$H35+D34*$H36+D35*$H37</f>
        <v>4.7411900000000007E-2</v>
      </c>
    </row>
    <row r="61" spans="1:18" ht="16.5" thickBot="1">
      <c r="A61" s="369" t="s">
        <v>67</v>
      </c>
      <c r="B61" s="338" t="s">
        <v>89</v>
      </c>
      <c r="C61" s="338" t="s">
        <v>87</v>
      </c>
      <c r="D61" s="340">
        <v>10000</v>
      </c>
      <c r="E61" s="367">
        <f>C23*$H38+C24*$H39+C25*$H40+C26*$H41+C27*$H42+C28*$H43+C29*$H44+C32*$H45+C33*$H46+C34*$H47+C35*$H48</f>
        <v>40.580600000000004</v>
      </c>
      <c r="F61" s="376">
        <f>D23*$H38+D24*$H39+D25*$H40+D26*$H41+D27*$H42+D28*$H43+D29*$H44+D32*$H45+D33*$H46+D34*$H47+D35*$H48</f>
        <v>4.2006700000000001E-2</v>
      </c>
    </row>
    <row r="62" spans="1:18" ht="16.5" thickBot="1">
      <c r="A62" s="354" t="s">
        <v>71</v>
      </c>
      <c r="B62" s="370" t="s">
        <v>89</v>
      </c>
      <c r="C62" s="371" t="s">
        <v>87</v>
      </c>
      <c r="D62" s="372">
        <v>10000</v>
      </c>
      <c r="E62" s="373">
        <f>C25*$H49+C26*$H50+C27*$H51+C29*$H52+C33*$H53+C34*$H54</f>
        <v>31.207200000000004</v>
      </c>
      <c r="F62" s="377">
        <f>D25*$H49+D26*$H50+D27*$H51+D29*$H52+D33*$H53+D34*$H54</f>
        <v>2.8912E-2</v>
      </c>
    </row>
    <row r="63" spans="1:18">
      <c r="A63" s="356"/>
      <c r="B63" s="356"/>
      <c r="C63" s="356"/>
      <c r="D63" s="356"/>
      <c r="E63" s="356"/>
      <c r="F63" s="356"/>
    </row>
    <row r="64" spans="1:18">
      <c r="A64" s="479" t="s">
        <v>155</v>
      </c>
      <c r="B64" s="479"/>
      <c r="C64" s="479"/>
      <c r="D64" s="479"/>
      <c r="E64" s="479"/>
      <c r="F64" s="479"/>
      <c r="G64" s="134"/>
      <c r="H64" s="134"/>
    </row>
    <row r="65" spans="1:13" ht="17.100000000000001" customHeight="1" thickBot="1">
      <c r="A65" s="511" t="s">
        <v>69</v>
      </c>
      <c r="B65" s="513" t="s">
        <v>85</v>
      </c>
      <c r="C65" s="513" t="s">
        <v>86</v>
      </c>
      <c r="D65" s="513" t="s">
        <v>239</v>
      </c>
      <c r="E65" s="486" t="s">
        <v>92</v>
      </c>
      <c r="F65" s="477"/>
      <c r="I65" s="479" t="s">
        <v>221</v>
      </c>
      <c r="J65" s="479"/>
      <c r="K65" s="479"/>
      <c r="M65" s="281"/>
    </row>
    <row r="66" spans="1:13" ht="16.5" thickBot="1">
      <c r="A66" s="512"/>
      <c r="B66" s="514"/>
      <c r="C66" s="514"/>
      <c r="D66" s="514"/>
      <c r="E66" s="151" t="s">
        <v>34</v>
      </c>
      <c r="F66" s="151" t="s">
        <v>91</v>
      </c>
      <c r="I66" s="151" t="s">
        <v>34</v>
      </c>
      <c r="J66" s="152" t="s">
        <v>210</v>
      </c>
      <c r="K66" s="151" t="s">
        <v>91</v>
      </c>
    </row>
    <row r="67" spans="1:13" ht="16.5" thickBot="1">
      <c r="A67" s="353" t="s">
        <v>70</v>
      </c>
      <c r="B67" s="336" t="s">
        <v>89</v>
      </c>
      <c r="C67" s="337" t="s">
        <v>87</v>
      </c>
      <c r="D67" s="339">
        <v>10000</v>
      </c>
      <c r="E67" s="368">
        <f>E59*((1/$D$39)-(1/$D$47))/((1/$D$39)-(1/$D$43))</f>
        <v>62.406185123966985</v>
      </c>
      <c r="F67" s="378">
        <f>F59*((1/$D$39)-(1/$D$47))/((1/$D$39)-(1/$D$43))</f>
        <v>6.714407107438021E-2</v>
      </c>
      <c r="I67" s="258">
        <v>14.8</v>
      </c>
      <c r="J67" s="278">
        <f>(E59-I67)/I67</f>
        <v>1.2183162162162162</v>
      </c>
      <c r="K67" s="259">
        <v>0.02</v>
      </c>
    </row>
    <row r="68" spans="1:13" ht="16.5" thickBot="1">
      <c r="A68" s="369" t="s">
        <v>66</v>
      </c>
      <c r="B68" s="338" t="s">
        <v>89</v>
      </c>
      <c r="C68" s="338" t="s">
        <v>87</v>
      </c>
      <c r="D68" s="340">
        <v>10000</v>
      </c>
      <c r="E68" s="367">
        <f t="shared" ref="E68:F70" si="5">E60*((1/$D$39)-(1/$D$47))/((1/$D$39)-(1/$D$43))</f>
        <v>84.84833057851246</v>
      </c>
      <c r="F68" s="376">
        <f t="shared" si="5"/>
        <v>9.0121793388429822E-2</v>
      </c>
    </row>
    <row r="69" spans="1:13" ht="17.100000000000001" customHeight="1" thickBot="1">
      <c r="A69" s="369" t="s">
        <v>67</v>
      </c>
      <c r="B69" s="338" t="s">
        <v>89</v>
      </c>
      <c r="C69" s="338" t="s">
        <v>87</v>
      </c>
      <c r="D69" s="340">
        <v>10000</v>
      </c>
      <c r="E69" s="367">
        <f t="shared" si="5"/>
        <v>77.136677685950474</v>
      </c>
      <c r="F69" s="376">
        <f t="shared" si="5"/>
        <v>7.9847446280991788E-2</v>
      </c>
    </row>
    <row r="70" spans="1:13" ht="16.5" thickBot="1">
      <c r="A70" s="354" t="s">
        <v>71</v>
      </c>
      <c r="B70" s="370" t="s">
        <v>89</v>
      </c>
      <c r="C70" s="371" t="s">
        <v>87</v>
      </c>
      <c r="D70" s="372">
        <v>10000</v>
      </c>
      <c r="E70" s="373">
        <f t="shared" si="5"/>
        <v>59.31947107438021</v>
      </c>
      <c r="F70" s="377">
        <f t="shared" si="5"/>
        <v>5.4956694214876069E-2</v>
      </c>
    </row>
    <row r="77" spans="1:13">
      <c r="I77" s="479" t="s">
        <v>221</v>
      </c>
      <c r="J77" s="479"/>
      <c r="K77" s="479"/>
    </row>
    <row r="78" spans="1:13">
      <c r="I78" s="151" t="s">
        <v>34</v>
      </c>
      <c r="J78" s="152" t="s">
        <v>210</v>
      </c>
      <c r="K78" s="151" t="s">
        <v>91</v>
      </c>
    </row>
    <row r="79" spans="1:13" ht="16.5" thickBot="1">
      <c r="I79" s="258">
        <v>28.3</v>
      </c>
      <c r="J79" s="278">
        <f>(E67-I79)/I79</f>
        <v>1.2051655520836388</v>
      </c>
      <c r="K79" s="259">
        <v>0.04</v>
      </c>
    </row>
  </sheetData>
  <mergeCells count="28">
    <mergeCell ref="I77:K77"/>
    <mergeCell ref="E65:F65"/>
    <mergeCell ref="I65:K65"/>
    <mergeCell ref="A1:H1"/>
    <mergeCell ref="A65:A66"/>
    <mergeCell ref="E57:F57"/>
    <mergeCell ref="C57:C58"/>
    <mergeCell ref="D57:D58"/>
    <mergeCell ref="B57:B58"/>
    <mergeCell ref="A57:A58"/>
    <mergeCell ref="A56:F56"/>
    <mergeCell ref="B65:B66"/>
    <mergeCell ref="C65:C66"/>
    <mergeCell ref="D65:D66"/>
    <mergeCell ref="A64:F64"/>
    <mergeCell ref="A45:D45"/>
    <mergeCell ref="A18:D18"/>
    <mergeCell ref="F38:F48"/>
    <mergeCell ref="A37:D37"/>
    <mergeCell ref="A41:D41"/>
    <mergeCell ref="A12:C12"/>
    <mergeCell ref="W2:AA2"/>
    <mergeCell ref="AC2:AH2"/>
    <mergeCell ref="F49:F54"/>
    <mergeCell ref="F18:H18"/>
    <mergeCell ref="S2:U2"/>
    <mergeCell ref="F20:F28"/>
    <mergeCell ref="F29:F37"/>
  </mergeCells>
  <pageMargins left="0.75" right="0.75" top="1" bottom="1" header="0.5" footer="0.5"/>
  <pageSetup orientation="portrait" horizontalDpi="4294967292" verticalDpi="4294967292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1"/>
  <sheetViews>
    <sheetView topLeftCell="A26" workbookViewId="0">
      <selection activeCell="AJ26" sqref="AJ26"/>
    </sheetView>
  </sheetViews>
  <sheetFormatPr defaultColWidth="11" defaultRowHeight="15.75"/>
  <cols>
    <col min="2" max="2" width="30.375" customWidth="1"/>
    <col min="3" max="3" width="8.875" customWidth="1"/>
    <col min="4" max="4" width="13.875" hidden="1" customWidth="1"/>
    <col min="5" max="5" width="4.5" hidden="1" customWidth="1"/>
    <col min="6" max="6" width="29.5" hidden="1" customWidth="1"/>
    <col min="7" max="7" width="11" hidden="1" customWidth="1"/>
    <col min="8" max="8" width="25" hidden="1" customWidth="1"/>
    <col min="9" max="9" width="4.125" hidden="1" customWidth="1"/>
    <col min="10" max="10" width="30.625" hidden="1" customWidth="1"/>
    <col min="11" max="11" width="4" hidden="1" customWidth="1"/>
    <col min="12" max="12" width="23.375" hidden="1" customWidth="1"/>
    <col min="13" max="13" width="5.375" hidden="1" customWidth="1"/>
    <col min="14" max="14" width="33.375" hidden="1" customWidth="1"/>
    <col min="15" max="15" width="21.375" hidden="1" customWidth="1"/>
    <col min="16" max="16" width="25.875" hidden="1" customWidth="1"/>
    <col min="17" max="17" width="4.875" hidden="1" customWidth="1"/>
    <col min="18" max="18" width="18.5" hidden="1" customWidth="1"/>
    <col min="19" max="19" width="4.375" hidden="1" customWidth="1"/>
    <col min="20" max="20" width="16.125" hidden="1" customWidth="1"/>
    <col min="21" max="21" width="11.5" hidden="1" customWidth="1"/>
    <col min="22" max="22" width="3.625" hidden="1" customWidth="1"/>
    <col min="23" max="23" width="21.5" hidden="1" customWidth="1"/>
    <col min="24" max="24" width="9.125" hidden="1" customWidth="1"/>
    <col min="25" max="25" width="9.5" hidden="1" customWidth="1"/>
    <col min="26" max="26" width="11.125" hidden="1" customWidth="1"/>
    <col min="27" max="27" width="3.625" hidden="1" customWidth="1"/>
    <col min="28" max="28" width="22.125" hidden="1" customWidth="1"/>
    <col min="29" max="29" width="9.125" hidden="1" customWidth="1"/>
    <col min="30" max="30" width="11.375" hidden="1" customWidth="1"/>
    <col min="31" max="31" width="10.875" hidden="1" customWidth="1"/>
    <col min="32" max="32" width="4" hidden="1" customWidth="1"/>
    <col min="33" max="33" width="9.125" bestFit="1" customWidth="1"/>
    <col min="34" max="34" width="10.125" bestFit="1" customWidth="1"/>
    <col min="35" max="35" width="10.125" customWidth="1"/>
    <col min="36" max="36" width="9.125" bestFit="1" customWidth="1"/>
  </cols>
  <sheetData>
    <row r="1" spans="1:38" ht="19.5" thickBot="1">
      <c r="B1" s="464" t="s">
        <v>131</v>
      </c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  <c r="O1" s="464"/>
      <c r="P1" s="464"/>
      <c r="Q1" s="464"/>
      <c r="R1" s="464"/>
      <c r="S1" s="464"/>
      <c r="T1" s="464"/>
      <c r="U1" s="464"/>
      <c r="V1" s="464"/>
      <c r="W1" s="464"/>
      <c r="X1" s="464"/>
      <c r="Y1" s="464"/>
      <c r="Z1" s="464"/>
      <c r="AA1" s="464"/>
      <c r="AB1" s="464"/>
      <c r="AC1" s="464"/>
      <c r="AD1" s="464"/>
      <c r="AE1" s="464"/>
      <c r="AF1" s="464"/>
      <c r="AG1" s="464"/>
      <c r="AH1" s="464"/>
      <c r="AI1" s="464"/>
      <c r="AJ1" s="464"/>
      <c r="AK1" s="464"/>
    </row>
    <row r="2" spans="1:38" ht="20.100000000000001" customHeight="1" thickBot="1">
      <c r="A2" s="528" t="s">
        <v>69</v>
      </c>
      <c r="B2" s="528" t="s">
        <v>85</v>
      </c>
      <c r="C2" s="528" t="s">
        <v>176</v>
      </c>
      <c r="D2" s="528" t="s">
        <v>171</v>
      </c>
      <c r="E2" s="138"/>
      <c r="F2" s="527" t="s">
        <v>157</v>
      </c>
      <c r="G2" s="527"/>
      <c r="H2" s="527"/>
      <c r="I2" s="138"/>
      <c r="J2" s="527" t="s">
        <v>158</v>
      </c>
      <c r="K2" s="527"/>
      <c r="L2" s="527"/>
      <c r="M2" s="157"/>
      <c r="N2" s="527" t="s">
        <v>161</v>
      </c>
      <c r="O2" s="527"/>
      <c r="P2" s="527"/>
      <c r="R2" s="530" t="s">
        <v>132</v>
      </c>
      <c r="T2" s="530" t="s">
        <v>164</v>
      </c>
      <c r="U2" s="530" t="s">
        <v>148</v>
      </c>
      <c r="V2" s="138"/>
      <c r="W2" s="531" t="s">
        <v>165</v>
      </c>
      <c r="X2" s="531"/>
      <c r="Y2" s="531"/>
      <c r="Z2" s="530" t="s">
        <v>148</v>
      </c>
      <c r="AA2" s="138"/>
      <c r="AB2" s="531" t="s">
        <v>166</v>
      </c>
      <c r="AC2" s="531"/>
      <c r="AD2" s="531"/>
      <c r="AE2" s="530" t="s">
        <v>148</v>
      </c>
      <c r="AF2" s="158"/>
      <c r="AG2" s="537" t="s">
        <v>173</v>
      </c>
      <c r="AH2" s="538"/>
      <c r="AI2" s="539"/>
      <c r="AJ2" s="537" t="s">
        <v>174</v>
      </c>
      <c r="AK2" s="538"/>
      <c r="AL2" s="539"/>
    </row>
    <row r="3" spans="1:38" ht="26.25" thickBot="1">
      <c r="A3" s="529"/>
      <c r="B3" s="529"/>
      <c r="C3" s="535"/>
      <c r="D3" s="529"/>
      <c r="F3" s="140" t="s">
        <v>115</v>
      </c>
      <c r="G3" s="528" t="s">
        <v>146</v>
      </c>
      <c r="H3" s="528" t="s">
        <v>147</v>
      </c>
      <c r="J3" s="140" t="s">
        <v>115</v>
      </c>
      <c r="K3" s="528" t="s">
        <v>146</v>
      </c>
      <c r="L3" s="528" t="s">
        <v>147</v>
      </c>
      <c r="N3" s="140" t="s">
        <v>115</v>
      </c>
      <c r="O3" s="528" t="s">
        <v>156</v>
      </c>
      <c r="P3" s="528" t="s">
        <v>147</v>
      </c>
      <c r="R3" s="531"/>
      <c r="T3" s="531"/>
      <c r="U3" s="530"/>
      <c r="W3" s="140" t="s">
        <v>72</v>
      </c>
      <c r="X3" s="536" t="s">
        <v>74</v>
      </c>
      <c r="Y3" s="536"/>
      <c r="Z3" s="530"/>
      <c r="AB3" s="140" t="s">
        <v>72</v>
      </c>
      <c r="AC3" s="536" t="s">
        <v>74</v>
      </c>
      <c r="AD3" s="536"/>
      <c r="AE3" s="530"/>
      <c r="AF3" s="158"/>
      <c r="AG3" s="540"/>
      <c r="AH3" s="541"/>
      <c r="AI3" s="542"/>
      <c r="AJ3" s="540"/>
      <c r="AK3" s="541"/>
      <c r="AL3" s="542"/>
    </row>
    <row r="4" spans="1:38" ht="17.100000000000001" customHeight="1" thickBot="1">
      <c r="A4" s="529"/>
      <c r="B4" s="529"/>
      <c r="C4" s="142" t="s">
        <v>175</v>
      </c>
      <c r="D4" s="529"/>
      <c r="F4" s="142" t="s">
        <v>116</v>
      </c>
      <c r="G4" s="529"/>
      <c r="H4" s="529"/>
      <c r="J4" s="142" t="s">
        <v>116</v>
      </c>
      <c r="K4" s="529"/>
      <c r="L4" s="529"/>
      <c r="N4" s="142" t="s">
        <v>116</v>
      </c>
      <c r="O4" s="529"/>
      <c r="P4" s="529"/>
      <c r="R4" s="142" t="s">
        <v>140</v>
      </c>
      <c r="T4" s="142" t="s">
        <v>142</v>
      </c>
      <c r="U4" s="530"/>
      <c r="W4" s="142" t="s">
        <v>142</v>
      </c>
      <c r="X4" s="142" t="s">
        <v>142</v>
      </c>
      <c r="Y4" s="142" t="s">
        <v>172</v>
      </c>
      <c r="Z4" s="530"/>
      <c r="AB4" s="142" t="s">
        <v>142</v>
      </c>
      <c r="AC4" s="142" t="s">
        <v>142</v>
      </c>
      <c r="AD4" s="142" t="s">
        <v>172</v>
      </c>
      <c r="AE4" s="530"/>
      <c r="AF4" s="158"/>
      <c r="AG4" s="142" t="s">
        <v>142</v>
      </c>
      <c r="AH4" s="142" t="s">
        <v>177</v>
      </c>
      <c r="AI4" s="142" t="s">
        <v>172</v>
      </c>
      <c r="AJ4" s="142" t="s">
        <v>142</v>
      </c>
      <c r="AK4" s="142" t="s">
        <v>177</v>
      </c>
      <c r="AL4" s="142" t="s">
        <v>172</v>
      </c>
    </row>
    <row r="5" spans="1:38">
      <c r="A5" s="532" t="s">
        <v>65</v>
      </c>
      <c r="B5" s="515" t="s">
        <v>117</v>
      </c>
      <c r="C5" s="191" t="s">
        <v>144</v>
      </c>
      <c r="D5" s="192">
        <v>11</v>
      </c>
      <c r="E5" s="206"/>
      <c r="F5" s="518" t="s">
        <v>118</v>
      </c>
      <c r="G5" s="147" t="s">
        <v>46</v>
      </c>
      <c r="H5" s="147">
        <f>5.57*D5+193.7</f>
        <v>254.97</v>
      </c>
      <c r="I5" s="206"/>
      <c r="J5" s="518" t="s">
        <v>133</v>
      </c>
      <c r="K5" s="147" t="s">
        <v>46</v>
      </c>
      <c r="L5" s="147">
        <f>5.01*D5+174.3</f>
        <v>229.41000000000003</v>
      </c>
      <c r="M5" s="206"/>
      <c r="N5" s="518" t="s">
        <v>159</v>
      </c>
      <c r="O5" s="147" t="str">
        <f>K5</f>
        <v>NA</v>
      </c>
      <c r="P5" s="147">
        <f t="shared" ref="P5:P10" si="0">0.95*L5</f>
        <v>217.93950000000001</v>
      </c>
      <c r="Q5" s="206"/>
      <c r="R5" s="191" t="s">
        <v>141</v>
      </c>
      <c r="S5" s="206"/>
      <c r="T5" s="147" t="s">
        <v>46</v>
      </c>
      <c r="U5" s="147" t="s">
        <v>46</v>
      </c>
      <c r="V5" s="206"/>
      <c r="W5" s="147">
        <f t="shared" ref="W5:W16" si="1">H5-L5</f>
        <v>25.559999999999974</v>
      </c>
      <c r="X5" s="147">
        <f>W5*'Interactive Effects'!$B$11</f>
        <v>26.071199999999973</v>
      </c>
      <c r="Y5" s="147">
        <f>W5*'Interactive Effects'!$D$11</f>
        <v>-0.61343999999999943</v>
      </c>
      <c r="Z5" s="194">
        <f t="shared" ref="Z5:Z17" si="2">(X5-AG5)/AG5</f>
        <v>2.7384615384604852E-3</v>
      </c>
      <c r="AA5" s="206"/>
      <c r="AB5" s="147">
        <f>H5-P5</f>
        <v>37.030499999999989</v>
      </c>
      <c r="AC5" s="147">
        <f>AB5*'Interactive Effects'!$B$11</f>
        <v>37.771109999999993</v>
      </c>
      <c r="AD5" s="195">
        <f>AB5*'Interactive Effects'!$D$11</f>
        <v>-0.88873199999999974</v>
      </c>
      <c r="AE5" s="194">
        <f t="shared" ref="AE5:AE25" si="3">(AC5-AJ5)/AJ5</f>
        <v>1.8862068965516537E-3</v>
      </c>
      <c r="AF5" s="207"/>
      <c r="AG5" s="147">
        <v>26</v>
      </c>
      <c r="AH5" s="213">
        <v>4.6899999999999997E-3</v>
      </c>
      <c r="AI5" s="195">
        <v>-0.76500000000000001</v>
      </c>
      <c r="AJ5" s="147">
        <f>AG5*1.45</f>
        <v>37.699999999999996</v>
      </c>
      <c r="AK5" s="341">
        <f>AH5*1.45</f>
        <v>6.8004999999999993E-3</v>
      </c>
      <c r="AL5" s="347">
        <f>AI5*1.45</f>
        <v>-1.1092500000000001</v>
      </c>
    </row>
    <row r="6" spans="1:38">
      <c r="A6" s="533"/>
      <c r="B6" s="516"/>
      <c r="C6" s="197" t="s">
        <v>143</v>
      </c>
      <c r="D6" s="198">
        <f>AVERAGE(13,16)</f>
        <v>14.5</v>
      </c>
      <c r="E6" s="193"/>
      <c r="F6" s="519"/>
      <c r="G6" s="148">
        <f>5.57*R6+193.7</f>
        <v>277.25</v>
      </c>
      <c r="H6" s="148">
        <f>5.57*D6+193.7</f>
        <v>274.46499999999997</v>
      </c>
      <c r="I6" s="193"/>
      <c r="J6" s="519"/>
      <c r="K6" s="148">
        <f>5.01*R6+174.3</f>
        <v>249.45</v>
      </c>
      <c r="L6" s="148">
        <f>5.01*D6+174.3</f>
        <v>246.94499999999999</v>
      </c>
      <c r="M6" s="193"/>
      <c r="N6" s="519"/>
      <c r="O6" s="148">
        <f>0.95*K6</f>
        <v>236.97749999999999</v>
      </c>
      <c r="P6" s="148">
        <f t="shared" si="0"/>
        <v>234.59774999999999</v>
      </c>
      <c r="Q6" s="193"/>
      <c r="R6" s="197">
        <v>15</v>
      </c>
      <c r="S6" s="193"/>
      <c r="T6" s="148">
        <f>G6-K6</f>
        <v>27.800000000000011</v>
      </c>
      <c r="U6" s="199">
        <f>(T6-AG6)/AG6</f>
        <v>-5.7627118644067409E-2</v>
      </c>
      <c r="V6" s="193"/>
      <c r="W6" s="148">
        <f t="shared" si="1"/>
        <v>27.519999999999982</v>
      </c>
      <c r="X6" s="148">
        <f>W6*'Interactive Effects'!$B$11</f>
        <v>28.070399999999982</v>
      </c>
      <c r="Y6" s="148">
        <f>W6*'Interactive Effects'!$D$11</f>
        <v>-0.66047999999999962</v>
      </c>
      <c r="Z6" s="199">
        <f t="shared" si="2"/>
        <v>-4.8461016949153168E-2</v>
      </c>
      <c r="AA6" s="193"/>
      <c r="AB6" s="148">
        <f t="shared" ref="AB6:AB16" si="4">H6-P6</f>
        <v>39.867249999999984</v>
      </c>
      <c r="AC6" s="148">
        <f>AB6*'Interactive Effects'!$B$11</f>
        <v>40.664594999999984</v>
      </c>
      <c r="AD6" s="200">
        <f>AB6*'Interactive Effects'!$D$11</f>
        <v>-0.95681399999999961</v>
      </c>
      <c r="AE6" s="199">
        <f t="shared" si="3"/>
        <v>-4.9337346580947149E-2</v>
      </c>
      <c r="AF6" s="196"/>
      <c r="AG6" s="148">
        <v>29.5</v>
      </c>
      <c r="AH6" s="214">
        <v>5.3099999999999996E-3</v>
      </c>
      <c r="AI6" s="200">
        <v>-0.86699999999999999</v>
      </c>
      <c r="AJ6" s="148">
        <f t="shared" ref="AJ6:AJ61" si="5">AG6*1.45</f>
        <v>42.774999999999999</v>
      </c>
      <c r="AK6" s="342">
        <f>AH6*1.45</f>
        <v>7.6994999999999989E-3</v>
      </c>
      <c r="AL6" s="348">
        <f>AI6*1.45</f>
        <v>-1.25715</v>
      </c>
    </row>
    <row r="7" spans="1:38" ht="16.5" thickBot="1">
      <c r="A7" s="533"/>
      <c r="B7" s="517"/>
      <c r="C7" s="201" t="s">
        <v>145</v>
      </c>
      <c r="D7" s="202">
        <v>18</v>
      </c>
      <c r="E7" s="193"/>
      <c r="F7" s="520"/>
      <c r="G7" s="149">
        <f>5.57*R7+193.7</f>
        <v>292.846</v>
      </c>
      <c r="H7" s="149">
        <f>5.57*D7+193.7</f>
        <v>293.95999999999998</v>
      </c>
      <c r="I7" s="193"/>
      <c r="J7" s="520"/>
      <c r="K7" s="149">
        <f>5.01*R7+174.3</f>
        <v>263.47800000000001</v>
      </c>
      <c r="L7" s="149">
        <f>5.01*D7+174.3</f>
        <v>264.48</v>
      </c>
      <c r="M7" s="193"/>
      <c r="N7" s="520"/>
      <c r="O7" s="149">
        <f>0.95*K7</f>
        <v>250.30410000000001</v>
      </c>
      <c r="P7" s="149">
        <f t="shared" si="0"/>
        <v>251.256</v>
      </c>
      <c r="Q7" s="193"/>
      <c r="R7" s="201">
        <v>17.8</v>
      </c>
      <c r="S7" s="193"/>
      <c r="T7" s="149">
        <f>G7-K7</f>
        <v>29.367999999999995</v>
      </c>
      <c r="U7" s="203">
        <f>(T7-AG7)/AG7</f>
        <v>-8.510903426791297E-2</v>
      </c>
      <c r="V7" s="193"/>
      <c r="W7" s="149">
        <f t="shared" si="1"/>
        <v>29.479999999999961</v>
      </c>
      <c r="X7" s="149">
        <f>W7*'Interactive Effects'!$B$11</f>
        <v>30.069599999999962</v>
      </c>
      <c r="Y7" s="149">
        <f>W7*'Interactive Effects'!$D$11</f>
        <v>-0.70751999999999904</v>
      </c>
      <c r="Z7" s="203">
        <f t="shared" si="2"/>
        <v>-6.3252336448599358E-2</v>
      </c>
      <c r="AA7" s="193"/>
      <c r="AB7" s="149">
        <f t="shared" si="4"/>
        <v>42.703999999999979</v>
      </c>
      <c r="AC7" s="149">
        <f>AB7*'Interactive Effects'!$B$11</f>
        <v>43.558079999999983</v>
      </c>
      <c r="AD7" s="204">
        <f>AB7*'Interactive Effects'!$D$11</f>
        <v>-1.0248959999999996</v>
      </c>
      <c r="AE7" s="203">
        <f t="shared" si="3"/>
        <v>-6.4172736061876012E-2</v>
      </c>
      <c r="AF7" s="196"/>
      <c r="AG7" s="149">
        <v>32.1</v>
      </c>
      <c r="AH7" s="215">
        <v>5.7800000000000004E-3</v>
      </c>
      <c r="AI7" s="204">
        <v>-0.94399999999999995</v>
      </c>
      <c r="AJ7" s="149">
        <f t="shared" si="5"/>
        <v>46.545000000000002</v>
      </c>
      <c r="AK7" s="343">
        <f t="shared" ref="AK7:AL61" si="6">AH7*1.45</f>
        <v>8.3809999999999996E-3</v>
      </c>
      <c r="AL7" s="205">
        <f t="shared" si="6"/>
        <v>-1.3687999999999998</v>
      </c>
    </row>
    <row r="8" spans="1:38" ht="17.100000000000001" customHeight="1">
      <c r="A8" s="533"/>
      <c r="B8" s="515" t="s">
        <v>119</v>
      </c>
      <c r="C8" s="191" t="s">
        <v>144</v>
      </c>
      <c r="D8" s="192">
        <v>11</v>
      </c>
      <c r="E8" s="193"/>
      <c r="F8" s="518" t="s">
        <v>120</v>
      </c>
      <c r="G8" s="147" t="s">
        <v>46</v>
      </c>
      <c r="H8" s="147">
        <f>8.62*D8+228.3</f>
        <v>323.12</v>
      </c>
      <c r="I8" s="193"/>
      <c r="J8" s="518" t="s">
        <v>134</v>
      </c>
      <c r="K8" s="147" t="s">
        <v>46</v>
      </c>
      <c r="L8" s="147">
        <f>7.76*D8+205.5</f>
        <v>290.86</v>
      </c>
      <c r="M8" s="193"/>
      <c r="N8" s="518" t="s">
        <v>160</v>
      </c>
      <c r="O8" s="147" t="str">
        <f>K8</f>
        <v>NA</v>
      </c>
      <c r="P8" s="147">
        <f t="shared" si="0"/>
        <v>276.31700000000001</v>
      </c>
      <c r="Q8" s="193"/>
      <c r="R8" s="191" t="s">
        <v>141</v>
      </c>
      <c r="S8" s="193"/>
      <c r="T8" s="147" t="s">
        <v>46</v>
      </c>
      <c r="U8" s="147" t="s">
        <v>46</v>
      </c>
      <c r="V8" s="193"/>
      <c r="W8" s="147">
        <f t="shared" si="1"/>
        <v>32.259999999999991</v>
      </c>
      <c r="X8" s="147">
        <f>W8*'Interactive Effects'!$B$11</f>
        <v>32.905199999999994</v>
      </c>
      <c r="Y8" s="147">
        <f>W8*'Interactive Effects'!$D$11</f>
        <v>-0.77423999999999982</v>
      </c>
      <c r="Z8" s="194">
        <f t="shared" si="2"/>
        <v>-5.1723342939481533E-2</v>
      </c>
      <c r="AA8" s="193"/>
      <c r="AB8" s="147">
        <f t="shared" si="4"/>
        <v>46.802999999999997</v>
      </c>
      <c r="AC8" s="147">
        <f>AB8*'Interactive Effects'!$B$11</f>
        <v>47.739059999999995</v>
      </c>
      <c r="AD8" s="195">
        <f>AB8*'Interactive Effects'!$D$11</f>
        <v>-1.123272</v>
      </c>
      <c r="AE8" s="194">
        <f t="shared" si="3"/>
        <v>-5.1196263539700082E-2</v>
      </c>
      <c r="AF8" s="196"/>
      <c r="AG8" s="147">
        <v>34.700000000000003</v>
      </c>
      <c r="AH8" s="213">
        <v>6.2500000000000003E-3</v>
      </c>
      <c r="AI8" s="195">
        <v>-1.02</v>
      </c>
      <c r="AJ8" s="147">
        <f t="shared" si="5"/>
        <v>50.315000000000005</v>
      </c>
      <c r="AK8" s="341">
        <f t="shared" si="6"/>
        <v>9.0624999999999994E-3</v>
      </c>
      <c r="AL8" s="347">
        <f>AI8*1.45</f>
        <v>-1.4789999999999999</v>
      </c>
    </row>
    <row r="9" spans="1:38">
      <c r="A9" s="533"/>
      <c r="B9" s="516"/>
      <c r="C9" s="197" t="s">
        <v>143</v>
      </c>
      <c r="D9" s="198">
        <f>AVERAGE(13,16)</f>
        <v>14.5</v>
      </c>
      <c r="E9" s="193"/>
      <c r="F9" s="519"/>
      <c r="G9" s="148">
        <f>8.62*R9+228.3</f>
        <v>351.56600000000003</v>
      </c>
      <c r="H9" s="148">
        <f>8.62*D9+228.3</f>
        <v>353.29</v>
      </c>
      <c r="I9" s="193"/>
      <c r="J9" s="519"/>
      <c r="K9" s="148">
        <f>7.67*R9+205.5</f>
        <v>315.18099999999998</v>
      </c>
      <c r="L9" s="148">
        <f>7.76*D9+205.5</f>
        <v>318.02</v>
      </c>
      <c r="M9" s="193"/>
      <c r="N9" s="519"/>
      <c r="O9" s="148">
        <f>0.95*K9</f>
        <v>299.42194999999998</v>
      </c>
      <c r="P9" s="148">
        <f t="shared" si="0"/>
        <v>302.11899999999997</v>
      </c>
      <c r="Q9" s="193"/>
      <c r="R9" s="197">
        <v>14.3</v>
      </c>
      <c r="S9" s="193"/>
      <c r="T9" s="148">
        <f>G9-K9</f>
        <v>36.385000000000048</v>
      </c>
      <c r="U9" s="199">
        <f>(T9-AG9)/AG9</f>
        <v>-6.7051282051280831E-2</v>
      </c>
      <c r="V9" s="193"/>
      <c r="W9" s="148">
        <f t="shared" si="1"/>
        <v>35.270000000000039</v>
      </c>
      <c r="X9" s="148">
        <f>W9*'Interactive Effects'!$B$11</f>
        <v>35.975400000000043</v>
      </c>
      <c r="Y9" s="148">
        <f>W9*'Interactive Effects'!$D$11</f>
        <v>-0.8464800000000009</v>
      </c>
      <c r="Z9" s="199">
        <f>(X9-AG9)/AG9</f>
        <v>-7.7553846153845044E-2</v>
      </c>
      <c r="AA9" s="193"/>
      <c r="AB9" s="148">
        <f t="shared" si="4"/>
        <v>51.171000000000049</v>
      </c>
      <c r="AC9" s="148">
        <f>AB9*'Interactive Effects'!$B$11</f>
        <v>52.194420000000051</v>
      </c>
      <c r="AD9" s="200">
        <f>AB9*'Interactive Effects'!$D$11</f>
        <v>-1.2281040000000012</v>
      </c>
      <c r="AE9" s="199">
        <f t="shared" si="3"/>
        <v>-7.7021750663129038E-2</v>
      </c>
      <c r="AF9" s="196"/>
      <c r="AG9" s="148">
        <v>39</v>
      </c>
      <c r="AH9" s="214">
        <v>7.0299999999999998E-3</v>
      </c>
      <c r="AI9" s="200">
        <v>-1.1499999999999999</v>
      </c>
      <c r="AJ9" s="148">
        <f>AG9*1.45</f>
        <v>56.55</v>
      </c>
      <c r="AK9" s="342">
        <f>AH9*1.45</f>
        <v>1.0193499999999999E-2</v>
      </c>
      <c r="AL9" s="348">
        <f>AI9*1.45</f>
        <v>-1.6674999999999998</v>
      </c>
    </row>
    <row r="10" spans="1:38" ht="16.5" thickBot="1">
      <c r="A10" s="533"/>
      <c r="B10" s="517"/>
      <c r="C10" s="201" t="s">
        <v>145</v>
      </c>
      <c r="D10" s="202">
        <v>18</v>
      </c>
      <c r="E10" s="193"/>
      <c r="F10" s="520"/>
      <c r="G10" s="149">
        <f>8.62*R10+228.3</f>
        <v>481.72799999999995</v>
      </c>
      <c r="H10" s="149">
        <f>8.62*D10+228.3</f>
        <v>383.46000000000004</v>
      </c>
      <c r="I10" s="193"/>
      <c r="J10" s="520"/>
      <c r="K10" s="149">
        <f>7.67*R10+205.5</f>
        <v>430.99799999999999</v>
      </c>
      <c r="L10" s="149">
        <f>7.76*D10+205.5</f>
        <v>345.18</v>
      </c>
      <c r="M10" s="193"/>
      <c r="N10" s="520"/>
      <c r="O10" s="149">
        <f>0.95*K10</f>
        <v>409.44809999999995</v>
      </c>
      <c r="P10" s="149">
        <f t="shared" si="0"/>
        <v>327.92099999999999</v>
      </c>
      <c r="Q10" s="193"/>
      <c r="R10" s="201">
        <v>29.4</v>
      </c>
      <c r="S10" s="193"/>
      <c r="T10" s="149">
        <f>G10-K10</f>
        <v>50.729999999999961</v>
      </c>
      <c r="U10" s="203">
        <f>(T10-AG10)/AG10</f>
        <v>0.16889400921658901</v>
      </c>
      <c r="V10" s="193"/>
      <c r="W10" s="149">
        <f t="shared" si="1"/>
        <v>38.28000000000003</v>
      </c>
      <c r="X10" s="149">
        <f>W10*'Interactive Effects'!$B$11</f>
        <v>39.045600000000029</v>
      </c>
      <c r="Y10" s="149">
        <f>W10*'Interactive Effects'!$D$11</f>
        <v>-0.91872000000000076</v>
      </c>
      <c r="Z10" s="203">
        <f t="shared" si="2"/>
        <v>-0.10033179723502235</v>
      </c>
      <c r="AA10" s="193"/>
      <c r="AB10" s="149">
        <f t="shared" si="4"/>
        <v>55.539000000000044</v>
      </c>
      <c r="AC10" s="149">
        <f>AB10*'Interactive Effects'!$B$11</f>
        <v>56.649780000000042</v>
      </c>
      <c r="AD10" s="204">
        <f>AB10*'Interactive Effects'!$D$11</f>
        <v>-1.332936000000001</v>
      </c>
      <c r="AE10" s="203">
        <f t="shared" si="3"/>
        <v>-9.9796917209597186E-2</v>
      </c>
      <c r="AF10" s="196"/>
      <c r="AG10" s="149">
        <v>43.4</v>
      </c>
      <c r="AH10" s="215">
        <v>7.8100000000000001E-3</v>
      </c>
      <c r="AI10" s="204">
        <v>-1.28</v>
      </c>
      <c r="AJ10" s="149">
        <f t="shared" si="5"/>
        <v>62.929999999999993</v>
      </c>
      <c r="AK10" s="343">
        <f t="shared" si="6"/>
        <v>1.1324499999999999E-2</v>
      </c>
      <c r="AL10" s="205">
        <f t="shared" si="6"/>
        <v>-1.8559999999999999</v>
      </c>
    </row>
    <row r="11" spans="1:38" ht="17.100000000000001" hidden="1" customHeight="1" thickBot="1">
      <c r="A11" s="533"/>
      <c r="B11" s="521" t="s">
        <v>121</v>
      </c>
      <c r="C11" s="146" t="s">
        <v>144</v>
      </c>
      <c r="D11" s="179">
        <v>12.9</v>
      </c>
      <c r="E11" s="94"/>
      <c r="F11" s="524" t="s">
        <v>122</v>
      </c>
      <c r="G11" s="144" t="s">
        <v>46</v>
      </c>
      <c r="H11" s="141">
        <f>8.62*D11+312.3</f>
        <v>423.49799999999999</v>
      </c>
      <c r="I11" s="94"/>
      <c r="J11" s="524" t="s">
        <v>135</v>
      </c>
      <c r="K11" s="144" t="s">
        <v>46</v>
      </c>
      <c r="L11" s="141">
        <f>7.76*D11+289.5</f>
        <v>389.60399999999998</v>
      </c>
      <c r="M11" s="94"/>
      <c r="N11" s="524" t="s">
        <v>135</v>
      </c>
      <c r="O11" s="144" t="s">
        <v>46</v>
      </c>
      <c r="P11" s="141">
        <f>7.76*V11+289.5</f>
        <v>289.5</v>
      </c>
      <c r="Q11" s="94"/>
      <c r="R11" s="159" t="s">
        <v>141</v>
      </c>
      <c r="S11" s="94"/>
      <c r="T11" s="159" t="s">
        <v>46</v>
      </c>
      <c r="U11" s="159" t="s">
        <v>46</v>
      </c>
      <c r="V11" s="94"/>
      <c r="W11" s="143">
        <f t="shared" si="1"/>
        <v>33.894000000000005</v>
      </c>
      <c r="X11" s="143"/>
      <c r="Y11" s="181">
        <f>W11*'Interactive Effects'!$D$11</f>
        <v>-0.81345600000000018</v>
      </c>
      <c r="Z11" s="183" t="e">
        <f t="shared" si="2"/>
        <v>#DIV/0!</v>
      </c>
      <c r="AA11" s="94"/>
      <c r="AB11" s="141">
        <f t="shared" si="4"/>
        <v>133.99799999999999</v>
      </c>
      <c r="AC11" s="143"/>
      <c r="AD11" s="189">
        <f>AB11*'Interactive Effects'!$D$11</f>
        <v>-3.2159519999999997</v>
      </c>
      <c r="AE11" s="183" t="e">
        <f t="shared" si="3"/>
        <v>#DIV/0!</v>
      </c>
      <c r="AF11" s="187"/>
      <c r="AG11" s="141"/>
      <c r="AH11" s="216"/>
      <c r="AI11" s="185"/>
      <c r="AJ11" s="141">
        <f t="shared" si="5"/>
        <v>0</v>
      </c>
      <c r="AK11" s="216">
        <f t="shared" si="6"/>
        <v>0</v>
      </c>
      <c r="AL11" s="205">
        <f t="shared" si="6"/>
        <v>0</v>
      </c>
    </row>
    <row r="12" spans="1:38" ht="17.100000000000001" hidden="1" customHeight="1" thickBot="1">
      <c r="A12" s="533"/>
      <c r="B12" s="522"/>
      <c r="C12" s="146" t="s">
        <v>143</v>
      </c>
      <c r="D12" s="179">
        <f>AVERAGE(13,16)</f>
        <v>14.5</v>
      </c>
      <c r="E12" s="94"/>
      <c r="F12" s="525"/>
      <c r="G12" s="144" t="s">
        <v>46</v>
      </c>
      <c r="H12" s="141">
        <f>8.62*D12+312.3</f>
        <v>437.29</v>
      </c>
      <c r="I12" s="94"/>
      <c r="J12" s="525"/>
      <c r="K12" s="144" t="s">
        <v>46</v>
      </c>
      <c r="L12" s="141">
        <f>7.76*D12+289.5</f>
        <v>402.02</v>
      </c>
      <c r="M12" s="94"/>
      <c r="N12" s="525"/>
      <c r="O12" s="144" t="s">
        <v>46</v>
      </c>
      <c r="P12" s="141">
        <f>7.76*V12+289.5</f>
        <v>289.5</v>
      </c>
      <c r="Q12" s="94"/>
      <c r="R12" s="159" t="s">
        <v>141</v>
      </c>
      <c r="S12" s="94"/>
      <c r="T12" s="159" t="s">
        <v>46</v>
      </c>
      <c r="U12" s="159" t="s">
        <v>46</v>
      </c>
      <c r="V12" s="94"/>
      <c r="W12" s="143">
        <f t="shared" si="1"/>
        <v>35.270000000000039</v>
      </c>
      <c r="X12" s="143"/>
      <c r="Y12" s="181">
        <f>W12*'Interactive Effects'!$D$11</f>
        <v>-0.8464800000000009</v>
      </c>
      <c r="Z12" s="183" t="e">
        <f t="shared" si="2"/>
        <v>#DIV/0!</v>
      </c>
      <c r="AA12" s="94"/>
      <c r="AB12" s="141">
        <f t="shared" si="4"/>
        <v>147.79000000000002</v>
      </c>
      <c r="AC12" s="143"/>
      <c r="AD12" s="189">
        <f>AB12*'Interactive Effects'!$D$11</f>
        <v>-3.5469600000000008</v>
      </c>
      <c r="AE12" s="183" t="e">
        <f t="shared" si="3"/>
        <v>#DIV/0!</v>
      </c>
      <c r="AF12" s="187"/>
      <c r="AG12" s="141"/>
      <c r="AH12" s="216"/>
      <c r="AI12" s="185"/>
      <c r="AJ12" s="141">
        <f t="shared" si="5"/>
        <v>0</v>
      </c>
      <c r="AK12" s="216">
        <f t="shared" si="6"/>
        <v>0</v>
      </c>
      <c r="AL12" s="205">
        <f t="shared" si="6"/>
        <v>0</v>
      </c>
    </row>
    <row r="13" spans="1:38" ht="17.100000000000001" hidden="1" customHeight="1" thickBot="1">
      <c r="A13" s="533"/>
      <c r="B13" s="523"/>
      <c r="C13" s="146" t="s">
        <v>145</v>
      </c>
      <c r="D13" s="179">
        <v>16</v>
      </c>
      <c r="E13" s="94"/>
      <c r="F13" s="526"/>
      <c r="G13" s="144" t="s">
        <v>46</v>
      </c>
      <c r="H13" s="141">
        <f>8.62*D13+312.3</f>
        <v>450.22</v>
      </c>
      <c r="I13" s="94"/>
      <c r="J13" s="526"/>
      <c r="K13" s="144" t="s">
        <v>46</v>
      </c>
      <c r="L13" s="141">
        <f>7.76*D13+289.5</f>
        <v>413.65999999999997</v>
      </c>
      <c r="M13" s="94"/>
      <c r="N13" s="526"/>
      <c r="O13" s="144" t="s">
        <v>46</v>
      </c>
      <c r="P13" s="141">
        <f>7.76*V13+289.5</f>
        <v>289.5</v>
      </c>
      <c r="Q13" s="94"/>
      <c r="R13" s="159" t="s">
        <v>141</v>
      </c>
      <c r="S13" s="94"/>
      <c r="T13" s="159" t="s">
        <v>46</v>
      </c>
      <c r="U13" s="159" t="s">
        <v>46</v>
      </c>
      <c r="V13" s="94"/>
      <c r="W13" s="143">
        <f t="shared" si="1"/>
        <v>36.560000000000059</v>
      </c>
      <c r="X13" s="143"/>
      <c r="Y13" s="181">
        <f>W13*'Interactive Effects'!$D$11</f>
        <v>-0.87744000000000144</v>
      </c>
      <c r="Z13" s="183" t="e">
        <f t="shared" si="2"/>
        <v>#DIV/0!</v>
      </c>
      <c r="AA13" s="94"/>
      <c r="AB13" s="141">
        <f t="shared" si="4"/>
        <v>160.72000000000003</v>
      </c>
      <c r="AC13" s="143"/>
      <c r="AD13" s="189">
        <f>AB13*'Interactive Effects'!$D$11</f>
        <v>-3.8572800000000007</v>
      </c>
      <c r="AE13" s="183" t="e">
        <f t="shared" si="3"/>
        <v>#DIV/0!</v>
      </c>
      <c r="AF13" s="187"/>
      <c r="AG13" s="141"/>
      <c r="AH13" s="216"/>
      <c r="AI13" s="185"/>
      <c r="AJ13" s="141">
        <f t="shared" si="5"/>
        <v>0</v>
      </c>
      <c r="AK13" s="216">
        <f t="shared" si="6"/>
        <v>0</v>
      </c>
      <c r="AL13" s="205">
        <f t="shared" si="6"/>
        <v>0</v>
      </c>
    </row>
    <row r="14" spans="1:38" ht="17.100000000000001" hidden="1" customHeight="1" thickBot="1">
      <c r="A14" s="533"/>
      <c r="B14" s="521" t="s">
        <v>123</v>
      </c>
      <c r="C14" s="146" t="s">
        <v>144</v>
      </c>
      <c r="D14" s="179">
        <v>12.9</v>
      </c>
      <c r="E14" s="94"/>
      <c r="F14" s="524" t="s">
        <v>124</v>
      </c>
      <c r="G14" s="144" t="s">
        <v>46</v>
      </c>
      <c r="H14" s="141">
        <f>9.86*D14+260.9</f>
        <v>388.09399999999999</v>
      </c>
      <c r="I14" s="94"/>
      <c r="J14" s="524" t="s">
        <v>136</v>
      </c>
      <c r="K14" s="144" t="s">
        <v>46</v>
      </c>
      <c r="L14" s="141">
        <f>8.87*D14+234.8</f>
        <v>349.22300000000001</v>
      </c>
      <c r="M14" s="94"/>
      <c r="N14" s="524" t="s">
        <v>136</v>
      </c>
      <c r="O14" s="144" t="s">
        <v>46</v>
      </c>
      <c r="P14" s="141">
        <f>8.87*V14+234.8</f>
        <v>234.8</v>
      </c>
      <c r="Q14" s="94"/>
      <c r="R14" s="159" t="s">
        <v>141</v>
      </c>
      <c r="S14" s="94"/>
      <c r="T14" s="159" t="s">
        <v>46</v>
      </c>
      <c r="U14" s="159" t="s">
        <v>46</v>
      </c>
      <c r="V14" s="94"/>
      <c r="W14" s="143">
        <f t="shared" si="1"/>
        <v>38.870999999999981</v>
      </c>
      <c r="X14" s="143"/>
      <c r="Y14" s="181">
        <f>W14*'Interactive Effects'!$D$11</f>
        <v>-0.93290399999999951</v>
      </c>
      <c r="Z14" s="183" t="e">
        <f t="shared" si="2"/>
        <v>#DIV/0!</v>
      </c>
      <c r="AA14" s="94"/>
      <c r="AB14" s="141">
        <f t="shared" si="4"/>
        <v>153.29399999999998</v>
      </c>
      <c r="AC14" s="143"/>
      <c r="AD14" s="189">
        <f>AB14*'Interactive Effects'!$D$11</f>
        <v>-3.6790559999999997</v>
      </c>
      <c r="AE14" s="183" t="e">
        <f t="shared" si="3"/>
        <v>#DIV/0!</v>
      </c>
      <c r="AF14" s="187"/>
      <c r="AG14" s="141"/>
      <c r="AH14" s="216"/>
      <c r="AI14" s="185"/>
      <c r="AJ14" s="141">
        <f t="shared" si="5"/>
        <v>0</v>
      </c>
      <c r="AK14" s="216">
        <f t="shared" si="6"/>
        <v>0</v>
      </c>
      <c r="AL14" s="205">
        <f t="shared" si="6"/>
        <v>0</v>
      </c>
    </row>
    <row r="15" spans="1:38" ht="17.100000000000001" hidden="1" customHeight="1" thickBot="1">
      <c r="A15" s="533"/>
      <c r="B15" s="522"/>
      <c r="C15" s="146" t="s">
        <v>143</v>
      </c>
      <c r="D15" s="179">
        <f>AVERAGE(13,16)</f>
        <v>14.5</v>
      </c>
      <c r="E15" s="94"/>
      <c r="F15" s="525"/>
      <c r="G15" s="144" t="s">
        <v>46</v>
      </c>
      <c r="H15" s="141">
        <f>9.86*D15+260.9</f>
        <v>403.87</v>
      </c>
      <c r="I15" s="94"/>
      <c r="J15" s="525"/>
      <c r="K15" s="144" t="s">
        <v>46</v>
      </c>
      <c r="L15" s="141">
        <f>8.87*D15+234.8</f>
        <v>363.41499999999996</v>
      </c>
      <c r="M15" s="94"/>
      <c r="N15" s="525"/>
      <c r="O15" s="144" t="s">
        <v>46</v>
      </c>
      <c r="P15" s="141">
        <f>8.87*V15+234.8</f>
        <v>234.8</v>
      </c>
      <c r="Q15" s="94"/>
      <c r="R15" s="159" t="s">
        <v>141</v>
      </c>
      <c r="S15" s="94"/>
      <c r="T15" s="159" t="s">
        <v>46</v>
      </c>
      <c r="U15" s="159" t="s">
        <v>46</v>
      </c>
      <c r="V15" s="94"/>
      <c r="W15" s="143">
        <f t="shared" si="1"/>
        <v>40.455000000000041</v>
      </c>
      <c r="X15" s="143"/>
      <c r="Y15" s="181">
        <f>W15*'Interactive Effects'!$D$11</f>
        <v>-0.970920000000001</v>
      </c>
      <c r="Z15" s="183" t="e">
        <f t="shared" si="2"/>
        <v>#DIV/0!</v>
      </c>
      <c r="AA15" s="94"/>
      <c r="AB15" s="141">
        <f t="shared" si="4"/>
        <v>169.07</v>
      </c>
      <c r="AC15" s="143"/>
      <c r="AD15" s="189">
        <f>AB15*'Interactive Effects'!$D$11</f>
        <v>-4.0576799999999995</v>
      </c>
      <c r="AE15" s="183" t="e">
        <f t="shared" si="3"/>
        <v>#DIV/0!</v>
      </c>
      <c r="AF15" s="187"/>
      <c r="AG15" s="141"/>
      <c r="AH15" s="216"/>
      <c r="AI15" s="185"/>
      <c r="AJ15" s="141">
        <f t="shared" si="5"/>
        <v>0</v>
      </c>
      <c r="AK15" s="216">
        <f t="shared" si="6"/>
        <v>0</v>
      </c>
      <c r="AL15" s="205">
        <f t="shared" si="6"/>
        <v>0</v>
      </c>
    </row>
    <row r="16" spans="1:38" ht="17.100000000000001" hidden="1" customHeight="1" thickBot="1">
      <c r="A16" s="533"/>
      <c r="B16" s="523"/>
      <c r="C16" s="146" t="s">
        <v>145</v>
      </c>
      <c r="D16" s="179">
        <v>16</v>
      </c>
      <c r="E16" s="94"/>
      <c r="F16" s="526"/>
      <c r="G16" s="144" t="s">
        <v>46</v>
      </c>
      <c r="H16" s="141">
        <f>9.86*D16+260.9</f>
        <v>418.65999999999997</v>
      </c>
      <c r="I16" s="94"/>
      <c r="J16" s="526"/>
      <c r="K16" s="144" t="s">
        <v>46</v>
      </c>
      <c r="L16" s="141">
        <f>8.87*D16+234.8</f>
        <v>376.72</v>
      </c>
      <c r="M16" s="94"/>
      <c r="N16" s="526"/>
      <c r="O16" s="144" t="s">
        <v>46</v>
      </c>
      <c r="P16" s="141">
        <f>8.87*V16+234.8</f>
        <v>234.8</v>
      </c>
      <c r="Q16" s="94"/>
      <c r="R16" s="159" t="s">
        <v>141</v>
      </c>
      <c r="S16" s="94"/>
      <c r="T16" s="159" t="s">
        <v>46</v>
      </c>
      <c r="U16" s="159" t="s">
        <v>46</v>
      </c>
      <c r="V16" s="94"/>
      <c r="W16" s="143">
        <f t="shared" si="1"/>
        <v>41.939999999999941</v>
      </c>
      <c r="X16" s="143"/>
      <c r="Y16" s="181">
        <f>W16*'Interactive Effects'!$D$11</f>
        <v>-1.0065599999999986</v>
      </c>
      <c r="Z16" s="183" t="e">
        <f t="shared" si="2"/>
        <v>#DIV/0!</v>
      </c>
      <c r="AA16" s="94"/>
      <c r="AB16" s="141">
        <f t="shared" si="4"/>
        <v>183.85999999999996</v>
      </c>
      <c r="AC16" s="143"/>
      <c r="AD16" s="189">
        <f>AB16*'Interactive Effects'!$D$11</f>
        <v>-4.4126399999999988</v>
      </c>
      <c r="AE16" s="183" t="e">
        <f t="shared" si="3"/>
        <v>#DIV/0!</v>
      </c>
      <c r="AF16" s="187"/>
      <c r="AG16" s="141"/>
      <c r="AH16" s="216"/>
      <c r="AI16" s="185"/>
      <c r="AJ16" s="141">
        <f t="shared" si="5"/>
        <v>0</v>
      </c>
      <c r="AK16" s="216">
        <f t="shared" si="6"/>
        <v>0</v>
      </c>
      <c r="AL16" s="205">
        <f t="shared" si="6"/>
        <v>0</v>
      </c>
    </row>
    <row r="17" spans="1:38" ht="17.100000000000001" hidden="1" customHeight="1" thickBot="1">
      <c r="A17" s="533"/>
      <c r="B17" s="521" t="s">
        <v>125</v>
      </c>
      <c r="C17" s="146" t="s">
        <v>144</v>
      </c>
      <c r="D17" s="180"/>
      <c r="E17" s="94"/>
      <c r="F17" s="524" t="s">
        <v>126</v>
      </c>
      <c r="G17" s="144" t="s">
        <v>46</v>
      </c>
      <c r="H17" s="141"/>
      <c r="I17" s="94"/>
      <c r="J17" s="524" t="s">
        <v>137</v>
      </c>
      <c r="K17" s="144" t="s">
        <v>46</v>
      </c>
      <c r="L17" s="145"/>
      <c r="M17" s="94"/>
      <c r="N17" s="524" t="s">
        <v>137</v>
      </c>
      <c r="O17" s="144" t="s">
        <v>46</v>
      </c>
      <c r="P17" s="145"/>
      <c r="Q17" s="94"/>
      <c r="R17" s="159" t="s">
        <v>141</v>
      </c>
      <c r="S17" s="94"/>
      <c r="T17" s="159" t="s">
        <v>46</v>
      </c>
      <c r="U17" s="159" t="s">
        <v>46</v>
      </c>
      <c r="V17" s="94"/>
      <c r="W17" s="145"/>
      <c r="X17" s="145"/>
      <c r="Y17" s="182">
        <f>W17*'Interactive Effects'!$D$11</f>
        <v>0</v>
      </c>
      <c r="Z17" s="184" t="e">
        <f t="shared" si="2"/>
        <v>#DIV/0!</v>
      </c>
      <c r="AA17" s="94"/>
      <c r="AB17" s="145"/>
      <c r="AC17" s="145"/>
      <c r="AD17" s="190">
        <f>AB17*'Interactive Effects'!$D$11</f>
        <v>0</v>
      </c>
      <c r="AE17" s="184" t="e">
        <f t="shared" si="3"/>
        <v>#DIV/0!</v>
      </c>
      <c r="AF17" s="188"/>
      <c r="AG17" s="145"/>
      <c r="AH17" s="217"/>
      <c r="AI17" s="186"/>
      <c r="AJ17" s="145">
        <f t="shared" si="5"/>
        <v>0</v>
      </c>
      <c r="AK17" s="217">
        <f t="shared" si="6"/>
        <v>0</v>
      </c>
      <c r="AL17" s="205">
        <f t="shared" si="6"/>
        <v>0</v>
      </c>
    </row>
    <row r="18" spans="1:38" ht="17.100000000000001" hidden="1" customHeight="1" thickBot="1">
      <c r="A18" s="533"/>
      <c r="B18" s="522"/>
      <c r="C18" s="146" t="s">
        <v>143</v>
      </c>
      <c r="D18" s="180"/>
      <c r="E18" s="94"/>
      <c r="F18" s="525"/>
      <c r="G18" s="144" t="s">
        <v>46</v>
      </c>
      <c r="H18" s="141"/>
      <c r="I18" s="94"/>
      <c r="J18" s="525"/>
      <c r="K18" s="144" t="s">
        <v>46</v>
      </c>
      <c r="L18" s="145"/>
      <c r="M18" s="94"/>
      <c r="N18" s="525"/>
      <c r="O18" s="144" t="s">
        <v>46</v>
      </c>
      <c r="P18" s="145"/>
      <c r="Q18" s="94"/>
      <c r="R18" s="159" t="s">
        <v>141</v>
      </c>
      <c r="S18" s="94"/>
      <c r="T18" s="159" t="s">
        <v>46</v>
      </c>
      <c r="U18" s="159" t="s">
        <v>46</v>
      </c>
      <c r="V18" s="94"/>
      <c r="W18" s="145"/>
      <c r="X18" s="145"/>
      <c r="Y18" s="182">
        <f>W18*'Interactive Effects'!$D$11</f>
        <v>0</v>
      </c>
      <c r="Z18" s="184"/>
      <c r="AA18" s="94"/>
      <c r="AB18" s="145"/>
      <c r="AC18" s="145"/>
      <c r="AD18" s="190">
        <f>AB18*'Interactive Effects'!$D$11</f>
        <v>0</v>
      </c>
      <c r="AE18" s="184" t="e">
        <f t="shared" si="3"/>
        <v>#DIV/0!</v>
      </c>
      <c r="AF18" s="188"/>
      <c r="AG18" s="145"/>
      <c r="AH18" s="217"/>
      <c r="AI18" s="186"/>
      <c r="AJ18" s="145">
        <f t="shared" si="5"/>
        <v>0</v>
      </c>
      <c r="AK18" s="217">
        <f t="shared" si="6"/>
        <v>0</v>
      </c>
      <c r="AL18" s="205">
        <f t="shared" si="6"/>
        <v>0</v>
      </c>
    </row>
    <row r="19" spans="1:38" ht="17.100000000000001" hidden="1" customHeight="1" thickBot="1">
      <c r="A19" s="533"/>
      <c r="B19" s="523"/>
      <c r="C19" s="146" t="s">
        <v>145</v>
      </c>
      <c r="D19" s="180"/>
      <c r="E19" s="94"/>
      <c r="F19" s="526"/>
      <c r="G19" s="144" t="s">
        <v>46</v>
      </c>
      <c r="H19" s="141"/>
      <c r="I19" s="94"/>
      <c r="J19" s="526"/>
      <c r="K19" s="144" t="s">
        <v>46</v>
      </c>
      <c r="L19" s="145"/>
      <c r="M19" s="94"/>
      <c r="N19" s="526"/>
      <c r="O19" s="144" t="s">
        <v>46</v>
      </c>
      <c r="P19" s="145"/>
      <c r="Q19" s="94"/>
      <c r="R19" s="159" t="s">
        <v>141</v>
      </c>
      <c r="S19" s="94"/>
      <c r="T19" s="159" t="s">
        <v>46</v>
      </c>
      <c r="U19" s="159" t="s">
        <v>46</v>
      </c>
      <c r="V19" s="94"/>
      <c r="W19" s="145"/>
      <c r="X19" s="145"/>
      <c r="Y19" s="182">
        <f>W19*'Interactive Effects'!$D$11</f>
        <v>0</v>
      </c>
      <c r="Z19" s="184"/>
      <c r="AA19" s="94"/>
      <c r="AB19" s="145"/>
      <c r="AC19" s="145"/>
      <c r="AD19" s="190">
        <f>AB19*'Interactive Effects'!$D$11</f>
        <v>0</v>
      </c>
      <c r="AE19" s="184" t="e">
        <f t="shared" si="3"/>
        <v>#DIV/0!</v>
      </c>
      <c r="AF19" s="188"/>
      <c r="AG19" s="145"/>
      <c r="AH19" s="217"/>
      <c r="AI19" s="186"/>
      <c r="AJ19" s="145">
        <f t="shared" si="5"/>
        <v>0</v>
      </c>
      <c r="AK19" s="217">
        <f t="shared" si="6"/>
        <v>0</v>
      </c>
      <c r="AL19" s="205">
        <f t="shared" si="6"/>
        <v>0</v>
      </c>
    </row>
    <row r="20" spans="1:38" ht="17.100000000000001" customHeight="1">
      <c r="A20" s="533"/>
      <c r="B20" s="515" t="s">
        <v>127</v>
      </c>
      <c r="C20" s="191" t="s">
        <v>144</v>
      </c>
      <c r="D20" s="192">
        <v>11</v>
      </c>
      <c r="E20" s="193"/>
      <c r="F20" s="518" t="s">
        <v>128</v>
      </c>
      <c r="G20" s="147" t="s">
        <v>46</v>
      </c>
      <c r="H20" s="147">
        <f>7.29*D20+107.8</f>
        <v>187.99</v>
      </c>
      <c r="I20" s="193"/>
      <c r="J20" s="518" t="s">
        <v>138</v>
      </c>
      <c r="K20" s="147" t="s">
        <v>46</v>
      </c>
      <c r="L20" s="147">
        <f>6.56*D20+97</f>
        <v>169.16</v>
      </c>
      <c r="M20" s="193"/>
      <c r="N20" s="518" t="s">
        <v>162</v>
      </c>
      <c r="O20" s="147" t="str">
        <f>K20</f>
        <v>NA</v>
      </c>
      <c r="P20" s="147">
        <f t="shared" ref="P20:P25" si="7">0.95*L20</f>
        <v>160.702</v>
      </c>
      <c r="Q20" s="193"/>
      <c r="R20" s="191" t="s">
        <v>141</v>
      </c>
      <c r="S20" s="193"/>
      <c r="T20" s="147" t="s">
        <v>46</v>
      </c>
      <c r="U20" s="147" t="s">
        <v>46</v>
      </c>
      <c r="V20" s="193"/>
      <c r="W20" s="147">
        <f t="shared" ref="W20:W25" si="8">H20-L20</f>
        <v>18.830000000000013</v>
      </c>
      <c r="X20" s="147">
        <f>W20*'Interactive Effects'!$B$11</f>
        <v>19.206600000000012</v>
      </c>
      <c r="Y20" s="147">
        <f>W20*'Interactive Effects'!$D$11</f>
        <v>-0.45192000000000032</v>
      </c>
      <c r="Z20" s="194">
        <f t="shared" ref="Z20:Z25" si="9">(X20-AG20)/AG20</f>
        <v>-0.11490322580645101</v>
      </c>
      <c r="AA20" s="193"/>
      <c r="AB20" s="147">
        <f t="shared" ref="AB20:AB25" si="10">H20-P20</f>
        <v>27.288000000000011</v>
      </c>
      <c r="AC20" s="147">
        <f>AB20*'Interactive Effects'!$B$11</f>
        <v>27.833760000000012</v>
      </c>
      <c r="AD20" s="195">
        <f>AB20*'Interactive Effects'!$D$11</f>
        <v>-0.65491200000000027</v>
      </c>
      <c r="AE20" s="194">
        <f t="shared" si="3"/>
        <v>-0.11540568886063832</v>
      </c>
      <c r="AF20" s="196"/>
      <c r="AG20" s="147">
        <v>21.7</v>
      </c>
      <c r="AH20" s="213">
        <v>3.9100000000000003E-3</v>
      </c>
      <c r="AI20" s="195">
        <v>-0.63800000000000001</v>
      </c>
      <c r="AJ20" s="147">
        <f t="shared" si="5"/>
        <v>31.464999999999996</v>
      </c>
      <c r="AK20" s="213">
        <f t="shared" si="6"/>
        <v>5.6695000000000001E-3</v>
      </c>
      <c r="AL20" s="347">
        <f t="shared" si="6"/>
        <v>-0.92510000000000003</v>
      </c>
    </row>
    <row r="21" spans="1:38">
      <c r="A21" s="533"/>
      <c r="B21" s="516"/>
      <c r="C21" s="197" t="s">
        <v>143</v>
      </c>
      <c r="D21" s="198">
        <f>AVERAGE(13,16)</f>
        <v>14.5</v>
      </c>
      <c r="E21" s="193"/>
      <c r="F21" s="519"/>
      <c r="G21" s="148">
        <f>7.29*R21+107.8</f>
        <v>212.047</v>
      </c>
      <c r="H21" s="148">
        <f>7.29*D21+107.8</f>
        <v>213.505</v>
      </c>
      <c r="I21" s="193"/>
      <c r="J21" s="519"/>
      <c r="K21" s="148">
        <f>6.56*R21+97</f>
        <v>190.80799999999999</v>
      </c>
      <c r="L21" s="148">
        <f>6.56*D21+97</f>
        <v>192.12</v>
      </c>
      <c r="M21" s="193"/>
      <c r="N21" s="519"/>
      <c r="O21" s="148">
        <f>0.95*K21</f>
        <v>181.26759999999999</v>
      </c>
      <c r="P21" s="148">
        <f t="shared" si="7"/>
        <v>182.51399999999998</v>
      </c>
      <c r="Q21" s="193"/>
      <c r="R21" s="197">
        <v>14.3</v>
      </c>
      <c r="S21" s="193"/>
      <c r="T21" s="148">
        <f>G21-K21</f>
        <v>21.239000000000004</v>
      </c>
      <c r="U21" s="199">
        <f>(T21-AG21)/AG21</f>
        <v>-0.15718253968253948</v>
      </c>
      <c r="V21" s="193"/>
      <c r="W21" s="148">
        <f t="shared" si="8"/>
        <v>21.384999999999991</v>
      </c>
      <c r="X21" s="148">
        <f>W21*'Interactive Effects'!$B$11</f>
        <v>21.812699999999992</v>
      </c>
      <c r="Y21" s="148">
        <f>W21*'Interactive Effects'!$D$11</f>
        <v>-0.51323999999999981</v>
      </c>
      <c r="Z21" s="199">
        <f t="shared" si="9"/>
        <v>-0.13441666666666693</v>
      </c>
      <c r="AA21" s="193"/>
      <c r="AB21" s="148">
        <f t="shared" si="10"/>
        <v>30.991000000000014</v>
      </c>
      <c r="AC21" s="148">
        <f>AB21*'Interactive Effects'!$B$11</f>
        <v>31.610820000000015</v>
      </c>
      <c r="AD21" s="200">
        <f>AB21*'Interactive Effects'!$D$11</f>
        <v>-0.74378400000000033</v>
      </c>
      <c r="AE21" s="199">
        <f t="shared" si="3"/>
        <v>-0.1348981937602623</v>
      </c>
      <c r="AF21" s="196"/>
      <c r="AG21" s="148">
        <v>25.2</v>
      </c>
      <c r="AH21" s="214">
        <v>4.5300000000000002E-3</v>
      </c>
      <c r="AI21" s="200">
        <v>-0.74</v>
      </c>
      <c r="AJ21" s="148">
        <f t="shared" si="5"/>
        <v>36.54</v>
      </c>
      <c r="AK21" s="214">
        <f t="shared" si="6"/>
        <v>6.5684999999999997E-3</v>
      </c>
      <c r="AL21" s="348">
        <f t="shared" si="6"/>
        <v>-1.073</v>
      </c>
    </row>
    <row r="22" spans="1:38" ht="16.5" thickBot="1">
      <c r="A22" s="533"/>
      <c r="B22" s="517"/>
      <c r="C22" s="201" t="s">
        <v>145</v>
      </c>
      <c r="D22" s="202">
        <v>18</v>
      </c>
      <c r="E22" s="193"/>
      <c r="F22" s="520"/>
      <c r="G22" s="149">
        <f>7.29*R22+107.8</f>
        <v>257.245</v>
      </c>
      <c r="H22" s="149">
        <f>7.29*D22+107.8</f>
        <v>239.01999999999998</v>
      </c>
      <c r="I22" s="193"/>
      <c r="J22" s="520"/>
      <c r="K22" s="149">
        <f>6.56*R22+97</f>
        <v>231.48</v>
      </c>
      <c r="L22" s="149">
        <f>6.56*D22+97</f>
        <v>215.07999999999998</v>
      </c>
      <c r="M22" s="193"/>
      <c r="N22" s="520"/>
      <c r="O22" s="149">
        <f>0.95*K22</f>
        <v>219.90599999999998</v>
      </c>
      <c r="P22" s="149">
        <f t="shared" si="7"/>
        <v>204.32599999999996</v>
      </c>
      <c r="Q22" s="193"/>
      <c r="R22" s="201">
        <v>20.5</v>
      </c>
      <c r="S22" s="193"/>
      <c r="T22" s="149">
        <f>G22-K22</f>
        <v>25.765000000000015</v>
      </c>
      <c r="U22" s="203">
        <f>(T22-AG22)/AG22</f>
        <v>-0.12661016949152493</v>
      </c>
      <c r="V22" s="193"/>
      <c r="W22" s="149">
        <f t="shared" si="8"/>
        <v>23.939999999999998</v>
      </c>
      <c r="X22" s="149">
        <f>W22*'Interactive Effects'!$B$11</f>
        <v>24.418799999999997</v>
      </c>
      <c r="Y22" s="149">
        <f>W22*'Interactive Effects'!$D$11</f>
        <v>-0.57455999999999996</v>
      </c>
      <c r="Z22" s="203">
        <f t="shared" si="9"/>
        <v>-0.17224406779661025</v>
      </c>
      <c r="AA22" s="193"/>
      <c r="AB22" s="149">
        <f t="shared" si="10"/>
        <v>34.694000000000017</v>
      </c>
      <c r="AC22" s="149">
        <f>AB22*'Interactive Effects'!$B$11</f>
        <v>35.387880000000017</v>
      </c>
      <c r="AD22" s="204">
        <f>AB22*'Interactive Effects'!$D$11</f>
        <v>-0.8326560000000004</v>
      </c>
      <c r="AE22" s="203">
        <f t="shared" si="3"/>
        <v>-0.17269713617767346</v>
      </c>
      <c r="AF22" s="196"/>
      <c r="AG22" s="149">
        <v>29.5</v>
      </c>
      <c r="AH22" s="215">
        <v>5.3099999999999996E-3</v>
      </c>
      <c r="AI22" s="204">
        <v>-0.86699999999999999</v>
      </c>
      <c r="AJ22" s="149">
        <f t="shared" si="5"/>
        <v>42.774999999999999</v>
      </c>
      <c r="AK22" s="215">
        <f t="shared" si="6"/>
        <v>7.6994999999999989E-3</v>
      </c>
      <c r="AL22" s="205">
        <f t="shared" si="6"/>
        <v>-1.25715</v>
      </c>
    </row>
    <row r="23" spans="1:38" ht="17.100000000000001" customHeight="1">
      <c r="A23" s="533"/>
      <c r="B23" s="515" t="s">
        <v>129</v>
      </c>
      <c r="C23" s="191" t="s">
        <v>144</v>
      </c>
      <c r="D23" s="192">
        <v>11</v>
      </c>
      <c r="E23" s="193"/>
      <c r="F23" s="518" t="s">
        <v>130</v>
      </c>
      <c r="G23" s="147" t="s">
        <v>46</v>
      </c>
      <c r="H23" s="147">
        <f>10.24*D23+148.1</f>
        <v>260.74</v>
      </c>
      <c r="I23" s="193"/>
      <c r="J23" s="518" t="s">
        <v>139</v>
      </c>
      <c r="K23" s="147" t="s">
        <v>46</v>
      </c>
      <c r="L23" s="147">
        <f>9.22*D23+133.3</f>
        <v>234.72000000000003</v>
      </c>
      <c r="M23" s="193"/>
      <c r="N23" s="518" t="s">
        <v>163</v>
      </c>
      <c r="O23" s="147" t="str">
        <f>K23</f>
        <v>NA</v>
      </c>
      <c r="P23" s="147">
        <f t="shared" si="7"/>
        <v>222.98400000000001</v>
      </c>
      <c r="Q23" s="193"/>
      <c r="R23" s="191" t="s">
        <v>141</v>
      </c>
      <c r="S23" s="193"/>
      <c r="T23" s="147" t="s">
        <v>46</v>
      </c>
      <c r="U23" s="147" t="s">
        <v>46</v>
      </c>
      <c r="V23" s="193"/>
      <c r="W23" s="147">
        <f t="shared" si="8"/>
        <v>26.019999999999982</v>
      </c>
      <c r="X23" s="147">
        <f>W23*'Interactive Effects'!$B$11</f>
        <v>26.54039999999998</v>
      </c>
      <c r="Y23" s="147">
        <f>W23*'Interactive Effects'!$D$11</f>
        <v>-0.62447999999999959</v>
      </c>
      <c r="Z23" s="194">
        <f t="shared" si="9"/>
        <v>-0.12696052631579008</v>
      </c>
      <c r="AA23" s="193"/>
      <c r="AB23" s="147">
        <f t="shared" si="10"/>
        <v>37.756</v>
      </c>
      <c r="AC23" s="147">
        <f>AB23*'Interactive Effects'!$B$11</f>
        <v>38.511119999999998</v>
      </c>
      <c r="AD23" s="195">
        <f>AB23*'Interactive Effects'!$D$11</f>
        <v>-0.90614400000000006</v>
      </c>
      <c r="AE23" s="194">
        <f t="shared" si="3"/>
        <v>-0.12633575317604356</v>
      </c>
      <c r="AF23" s="196"/>
      <c r="AG23" s="147">
        <v>30.4</v>
      </c>
      <c r="AH23" s="213">
        <v>5.47E-3</v>
      </c>
      <c r="AI23" s="195">
        <v>-0.89300000000000002</v>
      </c>
      <c r="AJ23" s="147">
        <f t="shared" si="5"/>
        <v>44.08</v>
      </c>
      <c r="AK23" s="213">
        <f t="shared" si="6"/>
        <v>7.9314999999999993E-3</v>
      </c>
      <c r="AL23" s="347">
        <f t="shared" si="6"/>
        <v>-1.2948500000000001</v>
      </c>
    </row>
    <row r="24" spans="1:38">
      <c r="A24" s="533"/>
      <c r="B24" s="516"/>
      <c r="C24" s="197" t="s">
        <v>143</v>
      </c>
      <c r="D24" s="198">
        <f>AVERAGE(13,16)</f>
        <v>14.5</v>
      </c>
      <c r="E24" s="193"/>
      <c r="F24" s="519"/>
      <c r="G24" s="148" t="s">
        <v>46</v>
      </c>
      <c r="H24" s="148">
        <f>10.24*D24+148.1</f>
        <v>296.58</v>
      </c>
      <c r="I24" s="193"/>
      <c r="J24" s="519"/>
      <c r="K24" s="148" t="s">
        <v>46</v>
      </c>
      <c r="L24" s="148">
        <f>9.22*D24+133.3</f>
        <v>266.99</v>
      </c>
      <c r="M24" s="193"/>
      <c r="N24" s="519"/>
      <c r="O24" s="148" t="str">
        <f>K24</f>
        <v>NA</v>
      </c>
      <c r="P24" s="148">
        <f t="shared" si="7"/>
        <v>253.6405</v>
      </c>
      <c r="Q24" s="193"/>
      <c r="R24" s="197" t="s">
        <v>141</v>
      </c>
      <c r="S24" s="193"/>
      <c r="T24" s="148" t="s">
        <v>46</v>
      </c>
      <c r="U24" s="199" t="s">
        <v>46</v>
      </c>
      <c r="V24" s="193"/>
      <c r="W24" s="148">
        <f t="shared" si="8"/>
        <v>29.589999999999975</v>
      </c>
      <c r="X24" s="148">
        <f>W24*'Interactive Effects'!$B$11</f>
        <v>30.181799999999974</v>
      </c>
      <c r="Y24" s="148">
        <f>W24*'Interactive Effects'!$D$11</f>
        <v>-0.71015999999999946</v>
      </c>
      <c r="Z24" s="199">
        <f t="shared" si="9"/>
        <v>-0.1521966292134839</v>
      </c>
      <c r="AA24" s="193"/>
      <c r="AB24" s="148">
        <f t="shared" si="10"/>
        <v>42.939499999999981</v>
      </c>
      <c r="AC24" s="148">
        <f>AB24*'Interactive Effects'!$B$11</f>
        <v>43.79828999999998</v>
      </c>
      <c r="AD24" s="200">
        <f>AB24*'Interactive Effects'!$D$11</f>
        <v>-1.0305479999999996</v>
      </c>
      <c r="AE24" s="199">
        <f t="shared" si="3"/>
        <v>-0.15152479659046916</v>
      </c>
      <c r="AF24" s="196"/>
      <c r="AG24" s="148">
        <v>35.6</v>
      </c>
      <c r="AH24" s="214">
        <v>6.4099999999999999E-3</v>
      </c>
      <c r="AI24" s="200">
        <v>-1.05</v>
      </c>
      <c r="AJ24" s="148">
        <f t="shared" si="5"/>
        <v>51.62</v>
      </c>
      <c r="AK24" s="214">
        <f t="shared" si="6"/>
        <v>9.2944999999999989E-3</v>
      </c>
      <c r="AL24" s="348">
        <f t="shared" si="6"/>
        <v>-1.5225</v>
      </c>
    </row>
    <row r="25" spans="1:38" ht="16.5" thickBot="1">
      <c r="A25" s="534"/>
      <c r="B25" s="517"/>
      <c r="C25" s="201" t="s">
        <v>145</v>
      </c>
      <c r="D25" s="202">
        <v>18</v>
      </c>
      <c r="E25" s="208"/>
      <c r="F25" s="520"/>
      <c r="G25" s="149" t="s">
        <v>46</v>
      </c>
      <c r="H25" s="149">
        <f>10.24*D25+148.1</f>
        <v>332.41999999999996</v>
      </c>
      <c r="I25" s="208"/>
      <c r="J25" s="520"/>
      <c r="K25" s="149" t="s">
        <v>46</v>
      </c>
      <c r="L25" s="149">
        <f>9.22*D25+133.3</f>
        <v>299.26</v>
      </c>
      <c r="M25" s="208"/>
      <c r="N25" s="520"/>
      <c r="O25" s="149" t="str">
        <f>K25</f>
        <v>NA</v>
      </c>
      <c r="P25" s="149">
        <f t="shared" si="7"/>
        <v>284.29699999999997</v>
      </c>
      <c r="Q25" s="208"/>
      <c r="R25" s="201" t="s">
        <v>141</v>
      </c>
      <c r="S25" s="208"/>
      <c r="T25" s="149" t="s">
        <v>46</v>
      </c>
      <c r="U25" s="203" t="s">
        <v>46</v>
      </c>
      <c r="V25" s="208"/>
      <c r="W25" s="149">
        <f t="shared" si="8"/>
        <v>33.159999999999968</v>
      </c>
      <c r="X25" s="149">
        <f>W25*'Interactive Effects'!$B$11</f>
        <v>33.823199999999972</v>
      </c>
      <c r="Y25" s="149">
        <f>W25*'Interactive Effects'!$D$11</f>
        <v>-0.79583999999999921</v>
      </c>
      <c r="Z25" s="203">
        <f t="shared" si="9"/>
        <v>-0.17100000000000065</v>
      </c>
      <c r="AA25" s="208"/>
      <c r="AB25" s="149">
        <f t="shared" si="10"/>
        <v>48.12299999999999</v>
      </c>
      <c r="AC25" s="149">
        <f>AB25*'Interactive Effects'!$B$11</f>
        <v>49.085459999999991</v>
      </c>
      <c r="AD25" s="204">
        <f>AB25*'Interactive Effects'!$D$11</f>
        <v>-1.1549519999999998</v>
      </c>
      <c r="AE25" s="203">
        <f t="shared" si="3"/>
        <v>-0.17029310344827597</v>
      </c>
      <c r="AF25" s="209"/>
      <c r="AG25" s="149">
        <v>40.799999999999997</v>
      </c>
      <c r="AH25" s="215">
        <v>7.3400000000000002E-3</v>
      </c>
      <c r="AI25" s="204">
        <v>-1.2</v>
      </c>
      <c r="AJ25" s="149">
        <f t="shared" si="5"/>
        <v>59.16</v>
      </c>
      <c r="AK25" s="215">
        <f t="shared" si="6"/>
        <v>1.0643E-2</v>
      </c>
      <c r="AL25" s="205">
        <f t="shared" si="6"/>
        <v>-1.74</v>
      </c>
    </row>
    <row r="26" spans="1:38">
      <c r="A26" s="532" t="s">
        <v>66</v>
      </c>
      <c r="B26" s="515" t="s">
        <v>117</v>
      </c>
      <c r="C26" s="191" t="s">
        <v>144</v>
      </c>
      <c r="D26" s="192"/>
      <c r="E26" s="206"/>
      <c r="F26" s="518"/>
      <c r="G26" s="147"/>
      <c r="H26" s="147"/>
      <c r="I26" s="206"/>
      <c r="J26" s="518"/>
      <c r="K26" s="147"/>
      <c r="L26" s="147"/>
      <c r="M26" s="206"/>
      <c r="N26" s="518"/>
      <c r="O26" s="147"/>
      <c r="P26" s="147"/>
      <c r="Q26" s="206"/>
      <c r="R26" s="191"/>
      <c r="S26" s="206"/>
      <c r="T26" s="147"/>
      <c r="U26" s="147"/>
      <c r="V26" s="206"/>
      <c r="W26" s="147"/>
      <c r="X26" s="147"/>
      <c r="Y26" s="147"/>
      <c r="Z26" s="194"/>
      <c r="AA26" s="206"/>
      <c r="AB26" s="147"/>
      <c r="AC26" s="147"/>
      <c r="AD26" s="195"/>
      <c r="AE26" s="194"/>
      <c r="AF26" s="207"/>
      <c r="AG26" s="147">
        <v>28.7</v>
      </c>
      <c r="AH26" s="213">
        <v>5.4400000000000004E-3</v>
      </c>
      <c r="AI26" s="195">
        <v>-0.621</v>
      </c>
      <c r="AJ26" s="210">
        <f t="shared" si="5"/>
        <v>41.614999999999995</v>
      </c>
      <c r="AK26" s="344">
        <f>AH26*1.45</f>
        <v>7.8880000000000009E-3</v>
      </c>
      <c r="AL26" s="349">
        <f>AI26*1.45</f>
        <v>-0.90044999999999997</v>
      </c>
    </row>
    <row r="27" spans="1:38">
      <c r="A27" s="533"/>
      <c r="B27" s="516"/>
      <c r="C27" s="197" t="s">
        <v>143</v>
      </c>
      <c r="D27" s="198"/>
      <c r="E27" s="193"/>
      <c r="F27" s="519"/>
      <c r="G27" s="148"/>
      <c r="H27" s="148"/>
      <c r="I27" s="193"/>
      <c r="J27" s="519"/>
      <c r="K27" s="148"/>
      <c r="L27" s="148"/>
      <c r="M27" s="193"/>
      <c r="N27" s="519"/>
      <c r="O27" s="148"/>
      <c r="P27" s="148"/>
      <c r="Q27" s="193"/>
      <c r="R27" s="197"/>
      <c r="S27" s="193"/>
      <c r="T27" s="148"/>
      <c r="U27" s="199"/>
      <c r="V27" s="193"/>
      <c r="W27" s="148"/>
      <c r="X27" s="148"/>
      <c r="Y27" s="148"/>
      <c r="Z27" s="199"/>
      <c r="AA27" s="193"/>
      <c r="AB27" s="148"/>
      <c r="AC27" s="148"/>
      <c r="AD27" s="200"/>
      <c r="AE27" s="199"/>
      <c r="AF27" s="196"/>
      <c r="AG27" s="148">
        <v>32.5</v>
      </c>
      <c r="AH27" s="214">
        <v>6.1599999999999997E-3</v>
      </c>
      <c r="AI27" s="200">
        <v>-0.70399999999999996</v>
      </c>
      <c r="AJ27" s="211">
        <f t="shared" si="5"/>
        <v>47.125</v>
      </c>
      <c r="AK27" s="345">
        <f>AH27*1.45</f>
        <v>8.931999999999999E-3</v>
      </c>
      <c r="AL27" s="350">
        <f>AI27*1.45</f>
        <v>-1.0207999999999999</v>
      </c>
    </row>
    <row r="28" spans="1:38" ht="16.5" thickBot="1">
      <c r="A28" s="533"/>
      <c r="B28" s="517"/>
      <c r="C28" s="201" t="s">
        <v>145</v>
      </c>
      <c r="D28" s="202"/>
      <c r="E28" s="193"/>
      <c r="F28" s="520"/>
      <c r="G28" s="149"/>
      <c r="H28" s="149"/>
      <c r="I28" s="193"/>
      <c r="J28" s="520"/>
      <c r="K28" s="149"/>
      <c r="L28" s="149"/>
      <c r="M28" s="193"/>
      <c r="N28" s="520"/>
      <c r="O28" s="149"/>
      <c r="P28" s="149"/>
      <c r="Q28" s="193"/>
      <c r="R28" s="201"/>
      <c r="S28" s="193"/>
      <c r="T28" s="149"/>
      <c r="U28" s="203"/>
      <c r="V28" s="193"/>
      <c r="W28" s="149"/>
      <c r="X28" s="149"/>
      <c r="Y28" s="149"/>
      <c r="Z28" s="203"/>
      <c r="AA28" s="193"/>
      <c r="AB28" s="149"/>
      <c r="AC28" s="149"/>
      <c r="AD28" s="204"/>
      <c r="AE28" s="203"/>
      <c r="AF28" s="196"/>
      <c r="AG28" s="149">
        <v>35.4</v>
      </c>
      <c r="AH28" s="215">
        <v>6.7099999999999998E-3</v>
      </c>
      <c r="AI28" s="204">
        <v>-0.76600000000000001</v>
      </c>
      <c r="AJ28" s="212">
        <f t="shared" si="5"/>
        <v>51.33</v>
      </c>
      <c r="AK28" s="346">
        <f t="shared" si="6"/>
        <v>9.7295000000000003E-3</v>
      </c>
      <c r="AL28" s="351">
        <f t="shared" si="6"/>
        <v>-1.1107</v>
      </c>
    </row>
    <row r="29" spans="1:38">
      <c r="A29" s="533"/>
      <c r="B29" s="515" t="s">
        <v>119</v>
      </c>
      <c r="C29" s="191" t="s">
        <v>144</v>
      </c>
      <c r="D29" s="192"/>
      <c r="E29" s="193"/>
      <c r="F29" s="518"/>
      <c r="G29" s="147"/>
      <c r="H29" s="147"/>
      <c r="I29" s="193"/>
      <c r="J29" s="518"/>
      <c r="K29" s="147"/>
      <c r="L29" s="147"/>
      <c r="M29" s="193"/>
      <c r="N29" s="518"/>
      <c r="O29" s="147"/>
      <c r="P29" s="147"/>
      <c r="Q29" s="193"/>
      <c r="R29" s="191"/>
      <c r="S29" s="193"/>
      <c r="T29" s="147"/>
      <c r="U29" s="147"/>
      <c r="V29" s="193"/>
      <c r="W29" s="147"/>
      <c r="X29" s="147"/>
      <c r="Y29" s="147"/>
      <c r="Z29" s="194"/>
      <c r="AA29" s="193"/>
      <c r="AB29" s="147"/>
      <c r="AC29" s="147"/>
      <c r="AD29" s="195"/>
      <c r="AE29" s="194"/>
      <c r="AF29" s="196"/>
      <c r="AG29" s="147">
        <v>38.299999999999997</v>
      </c>
      <c r="AH29" s="213">
        <v>7.2500000000000004E-3</v>
      </c>
      <c r="AI29" s="195">
        <v>-0.82799999999999996</v>
      </c>
      <c r="AJ29" s="210">
        <f t="shared" si="5"/>
        <v>55.534999999999997</v>
      </c>
      <c r="AK29" s="344">
        <f t="shared" si="6"/>
        <v>1.0512500000000001E-2</v>
      </c>
      <c r="AL29" s="349">
        <f>AI29*1.45</f>
        <v>-1.2005999999999999</v>
      </c>
    </row>
    <row r="30" spans="1:38">
      <c r="A30" s="533"/>
      <c r="B30" s="516"/>
      <c r="C30" s="197" t="s">
        <v>143</v>
      </c>
      <c r="D30" s="198"/>
      <c r="E30" s="193"/>
      <c r="F30" s="519"/>
      <c r="G30" s="148"/>
      <c r="H30" s="148"/>
      <c r="I30" s="193"/>
      <c r="J30" s="519"/>
      <c r="K30" s="148"/>
      <c r="L30" s="148"/>
      <c r="M30" s="193"/>
      <c r="N30" s="519"/>
      <c r="O30" s="148"/>
      <c r="P30" s="148"/>
      <c r="Q30" s="193"/>
      <c r="R30" s="197"/>
      <c r="S30" s="193"/>
      <c r="T30" s="148"/>
      <c r="U30" s="199"/>
      <c r="V30" s="193"/>
      <c r="W30" s="148"/>
      <c r="X30" s="148"/>
      <c r="Y30" s="148"/>
      <c r="Z30" s="199"/>
      <c r="AA30" s="193"/>
      <c r="AB30" s="148"/>
      <c r="AC30" s="148"/>
      <c r="AD30" s="200"/>
      <c r="AE30" s="199"/>
      <c r="AF30" s="196"/>
      <c r="AG30" s="148">
        <v>43.1</v>
      </c>
      <c r="AH30" s="214">
        <v>8.1600000000000006E-3</v>
      </c>
      <c r="AI30" s="200">
        <v>-0.93200000000000005</v>
      </c>
      <c r="AJ30" s="211">
        <f>AG30*1.45</f>
        <v>62.494999999999997</v>
      </c>
      <c r="AK30" s="345">
        <f>AH30*1.45</f>
        <v>1.1832000000000001E-2</v>
      </c>
      <c r="AL30" s="350">
        <f>AI30*1.45</f>
        <v>-1.3513999999999999</v>
      </c>
    </row>
    <row r="31" spans="1:38" ht="16.5" thickBot="1">
      <c r="A31" s="533"/>
      <c r="B31" s="517"/>
      <c r="C31" s="201" t="s">
        <v>145</v>
      </c>
      <c r="D31" s="202"/>
      <c r="E31" s="193"/>
      <c r="F31" s="520"/>
      <c r="G31" s="149"/>
      <c r="H31" s="149"/>
      <c r="I31" s="193"/>
      <c r="J31" s="520"/>
      <c r="K31" s="149"/>
      <c r="L31" s="149"/>
      <c r="M31" s="193"/>
      <c r="N31" s="520"/>
      <c r="O31" s="149"/>
      <c r="P31" s="149"/>
      <c r="Q31" s="193"/>
      <c r="R31" s="201"/>
      <c r="S31" s="193"/>
      <c r="T31" s="149"/>
      <c r="U31" s="203"/>
      <c r="V31" s="193"/>
      <c r="W31" s="149"/>
      <c r="X31" s="149"/>
      <c r="Y31" s="149"/>
      <c r="Z31" s="203"/>
      <c r="AA31" s="193"/>
      <c r="AB31" s="149"/>
      <c r="AC31" s="149"/>
      <c r="AD31" s="204"/>
      <c r="AE31" s="203"/>
      <c r="AF31" s="196"/>
      <c r="AG31" s="149">
        <v>47.8</v>
      </c>
      <c r="AH31" s="215">
        <v>9.0699999999999999E-3</v>
      </c>
      <c r="AI31" s="204">
        <v>-1.04</v>
      </c>
      <c r="AJ31" s="212">
        <f t="shared" si="5"/>
        <v>69.309999999999988</v>
      </c>
      <c r="AK31" s="346">
        <f t="shared" si="6"/>
        <v>1.31515E-2</v>
      </c>
      <c r="AL31" s="351">
        <f t="shared" si="6"/>
        <v>-1.508</v>
      </c>
    </row>
    <row r="32" spans="1:38">
      <c r="A32" s="533"/>
      <c r="B32" s="515" t="s">
        <v>127</v>
      </c>
      <c r="C32" s="191" t="s">
        <v>144</v>
      </c>
      <c r="D32" s="192"/>
      <c r="E32" s="193"/>
      <c r="F32" s="518"/>
      <c r="G32" s="147"/>
      <c r="H32" s="147">
        <f>5.57*0.95</f>
        <v>5.2915000000000001</v>
      </c>
      <c r="I32" s="193"/>
      <c r="J32" s="518"/>
      <c r="K32" s="147"/>
      <c r="L32" s="147"/>
      <c r="M32" s="193"/>
      <c r="N32" s="518"/>
      <c r="O32" s="147"/>
      <c r="P32" s="147"/>
      <c r="Q32" s="193"/>
      <c r="R32" s="191"/>
      <c r="S32" s="193"/>
      <c r="T32" s="147"/>
      <c r="U32" s="147"/>
      <c r="V32" s="193"/>
      <c r="W32" s="147"/>
      <c r="X32" s="147"/>
      <c r="Y32" s="147"/>
      <c r="Z32" s="194"/>
      <c r="AA32" s="193"/>
      <c r="AB32" s="147"/>
      <c r="AC32" s="147"/>
      <c r="AD32" s="195"/>
      <c r="AE32" s="194"/>
      <c r="AF32" s="196"/>
      <c r="AG32" s="147">
        <v>23.9</v>
      </c>
      <c r="AH32" s="213">
        <v>4.5300000000000002E-3</v>
      </c>
      <c r="AI32" s="195">
        <v>-0.51800000000000002</v>
      </c>
      <c r="AJ32" s="210">
        <f t="shared" si="5"/>
        <v>34.654999999999994</v>
      </c>
      <c r="AK32" s="344">
        <f t="shared" si="6"/>
        <v>6.5684999999999997E-3</v>
      </c>
      <c r="AL32" s="349">
        <f t="shared" si="6"/>
        <v>-0.75109999999999999</v>
      </c>
    </row>
    <row r="33" spans="1:38">
      <c r="A33" s="533"/>
      <c r="B33" s="516"/>
      <c r="C33" s="197" t="s">
        <v>143</v>
      </c>
      <c r="D33" s="198"/>
      <c r="E33" s="193"/>
      <c r="F33" s="519"/>
      <c r="G33" s="148"/>
      <c r="H33" s="148"/>
      <c r="I33" s="193"/>
      <c r="J33" s="519"/>
      <c r="K33" s="148"/>
      <c r="L33" s="148"/>
      <c r="M33" s="193"/>
      <c r="N33" s="519"/>
      <c r="O33" s="148"/>
      <c r="P33" s="148"/>
      <c r="Q33" s="193"/>
      <c r="R33" s="197"/>
      <c r="S33" s="193"/>
      <c r="T33" s="148"/>
      <c r="U33" s="199"/>
      <c r="V33" s="193"/>
      <c r="W33" s="148"/>
      <c r="X33" s="148"/>
      <c r="Y33" s="148"/>
      <c r="Z33" s="199"/>
      <c r="AA33" s="193"/>
      <c r="AB33" s="148"/>
      <c r="AC33" s="148"/>
      <c r="AD33" s="200"/>
      <c r="AE33" s="199"/>
      <c r="AF33" s="196"/>
      <c r="AG33" s="148">
        <v>27.7</v>
      </c>
      <c r="AH33" s="214">
        <v>5.2599999999999999E-3</v>
      </c>
      <c r="AI33" s="200">
        <v>-0.6</v>
      </c>
      <c r="AJ33" s="211">
        <f t="shared" si="5"/>
        <v>40.164999999999999</v>
      </c>
      <c r="AK33" s="345">
        <f t="shared" si="6"/>
        <v>7.6269999999999992E-3</v>
      </c>
      <c r="AL33" s="350">
        <f t="shared" si="6"/>
        <v>-0.87</v>
      </c>
    </row>
    <row r="34" spans="1:38" ht="16.5" thickBot="1">
      <c r="A34" s="533"/>
      <c r="B34" s="517"/>
      <c r="C34" s="201" t="s">
        <v>145</v>
      </c>
      <c r="D34" s="202"/>
      <c r="E34" s="193"/>
      <c r="F34" s="520"/>
      <c r="G34" s="149"/>
      <c r="H34" s="149"/>
      <c r="I34" s="193"/>
      <c r="J34" s="520"/>
      <c r="K34" s="149"/>
      <c r="L34" s="149"/>
      <c r="M34" s="193"/>
      <c r="N34" s="520"/>
      <c r="O34" s="149"/>
      <c r="P34" s="149"/>
      <c r="Q34" s="193"/>
      <c r="R34" s="201"/>
      <c r="S34" s="193"/>
      <c r="T34" s="149"/>
      <c r="U34" s="203"/>
      <c r="V34" s="193"/>
      <c r="W34" s="149"/>
      <c r="X34" s="149"/>
      <c r="Y34" s="149"/>
      <c r="Z34" s="203"/>
      <c r="AA34" s="193"/>
      <c r="AB34" s="149"/>
      <c r="AC34" s="149"/>
      <c r="AD34" s="204"/>
      <c r="AE34" s="203"/>
      <c r="AF34" s="196"/>
      <c r="AG34" s="149">
        <v>32.5</v>
      </c>
      <c r="AH34" s="215">
        <v>6.1599999999999997E-3</v>
      </c>
      <c r="AI34" s="204">
        <v>-0.70399999999999996</v>
      </c>
      <c r="AJ34" s="212">
        <f t="shared" si="5"/>
        <v>47.125</v>
      </c>
      <c r="AK34" s="346">
        <f t="shared" si="6"/>
        <v>8.931999999999999E-3</v>
      </c>
      <c r="AL34" s="351">
        <f t="shared" si="6"/>
        <v>-1.0207999999999999</v>
      </c>
    </row>
    <row r="35" spans="1:38">
      <c r="A35" s="533"/>
      <c r="B35" s="515" t="s">
        <v>129</v>
      </c>
      <c r="C35" s="191" t="s">
        <v>144</v>
      </c>
      <c r="D35" s="192"/>
      <c r="E35" s="193"/>
      <c r="F35" s="518"/>
      <c r="G35" s="147"/>
      <c r="H35" s="147"/>
      <c r="I35" s="193"/>
      <c r="J35" s="518"/>
      <c r="K35" s="147"/>
      <c r="L35" s="147"/>
      <c r="M35" s="193"/>
      <c r="N35" s="518"/>
      <c r="O35" s="147"/>
      <c r="P35" s="147"/>
      <c r="Q35" s="193"/>
      <c r="R35" s="191"/>
      <c r="S35" s="193"/>
      <c r="T35" s="147"/>
      <c r="U35" s="147"/>
      <c r="V35" s="193"/>
      <c r="W35" s="147"/>
      <c r="X35" s="147"/>
      <c r="Y35" s="147"/>
      <c r="Z35" s="194"/>
      <c r="AA35" s="193"/>
      <c r="AB35" s="147"/>
      <c r="AC35" s="147"/>
      <c r="AD35" s="195"/>
      <c r="AE35" s="194"/>
      <c r="AF35" s="196"/>
      <c r="AG35" s="147">
        <v>33.5</v>
      </c>
      <c r="AH35" s="213">
        <v>6.3499999999999997E-3</v>
      </c>
      <c r="AI35" s="195">
        <v>-0.72499999999999998</v>
      </c>
      <c r="AJ35" s="210">
        <f t="shared" si="5"/>
        <v>48.574999999999996</v>
      </c>
      <c r="AK35" s="344">
        <f t="shared" si="6"/>
        <v>9.2074999999999987E-3</v>
      </c>
      <c r="AL35" s="349">
        <f t="shared" si="6"/>
        <v>-1.05125</v>
      </c>
    </row>
    <row r="36" spans="1:38">
      <c r="A36" s="533"/>
      <c r="B36" s="516"/>
      <c r="C36" s="197" t="s">
        <v>143</v>
      </c>
      <c r="D36" s="198"/>
      <c r="E36" s="193"/>
      <c r="F36" s="519"/>
      <c r="G36" s="148"/>
      <c r="H36" s="148"/>
      <c r="I36" s="193"/>
      <c r="J36" s="519"/>
      <c r="K36" s="148"/>
      <c r="L36" s="148"/>
      <c r="M36" s="193"/>
      <c r="N36" s="519"/>
      <c r="O36" s="148"/>
      <c r="P36" s="148"/>
      <c r="Q36" s="193"/>
      <c r="R36" s="197"/>
      <c r="S36" s="193"/>
      <c r="T36" s="148"/>
      <c r="U36" s="199"/>
      <c r="V36" s="193"/>
      <c r="W36" s="148"/>
      <c r="X36" s="148"/>
      <c r="Y36" s="148"/>
      <c r="Z36" s="199"/>
      <c r="AA36" s="193"/>
      <c r="AB36" s="148"/>
      <c r="AC36" s="148"/>
      <c r="AD36" s="200"/>
      <c r="AE36" s="199"/>
      <c r="AF36" s="196"/>
      <c r="AG36" s="148">
        <v>39.200000000000003</v>
      </c>
      <c r="AH36" s="214">
        <v>7.43E-3</v>
      </c>
      <c r="AI36" s="200">
        <v>-0.84899999999999998</v>
      </c>
      <c r="AJ36" s="211">
        <f t="shared" si="5"/>
        <v>56.84</v>
      </c>
      <c r="AK36" s="345">
        <f t="shared" si="6"/>
        <v>1.07735E-2</v>
      </c>
      <c r="AL36" s="350">
        <f t="shared" si="6"/>
        <v>-1.23105</v>
      </c>
    </row>
    <row r="37" spans="1:38" ht="16.5" thickBot="1">
      <c r="A37" s="534"/>
      <c r="B37" s="517"/>
      <c r="C37" s="201" t="s">
        <v>145</v>
      </c>
      <c r="D37" s="202"/>
      <c r="E37" s="208"/>
      <c r="F37" s="520"/>
      <c r="G37" s="149"/>
      <c r="H37" s="149"/>
      <c r="I37" s="208"/>
      <c r="J37" s="520"/>
      <c r="K37" s="149"/>
      <c r="L37" s="149"/>
      <c r="M37" s="208"/>
      <c r="N37" s="520"/>
      <c r="O37" s="149"/>
      <c r="P37" s="149"/>
      <c r="Q37" s="208"/>
      <c r="R37" s="201"/>
      <c r="S37" s="208"/>
      <c r="T37" s="149"/>
      <c r="U37" s="203"/>
      <c r="V37" s="208"/>
      <c r="W37" s="149"/>
      <c r="X37" s="149"/>
      <c r="Y37" s="149"/>
      <c r="Z37" s="203"/>
      <c r="AA37" s="208"/>
      <c r="AB37" s="149"/>
      <c r="AC37" s="149"/>
      <c r="AD37" s="204"/>
      <c r="AE37" s="203"/>
      <c r="AF37" s="209"/>
      <c r="AG37" s="149">
        <v>45</v>
      </c>
      <c r="AH37" s="215">
        <v>8.5199999999999998E-3</v>
      </c>
      <c r="AI37" s="204">
        <v>-0.97299999999999998</v>
      </c>
      <c r="AJ37" s="212">
        <f t="shared" si="5"/>
        <v>65.25</v>
      </c>
      <c r="AK37" s="346">
        <f t="shared" si="6"/>
        <v>1.2353999999999999E-2</v>
      </c>
      <c r="AL37" s="351">
        <f t="shared" si="6"/>
        <v>-1.4108499999999999</v>
      </c>
    </row>
    <row r="38" spans="1:38">
      <c r="A38" s="532" t="s">
        <v>67</v>
      </c>
      <c r="B38" s="515" t="s">
        <v>117</v>
      </c>
      <c r="C38" s="191" t="s">
        <v>144</v>
      </c>
      <c r="D38" s="192"/>
      <c r="E38" s="206"/>
      <c r="F38" s="518"/>
      <c r="G38" s="147"/>
      <c r="H38" s="147"/>
      <c r="I38" s="206"/>
      <c r="J38" s="518"/>
      <c r="K38" s="147"/>
      <c r="L38" s="147"/>
      <c r="M38" s="206"/>
      <c r="N38" s="518"/>
      <c r="O38" s="147"/>
      <c r="P38" s="147"/>
      <c r="Q38" s="206"/>
      <c r="R38" s="191"/>
      <c r="S38" s="206"/>
      <c r="T38" s="147"/>
      <c r="U38" s="147"/>
      <c r="V38" s="206"/>
      <c r="W38" s="147"/>
      <c r="X38" s="147"/>
      <c r="Y38" s="147"/>
      <c r="Z38" s="194"/>
      <c r="AA38" s="206"/>
      <c r="AB38" s="147"/>
      <c r="AC38" s="147"/>
      <c r="AD38" s="195"/>
      <c r="AE38" s="194"/>
      <c r="AF38" s="207"/>
      <c r="AG38" s="147">
        <v>28.6</v>
      </c>
      <c r="AH38" s="213">
        <v>5.2700000000000004E-3</v>
      </c>
      <c r="AI38" s="195">
        <v>-0.623</v>
      </c>
      <c r="AJ38" s="210">
        <f t="shared" si="5"/>
        <v>41.47</v>
      </c>
      <c r="AK38" s="344">
        <f>AH38*1.45</f>
        <v>7.6415000000000007E-3</v>
      </c>
      <c r="AL38" s="349">
        <f>AI38*1.45</f>
        <v>-0.90334999999999999</v>
      </c>
    </row>
    <row r="39" spans="1:38">
      <c r="A39" s="533"/>
      <c r="B39" s="516"/>
      <c r="C39" s="197" t="s">
        <v>143</v>
      </c>
      <c r="D39" s="198"/>
      <c r="E39" s="193"/>
      <c r="F39" s="519"/>
      <c r="G39" s="148"/>
      <c r="H39" s="148"/>
      <c r="I39" s="193"/>
      <c r="J39" s="519"/>
      <c r="K39" s="148"/>
      <c r="L39" s="148"/>
      <c r="M39" s="193"/>
      <c r="N39" s="519"/>
      <c r="O39" s="148"/>
      <c r="P39" s="148"/>
      <c r="Q39" s="193"/>
      <c r="R39" s="197"/>
      <c r="S39" s="193"/>
      <c r="T39" s="148"/>
      <c r="U39" s="199"/>
      <c r="V39" s="193"/>
      <c r="W39" s="148"/>
      <c r="X39" s="148"/>
      <c r="Y39" s="148"/>
      <c r="Z39" s="199"/>
      <c r="AA39" s="193"/>
      <c r="AB39" s="148"/>
      <c r="AC39" s="148"/>
      <c r="AD39" s="200"/>
      <c r="AE39" s="199"/>
      <c r="AF39" s="196"/>
      <c r="AG39" s="148">
        <v>32.4</v>
      </c>
      <c r="AH39" s="214">
        <v>5.9699999999999996E-3</v>
      </c>
      <c r="AI39" s="200">
        <v>-0.70599999999999996</v>
      </c>
      <c r="AJ39" s="211">
        <f t="shared" si="5"/>
        <v>46.98</v>
      </c>
      <c r="AK39" s="345">
        <f t="shared" si="6"/>
        <v>8.6564999999999993E-3</v>
      </c>
      <c r="AL39" s="350">
        <f t="shared" si="6"/>
        <v>-1.0236999999999998</v>
      </c>
    </row>
    <row r="40" spans="1:38" ht="16.5" thickBot="1">
      <c r="A40" s="533"/>
      <c r="B40" s="517"/>
      <c r="C40" s="201" t="s">
        <v>145</v>
      </c>
      <c r="D40" s="202"/>
      <c r="E40" s="193"/>
      <c r="F40" s="520"/>
      <c r="G40" s="149"/>
      <c r="H40" s="149"/>
      <c r="I40" s="193"/>
      <c r="J40" s="520"/>
      <c r="K40" s="149"/>
      <c r="L40" s="149"/>
      <c r="M40" s="193"/>
      <c r="N40" s="520"/>
      <c r="O40" s="149"/>
      <c r="P40" s="149"/>
      <c r="Q40" s="193"/>
      <c r="R40" s="201"/>
      <c r="S40" s="193"/>
      <c r="T40" s="149"/>
      <c r="U40" s="203"/>
      <c r="V40" s="193"/>
      <c r="W40" s="149"/>
      <c r="X40" s="149"/>
      <c r="Y40" s="149"/>
      <c r="Z40" s="203"/>
      <c r="AA40" s="193"/>
      <c r="AB40" s="149"/>
      <c r="AC40" s="149"/>
      <c r="AD40" s="204"/>
      <c r="AE40" s="203"/>
      <c r="AF40" s="196"/>
      <c r="AG40" s="149">
        <v>35.200000000000003</v>
      </c>
      <c r="AH40" s="215">
        <v>6.4999999999999997E-3</v>
      </c>
      <c r="AI40" s="204">
        <v>-0.76800000000000002</v>
      </c>
      <c r="AJ40" s="212">
        <f t="shared" si="5"/>
        <v>51.04</v>
      </c>
      <c r="AK40" s="346">
        <f t="shared" si="6"/>
        <v>9.4249999999999994E-3</v>
      </c>
      <c r="AL40" s="351">
        <f>AI40*1.45</f>
        <v>-1.1135999999999999</v>
      </c>
    </row>
    <row r="41" spans="1:38">
      <c r="A41" s="533"/>
      <c r="B41" s="515" t="s">
        <v>119</v>
      </c>
      <c r="C41" s="191" t="s">
        <v>144</v>
      </c>
      <c r="D41" s="192"/>
      <c r="E41" s="193"/>
      <c r="F41" s="518"/>
      <c r="G41" s="147"/>
      <c r="H41" s="147"/>
      <c r="I41" s="193"/>
      <c r="J41" s="518"/>
      <c r="K41" s="147"/>
      <c r="L41" s="147"/>
      <c r="M41" s="193"/>
      <c r="N41" s="518"/>
      <c r="O41" s="147"/>
      <c r="P41" s="147"/>
      <c r="Q41" s="193"/>
      <c r="R41" s="191"/>
      <c r="S41" s="193"/>
      <c r="T41" s="147"/>
      <c r="U41" s="147"/>
      <c r="V41" s="193"/>
      <c r="W41" s="147"/>
      <c r="X41" s="147"/>
      <c r="Y41" s="147"/>
      <c r="Z41" s="194"/>
      <c r="AA41" s="193"/>
      <c r="AB41" s="147"/>
      <c r="AC41" s="147"/>
      <c r="AD41" s="195"/>
      <c r="AE41" s="194"/>
      <c r="AF41" s="196"/>
      <c r="AG41" s="147">
        <v>38.1</v>
      </c>
      <c r="AH41" s="213">
        <v>7.0200000000000002E-3</v>
      </c>
      <c r="AI41" s="195">
        <v>-0.83099999999999996</v>
      </c>
      <c r="AJ41" s="210">
        <f t="shared" si="5"/>
        <v>55.244999999999997</v>
      </c>
      <c r="AK41" s="344">
        <f t="shared" si="6"/>
        <v>1.0179000000000001E-2</v>
      </c>
      <c r="AL41" s="349">
        <f t="shared" si="6"/>
        <v>-1.20495</v>
      </c>
    </row>
    <row r="42" spans="1:38">
      <c r="A42" s="533"/>
      <c r="B42" s="516"/>
      <c r="C42" s="197" t="s">
        <v>143</v>
      </c>
      <c r="D42" s="198"/>
      <c r="E42" s="193"/>
      <c r="F42" s="519"/>
      <c r="G42" s="148"/>
      <c r="H42" s="148"/>
      <c r="I42" s="193"/>
      <c r="J42" s="519"/>
      <c r="K42" s="148"/>
      <c r="L42" s="148"/>
      <c r="M42" s="193"/>
      <c r="N42" s="519"/>
      <c r="O42" s="148"/>
      <c r="P42" s="148"/>
      <c r="Q42" s="193"/>
      <c r="R42" s="197"/>
      <c r="S42" s="193"/>
      <c r="T42" s="148"/>
      <c r="U42" s="199"/>
      <c r="V42" s="193"/>
      <c r="W42" s="148"/>
      <c r="X42" s="148"/>
      <c r="Y42" s="148"/>
      <c r="Z42" s="199"/>
      <c r="AA42" s="193"/>
      <c r="AB42" s="148"/>
      <c r="AC42" s="148"/>
      <c r="AD42" s="200"/>
      <c r="AE42" s="199"/>
      <c r="AF42" s="196"/>
      <c r="AG42" s="148">
        <v>42.8</v>
      </c>
      <c r="AH42" s="214">
        <v>7.9000000000000008E-3</v>
      </c>
      <c r="AI42" s="200">
        <v>-0.93400000000000005</v>
      </c>
      <c r="AJ42" s="211">
        <f t="shared" si="5"/>
        <v>62.059999999999995</v>
      </c>
      <c r="AK42" s="345">
        <f t="shared" si="6"/>
        <v>1.1455E-2</v>
      </c>
      <c r="AL42" s="350">
        <f t="shared" si="6"/>
        <v>-1.3543000000000001</v>
      </c>
    </row>
    <row r="43" spans="1:38" ht="16.5" thickBot="1">
      <c r="A43" s="533"/>
      <c r="B43" s="517"/>
      <c r="C43" s="201" t="s">
        <v>145</v>
      </c>
      <c r="D43" s="202"/>
      <c r="E43" s="193"/>
      <c r="F43" s="520"/>
      <c r="G43" s="149"/>
      <c r="H43" s="149"/>
      <c r="I43" s="193"/>
      <c r="J43" s="520"/>
      <c r="K43" s="149"/>
      <c r="L43" s="149"/>
      <c r="M43" s="193"/>
      <c r="N43" s="520"/>
      <c r="O43" s="149"/>
      <c r="P43" s="149"/>
      <c r="Q43" s="193"/>
      <c r="R43" s="201"/>
      <c r="S43" s="193"/>
      <c r="T43" s="149"/>
      <c r="U43" s="203"/>
      <c r="V43" s="193"/>
      <c r="W43" s="149"/>
      <c r="X43" s="149"/>
      <c r="Y43" s="149"/>
      <c r="Z43" s="203"/>
      <c r="AA43" s="193"/>
      <c r="AB43" s="149"/>
      <c r="AC43" s="149"/>
      <c r="AD43" s="204"/>
      <c r="AE43" s="203"/>
      <c r="AF43" s="196"/>
      <c r="AG43" s="149">
        <v>47.6</v>
      </c>
      <c r="AH43" s="215">
        <v>8.7799999999999996E-3</v>
      </c>
      <c r="AI43" s="204">
        <v>-1.04</v>
      </c>
      <c r="AJ43" s="212">
        <f t="shared" si="5"/>
        <v>69.02</v>
      </c>
      <c r="AK43" s="346">
        <f t="shared" si="6"/>
        <v>1.2730999999999999E-2</v>
      </c>
      <c r="AL43" s="351">
        <f t="shared" si="6"/>
        <v>-1.508</v>
      </c>
    </row>
    <row r="44" spans="1:38">
      <c r="A44" s="533"/>
      <c r="B44" s="515" t="s">
        <v>127</v>
      </c>
      <c r="C44" s="191" t="s">
        <v>144</v>
      </c>
      <c r="D44" s="192"/>
      <c r="E44" s="193"/>
      <c r="F44" s="518"/>
      <c r="G44" s="147"/>
      <c r="H44" s="147"/>
      <c r="I44" s="193"/>
      <c r="J44" s="518"/>
      <c r="K44" s="147"/>
      <c r="L44" s="147"/>
      <c r="M44" s="193"/>
      <c r="N44" s="518"/>
      <c r="O44" s="147"/>
      <c r="P44" s="147"/>
      <c r="Q44" s="193"/>
      <c r="R44" s="191"/>
      <c r="S44" s="193"/>
      <c r="T44" s="147"/>
      <c r="U44" s="147"/>
      <c r="V44" s="193"/>
      <c r="W44" s="147"/>
      <c r="X44" s="147"/>
      <c r="Y44" s="147"/>
      <c r="Z44" s="194"/>
      <c r="AA44" s="193"/>
      <c r="AB44" s="147"/>
      <c r="AC44" s="147"/>
      <c r="AD44" s="195"/>
      <c r="AE44" s="194"/>
      <c r="AF44" s="196"/>
      <c r="AG44" s="147">
        <v>23.8</v>
      </c>
      <c r="AH44" s="213">
        <v>4.3899999999999998E-3</v>
      </c>
      <c r="AI44" s="195">
        <v>-0.51900000000000002</v>
      </c>
      <c r="AJ44" s="210">
        <f t="shared" si="5"/>
        <v>34.51</v>
      </c>
      <c r="AK44" s="344">
        <f t="shared" si="6"/>
        <v>6.3654999999999996E-3</v>
      </c>
      <c r="AL44" s="349">
        <f t="shared" si="6"/>
        <v>-0.75255000000000005</v>
      </c>
    </row>
    <row r="45" spans="1:38">
      <c r="A45" s="533"/>
      <c r="B45" s="516"/>
      <c r="C45" s="197" t="s">
        <v>143</v>
      </c>
      <c r="D45" s="198"/>
      <c r="E45" s="193"/>
      <c r="F45" s="519"/>
      <c r="G45" s="148"/>
      <c r="H45" s="148"/>
      <c r="I45" s="193"/>
      <c r="J45" s="519"/>
      <c r="K45" s="148"/>
      <c r="L45" s="148"/>
      <c r="M45" s="193"/>
      <c r="N45" s="519"/>
      <c r="O45" s="148"/>
      <c r="P45" s="148"/>
      <c r="Q45" s="193"/>
      <c r="R45" s="197"/>
      <c r="S45" s="193"/>
      <c r="T45" s="148"/>
      <c r="U45" s="199"/>
      <c r="V45" s="193"/>
      <c r="W45" s="148"/>
      <c r="X45" s="148"/>
      <c r="Y45" s="148"/>
      <c r="Z45" s="199"/>
      <c r="AA45" s="193"/>
      <c r="AB45" s="148"/>
      <c r="AC45" s="148"/>
      <c r="AD45" s="200"/>
      <c r="AE45" s="199"/>
      <c r="AF45" s="196"/>
      <c r="AG45" s="148">
        <v>27.6</v>
      </c>
      <c r="AH45" s="214">
        <v>5.0899999999999999E-3</v>
      </c>
      <c r="AI45" s="200">
        <v>-0.60199999999999998</v>
      </c>
      <c r="AJ45" s="211">
        <f t="shared" si="5"/>
        <v>40.020000000000003</v>
      </c>
      <c r="AK45" s="345">
        <f t="shared" si="6"/>
        <v>7.3804999999999999E-3</v>
      </c>
      <c r="AL45" s="350">
        <f t="shared" si="6"/>
        <v>-0.8728999999999999</v>
      </c>
    </row>
    <row r="46" spans="1:38" ht="16.5" thickBot="1">
      <c r="A46" s="533"/>
      <c r="B46" s="517"/>
      <c r="C46" s="201" t="s">
        <v>145</v>
      </c>
      <c r="D46" s="202"/>
      <c r="E46" s="193"/>
      <c r="F46" s="520"/>
      <c r="G46" s="149"/>
      <c r="H46" s="149"/>
      <c r="I46" s="193"/>
      <c r="J46" s="520"/>
      <c r="K46" s="149"/>
      <c r="L46" s="149"/>
      <c r="M46" s="193"/>
      <c r="N46" s="520"/>
      <c r="O46" s="149"/>
      <c r="P46" s="149"/>
      <c r="Q46" s="193"/>
      <c r="R46" s="201"/>
      <c r="S46" s="193"/>
      <c r="T46" s="149"/>
      <c r="U46" s="203"/>
      <c r="V46" s="193"/>
      <c r="W46" s="149"/>
      <c r="X46" s="149"/>
      <c r="Y46" s="149"/>
      <c r="Z46" s="203"/>
      <c r="AA46" s="193"/>
      <c r="AB46" s="149"/>
      <c r="AC46" s="149"/>
      <c r="AD46" s="204"/>
      <c r="AE46" s="203"/>
      <c r="AF46" s="196"/>
      <c r="AG46" s="149">
        <v>32.4</v>
      </c>
      <c r="AH46" s="215">
        <v>5.9699999999999996E-3</v>
      </c>
      <c r="AI46" s="204">
        <v>0.70599999999999996</v>
      </c>
      <c r="AJ46" s="212">
        <f t="shared" si="5"/>
        <v>46.98</v>
      </c>
      <c r="AK46" s="346">
        <f t="shared" si="6"/>
        <v>8.6564999999999993E-3</v>
      </c>
      <c r="AL46" s="351">
        <f t="shared" si="6"/>
        <v>1.0236999999999998</v>
      </c>
    </row>
    <row r="47" spans="1:38">
      <c r="A47" s="533"/>
      <c r="B47" s="515" t="s">
        <v>129</v>
      </c>
      <c r="C47" s="191" t="s">
        <v>144</v>
      </c>
      <c r="D47" s="192"/>
      <c r="E47" s="193"/>
      <c r="F47" s="518"/>
      <c r="G47" s="147"/>
      <c r="H47" s="147"/>
      <c r="I47" s="193"/>
      <c r="J47" s="518"/>
      <c r="K47" s="147"/>
      <c r="L47" s="147"/>
      <c r="M47" s="193"/>
      <c r="N47" s="518"/>
      <c r="O47" s="147"/>
      <c r="P47" s="147"/>
      <c r="Q47" s="193"/>
      <c r="R47" s="191"/>
      <c r="S47" s="193"/>
      <c r="T47" s="147"/>
      <c r="U47" s="147"/>
      <c r="V47" s="193"/>
      <c r="W47" s="147"/>
      <c r="X47" s="147"/>
      <c r="Y47" s="147"/>
      <c r="Z47" s="194"/>
      <c r="AA47" s="193"/>
      <c r="AB47" s="147"/>
      <c r="AC47" s="147"/>
      <c r="AD47" s="195"/>
      <c r="AE47" s="194"/>
      <c r="AF47" s="196"/>
      <c r="AG47" s="147">
        <v>33.299999999999997</v>
      </c>
      <c r="AH47" s="213">
        <v>6.1500000000000001E-3</v>
      </c>
      <c r="AI47" s="195">
        <v>-0.72699999999999998</v>
      </c>
      <c r="AJ47" s="210">
        <f t="shared" si="5"/>
        <v>48.284999999999997</v>
      </c>
      <c r="AK47" s="344">
        <f t="shared" si="6"/>
        <v>8.9175000000000001E-3</v>
      </c>
      <c r="AL47" s="349">
        <f t="shared" si="6"/>
        <v>-1.0541499999999999</v>
      </c>
    </row>
    <row r="48" spans="1:38">
      <c r="A48" s="533"/>
      <c r="B48" s="516"/>
      <c r="C48" s="197" t="s">
        <v>143</v>
      </c>
      <c r="D48" s="198"/>
      <c r="E48" s="193"/>
      <c r="F48" s="519"/>
      <c r="G48" s="148"/>
      <c r="H48" s="148"/>
      <c r="I48" s="193"/>
      <c r="J48" s="519"/>
      <c r="K48" s="148"/>
      <c r="L48" s="148"/>
      <c r="M48" s="193"/>
      <c r="N48" s="519"/>
      <c r="O48" s="148"/>
      <c r="P48" s="148"/>
      <c r="Q48" s="193"/>
      <c r="R48" s="197"/>
      <c r="S48" s="193"/>
      <c r="T48" s="148"/>
      <c r="U48" s="199"/>
      <c r="V48" s="193"/>
      <c r="W48" s="148"/>
      <c r="X48" s="148"/>
      <c r="Y48" s="148"/>
      <c r="Z48" s="199"/>
      <c r="AA48" s="193"/>
      <c r="AB48" s="148"/>
      <c r="AC48" s="148"/>
      <c r="AD48" s="200"/>
      <c r="AE48" s="199"/>
      <c r="AF48" s="196"/>
      <c r="AG48" s="148">
        <v>39</v>
      </c>
      <c r="AH48" s="214">
        <v>7.1999999999999998E-3</v>
      </c>
      <c r="AI48" s="200">
        <v>-0.85099999999999998</v>
      </c>
      <c r="AJ48" s="211">
        <f t="shared" si="5"/>
        <v>56.55</v>
      </c>
      <c r="AK48" s="345">
        <f t="shared" si="6"/>
        <v>1.044E-2</v>
      </c>
      <c r="AL48" s="350">
        <f t="shared" si="6"/>
        <v>-1.2339499999999999</v>
      </c>
    </row>
    <row r="49" spans="1:38" ht="16.5" thickBot="1">
      <c r="A49" s="534"/>
      <c r="B49" s="517"/>
      <c r="C49" s="201" t="s">
        <v>145</v>
      </c>
      <c r="D49" s="202"/>
      <c r="E49" s="208"/>
      <c r="F49" s="520"/>
      <c r="G49" s="149"/>
      <c r="H49" s="149"/>
      <c r="I49" s="208"/>
      <c r="J49" s="520"/>
      <c r="K49" s="149"/>
      <c r="L49" s="149"/>
      <c r="M49" s="208"/>
      <c r="N49" s="520"/>
      <c r="O49" s="149"/>
      <c r="P49" s="149"/>
      <c r="Q49" s="208"/>
      <c r="R49" s="201"/>
      <c r="S49" s="208"/>
      <c r="T49" s="149"/>
      <c r="U49" s="203"/>
      <c r="V49" s="208"/>
      <c r="W49" s="149"/>
      <c r="X49" s="149"/>
      <c r="Y49" s="149"/>
      <c r="Z49" s="203"/>
      <c r="AA49" s="208"/>
      <c r="AB49" s="149"/>
      <c r="AC49" s="149"/>
      <c r="AD49" s="204"/>
      <c r="AE49" s="203"/>
      <c r="AF49" s="209"/>
      <c r="AG49" s="149">
        <v>44.8</v>
      </c>
      <c r="AH49" s="215">
        <v>8.2500000000000004E-3</v>
      </c>
      <c r="AI49" s="204">
        <v>-0.97599999999999998</v>
      </c>
      <c r="AJ49" s="212">
        <f t="shared" si="5"/>
        <v>64.959999999999994</v>
      </c>
      <c r="AK49" s="346">
        <f t="shared" si="6"/>
        <v>1.1962500000000001E-2</v>
      </c>
      <c r="AL49" s="351">
        <f t="shared" si="6"/>
        <v>-1.4152</v>
      </c>
    </row>
    <row r="50" spans="1:38">
      <c r="A50" s="532" t="s">
        <v>68</v>
      </c>
      <c r="B50" s="515" t="s">
        <v>117</v>
      </c>
      <c r="C50" s="191" t="s">
        <v>144</v>
      </c>
      <c r="D50" s="192"/>
      <c r="E50" s="206"/>
      <c r="F50" s="518"/>
      <c r="G50" s="147"/>
      <c r="H50" s="147"/>
      <c r="I50" s="206"/>
      <c r="J50" s="518"/>
      <c r="K50" s="147"/>
      <c r="L50" s="147"/>
      <c r="M50" s="206"/>
      <c r="N50" s="518"/>
      <c r="O50" s="147"/>
      <c r="P50" s="147"/>
      <c r="Q50" s="206"/>
      <c r="R50" s="191"/>
      <c r="S50" s="206"/>
      <c r="T50" s="147"/>
      <c r="U50" s="147"/>
      <c r="V50" s="206"/>
      <c r="W50" s="147"/>
      <c r="X50" s="147"/>
      <c r="Y50" s="147"/>
      <c r="Z50" s="194"/>
      <c r="AA50" s="206"/>
      <c r="AB50" s="147"/>
      <c r="AC50" s="147"/>
      <c r="AD50" s="195"/>
      <c r="AE50" s="194"/>
      <c r="AF50" s="207"/>
      <c r="AG50" s="147">
        <v>27.4</v>
      </c>
      <c r="AH50" s="213">
        <v>4.7200000000000002E-3</v>
      </c>
      <c r="AI50" s="195">
        <v>-0.57799999999999996</v>
      </c>
      <c r="AJ50" s="210">
        <f t="shared" si="5"/>
        <v>39.729999999999997</v>
      </c>
      <c r="AK50" s="344">
        <f t="shared" si="6"/>
        <v>6.8440000000000003E-3</v>
      </c>
      <c r="AL50" s="349">
        <f t="shared" si="6"/>
        <v>-0.83809999999999996</v>
      </c>
    </row>
    <row r="51" spans="1:38">
      <c r="A51" s="533"/>
      <c r="B51" s="516"/>
      <c r="C51" s="197" t="s">
        <v>143</v>
      </c>
      <c r="D51" s="198"/>
      <c r="E51" s="193"/>
      <c r="F51" s="519"/>
      <c r="G51" s="148"/>
      <c r="H51" s="148"/>
      <c r="I51" s="193"/>
      <c r="J51" s="519"/>
      <c r="K51" s="148"/>
      <c r="L51" s="148"/>
      <c r="M51" s="193"/>
      <c r="N51" s="519"/>
      <c r="O51" s="148"/>
      <c r="P51" s="148"/>
      <c r="Q51" s="193"/>
      <c r="R51" s="197"/>
      <c r="S51" s="193"/>
      <c r="T51" s="148"/>
      <c r="U51" s="199"/>
      <c r="V51" s="193"/>
      <c r="W51" s="148"/>
      <c r="X51" s="148"/>
      <c r="Y51" s="148"/>
      <c r="Z51" s="199"/>
      <c r="AA51" s="193"/>
      <c r="AB51" s="148"/>
      <c r="AC51" s="148"/>
      <c r="AD51" s="200"/>
      <c r="AE51" s="199"/>
      <c r="AF51" s="196"/>
      <c r="AG51" s="148">
        <v>31</v>
      </c>
      <c r="AH51" s="214">
        <v>5.3499999999999997E-3</v>
      </c>
      <c r="AI51" s="200">
        <v>-0.65500000000000003</v>
      </c>
      <c r="AJ51" s="211">
        <f t="shared" si="5"/>
        <v>44.949999999999996</v>
      </c>
      <c r="AK51" s="345">
        <f t="shared" si="6"/>
        <v>7.7574999999999996E-3</v>
      </c>
      <c r="AL51" s="350">
        <f t="shared" si="6"/>
        <v>-0.94974999999999998</v>
      </c>
    </row>
    <row r="52" spans="1:38" ht="16.5" thickBot="1">
      <c r="A52" s="533"/>
      <c r="B52" s="517"/>
      <c r="C52" s="201" t="s">
        <v>145</v>
      </c>
      <c r="D52" s="202"/>
      <c r="E52" s="193"/>
      <c r="F52" s="520"/>
      <c r="G52" s="149"/>
      <c r="H52" s="149"/>
      <c r="I52" s="193"/>
      <c r="J52" s="520"/>
      <c r="K52" s="149"/>
      <c r="L52" s="149"/>
      <c r="M52" s="193"/>
      <c r="N52" s="520"/>
      <c r="O52" s="149"/>
      <c r="P52" s="149"/>
      <c r="Q52" s="193"/>
      <c r="R52" s="201"/>
      <c r="S52" s="193"/>
      <c r="T52" s="149"/>
      <c r="U52" s="203"/>
      <c r="V52" s="193"/>
      <c r="W52" s="149"/>
      <c r="X52" s="149"/>
      <c r="Y52" s="149"/>
      <c r="Z52" s="203"/>
      <c r="AA52" s="193"/>
      <c r="AB52" s="149"/>
      <c r="AC52" s="149"/>
      <c r="AD52" s="204"/>
      <c r="AE52" s="203"/>
      <c r="AF52" s="196"/>
      <c r="AG52" s="149">
        <v>33.799999999999997</v>
      </c>
      <c r="AH52" s="215">
        <v>5.8199999999999997E-3</v>
      </c>
      <c r="AI52" s="204">
        <v>-0.71299999999999997</v>
      </c>
      <c r="AJ52" s="212">
        <f t="shared" si="5"/>
        <v>49.009999999999991</v>
      </c>
      <c r="AK52" s="346">
        <f t="shared" si="6"/>
        <v>8.4389999999999986E-3</v>
      </c>
      <c r="AL52" s="351">
        <f t="shared" si="6"/>
        <v>-1.0338499999999999</v>
      </c>
    </row>
    <row r="53" spans="1:38">
      <c r="A53" s="533"/>
      <c r="B53" s="515" t="s">
        <v>119</v>
      </c>
      <c r="C53" s="191" t="s">
        <v>144</v>
      </c>
      <c r="D53" s="192"/>
      <c r="E53" s="193"/>
      <c r="F53" s="518"/>
      <c r="G53" s="147"/>
      <c r="H53" s="147"/>
      <c r="I53" s="193"/>
      <c r="J53" s="518"/>
      <c r="K53" s="147"/>
      <c r="L53" s="147"/>
      <c r="M53" s="193"/>
      <c r="N53" s="518"/>
      <c r="O53" s="147"/>
      <c r="P53" s="147"/>
      <c r="Q53" s="193"/>
      <c r="R53" s="191"/>
      <c r="S53" s="193"/>
      <c r="T53" s="147"/>
      <c r="U53" s="147"/>
      <c r="V53" s="193"/>
      <c r="W53" s="147"/>
      <c r="X53" s="147"/>
      <c r="Y53" s="147"/>
      <c r="Z53" s="194"/>
      <c r="AA53" s="193"/>
      <c r="AB53" s="147"/>
      <c r="AC53" s="147"/>
      <c r="AD53" s="195"/>
      <c r="AE53" s="194"/>
      <c r="AF53" s="196"/>
      <c r="AG53" s="147">
        <v>36.5</v>
      </c>
      <c r="AH53" s="213">
        <v>6.2899999999999996E-3</v>
      </c>
      <c r="AI53" s="195">
        <v>-0.77</v>
      </c>
      <c r="AJ53" s="210">
        <f t="shared" si="5"/>
        <v>52.924999999999997</v>
      </c>
      <c r="AK53" s="344">
        <f t="shared" si="6"/>
        <v>9.1204999999999984E-3</v>
      </c>
      <c r="AL53" s="349">
        <f t="shared" si="6"/>
        <v>-1.1165</v>
      </c>
    </row>
    <row r="54" spans="1:38">
      <c r="A54" s="533"/>
      <c r="B54" s="516"/>
      <c r="C54" s="197" t="s">
        <v>143</v>
      </c>
      <c r="D54" s="198"/>
      <c r="E54" s="193"/>
      <c r="F54" s="519"/>
      <c r="G54" s="148"/>
      <c r="H54" s="148"/>
      <c r="I54" s="193"/>
      <c r="J54" s="519"/>
      <c r="K54" s="148"/>
      <c r="L54" s="148"/>
      <c r="M54" s="193"/>
      <c r="N54" s="519"/>
      <c r="O54" s="148"/>
      <c r="P54" s="148"/>
      <c r="Q54" s="193"/>
      <c r="R54" s="197"/>
      <c r="S54" s="193"/>
      <c r="T54" s="148"/>
      <c r="U54" s="199"/>
      <c r="V54" s="193"/>
      <c r="W54" s="148"/>
      <c r="X54" s="148"/>
      <c r="Y54" s="148"/>
      <c r="Z54" s="199"/>
      <c r="AA54" s="193"/>
      <c r="AB54" s="148"/>
      <c r="AC54" s="148"/>
      <c r="AD54" s="200"/>
      <c r="AE54" s="199"/>
      <c r="AF54" s="196"/>
      <c r="AG54" s="148">
        <v>41.1</v>
      </c>
      <c r="AH54" s="214">
        <v>7.0800000000000004E-3</v>
      </c>
      <c r="AI54" s="200">
        <v>-0.86699999999999999</v>
      </c>
      <c r="AJ54" s="211">
        <f t="shared" si="5"/>
        <v>59.594999999999999</v>
      </c>
      <c r="AK54" s="345">
        <f t="shared" si="6"/>
        <v>1.0266000000000001E-2</v>
      </c>
      <c r="AL54" s="350">
        <f t="shared" si="6"/>
        <v>-1.25715</v>
      </c>
    </row>
    <row r="55" spans="1:38" ht="16.5" thickBot="1">
      <c r="A55" s="533"/>
      <c r="B55" s="517"/>
      <c r="C55" s="201" t="s">
        <v>145</v>
      </c>
      <c r="D55" s="202"/>
      <c r="E55" s="193"/>
      <c r="F55" s="520"/>
      <c r="G55" s="149"/>
      <c r="H55" s="149"/>
      <c r="I55" s="193"/>
      <c r="J55" s="520"/>
      <c r="K55" s="149"/>
      <c r="L55" s="149"/>
      <c r="M55" s="193"/>
      <c r="N55" s="520"/>
      <c r="O55" s="149"/>
      <c r="P55" s="149"/>
      <c r="Q55" s="193"/>
      <c r="R55" s="201"/>
      <c r="S55" s="193"/>
      <c r="T55" s="149"/>
      <c r="U55" s="203"/>
      <c r="V55" s="193"/>
      <c r="W55" s="149"/>
      <c r="X55" s="149"/>
      <c r="Y55" s="149"/>
      <c r="Z55" s="203"/>
      <c r="AA55" s="193"/>
      <c r="AB55" s="149"/>
      <c r="AC55" s="149"/>
      <c r="AD55" s="204"/>
      <c r="AE55" s="203"/>
      <c r="AF55" s="196"/>
      <c r="AG55" s="149">
        <v>45.6</v>
      </c>
      <c r="AH55" s="215">
        <v>7.8600000000000007E-3</v>
      </c>
      <c r="AI55" s="204">
        <v>-0.96299999999999997</v>
      </c>
      <c r="AJ55" s="212">
        <f t="shared" si="5"/>
        <v>66.12</v>
      </c>
      <c r="AK55" s="346">
        <f t="shared" si="6"/>
        <v>1.1397000000000001E-2</v>
      </c>
      <c r="AL55" s="351">
        <f t="shared" si="6"/>
        <v>-1.39635</v>
      </c>
    </row>
    <row r="56" spans="1:38">
      <c r="A56" s="533"/>
      <c r="B56" s="515" t="s">
        <v>127</v>
      </c>
      <c r="C56" s="191" t="s">
        <v>144</v>
      </c>
      <c r="D56" s="192"/>
      <c r="E56" s="193"/>
      <c r="F56" s="518"/>
      <c r="G56" s="147"/>
      <c r="H56" s="147"/>
      <c r="I56" s="193"/>
      <c r="J56" s="518"/>
      <c r="K56" s="147"/>
      <c r="L56" s="147"/>
      <c r="M56" s="193"/>
      <c r="N56" s="518"/>
      <c r="O56" s="147"/>
      <c r="P56" s="147"/>
      <c r="Q56" s="193"/>
      <c r="R56" s="191"/>
      <c r="S56" s="193"/>
      <c r="T56" s="147"/>
      <c r="U56" s="147"/>
      <c r="V56" s="193"/>
      <c r="W56" s="147"/>
      <c r="X56" s="147"/>
      <c r="Y56" s="147"/>
      <c r="Z56" s="194"/>
      <c r="AA56" s="193"/>
      <c r="AB56" s="147"/>
      <c r="AC56" s="147"/>
      <c r="AD56" s="195"/>
      <c r="AE56" s="194"/>
      <c r="AF56" s="196"/>
      <c r="AG56" s="147">
        <v>22.8</v>
      </c>
      <c r="AH56" s="213">
        <v>3.9300000000000003E-3</v>
      </c>
      <c r="AI56" s="195">
        <v>-0.48199999999999998</v>
      </c>
      <c r="AJ56" s="210">
        <f t="shared" si="5"/>
        <v>33.06</v>
      </c>
      <c r="AK56" s="344">
        <f t="shared" si="6"/>
        <v>5.6985000000000004E-3</v>
      </c>
      <c r="AL56" s="349">
        <f t="shared" si="6"/>
        <v>-0.69889999999999997</v>
      </c>
    </row>
    <row r="57" spans="1:38">
      <c r="A57" s="533"/>
      <c r="B57" s="516"/>
      <c r="C57" s="197" t="s">
        <v>143</v>
      </c>
      <c r="D57" s="198"/>
      <c r="E57" s="193"/>
      <c r="F57" s="519"/>
      <c r="G57" s="148"/>
      <c r="H57" s="148"/>
      <c r="I57" s="193"/>
      <c r="J57" s="519"/>
      <c r="K57" s="148"/>
      <c r="L57" s="148"/>
      <c r="M57" s="193"/>
      <c r="N57" s="519"/>
      <c r="O57" s="148"/>
      <c r="P57" s="148"/>
      <c r="Q57" s="193"/>
      <c r="R57" s="197"/>
      <c r="S57" s="193"/>
      <c r="T57" s="148"/>
      <c r="U57" s="199"/>
      <c r="V57" s="193"/>
      <c r="W57" s="148"/>
      <c r="X57" s="148"/>
      <c r="Y57" s="148"/>
      <c r="Z57" s="199"/>
      <c r="AA57" s="193"/>
      <c r="AB57" s="148"/>
      <c r="AC57" s="148"/>
      <c r="AD57" s="200"/>
      <c r="AE57" s="199"/>
      <c r="AF57" s="196"/>
      <c r="AG57" s="148">
        <v>26.5</v>
      </c>
      <c r="AH57" s="214">
        <v>4.5599999999999998E-3</v>
      </c>
      <c r="AI57" s="200">
        <v>-0.55900000000000005</v>
      </c>
      <c r="AJ57" s="211">
        <f t="shared" si="5"/>
        <v>38.424999999999997</v>
      </c>
      <c r="AK57" s="345">
        <f t="shared" si="6"/>
        <v>6.6119999999999998E-3</v>
      </c>
      <c r="AL57" s="350">
        <f t="shared" si="6"/>
        <v>-0.8105500000000001</v>
      </c>
    </row>
    <row r="58" spans="1:38" ht="16.5" thickBot="1">
      <c r="A58" s="533"/>
      <c r="B58" s="517"/>
      <c r="C58" s="201" t="s">
        <v>145</v>
      </c>
      <c r="D58" s="202"/>
      <c r="E58" s="193"/>
      <c r="F58" s="520"/>
      <c r="G58" s="149"/>
      <c r="H58" s="149"/>
      <c r="I58" s="193"/>
      <c r="J58" s="520"/>
      <c r="K58" s="149"/>
      <c r="L58" s="149"/>
      <c r="M58" s="193"/>
      <c r="N58" s="520"/>
      <c r="O58" s="149"/>
      <c r="P58" s="149"/>
      <c r="Q58" s="193"/>
      <c r="R58" s="201"/>
      <c r="S58" s="193"/>
      <c r="T58" s="149"/>
      <c r="U58" s="203"/>
      <c r="V58" s="193"/>
      <c r="W58" s="149"/>
      <c r="X58" s="149"/>
      <c r="Y58" s="149"/>
      <c r="Z58" s="203"/>
      <c r="AA58" s="193"/>
      <c r="AB58" s="149"/>
      <c r="AC58" s="149"/>
      <c r="AD58" s="204"/>
      <c r="AE58" s="203"/>
      <c r="AF58" s="196"/>
      <c r="AG58" s="149">
        <v>31</v>
      </c>
      <c r="AH58" s="215">
        <v>5.3499999999999997E-3</v>
      </c>
      <c r="AI58" s="204">
        <v>-0.65500000000000003</v>
      </c>
      <c r="AJ58" s="212">
        <f t="shared" si="5"/>
        <v>44.949999999999996</v>
      </c>
      <c r="AK58" s="346">
        <f t="shared" si="6"/>
        <v>7.7574999999999996E-3</v>
      </c>
      <c r="AL58" s="351">
        <f t="shared" si="6"/>
        <v>-0.94974999999999998</v>
      </c>
    </row>
    <row r="59" spans="1:38">
      <c r="A59" s="533"/>
      <c r="B59" s="515" t="s">
        <v>129</v>
      </c>
      <c r="C59" s="191" t="s">
        <v>144</v>
      </c>
      <c r="D59" s="192"/>
      <c r="E59" s="193"/>
      <c r="F59" s="518"/>
      <c r="G59" s="147"/>
      <c r="H59" s="147"/>
      <c r="I59" s="193"/>
      <c r="J59" s="518"/>
      <c r="K59" s="147"/>
      <c r="L59" s="147"/>
      <c r="M59" s="193"/>
      <c r="N59" s="518"/>
      <c r="O59" s="147"/>
      <c r="P59" s="147"/>
      <c r="Q59" s="193"/>
      <c r="R59" s="191"/>
      <c r="S59" s="193"/>
      <c r="T59" s="147"/>
      <c r="U59" s="147"/>
      <c r="V59" s="193"/>
      <c r="W59" s="147"/>
      <c r="X59" s="147"/>
      <c r="Y59" s="147"/>
      <c r="Z59" s="194"/>
      <c r="AA59" s="193"/>
      <c r="AB59" s="147"/>
      <c r="AC59" s="147"/>
      <c r="AD59" s="195"/>
      <c r="AE59" s="194"/>
      <c r="AF59" s="196"/>
      <c r="AG59" s="147">
        <v>32</v>
      </c>
      <c r="AH59" s="213">
        <v>5.4999999999999997E-3</v>
      </c>
      <c r="AI59" s="195">
        <v>-0.67400000000000004</v>
      </c>
      <c r="AJ59" s="210">
        <f t="shared" si="5"/>
        <v>46.4</v>
      </c>
      <c r="AK59" s="344">
        <f t="shared" si="6"/>
        <v>7.9749999999999995E-3</v>
      </c>
      <c r="AL59" s="349">
        <f t="shared" si="6"/>
        <v>-0.97730000000000006</v>
      </c>
    </row>
    <row r="60" spans="1:38">
      <c r="A60" s="533"/>
      <c r="B60" s="516"/>
      <c r="C60" s="197" t="s">
        <v>143</v>
      </c>
      <c r="D60" s="198"/>
      <c r="E60" s="193"/>
      <c r="F60" s="519"/>
      <c r="G60" s="148"/>
      <c r="H60" s="148"/>
      <c r="I60" s="193"/>
      <c r="J60" s="519"/>
      <c r="K60" s="148"/>
      <c r="L60" s="148"/>
      <c r="M60" s="193"/>
      <c r="N60" s="519"/>
      <c r="O60" s="148"/>
      <c r="P60" s="148"/>
      <c r="Q60" s="193"/>
      <c r="R60" s="197"/>
      <c r="S60" s="193"/>
      <c r="T60" s="148"/>
      <c r="U60" s="199"/>
      <c r="V60" s="193"/>
      <c r="W60" s="148"/>
      <c r="X60" s="148"/>
      <c r="Y60" s="148"/>
      <c r="Z60" s="199"/>
      <c r="AA60" s="193"/>
      <c r="AB60" s="148"/>
      <c r="AC60" s="148"/>
      <c r="AD60" s="200"/>
      <c r="AE60" s="199"/>
      <c r="AF60" s="196"/>
      <c r="AG60" s="148">
        <v>37.4</v>
      </c>
      <c r="AH60" s="214">
        <v>6.45E-3</v>
      </c>
      <c r="AI60" s="200">
        <v>-0.79</v>
      </c>
      <c r="AJ60" s="211">
        <f t="shared" si="5"/>
        <v>54.23</v>
      </c>
      <c r="AK60" s="345">
        <f t="shared" si="6"/>
        <v>9.3524999999999997E-3</v>
      </c>
      <c r="AL60" s="350">
        <f t="shared" si="6"/>
        <v>-1.1455</v>
      </c>
    </row>
    <row r="61" spans="1:38" ht="16.5" thickBot="1">
      <c r="A61" s="534"/>
      <c r="B61" s="517"/>
      <c r="C61" s="201" t="s">
        <v>145</v>
      </c>
      <c r="D61" s="202"/>
      <c r="E61" s="208"/>
      <c r="F61" s="520"/>
      <c r="G61" s="149"/>
      <c r="H61" s="149"/>
      <c r="I61" s="208"/>
      <c r="J61" s="520"/>
      <c r="K61" s="149"/>
      <c r="L61" s="149"/>
      <c r="M61" s="208"/>
      <c r="N61" s="520"/>
      <c r="O61" s="149"/>
      <c r="P61" s="149"/>
      <c r="Q61" s="208"/>
      <c r="R61" s="201"/>
      <c r="S61" s="208"/>
      <c r="T61" s="149"/>
      <c r="U61" s="203"/>
      <c r="V61" s="208"/>
      <c r="W61" s="149"/>
      <c r="X61" s="149"/>
      <c r="Y61" s="149"/>
      <c r="Z61" s="203"/>
      <c r="AA61" s="208"/>
      <c r="AB61" s="149"/>
      <c r="AC61" s="149"/>
      <c r="AD61" s="204"/>
      <c r="AE61" s="203"/>
      <c r="AF61" s="209"/>
      <c r="AG61" s="149">
        <v>42.9</v>
      </c>
      <c r="AH61" s="215">
        <v>7.3899999999999999E-3</v>
      </c>
      <c r="AI61" s="204">
        <v>-0.90500000000000003</v>
      </c>
      <c r="AJ61" s="212">
        <f t="shared" si="5"/>
        <v>62.204999999999998</v>
      </c>
      <c r="AK61" s="346">
        <f t="shared" si="6"/>
        <v>1.0715499999999999E-2</v>
      </c>
      <c r="AL61" s="351">
        <f t="shared" si="6"/>
        <v>-1.3122499999999999</v>
      </c>
    </row>
  </sheetData>
  <mergeCells count="105">
    <mergeCell ref="AG2:AI3"/>
    <mergeCell ref="AJ2:AL3"/>
    <mergeCell ref="F56:F58"/>
    <mergeCell ref="J56:J58"/>
    <mergeCell ref="N56:N58"/>
    <mergeCell ref="F59:F61"/>
    <mergeCell ref="J59:J61"/>
    <mergeCell ref="N59:N61"/>
    <mergeCell ref="F50:F52"/>
    <mergeCell ref="J50:J52"/>
    <mergeCell ref="N50:N52"/>
    <mergeCell ref="F53:F55"/>
    <mergeCell ref="J53:J55"/>
    <mergeCell ref="N53:N55"/>
    <mergeCell ref="F44:F46"/>
    <mergeCell ref="J44:J46"/>
    <mergeCell ref="N44:N46"/>
    <mergeCell ref="F47:F49"/>
    <mergeCell ref="J47:J49"/>
    <mergeCell ref="N47:N49"/>
    <mergeCell ref="F38:F40"/>
    <mergeCell ref="J38:J40"/>
    <mergeCell ref="N38:N40"/>
    <mergeCell ref="F41:F43"/>
    <mergeCell ref="J41:J43"/>
    <mergeCell ref="N41:N43"/>
    <mergeCell ref="F32:F34"/>
    <mergeCell ref="J32:J34"/>
    <mergeCell ref="N32:N34"/>
    <mergeCell ref="F35:F37"/>
    <mergeCell ref="J35:J37"/>
    <mergeCell ref="N35:N37"/>
    <mergeCell ref="F26:F28"/>
    <mergeCell ref="J26:J28"/>
    <mergeCell ref="N26:N28"/>
    <mergeCell ref="F29:F31"/>
    <mergeCell ref="J29:J31"/>
    <mergeCell ref="N29:N31"/>
    <mergeCell ref="B50:B52"/>
    <mergeCell ref="B53:B55"/>
    <mergeCell ref="B56:B58"/>
    <mergeCell ref="B59:B61"/>
    <mergeCell ref="A50:A61"/>
    <mergeCell ref="A26:A37"/>
    <mergeCell ref="B41:B43"/>
    <mergeCell ref="B44:B46"/>
    <mergeCell ref="B47:B49"/>
    <mergeCell ref="A38:A49"/>
    <mergeCell ref="A5:A25"/>
    <mergeCell ref="B1:AK1"/>
    <mergeCell ref="A2:A4"/>
    <mergeCell ref="C2:C3"/>
    <mergeCell ref="B26:B28"/>
    <mergeCell ref="B29:B31"/>
    <mergeCell ref="B38:B40"/>
    <mergeCell ref="B32:B34"/>
    <mergeCell ref="B35:B37"/>
    <mergeCell ref="AC3:AD3"/>
    <mergeCell ref="AB2:AD2"/>
    <mergeCell ref="AE2:AE4"/>
    <mergeCell ref="N23:N25"/>
    <mergeCell ref="D2:D4"/>
    <mergeCell ref="N5:N7"/>
    <mergeCell ref="N8:N10"/>
    <mergeCell ref="N11:N13"/>
    <mergeCell ref="N14:N16"/>
    <mergeCell ref="N17:N19"/>
    <mergeCell ref="R2:R3"/>
    <mergeCell ref="J2:L2"/>
    <mergeCell ref="F2:H2"/>
    <mergeCell ref="X3:Y3"/>
    <mergeCell ref="W2:Y2"/>
    <mergeCell ref="N2:P2"/>
    <mergeCell ref="O3:O4"/>
    <mergeCell ref="P3:P4"/>
    <mergeCell ref="N20:N22"/>
    <mergeCell ref="U2:U4"/>
    <mergeCell ref="Z2:Z4"/>
    <mergeCell ref="T2:T3"/>
    <mergeCell ref="B8:B10"/>
    <mergeCell ref="F8:F10"/>
    <mergeCell ref="J8:J10"/>
    <mergeCell ref="B5:B7"/>
    <mergeCell ref="F5:F7"/>
    <mergeCell ref="J5:J7"/>
    <mergeCell ref="H3:H4"/>
    <mergeCell ref="L3:L4"/>
    <mergeCell ref="G3:G4"/>
    <mergeCell ref="K3:K4"/>
    <mergeCell ref="B2:B4"/>
    <mergeCell ref="B11:B13"/>
    <mergeCell ref="F11:F13"/>
    <mergeCell ref="J11:J13"/>
    <mergeCell ref="B14:B16"/>
    <mergeCell ref="F14:F16"/>
    <mergeCell ref="J14:J16"/>
    <mergeCell ref="B23:B25"/>
    <mergeCell ref="F23:F25"/>
    <mergeCell ref="J23:J25"/>
    <mergeCell ref="B17:B19"/>
    <mergeCell ref="F17:F19"/>
    <mergeCell ref="J17:J19"/>
    <mergeCell ref="B20:B22"/>
    <mergeCell ref="F20:F22"/>
    <mergeCell ref="J20:J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F18" sqref="F18"/>
    </sheetView>
  </sheetViews>
  <sheetFormatPr defaultColWidth="11" defaultRowHeight="15.75"/>
  <sheetData>
    <row r="1" spans="1:9" ht="21">
      <c r="A1" s="42" t="s">
        <v>52</v>
      </c>
      <c r="B1" s="43"/>
      <c r="C1" s="43"/>
      <c r="D1" s="43"/>
      <c r="E1" s="43"/>
      <c r="F1" s="43"/>
      <c r="G1" s="43"/>
      <c r="H1" s="43"/>
      <c r="I1" s="43"/>
    </row>
    <row r="2" spans="1:9">
      <c r="A2" s="44" t="s">
        <v>53</v>
      </c>
      <c r="B2" s="43"/>
      <c r="C2" s="43"/>
      <c r="D2" s="43"/>
      <c r="E2" s="43"/>
      <c r="F2" s="43"/>
      <c r="G2" s="43"/>
      <c r="H2" s="43"/>
      <c r="I2" s="43"/>
    </row>
    <row r="3" spans="1:9">
      <c r="A3" s="44"/>
      <c r="B3" s="43"/>
      <c r="C3" s="43"/>
      <c r="D3" s="43"/>
      <c r="E3" s="43"/>
      <c r="F3" s="43"/>
      <c r="G3" s="43"/>
      <c r="H3" s="43"/>
      <c r="I3" s="43"/>
    </row>
    <row r="4" spans="1:9">
      <c r="A4" s="45" t="s">
        <v>54</v>
      </c>
      <c r="B4" s="43"/>
      <c r="C4" s="43"/>
      <c r="D4" s="43" t="s">
        <v>55</v>
      </c>
      <c r="E4" s="43"/>
      <c r="F4" s="43"/>
      <c r="G4" s="43" t="s">
        <v>56</v>
      </c>
      <c r="H4" s="43"/>
      <c r="I4" s="43"/>
    </row>
    <row r="5" spans="1:9">
      <c r="A5" s="45" t="s">
        <v>57</v>
      </c>
      <c r="B5" s="43"/>
      <c r="C5" s="43"/>
      <c r="D5" s="43" t="s">
        <v>58</v>
      </c>
      <c r="E5" s="43"/>
      <c r="F5" s="43"/>
      <c r="G5" s="43" t="s">
        <v>59</v>
      </c>
      <c r="H5" s="43"/>
      <c r="I5" s="43"/>
    </row>
    <row r="6" spans="1:9">
      <c r="A6" s="45"/>
      <c r="B6" s="43"/>
      <c r="C6" s="43"/>
      <c r="D6" s="43"/>
      <c r="E6" s="43"/>
      <c r="F6" s="43"/>
      <c r="G6" s="43"/>
      <c r="H6" s="43"/>
      <c r="I6" s="43"/>
    </row>
    <row r="7" spans="1:9">
      <c r="A7" s="45" t="s">
        <v>60</v>
      </c>
      <c r="B7" s="43"/>
      <c r="C7" s="43"/>
      <c r="D7" s="43"/>
      <c r="E7" s="43"/>
      <c r="F7" s="43"/>
      <c r="G7" s="43"/>
      <c r="H7" s="43"/>
      <c r="I7" s="43"/>
    </row>
    <row r="9" spans="1:9">
      <c r="A9" s="46"/>
      <c r="B9" s="543" t="s">
        <v>61</v>
      </c>
      <c r="C9" s="543"/>
      <c r="D9" s="543"/>
    </row>
    <row r="10" spans="1:9">
      <c r="A10" s="46"/>
      <c r="B10" s="47" t="s">
        <v>62</v>
      </c>
      <c r="C10" s="47" t="s">
        <v>63</v>
      </c>
      <c r="D10" s="47" t="s">
        <v>64</v>
      </c>
    </row>
    <row r="11" spans="1:9">
      <c r="A11" s="47" t="s">
        <v>65</v>
      </c>
      <c r="B11" s="48">
        <v>1.02</v>
      </c>
      <c r="C11" s="48">
        <v>1.35</v>
      </c>
      <c r="D11" s="48">
        <v>-2.4E-2</v>
      </c>
    </row>
    <row r="12" spans="1:9">
      <c r="A12" s="47" t="s">
        <v>66</v>
      </c>
      <c r="B12" s="48">
        <v>1.07</v>
      </c>
      <c r="C12" s="48">
        <v>1.38</v>
      </c>
      <c r="D12" s="48">
        <v>-1.9199999999999998E-2</v>
      </c>
    </row>
    <row r="13" spans="1:9">
      <c r="A13" s="47" t="s">
        <v>67</v>
      </c>
      <c r="B13" s="48">
        <v>1.07</v>
      </c>
      <c r="C13" s="48">
        <v>1.38</v>
      </c>
      <c r="D13" s="48">
        <v>-1.9199999999999998E-2</v>
      </c>
    </row>
    <row r="14" spans="1:9">
      <c r="A14" s="47" t="s">
        <v>68</v>
      </c>
      <c r="B14" s="48">
        <v>1.03</v>
      </c>
      <c r="C14" s="48">
        <v>1.28</v>
      </c>
      <c r="D14" s="48">
        <v>-1.7600000000000001E-2</v>
      </c>
    </row>
  </sheetData>
  <mergeCells count="1">
    <mergeCell ref="B9:D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Dryers</vt:lpstr>
      <vt:lpstr>Soundbars</vt:lpstr>
      <vt:lpstr>Room Air Cleaners</vt:lpstr>
      <vt:lpstr>Room Air Conditioners</vt:lpstr>
      <vt:lpstr>Freezers</vt:lpstr>
      <vt:lpstr>Interactive Effects</vt:lpstr>
    </vt:vector>
  </TitlesOfParts>
  <Company>EMI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Salazar</dc:creator>
  <cp:lastModifiedBy>Huang, Jia Chang</cp:lastModifiedBy>
  <dcterms:created xsi:type="dcterms:W3CDTF">2015-01-28T20:23:17Z</dcterms:created>
  <dcterms:modified xsi:type="dcterms:W3CDTF">2015-12-31T21:42:37Z</dcterms:modified>
</cp:coreProperties>
</file>