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585" windowWidth="18930" windowHeight="6720" tabRatio="500" activeTab="2"/>
  </bookViews>
  <sheets>
    <sheet name="Dryers" sheetId="1" r:id="rId1"/>
    <sheet name="Soundbars" sheetId="3" r:id="rId2"/>
    <sheet name="Room Air Cleaners" sheetId="6" r:id="rId3"/>
    <sheet name="Room Air Conditioners" sheetId="7" r:id="rId4"/>
    <sheet name="Freezers" sheetId="8" r:id="rId5"/>
    <sheet name="Refrigerators" sheetId="9" r:id="rId6"/>
    <sheet name="Interactive Effects" sheetId="4" r:id="rId7"/>
  </sheets>
  <definedNames>
    <definedName name="_xlnm._FilterDatabase" localSheetId="0" hidden="1">Dryers!$A$74:$V$102</definedName>
  </definedNames>
  <calcPr calcId="145621"/>
</workbook>
</file>

<file path=xl/calcChain.xml><?xml version="1.0" encoding="utf-8"?>
<calcChain xmlns="http://schemas.openxmlformats.org/spreadsheetml/2006/main">
  <c r="R102" i="1" l="1"/>
  <c r="T101" i="1"/>
  <c r="S101" i="1"/>
  <c r="Q101" i="1"/>
  <c r="T100" i="1"/>
  <c r="S100" i="1"/>
  <c r="Q100" i="1"/>
  <c r="T99" i="1"/>
  <c r="S99" i="1"/>
  <c r="Q99" i="1"/>
  <c r="T98" i="1"/>
  <c r="S98" i="1"/>
  <c r="Q98" i="1"/>
  <c r="T97" i="1"/>
  <c r="S97" i="1"/>
  <c r="Q97" i="1"/>
  <c r="T96" i="1"/>
  <c r="S96" i="1"/>
  <c r="Q96" i="1"/>
  <c r="R95" i="1"/>
  <c r="T94" i="1"/>
  <c r="S94" i="1"/>
  <c r="Q94" i="1"/>
  <c r="T93" i="1"/>
  <c r="S93" i="1"/>
  <c r="Q93" i="1"/>
  <c r="T92" i="1"/>
  <c r="S92" i="1"/>
  <c r="Q92" i="1"/>
  <c r="T91" i="1"/>
  <c r="S91" i="1"/>
  <c r="Q91" i="1"/>
  <c r="T90" i="1"/>
  <c r="S90" i="1"/>
  <c r="Q90" i="1"/>
  <c r="T89" i="1"/>
  <c r="S89" i="1"/>
  <c r="Q89" i="1"/>
  <c r="R88" i="1"/>
  <c r="T87" i="1"/>
  <c r="S87" i="1"/>
  <c r="Q87" i="1"/>
  <c r="T86" i="1"/>
  <c r="S86" i="1"/>
  <c r="Q86" i="1"/>
  <c r="T85" i="1"/>
  <c r="S85" i="1"/>
  <c r="Q85" i="1"/>
  <c r="T84" i="1"/>
  <c r="S84" i="1"/>
  <c r="Q84" i="1"/>
  <c r="T83" i="1"/>
  <c r="S83" i="1"/>
  <c r="Q83" i="1"/>
  <c r="T82" i="1"/>
  <c r="S82" i="1"/>
  <c r="Q82" i="1"/>
  <c r="N102" i="1"/>
  <c r="P101" i="1"/>
  <c r="O101" i="1"/>
  <c r="M101" i="1"/>
  <c r="P100" i="1"/>
  <c r="O100" i="1"/>
  <c r="M100" i="1"/>
  <c r="P99" i="1"/>
  <c r="O99" i="1"/>
  <c r="M99" i="1"/>
  <c r="P98" i="1"/>
  <c r="O98" i="1"/>
  <c r="M98" i="1"/>
  <c r="P97" i="1"/>
  <c r="O97" i="1"/>
  <c r="M97" i="1"/>
  <c r="P96" i="1"/>
  <c r="O96" i="1"/>
  <c r="M96" i="1"/>
  <c r="N95" i="1"/>
  <c r="P94" i="1"/>
  <c r="O94" i="1"/>
  <c r="M94" i="1"/>
  <c r="P93" i="1"/>
  <c r="O93" i="1"/>
  <c r="M93" i="1"/>
  <c r="P92" i="1"/>
  <c r="O92" i="1"/>
  <c r="M92" i="1"/>
  <c r="P91" i="1"/>
  <c r="O91" i="1"/>
  <c r="M91" i="1"/>
  <c r="P90" i="1"/>
  <c r="O90" i="1"/>
  <c r="M90" i="1"/>
  <c r="P89" i="1"/>
  <c r="O89" i="1"/>
  <c r="M89" i="1"/>
  <c r="N88" i="1"/>
  <c r="P87" i="1"/>
  <c r="O87" i="1"/>
  <c r="M87" i="1"/>
  <c r="P86" i="1"/>
  <c r="O86" i="1"/>
  <c r="M86" i="1"/>
  <c r="P85" i="1"/>
  <c r="O85" i="1"/>
  <c r="M85" i="1"/>
  <c r="P84" i="1"/>
  <c r="O84" i="1"/>
  <c r="M84" i="1"/>
  <c r="P83" i="1"/>
  <c r="O83" i="1"/>
  <c r="M83" i="1"/>
  <c r="P82" i="1"/>
  <c r="O82" i="1"/>
  <c r="M82" i="1"/>
  <c r="R81" i="1"/>
  <c r="T80" i="1"/>
  <c r="T79" i="1"/>
  <c r="T78" i="1"/>
  <c r="T77" i="1"/>
  <c r="T76" i="1"/>
  <c r="T75" i="1"/>
  <c r="S80" i="1"/>
  <c r="Q80" i="1"/>
  <c r="S79" i="1"/>
  <c r="Q79" i="1"/>
  <c r="S78" i="1"/>
  <c r="Q78" i="1"/>
  <c r="S77" i="1"/>
  <c r="Q77" i="1"/>
  <c r="S76" i="1"/>
  <c r="Q76" i="1"/>
  <c r="S75" i="1"/>
  <c r="Q75" i="1"/>
  <c r="P80" i="1"/>
  <c r="P79" i="1"/>
  <c r="P78" i="1"/>
  <c r="P77" i="1"/>
  <c r="P76" i="1"/>
  <c r="P75" i="1"/>
  <c r="O80" i="1"/>
  <c r="O79" i="1"/>
  <c r="O78" i="1"/>
  <c r="O77" i="1"/>
  <c r="O76" i="1"/>
  <c r="O75" i="1"/>
  <c r="M80" i="1"/>
  <c r="M79" i="1"/>
  <c r="M78" i="1"/>
  <c r="M77" i="1"/>
  <c r="M76" i="1"/>
  <c r="M75" i="1"/>
  <c r="N57" i="1"/>
  <c r="N56" i="1"/>
  <c r="N55" i="1"/>
  <c r="H46" i="1"/>
  <c r="H41" i="1"/>
  <c r="H45" i="1"/>
  <c r="H40" i="1"/>
  <c r="H39" i="1"/>
  <c r="H38" i="1"/>
  <c r="D20" i="1"/>
  <c r="B32" i="1"/>
  <c r="B28" i="1"/>
  <c r="M24" i="6" l="1"/>
  <c r="M23" i="6"/>
  <c r="M22" i="6"/>
  <c r="E32" i="6"/>
  <c r="C15" i="9" l="1"/>
  <c r="D15" i="9"/>
  <c r="E15" i="9"/>
  <c r="C16" i="9"/>
  <c r="D16" i="9"/>
  <c r="E16" i="9"/>
  <c r="C17" i="9"/>
  <c r="D17" i="9"/>
  <c r="E17" i="9"/>
  <c r="E14" i="9"/>
  <c r="D14" i="9"/>
  <c r="C14" i="9"/>
  <c r="B15" i="9" l="1"/>
  <c r="B16" i="9"/>
  <c r="B17" i="9"/>
  <c r="B14" i="9"/>
  <c r="F70" i="7" l="1"/>
  <c r="F69" i="7"/>
  <c r="F68" i="7"/>
  <c r="F67" i="7"/>
  <c r="E68" i="7"/>
  <c r="E69" i="7"/>
  <c r="E70" i="7"/>
  <c r="E67" i="7"/>
  <c r="F61" i="7"/>
  <c r="F62" i="7"/>
  <c r="E62" i="7"/>
  <c r="E61" i="7"/>
  <c r="F60" i="7"/>
  <c r="E60" i="7"/>
  <c r="F59" i="7"/>
  <c r="E59" i="7"/>
  <c r="C20" i="1"/>
  <c r="Q33" i="1"/>
  <c r="R56" i="1" s="1"/>
  <c r="M58" i="1" s="1"/>
  <c r="P33" i="1"/>
  <c r="Q24" i="1"/>
  <c r="R55" i="1" s="1"/>
  <c r="P24" i="1"/>
  <c r="Q16" i="1"/>
  <c r="R54" i="1" s="1"/>
  <c r="M54" i="1" s="1"/>
  <c r="P16" i="1"/>
  <c r="L65" i="1"/>
  <c r="AL5" i="8"/>
  <c r="AL6" i="8"/>
  <c r="C19" i="1"/>
  <c r="AL61" i="8"/>
  <c r="AK61" i="8"/>
  <c r="AJ61" i="8"/>
  <c r="AL60" i="8"/>
  <c r="AK60" i="8"/>
  <c r="AJ60" i="8"/>
  <c r="AL59" i="8"/>
  <c r="AK59" i="8"/>
  <c r="AJ59" i="8"/>
  <c r="AL58" i="8"/>
  <c r="AK58" i="8"/>
  <c r="AJ58" i="8"/>
  <c r="AL57" i="8"/>
  <c r="AK57" i="8"/>
  <c r="AJ57" i="8"/>
  <c r="AL56" i="8"/>
  <c r="AK56" i="8"/>
  <c r="AJ56" i="8"/>
  <c r="AL55" i="8"/>
  <c r="AK55" i="8"/>
  <c r="AJ55" i="8"/>
  <c r="AL54" i="8"/>
  <c r="AK54" i="8"/>
  <c r="AJ54" i="8"/>
  <c r="AL53" i="8"/>
  <c r="AK53" i="8"/>
  <c r="AJ53" i="8"/>
  <c r="AL52" i="8"/>
  <c r="AK52" i="8"/>
  <c r="AJ52" i="8"/>
  <c r="AL51" i="8"/>
  <c r="AK51" i="8"/>
  <c r="AJ51" i="8"/>
  <c r="AL50" i="8"/>
  <c r="AK50" i="8"/>
  <c r="AJ50" i="8"/>
  <c r="AL49" i="8"/>
  <c r="AK49" i="8"/>
  <c r="AJ49" i="8"/>
  <c r="AL48" i="8"/>
  <c r="AK48" i="8"/>
  <c r="AJ48" i="8"/>
  <c r="AL47" i="8"/>
  <c r="AK47" i="8"/>
  <c r="AJ47" i="8"/>
  <c r="AL46" i="8"/>
  <c r="AK46" i="8"/>
  <c r="AJ46" i="8"/>
  <c r="AL45" i="8"/>
  <c r="AK45" i="8"/>
  <c r="AJ45" i="8"/>
  <c r="AL44" i="8"/>
  <c r="AK44" i="8"/>
  <c r="AJ44" i="8"/>
  <c r="AL43" i="8"/>
  <c r="AK43" i="8"/>
  <c r="AJ43" i="8"/>
  <c r="AL42" i="8"/>
  <c r="AK42" i="8"/>
  <c r="AJ42" i="8"/>
  <c r="AL41" i="8"/>
  <c r="AK41" i="8"/>
  <c r="AJ41" i="8"/>
  <c r="AL40" i="8"/>
  <c r="AK40" i="8"/>
  <c r="AJ40" i="8"/>
  <c r="AL39" i="8"/>
  <c r="AK39" i="8"/>
  <c r="AJ39" i="8"/>
  <c r="AL38" i="8"/>
  <c r="AK38" i="8"/>
  <c r="AJ38" i="8"/>
  <c r="AL37" i="8"/>
  <c r="AK37" i="8"/>
  <c r="AJ37" i="8"/>
  <c r="AL36" i="8"/>
  <c r="AK36" i="8"/>
  <c r="AJ36" i="8"/>
  <c r="AL35" i="8"/>
  <c r="AK35" i="8"/>
  <c r="AJ35" i="8"/>
  <c r="AL34" i="8"/>
  <c r="AK34" i="8"/>
  <c r="AJ34" i="8"/>
  <c r="AL33" i="8"/>
  <c r="AK33" i="8"/>
  <c r="AJ33" i="8"/>
  <c r="AL32" i="8"/>
  <c r="AK32" i="8"/>
  <c r="AJ32" i="8"/>
  <c r="H32" i="8"/>
  <c r="AL31" i="8"/>
  <c r="AK31" i="8"/>
  <c r="AJ31" i="8"/>
  <c r="AL30" i="8"/>
  <c r="AK30" i="8"/>
  <c r="AJ30" i="8"/>
  <c r="AL29" i="8"/>
  <c r="AK29" i="8"/>
  <c r="AJ29" i="8"/>
  <c r="AL28" i="8"/>
  <c r="AK28" i="8"/>
  <c r="AJ28" i="8"/>
  <c r="AL27" i="8"/>
  <c r="AK27" i="8"/>
  <c r="AJ27" i="8"/>
  <c r="AL26" i="8"/>
  <c r="AK26" i="8"/>
  <c r="AJ26" i="8"/>
  <c r="AL25" i="8"/>
  <c r="AK25" i="8"/>
  <c r="AJ25" i="8"/>
  <c r="O25" i="8"/>
  <c r="L25" i="8"/>
  <c r="P25" i="8"/>
  <c r="H25" i="8"/>
  <c r="AL24" i="8"/>
  <c r="AK24" i="8"/>
  <c r="AJ24" i="8"/>
  <c r="O24" i="8"/>
  <c r="D24" i="8"/>
  <c r="L24" i="8"/>
  <c r="P24" i="8"/>
  <c r="AL23" i="8"/>
  <c r="AK23" i="8"/>
  <c r="AJ23" i="8"/>
  <c r="O23" i="8"/>
  <c r="L23" i="8"/>
  <c r="P23" i="8"/>
  <c r="H23" i="8"/>
  <c r="AL22" i="8"/>
  <c r="AK22" i="8"/>
  <c r="AJ22" i="8"/>
  <c r="L22" i="8"/>
  <c r="P22" i="8"/>
  <c r="K22" i="8"/>
  <c r="H22" i="8"/>
  <c r="G22" i="8"/>
  <c r="AL21" i="8"/>
  <c r="AK21" i="8"/>
  <c r="AJ21" i="8"/>
  <c r="K21" i="8"/>
  <c r="G21" i="8"/>
  <c r="D21" i="8"/>
  <c r="L21" i="8"/>
  <c r="P21" i="8"/>
  <c r="AL20" i="8"/>
  <c r="AK20" i="8"/>
  <c r="AJ20" i="8"/>
  <c r="O20" i="8"/>
  <c r="L20" i="8"/>
  <c r="P20" i="8"/>
  <c r="H20" i="8"/>
  <c r="AL19" i="8"/>
  <c r="AK19" i="8"/>
  <c r="AJ19" i="8"/>
  <c r="AE19" i="8"/>
  <c r="AD19" i="8"/>
  <c r="Y19" i="8"/>
  <c r="AL18" i="8"/>
  <c r="AK18" i="8"/>
  <c r="AJ18" i="8"/>
  <c r="AE18" i="8"/>
  <c r="AD18" i="8"/>
  <c r="Y18" i="8"/>
  <c r="AL17" i="8"/>
  <c r="AK17" i="8"/>
  <c r="AJ17" i="8"/>
  <c r="AE17" i="8"/>
  <c r="AD17" i="8"/>
  <c r="Z17" i="8"/>
  <c r="Y17" i="8"/>
  <c r="AL16" i="8"/>
  <c r="AK16" i="8"/>
  <c r="AJ16" i="8"/>
  <c r="AE16" i="8" s="1"/>
  <c r="Z16" i="8"/>
  <c r="P16" i="8"/>
  <c r="L16" i="8"/>
  <c r="H16" i="8"/>
  <c r="AL15" i="8"/>
  <c r="AK15" i="8"/>
  <c r="AJ15" i="8"/>
  <c r="AE15" i="8" s="1"/>
  <c r="Z15" i="8"/>
  <c r="P15" i="8"/>
  <c r="D15" i="8"/>
  <c r="H15" i="8"/>
  <c r="AL14" i="8"/>
  <c r="AK14" i="8"/>
  <c r="AJ14" i="8"/>
  <c r="AE14" i="8" s="1"/>
  <c r="Z14" i="8"/>
  <c r="P14" i="8"/>
  <c r="L14" i="8"/>
  <c r="H14" i="8"/>
  <c r="AL13" i="8"/>
  <c r="AK13" i="8"/>
  <c r="AJ13" i="8"/>
  <c r="AE13" i="8" s="1"/>
  <c r="Z13" i="8"/>
  <c r="P13" i="8"/>
  <c r="L13" i="8"/>
  <c r="H13" i="8"/>
  <c r="AL12" i="8"/>
  <c r="AK12" i="8"/>
  <c r="AJ12" i="8"/>
  <c r="AE12" i="8" s="1"/>
  <c r="Z12" i="8"/>
  <c r="P12" i="8"/>
  <c r="D12" i="8"/>
  <c r="L12" i="8"/>
  <c r="AL11" i="8"/>
  <c r="AK11" i="8"/>
  <c r="AJ11" i="8"/>
  <c r="AE11" i="8" s="1"/>
  <c r="Z11" i="8"/>
  <c r="P11" i="8"/>
  <c r="L11" i="8"/>
  <c r="H11" i="8"/>
  <c r="AL10" i="8"/>
  <c r="AK10" i="8"/>
  <c r="AJ10" i="8"/>
  <c r="L10" i="8"/>
  <c r="P10" i="8"/>
  <c r="K10" i="8"/>
  <c r="H10" i="8"/>
  <c r="G10" i="8"/>
  <c r="AL9" i="8"/>
  <c r="AK9" i="8"/>
  <c r="AJ9" i="8"/>
  <c r="K9" i="8"/>
  <c r="O9" i="8"/>
  <c r="G9" i="8"/>
  <c r="D9" i="8"/>
  <c r="L9" i="8"/>
  <c r="P9" i="8"/>
  <c r="AL8" i="8"/>
  <c r="AK8" i="8"/>
  <c r="AJ8" i="8"/>
  <c r="O8" i="8"/>
  <c r="L8" i="8"/>
  <c r="P8" i="8"/>
  <c r="H8" i="8"/>
  <c r="AL7" i="8"/>
  <c r="AK7" i="8"/>
  <c r="AJ7" i="8"/>
  <c r="L7" i="8"/>
  <c r="P7" i="8"/>
  <c r="K7" i="8"/>
  <c r="O7" i="8"/>
  <c r="H7" i="8"/>
  <c r="G7" i="8"/>
  <c r="AK6" i="8"/>
  <c r="AJ6" i="8"/>
  <c r="K6" i="8"/>
  <c r="G6" i="8"/>
  <c r="D6" i="8"/>
  <c r="H6" i="8"/>
  <c r="AK5" i="8"/>
  <c r="AJ5" i="8"/>
  <c r="O5" i="8"/>
  <c r="L5" i="8"/>
  <c r="P5" i="8"/>
  <c r="H5" i="8"/>
  <c r="D47" i="7"/>
  <c r="U7" i="7"/>
  <c r="T7" i="7"/>
  <c r="U6" i="7"/>
  <c r="T6" i="7"/>
  <c r="U5" i="7"/>
  <c r="T5" i="7"/>
  <c r="U4" i="7"/>
  <c r="T4" i="7"/>
  <c r="J23" i="6"/>
  <c r="J29" i="6"/>
  <c r="M29" i="6" s="1"/>
  <c r="D43" i="6"/>
  <c r="F43" i="6" s="1"/>
  <c r="P40" i="6"/>
  <c r="J30" i="6"/>
  <c r="J36" i="6"/>
  <c r="M36" i="6" s="1"/>
  <c r="J35" i="6"/>
  <c r="M35" i="6" s="1"/>
  <c r="J34" i="6"/>
  <c r="M34" i="6" s="1"/>
  <c r="P30" i="6"/>
  <c r="O30" i="6"/>
  <c r="P28" i="6"/>
  <c r="J28" i="6"/>
  <c r="J22" i="6"/>
  <c r="O22" i="6" s="1"/>
  <c r="P26" i="6"/>
  <c r="E26" i="6"/>
  <c r="P24" i="6"/>
  <c r="J24" i="6"/>
  <c r="P22" i="6"/>
  <c r="K21" i="3"/>
  <c r="H48" i="3" s="1"/>
  <c r="J48" i="3" s="1"/>
  <c r="K37" i="3"/>
  <c r="J21" i="3"/>
  <c r="L48" i="3" s="1"/>
  <c r="N48" i="3" s="1"/>
  <c r="J37" i="3"/>
  <c r="J27" i="3"/>
  <c r="J32" i="3"/>
  <c r="J42" i="3"/>
  <c r="K42" i="3"/>
  <c r="O32" i="3"/>
  <c r="N32" i="3"/>
  <c r="M32" i="3"/>
  <c r="K32" i="3"/>
  <c r="K27" i="3"/>
  <c r="O21" i="3"/>
  <c r="N21" i="3"/>
  <c r="M21" i="3"/>
  <c r="P21" i="3" s="1"/>
  <c r="M22" i="3" s="1"/>
  <c r="H87" i="1"/>
  <c r="H94" i="1" s="1"/>
  <c r="H101" i="1" s="1"/>
  <c r="H82" i="1"/>
  <c r="H89" i="1" s="1"/>
  <c r="H96" i="1" s="1"/>
  <c r="I88" i="1"/>
  <c r="I95" i="1" s="1"/>
  <c r="I102" i="1" s="1"/>
  <c r="K87" i="1"/>
  <c r="H85" i="1"/>
  <c r="H92" i="1" s="1"/>
  <c r="H99" i="1" s="1"/>
  <c r="H83" i="1"/>
  <c r="H90" i="1" s="1"/>
  <c r="H97" i="1" s="1"/>
  <c r="L88" i="1"/>
  <c r="L95" i="1" s="1"/>
  <c r="L102" i="1" s="1"/>
  <c r="K86" i="1"/>
  <c r="K93" i="1" s="1"/>
  <c r="K100" i="1" s="1"/>
  <c r="H86" i="1"/>
  <c r="H93" i="1" s="1"/>
  <c r="H100" i="1" s="1"/>
  <c r="K85" i="1"/>
  <c r="K92" i="1" s="1"/>
  <c r="K99" i="1" s="1"/>
  <c r="K84" i="1"/>
  <c r="K91" i="1" s="1"/>
  <c r="H84" i="1"/>
  <c r="H91" i="1" s="1"/>
  <c r="H98" i="1" s="1"/>
  <c r="K83" i="1"/>
  <c r="K90" i="1" s="1"/>
  <c r="K97" i="1" s="1"/>
  <c r="K82" i="1"/>
  <c r="AB14" i="8"/>
  <c r="AD14" i="8"/>
  <c r="AB7" i="8"/>
  <c r="AD7" i="8"/>
  <c r="AB25" i="8"/>
  <c r="AC25" i="8"/>
  <c r="AE25" i="8" s="1"/>
  <c r="T7" i="8"/>
  <c r="U7" i="8"/>
  <c r="H9" i="8"/>
  <c r="AB11" i="8"/>
  <c r="AD11" i="8"/>
  <c r="H21" i="8"/>
  <c r="W21" i="8"/>
  <c r="W23" i="8"/>
  <c r="Y23" i="8"/>
  <c r="L6" i="8"/>
  <c r="P6" i="8"/>
  <c r="AB6" i="8"/>
  <c r="W7" i="8"/>
  <c r="Y7" i="8"/>
  <c r="W11" i="8"/>
  <c r="Y11" i="8"/>
  <c r="L15" i="8"/>
  <c r="W15" i="8"/>
  <c r="Y15" i="8"/>
  <c r="AB9" i="8"/>
  <c r="AC9" i="8"/>
  <c r="AE9" i="8" s="1"/>
  <c r="H12" i="8"/>
  <c r="W12" i="8"/>
  <c r="Y12" i="8"/>
  <c r="AB23" i="8"/>
  <c r="AC23" i="8"/>
  <c r="AE23" i="8" s="1"/>
  <c r="AB13" i="8"/>
  <c r="AD13" i="8"/>
  <c r="T9" i="8"/>
  <c r="U9" i="8"/>
  <c r="AB5" i="8"/>
  <c r="H24" i="8"/>
  <c r="W24" i="8"/>
  <c r="Y24" i="8"/>
  <c r="O26" i="6"/>
  <c r="O10" i="8"/>
  <c r="T10" i="8"/>
  <c r="U10" i="8"/>
  <c r="P32" i="3"/>
  <c r="M33" i="3"/>
  <c r="AB15" i="8"/>
  <c r="AD15" i="8"/>
  <c r="W16" i="8"/>
  <c r="Y16" i="8"/>
  <c r="AB16" i="8"/>
  <c r="AD16" i="8"/>
  <c r="N33" i="3"/>
  <c r="M48" i="3"/>
  <c r="M49" i="3" s="1"/>
  <c r="R48" i="3"/>
  <c r="T48" i="3" s="1"/>
  <c r="O24" i="6"/>
  <c r="O6" i="8"/>
  <c r="T6" i="8"/>
  <c r="U6" i="8"/>
  <c r="AD9" i="8"/>
  <c r="W9" i="8"/>
  <c r="C48" i="3"/>
  <c r="C49" i="3" s="1"/>
  <c r="O21" i="8"/>
  <c r="T21" i="8"/>
  <c r="U21" i="8"/>
  <c r="O22" i="8"/>
  <c r="T22" i="8"/>
  <c r="U22" i="8"/>
  <c r="W25" i="8"/>
  <c r="W8" i="8"/>
  <c r="AB8" i="8"/>
  <c r="AB10" i="8"/>
  <c r="W10" i="8"/>
  <c r="AD25" i="8"/>
  <c r="W6" i="8"/>
  <c r="W13" i="8"/>
  <c r="Y13" i="8"/>
  <c r="W14" i="8"/>
  <c r="Y14" i="8"/>
  <c r="AB20" i="8"/>
  <c r="AB22" i="8"/>
  <c r="W5" i="8"/>
  <c r="W22" i="8"/>
  <c r="W20" i="8"/>
  <c r="X24" i="8"/>
  <c r="Z24" i="8" s="1"/>
  <c r="AB21" i="8"/>
  <c r="AD23" i="8"/>
  <c r="X23" i="8"/>
  <c r="Z23" i="8" s="1"/>
  <c r="X7" i="8"/>
  <c r="Z7" i="8" s="1"/>
  <c r="AB12" i="8"/>
  <c r="AD12" i="8"/>
  <c r="AC7" i="8"/>
  <c r="AB24" i="8"/>
  <c r="AC5" i="8"/>
  <c r="AD5" i="8"/>
  <c r="E48" i="3"/>
  <c r="X5" i="8"/>
  <c r="Z5" i="8" s="1"/>
  <c r="Y5" i="8"/>
  <c r="AD20" i="8"/>
  <c r="AC20" i="8"/>
  <c r="AE20" i="8" s="1"/>
  <c r="AC22" i="8"/>
  <c r="AE22" i="8" s="1"/>
  <c r="AD22" i="8"/>
  <c r="AD8" i="8"/>
  <c r="AC8" i="8"/>
  <c r="Y25" i="8"/>
  <c r="X25" i="8"/>
  <c r="Z25" i="8" s="1"/>
  <c r="Q26" i="6"/>
  <c r="P27" i="6" s="1"/>
  <c r="X22" i="8"/>
  <c r="Z22" i="8" s="1"/>
  <c r="Y22" i="8"/>
  <c r="AD21" i="8"/>
  <c r="AC21" i="8"/>
  <c r="AE21" i="8" s="1"/>
  <c r="AC6" i="8"/>
  <c r="AD6" i="8"/>
  <c r="Y10" i="8"/>
  <c r="X10" i="8"/>
  <c r="Z10" i="8" s="1"/>
  <c r="O48" i="3"/>
  <c r="AC10" i="8"/>
  <c r="AE10" i="8" s="1"/>
  <c r="AD10" i="8"/>
  <c r="Y9" i="8"/>
  <c r="X9" i="8"/>
  <c r="Z9" i="8" s="1"/>
  <c r="Y20" i="8"/>
  <c r="X20" i="8"/>
  <c r="Z20" i="8" s="1"/>
  <c r="X21" i="8"/>
  <c r="Z21" i="8" s="1"/>
  <c r="Y21" i="8"/>
  <c r="X6" i="8"/>
  <c r="Z6" i="8" s="1"/>
  <c r="Y6" i="8"/>
  <c r="Y8" i="8"/>
  <c r="X8" i="8"/>
  <c r="Z8" i="8" s="1"/>
  <c r="O33" i="3"/>
  <c r="N34" i="3"/>
  <c r="AC24" i="8"/>
  <c r="AD24" i="8"/>
  <c r="F88" i="1"/>
  <c r="F95" i="1" s="1"/>
  <c r="F102" i="1" s="1"/>
  <c r="J88" i="1"/>
  <c r="J95" i="1" s="1"/>
  <c r="J102" i="1" s="1"/>
  <c r="AG4" i="7"/>
  <c r="Z4" i="7"/>
  <c r="AA4" i="7"/>
  <c r="AI4" i="7"/>
  <c r="AD7" i="7"/>
  <c r="X7" i="7"/>
  <c r="AE7" i="7"/>
  <c r="Z7" i="7"/>
  <c r="AF7" i="7"/>
  <c r="AD5" i="7"/>
  <c r="Z5" i="7"/>
  <c r="AF5" i="7"/>
  <c r="X5" i="7"/>
  <c r="AE5" i="7"/>
  <c r="AG5" i="7"/>
  <c r="AA5" i="7"/>
  <c r="AI5" i="7"/>
  <c r="AH5" i="7"/>
  <c r="AD6" i="7"/>
  <c r="X6" i="7"/>
  <c r="AE6" i="7"/>
  <c r="Z6" i="7"/>
  <c r="AF6" i="7"/>
  <c r="AG7" i="7"/>
  <c r="AA7" i="7"/>
  <c r="AI7" i="7"/>
  <c r="AH7" i="7"/>
  <c r="AG6" i="7"/>
  <c r="AA6" i="7"/>
  <c r="AI6" i="7"/>
  <c r="AH6" i="7"/>
  <c r="AD4" i="7"/>
  <c r="AF4" i="7"/>
  <c r="AH4" i="7"/>
  <c r="X4" i="7"/>
  <c r="AE4" i="7"/>
  <c r="Y7" i="7"/>
  <c r="J79" i="7"/>
  <c r="Y6" i="7"/>
  <c r="J67" i="7"/>
  <c r="Y4" i="7"/>
  <c r="Y5" i="7"/>
  <c r="J39" i="7"/>
  <c r="J41" i="7"/>
  <c r="J42" i="7"/>
  <c r="J40" i="7"/>
  <c r="O40" i="6" l="1"/>
  <c r="M30" i="6"/>
  <c r="C44" i="6" s="1"/>
  <c r="O28" i="6"/>
  <c r="M28" i="6"/>
  <c r="C42" i="6" s="1"/>
  <c r="M57" i="1"/>
  <c r="F68" i="1" s="1"/>
  <c r="M55" i="1"/>
  <c r="F66" i="1" s="1"/>
  <c r="M56" i="1"/>
  <c r="N54" i="1"/>
  <c r="F65" i="1" s="1"/>
  <c r="M65" i="1" s="1"/>
  <c r="J75" i="1" s="1"/>
  <c r="H66" i="1"/>
  <c r="N58" i="1"/>
  <c r="F69" i="1" s="1"/>
  <c r="H67" i="1"/>
  <c r="L66" i="1"/>
  <c r="H37" i="1"/>
  <c r="H65" i="1" s="1"/>
  <c r="H68" i="1"/>
  <c r="H47" i="1"/>
  <c r="L69" i="1" s="1"/>
  <c r="F67" i="1"/>
  <c r="H69" i="1"/>
  <c r="Q48" i="3"/>
  <c r="U48" i="3" s="1"/>
  <c r="B48" i="3"/>
  <c r="B49" i="3" s="1"/>
  <c r="D49" i="3" s="1"/>
  <c r="G48" i="3"/>
  <c r="G49" i="3" s="1"/>
  <c r="E49" i="3"/>
  <c r="C50" i="3"/>
  <c r="N22" i="3"/>
  <c r="O22" i="3"/>
  <c r="I48" i="3"/>
  <c r="F48" i="3"/>
  <c r="O27" i="6"/>
  <c r="D44" i="6"/>
  <c r="F44" i="6" s="1"/>
  <c r="I44" i="6"/>
  <c r="K44" i="6" s="1"/>
  <c r="D46" i="6"/>
  <c r="D42" i="6"/>
  <c r="C43" i="6"/>
  <c r="C46" i="6" s="1"/>
  <c r="H43" i="6"/>
  <c r="L43" i="6" s="1"/>
  <c r="I42" i="6"/>
  <c r="I43" i="6"/>
  <c r="I46" i="6" s="1"/>
  <c r="K46" i="6" s="1"/>
  <c r="H44" i="6"/>
  <c r="H47" i="6" s="1"/>
  <c r="L47" i="6" s="1"/>
  <c r="I47" i="6"/>
  <c r="K47" i="6" s="1"/>
  <c r="Q24" i="6"/>
  <c r="O25" i="6" s="1"/>
  <c r="Q30" i="6"/>
  <c r="P38" i="6" s="1"/>
  <c r="H42" i="6"/>
  <c r="J42" i="6" s="1"/>
  <c r="Q22" i="6"/>
  <c r="P23" i="6" s="1"/>
  <c r="Q28" i="6"/>
  <c r="P29" i="6" s="1"/>
  <c r="Q40" i="6"/>
  <c r="P41" i="6" s="1"/>
  <c r="D47" i="6"/>
  <c r="AE24" i="8"/>
  <c r="AE5" i="8"/>
  <c r="AE6" i="8"/>
  <c r="AE7" i="8"/>
  <c r="AE8" i="8"/>
  <c r="K49" i="3"/>
  <c r="G50" i="3"/>
  <c r="G51" i="3" s="1"/>
  <c r="I49" i="3"/>
  <c r="L49" i="3"/>
  <c r="P49" i="3" s="1"/>
  <c r="K48" i="3"/>
  <c r="H49" i="3"/>
  <c r="H50" i="3" s="1"/>
  <c r="H51" i="3" s="1"/>
  <c r="J51" i="3" s="1"/>
  <c r="I49" i="6"/>
  <c r="O49" i="3"/>
  <c r="M50" i="3"/>
  <c r="R49" i="3"/>
  <c r="P48" i="3"/>
  <c r="K98" i="1"/>
  <c r="K89" i="1"/>
  <c r="K94" i="1"/>
  <c r="K43" i="6" l="1"/>
  <c r="E44" i="6"/>
  <c r="C47" i="6"/>
  <c r="C50" i="6" s="1"/>
  <c r="E50" i="6" s="1"/>
  <c r="G44" i="6"/>
  <c r="L67" i="1"/>
  <c r="M67" i="1" s="1"/>
  <c r="J82" i="1"/>
  <c r="J89" i="1" s="1"/>
  <c r="M69" i="1"/>
  <c r="N69" i="1" s="1"/>
  <c r="K81" i="1" s="1"/>
  <c r="I69" i="1"/>
  <c r="J69" i="1" s="1"/>
  <c r="H81" i="1" s="1"/>
  <c r="H88" i="1" s="1"/>
  <c r="I65" i="1"/>
  <c r="K65" i="1" s="1"/>
  <c r="O65" i="1"/>
  <c r="L75" i="1" s="1"/>
  <c r="I67" i="1"/>
  <c r="I66" i="1"/>
  <c r="F78" i="1" s="1"/>
  <c r="J76" i="1"/>
  <c r="L68" i="1"/>
  <c r="M68" i="1" s="1"/>
  <c r="J80" i="1" s="1"/>
  <c r="I68" i="1"/>
  <c r="M66" i="1"/>
  <c r="F49" i="3"/>
  <c r="B50" i="3"/>
  <c r="D50" i="3" s="1"/>
  <c r="Q49" i="3"/>
  <c r="S49" i="3" s="1"/>
  <c r="N23" i="3"/>
  <c r="S48" i="3"/>
  <c r="D48" i="3"/>
  <c r="J50" i="3"/>
  <c r="C51" i="3"/>
  <c r="E51" i="3" s="1"/>
  <c r="E50" i="3"/>
  <c r="J49" i="3"/>
  <c r="H46" i="6"/>
  <c r="H49" i="6" s="1"/>
  <c r="O23" i="6"/>
  <c r="O41" i="6"/>
  <c r="O38" i="6"/>
  <c r="H45" i="6"/>
  <c r="L45" i="6" s="1"/>
  <c r="E43" i="6"/>
  <c r="D49" i="6"/>
  <c r="F46" i="6"/>
  <c r="L42" i="6"/>
  <c r="F42" i="6"/>
  <c r="D45" i="6"/>
  <c r="J43" i="6"/>
  <c r="J44" i="6"/>
  <c r="G43" i="6"/>
  <c r="L44" i="6"/>
  <c r="I50" i="6"/>
  <c r="K50" i="6" s="1"/>
  <c r="P25" i="6"/>
  <c r="I45" i="6"/>
  <c r="K42" i="6"/>
  <c r="G47" i="6"/>
  <c r="E42" i="6"/>
  <c r="G42" i="6"/>
  <c r="C45" i="6"/>
  <c r="H50" i="6"/>
  <c r="H53" i="6" s="1"/>
  <c r="J53" i="6" s="1"/>
  <c r="G46" i="6"/>
  <c r="C49" i="6"/>
  <c r="E46" i="6"/>
  <c r="C53" i="6"/>
  <c r="G50" i="6"/>
  <c r="J47" i="6"/>
  <c r="D50" i="6"/>
  <c r="F47" i="6"/>
  <c r="O29" i="6"/>
  <c r="I53" i="6"/>
  <c r="K53" i="6" s="1"/>
  <c r="L50" i="3"/>
  <c r="N49" i="3"/>
  <c r="U49" i="3"/>
  <c r="Q50" i="3"/>
  <c r="I50" i="3"/>
  <c r="K50" i="3"/>
  <c r="I52" i="6"/>
  <c r="K52" i="6" s="1"/>
  <c r="K49" i="6"/>
  <c r="K51" i="3"/>
  <c r="I51" i="3"/>
  <c r="T49" i="3"/>
  <c r="R50" i="3"/>
  <c r="O50" i="3"/>
  <c r="M51" i="3"/>
  <c r="O51" i="3" s="1"/>
  <c r="K96" i="1"/>
  <c r="K101" i="1"/>
  <c r="E47" i="6" l="1"/>
  <c r="J96" i="1"/>
  <c r="J79" i="1"/>
  <c r="O67" i="1"/>
  <c r="L79" i="1" s="1"/>
  <c r="L86" i="1" s="1"/>
  <c r="F77" i="1"/>
  <c r="F84" i="1" s="1"/>
  <c r="F91" i="1" s="1"/>
  <c r="F76" i="1"/>
  <c r="F83" i="1" s="1"/>
  <c r="H95" i="1"/>
  <c r="H102" i="1" s="1"/>
  <c r="F75" i="1"/>
  <c r="F82" i="1" s="1"/>
  <c r="J83" i="1"/>
  <c r="J90" i="1" s="1"/>
  <c r="N81" i="1"/>
  <c r="K88" i="1"/>
  <c r="F85" i="1"/>
  <c r="F92" i="1" s="1"/>
  <c r="O68" i="1"/>
  <c r="L80" i="1" s="1"/>
  <c r="L76" i="1"/>
  <c r="K66" i="1"/>
  <c r="F79" i="1"/>
  <c r="K67" i="1"/>
  <c r="I79" i="1" s="1"/>
  <c r="O66" i="1"/>
  <c r="J78" i="1"/>
  <c r="J77" i="1"/>
  <c r="F80" i="1"/>
  <c r="K68" i="1"/>
  <c r="I80" i="1" s="1"/>
  <c r="I75" i="1"/>
  <c r="I76" i="1"/>
  <c r="J87" i="1"/>
  <c r="L82" i="1"/>
  <c r="F50" i="3"/>
  <c r="B51" i="3"/>
  <c r="D51" i="3" s="1"/>
  <c r="F51" i="3"/>
  <c r="L46" i="6"/>
  <c r="J46" i="6"/>
  <c r="J45" i="6"/>
  <c r="H48" i="6"/>
  <c r="J48" i="6" s="1"/>
  <c r="L53" i="6"/>
  <c r="F49" i="6"/>
  <c r="D52" i="6"/>
  <c r="F52" i="6" s="1"/>
  <c r="F45" i="6"/>
  <c r="D48" i="6"/>
  <c r="K45" i="6"/>
  <c r="I48" i="6"/>
  <c r="L50" i="6"/>
  <c r="J50" i="6"/>
  <c r="D53" i="6"/>
  <c r="F53" i="6" s="1"/>
  <c r="F50" i="6"/>
  <c r="G53" i="6"/>
  <c r="E53" i="6"/>
  <c r="C48" i="6"/>
  <c r="E45" i="6"/>
  <c r="G45" i="6"/>
  <c r="C52" i="6"/>
  <c r="E49" i="6"/>
  <c r="G49" i="6"/>
  <c r="H52" i="6"/>
  <c r="J49" i="6"/>
  <c r="L49" i="6"/>
  <c r="N50" i="3"/>
  <c r="L51" i="3"/>
  <c r="P50" i="3"/>
  <c r="Q51" i="3"/>
  <c r="S50" i="3"/>
  <c r="U50" i="3"/>
  <c r="T50" i="3"/>
  <c r="R51" i="3"/>
  <c r="T51" i="3" s="1"/>
  <c r="J86" i="1" l="1"/>
  <c r="J93" i="1" s="1"/>
  <c r="L87" i="1"/>
  <c r="L83" i="1"/>
  <c r="K95" i="1"/>
  <c r="F86" i="1"/>
  <c r="I78" i="1"/>
  <c r="I77" i="1"/>
  <c r="I86" i="1"/>
  <c r="J85" i="1"/>
  <c r="I87" i="1"/>
  <c r="L78" i="1"/>
  <c r="L77" i="1"/>
  <c r="F87" i="1"/>
  <c r="J84" i="1"/>
  <c r="I83" i="1"/>
  <c r="F89" i="1"/>
  <c r="F98" i="1"/>
  <c r="F90" i="1"/>
  <c r="I82" i="1"/>
  <c r="F99" i="1"/>
  <c r="L94" i="1"/>
  <c r="L93" i="1"/>
  <c r="J94" i="1"/>
  <c r="L89" i="1"/>
  <c r="J97" i="1"/>
  <c r="H51" i="6"/>
  <c r="L51" i="6" s="1"/>
  <c r="L48" i="6"/>
  <c r="F48" i="6"/>
  <c r="D51" i="6"/>
  <c r="F51" i="6" s="1"/>
  <c r="I51" i="6"/>
  <c r="K51" i="6" s="1"/>
  <c r="K48" i="6"/>
  <c r="J52" i="6"/>
  <c r="L52" i="6"/>
  <c r="C51" i="6"/>
  <c r="E48" i="6"/>
  <c r="G48" i="6"/>
  <c r="E52" i="6"/>
  <c r="G52" i="6"/>
  <c r="S51" i="3"/>
  <c r="U51" i="3"/>
  <c r="N51" i="3"/>
  <c r="P51" i="3"/>
  <c r="J51" i="6" l="1"/>
  <c r="L90" i="1"/>
  <c r="K102" i="1"/>
  <c r="I84" i="1"/>
  <c r="F93" i="1"/>
  <c r="I85" i="1"/>
  <c r="I93" i="1"/>
  <c r="F94" i="1"/>
  <c r="J91" i="1"/>
  <c r="I94" i="1"/>
  <c r="L84" i="1"/>
  <c r="J92" i="1"/>
  <c r="L85" i="1"/>
  <c r="I89" i="1"/>
  <c r="I90" i="1"/>
  <c r="F96" i="1"/>
  <c r="F97" i="1"/>
  <c r="J101" i="1"/>
  <c r="L101" i="1"/>
  <c r="J100" i="1"/>
  <c r="L100" i="1"/>
  <c r="L96" i="1"/>
  <c r="G51" i="6"/>
  <c r="E51" i="6"/>
  <c r="L97" i="1" l="1"/>
  <c r="I91" i="1"/>
  <c r="I100" i="1"/>
  <c r="F100" i="1"/>
  <c r="I92" i="1"/>
  <c r="J99" i="1"/>
  <c r="L92" i="1"/>
  <c r="I101" i="1"/>
  <c r="L91" i="1"/>
  <c r="J98" i="1"/>
  <c r="F101" i="1"/>
  <c r="I96" i="1"/>
  <c r="I97" i="1"/>
  <c r="I99" i="1" l="1"/>
  <c r="I98" i="1"/>
  <c r="L98" i="1"/>
  <c r="L99" i="1"/>
</calcChain>
</file>

<file path=xl/comments1.xml><?xml version="1.0" encoding="utf-8"?>
<comments xmlns="http://schemas.openxmlformats.org/spreadsheetml/2006/main">
  <authors>
    <author>Huang, Jia Chang</author>
  </authors>
  <commentList>
    <comment ref="C20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Standard size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Compact size</t>
        </r>
      </text>
    </comment>
    <comment ref="C22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Standard size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Compact size</t>
        </r>
      </text>
    </comment>
  </commentList>
</comments>
</file>

<file path=xl/sharedStrings.xml><?xml version="1.0" encoding="utf-8"?>
<sst xmlns="http://schemas.openxmlformats.org/spreadsheetml/2006/main" count="1057" uniqueCount="316">
  <si>
    <t>Product Type</t>
  </si>
  <si>
    <t>Size</t>
  </si>
  <si>
    <t>Voltage (V)</t>
  </si>
  <si>
    <t>Minimum Combined Energy Factor (lbs/kWh)</t>
  </si>
  <si>
    <t>Any</t>
  </si>
  <si>
    <t>Ventless or Vented Electric</t>
  </si>
  <si>
    <t>Standard*</t>
  </si>
  <si>
    <t>Compact**</t>
  </si>
  <si>
    <t>Vented Electric</t>
  </si>
  <si>
    <t>Ventless Electric</t>
  </si>
  <si>
    <t>Conventional Clothes Dryers</t>
  </si>
  <si>
    <t>* Standard is 4.4 cu-ft or greater</t>
  </si>
  <si>
    <t>** Compact is less than 4.4 cu-ft</t>
  </si>
  <si>
    <t>where</t>
  </si>
  <si>
    <t xml:space="preserve">pounds of laundry dried per cycle = </t>
  </si>
  <si>
    <t>UEC (kWh/yr)</t>
  </si>
  <si>
    <t>unit energy consumption in kWh</t>
  </si>
  <si>
    <t xml:space="preserve">CEF = </t>
  </si>
  <si>
    <t>combined energy factor</t>
  </si>
  <si>
    <t>Energy Savings</t>
  </si>
  <si>
    <t>Non-Qualified UEC (kWh/yr)</t>
  </si>
  <si>
    <t>UES (kWh/yr)</t>
  </si>
  <si>
    <t>Conventional Clothes Dryers - Converted to D2 Protocol Equivalents</t>
  </si>
  <si>
    <t>Energy Savings with Interactive Effects</t>
  </si>
  <si>
    <t>UEC =</t>
  </si>
  <si>
    <t>Hours of Operation</t>
  </si>
  <si>
    <t>Active</t>
  </si>
  <si>
    <t>Idle</t>
  </si>
  <si>
    <t>Sleep</t>
  </si>
  <si>
    <t>Total</t>
  </si>
  <si>
    <t>Off</t>
  </si>
  <si>
    <t>Power Consumption (W)</t>
  </si>
  <si>
    <t>HOU Assumptions</t>
  </si>
  <si>
    <t>Base Case UEC</t>
  </si>
  <si>
    <t xml:space="preserve"> (kWh/yr)</t>
  </si>
  <si>
    <t>ENERGY STAR UEC</t>
  </si>
  <si>
    <t>Base Case Power Draw Assumptions</t>
  </si>
  <si>
    <t>ENERGY STAR Power Draw Assumptions</t>
  </si>
  <si>
    <t xml:space="preserve"> (therms/yr)</t>
  </si>
  <si>
    <t>(kWh/yr.)</t>
  </si>
  <si>
    <t>ENERGY STAR +50% Power Draw Assumptions</t>
  </si>
  <si>
    <t>ENERGY STAR +50% UEC</t>
  </si>
  <si>
    <t>Vented Gas</t>
  </si>
  <si>
    <t>UES (therms/yr)</t>
  </si>
  <si>
    <t>per year according to the DOE TSD</t>
  </si>
  <si>
    <r>
      <t>cycles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 </t>
    </r>
  </si>
  <si>
    <t>NA</t>
  </si>
  <si>
    <t xml:space="preserve">UES = </t>
  </si>
  <si>
    <t>unit energy savings in kWh/year</t>
  </si>
  <si>
    <r>
      <t>C</t>
    </r>
    <r>
      <rPr>
        <vertAlign val="subscript"/>
        <sz val="12"/>
        <color theme="1"/>
        <rFont val="Calibri"/>
        <family val="2"/>
        <scheme val="minor"/>
      </rPr>
      <t>standard</t>
    </r>
    <r>
      <rPr>
        <sz val="12"/>
        <color theme="1"/>
        <rFont val="Calibri"/>
        <family val="2"/>
        <scheme val="minor"/>
      </rPr>
      <t xml:space="preserve"> = </t>
    </r>
  </si>
  <si>
    <r>
      <t>C</t>
    </r>
    <r>
      <rPr>
        <vertAlign val="subscript"/>
        <sz val="12"/>
        <color theme="1"/>
        <rFont val="Calibri"/>
        <family val="2"/>
        <scheme val="minor"/>
      </rPr>
      <t>compact</t>
    </r>
    <r>
      <rPr>
        <sz val="12"/>
        <color theme="1"/>
        <rFont val="Calibri"/>
        <family val="2"/>
        <scheme val="minor"/>
      </rPr>
      <t xml:space="preserve"> = </t>
    </r>
  </si>
  <si>
    <t xml:space="preserve">CDF = </t>
  </si>
  <si>
    <t>IOU: PGE, SCE, SDGE</t>
  </si>
  <si>
    <t>Building Vintage: Existing</t>
  </si>
  <si>
    <t>Climate Zone: IOU Territory</t>
  </si>
  <si>
    <t>Lighting Type: CFL</t>
  </si>
  <si>
    <t>Building Type: Res</t>
  </si>
  <si>
    <t>HVAC Interactive Effects Factors</t>
  </si>
  <si>
    <t>kWh/kWh</t>
  </si>
  <si>
    <t>kW/kW</t>
  </si>
  <si>
    <t>therm/kWh</t>
  </si>
  <si>
    <t>PG&amp;E</t>
  </si>
  <si>
    <t>SCE</t>
  </si>
  <si>
    <t>SCG</t>
  </si>
  <si>
    <t>SDG&amp;E</t>
  </si>
  <si>
    <t>Utility</t>
  </si>
  <si>
    <t>PGE</t>
  </si>
  <si>
    <t>SDGE</t>
  </si>
  <si>
    <t>Without Interactive Effects</t>
  </si>
  <si>
    <t>Gas increase (therms/yr)</t>
  </si>
  <si>
    <t>With Interactive Effects</t>
  </si>
  <si>
    <t>UES</t>
  </si>
  <si>
    <t>kWh/year</t>
  </si>
  <si>
    <t>kW/year</t>
  </si>
  <si>
    <t>Clothes Dryer Calculations</t>
  </si>
  <si>
    <t>Air Cleaner Calculations</t>
  </si>
  <si>
    <t>Efficiency (CADR/W)</t>
  </si>
  <si>
    <t>Idle Power Draw (W)</t>
  </si>
  <si>
    <t>Active Power Draw (W)</t>
  </si>
  <si>
    <t>(W)</t>
  </si>
  <si>
    <t>Room Air Conditioner Calculations</t>
  </si>
  <si>
    <t>Product Class</t>
  </si>
  <si>
    <t>Louvered Sides?</t>
  </si>
  <si>
    <t>Yes</t>
  </si>
  <si>
    <t>Size Bin (Btu/h)</t>
  </si>
  <si>
    <t>Room Air Conditioner</t>
  </si>
  <si>
    <t>8000 - 13999</t>
  </si>
  <si>
    <t>(kW/year)</t>
  </si>
  <si>
    <t>Savings</t>
  </si>
  <si>
    <t>Size Bin (CADR)</t>
  </si>
  <si>
    <t>Sales-weighted average size (CADR)</t>
  </si>
  <si>
    <t>&lt; 100</t>
  </si>
  <si>
    <t>100 - 150</t>
  </si>
  <si>
    <t>&gt; 150</t>
  </si>
  <si>
    <t>Electric Vented</t>
  </si>
  <si>
    <t>DOE</t>
  </si>
  <si>
    <t>PNNL</t>
  </si>
  <si>
    <t>ORNL</t>
  </si>
  <si>
    <t>Source</t>
  </si>
  <si>
    <t>Appendix D1 CEF (lbs/kWh)</t>
  </si>
  <si>
    <t>Appendix D2 CEF (lbs/kWh)</t>
  </si>
  <si>
    <t>D1 vs. D2 Test Protocol Data</t>
  </si>
  <si>
    <t>Electric Ventless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</si>
  <si>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Standard Electric</t>
    </r>
    <r>
      <rPr>
        <sz val="12"/>
        <color theme="1"/>
        <rFont val="Calibri"/>
        <family val="2"/>
        <scheme val="minor"/>
      </rPr>
      <t xml:space="preserve"> =</t>
    </r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</si>
  <si>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Compact Electric</t>
    </r>
    <r>
      <rPr>
        <sz val="12"/>
        <color theme="1"/>
        <rFont val="Calibri"/>
        <family val="2"/>
        <scheme val="minor"/>
      </rPr>
      <t xml:space="preserve"> =</t>
    </r>
  </si>
  <si>
    <t>AVG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</si>
  <si>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</t>
    </r>
  </si>
  <si>
    <t>--</t>
  </si>
  <si>
    <t>Soundbar Calculations</t>
  </si>
  <si>
    <r>
      <t>cycles</t>
    </r>
    <r>
      <rPr>
        <vertAlign val="subscript"/>
        <sz val="12"/>
        <color theme="1"/>
        <rFont val="Calibri"/>
        <family val="2"/>
        <scheme val="minor"/>
      </rPr>
      <t>electric standard</t>
    </r>
    <r>
      <rPr>
        <sz val="12"/>
        <color theme="1"/>
        <rFont val="Calibri"/>
        <family val="2"/>
        <scheme val="minor"/>
      </rPr>
      <t xml:space="preserve"> = </t>
    </r>
  </si>
  <si>
    <r>
      <t>cycles</t>
    </r>
    <r>
      <rPr>
        <vertAlign val="subscript"/>
        <sz val="12"/>
        <color theme="1"/>
        <rFont val="Calibri"/>
        <family val="2"/>
        <scheme val="minor"/>
      </rPr>
      <t>electric compact</t>
    </r>
    <r>
      <rPr>
        <sz val="12"/>
        <color theme="1"/>
        <rFont val="Calibri"/>
        <family val="2"/>
        <scheme val="minor"/>
      </rPr>
      <t xml:space="preserve"> = </t>
    </r>
  </si>
  <si>
    <t>Equations for Maximum Energy Use (kWh/yr)</t>
  </si>
  <si>
    <t>Based on AV (cu. ft.)</t>
  </si>
  <si>
    <t>8. Upright freezers with manual defrost.</t>
  </si>
  <si>
    <t>5.57AV + 193.7</t>
  </si>
  <si>
    <t xml:space="preserve">9. Upright freezers with automatic defrost without an automatic icemaker. </t>
  </si>
  <si>
    <t>8.62AV + 228.3</t>
  </si>
  <si>
    <t xml:space="preserve">9I. Upright freezers with automatic defrost with an automatic icemaker. </t>
  </si>
  <si>
    <t>8.62AV + 312.3</t>
  </si>
  <si>
    <t>9-BI. Built-In Upright freezers with automatic defrost without an automatic icemaker.</t>
  </si>
  <si>
    <t>9.86AV + 260.9</t>
  </si>
  <si>
    <t>9I-BI. Built-in upright freezers with automatic defrost with an automatic icemaker.</t>
  </si>
  <si>
    <t>9.86AV + 344.9</t>
  </si>
  <si>
    <t>10. Chest freezers and all other freezers except compact freezers.</t>
  </si>
  <si>
    <t>7.29AV + 107.8</t>
  </si>
  <si>
    <t>10A. Chest freezers with automatic defrost.</t>
  </si>
  <si>
    <t>10.24AV + 148.1</t>
  </si>
  <si>
    <t>Freezer Calculations</t>
  </si>
  <si>
    <t>Average Sizes Based on ENERGY STAR QPL</t>
  </si>
  <si>
    <t xml:space="preserve">5.01AV + 174.3 </t>
  </si>
  <si>
    <t xml:space="preserve">7.76AV + 205.5 </t>
  </si>
  <si>
    <t xml:space="preserve">7.76AV + 289.5 </t>
  </si>
  <si>
    <t xml:space="preserve">8.87AV + 234.8 </t>
  </si>
  <si>
    <t xml:space="preserve">8.87AV + 318.8 </t>
  </si>
  <si>
    <t xml:space="preserve">6.56AV + 97.0 </t>
  </si>
  <si>
    <t xml:space="preserve">9.22AV + 133.3 </t>
  </si>
  <si>
    <t>AV (cu. ft.)</t>
  </si>
  <si>
    <t>No qualifying models</t>
  </si>
  <si>
    <t>(kWh/year)</t>
  </si>
  <si>
    <t>13 - 16</t>
  </si>
  <si>
    <t>&lt; 13</t>
  </si>
  <si>
    <t>&gt; 16</t>
  </si>
  <si>
    <t>UEC for Average Size on QPL (kWh/year)</t>
  </si>
  <si>
    <t>UEC for Representative Size (kWh/year)</t>
  </si>
  <si>
    <t>Difference from DEER</t>
  </si>
  <si>
    <t>UESs</t>
  </si>
  <si>
    <t>ENERGY STAR + 50%</t>
  </si>
  <si>
    <t xml:space="preserve"> kWh/yr</t>
  </si>
  <si>
    <t xml:space="preserve"> therms/yr</t>
  </si>
  <si>
    <t>UEC by Mode</t>
  </si>
  <si>
    <t>ENERGY STAR UES</t>
  </si>
  <si>
    <t>ENERGY STAR +10% UES</t>
  </si>
  <si>
    <t>UEC for Average Size on QPL 
(kWh/year)</t>
  </si>
  <si>
    <t>Base Case (Federal Standard Maximum)</t>
  </si>
  <si>
    <t>Basic Tier Measure Case (ENERGY STAR Maximum)</t>
  </si>
  <si>
    <t xml:space="preserve">4.76AV + 165.6 </t>
  </si>
  <si>
    <t>7.37AV + 195.2</t>
  </si>
  <si>
    <t>Advanced Tier Measure Case (ENERGY STAR Maximum -5%)</t>
  </si>
  <si>
    <t xml:space="preserve">6.23AV + 92.2 </t>
  </si>
  <si>
    <t xml:space="preserve">8.76AV + 126.6 </t>
  </si>
  <si>
    <t xml:space="preserve">Basic Tier UES for Average Size on QPL   </t>
  </si>
  <si>
    <t xml:space="preserve">Basic Tier UES for Representative Size  </t>
  </si>
  <si>
    <t xml:space="preserve">Advanced Tier UES for Representative Size  </t>
  </si>
  <si>
    <t>ENERGY STAR +30% UEC</t>
  </si>
  <si>
    <t>Bin Representative Size from DEER 
(AV in cu. ft.)</t>
  </si>
  <si>
    <t>(therm/year)</t>
  </si>
  <si>
    <t xml:space="preserve">Basic Tier UES from DEER </t>
  </si>
  <si>
    <t xml:space="preserve">Advanced Tier UES Scaled from DEER </t>
  </si>
  <si>
    <t>(cu. ft.)</t>
  </si>
  <si>
    <t xml:space="preserve">Size Bin </t>
  </si>
  <si>
    <t>(kW)</t>
  </si>
  <si>
    <t>ENERGY STAR +15% Power Draw Assumptions</t>
  </si>
  <si>
    <t>ENERGY STAR +15% UEC</t>
  </si>
  <si>
    <t>ENERGY STAR + 15%</t>
  </si>
  <si>
    <t>ENERGY STAR</t>
  </si>
  <si>
    <t>ENERGY STAR +75% Power Draw Assumptions</t>
  </si>
  <si>
    <t>ENERGY STAR +75% UEC</t>
  </si>
  <si>
    <t>ENERGY STAR + 75%</t>
  </si>
  <si>
    <t>kW</t>
  </si>
  <si>
    <t>Basic Tier UEC (kWh/yr)</t>
  </si>
  <si>
    <t>Basic Tier UES (kWh/yr)</t>
  </si>
  <si>
    <t xml:space="preserve">Basic Tier kW reduction </t>
  </si>
  <si>
    <t>Basic Tier (ENERGY STAR) Clothes Dryers</t>
  </si>
  <si>
    <t>Advanced Tier UEC (kWh/yr)</t>
  </si>
  <si>
    <t>Advanced Tier UES (kWh/yr)</t>
  </si>
  <si>
    <t>Basic Tier UES (therms/yr)</t>
  </si>
  <si>
    <t>Advanced Tier UES (therms/yr)</t>
  </si>
  <si>
    <t>Basic Tier</t>
  </si>
  <si>
    <t>Advanced Tier</t>
  </si>
  <si>
    <t xml:space="preserve">kW reduction </t>
  </si>
  <si>
    <t>kW reduction</t>
  </si>
  <si>
    <t xml:space="preserve">Advanced Tier kW reduction </t>
  </si>
  <si>
    <t>Climate Zone</t>
  </si>
  <si>
    <t>Sources</t>
  </si>
  <si>
    <t>Estimated Annual Energy Savings (kWh/unit)</t>
  </si>
  <si>
    <t>Estimated Energy Peak Demand Reduction (kW/unit)</t>
  </si>
  <si>
    <t>Residential Retrofit HIM evaluation Report</t>
  </si>
  <si>
    <t>RASS EUC scaling factor</t>
  </si>
  <si>
    <t>Savings Values from SCE Workpaper</t>
  </si>
  <si>
    <t>Weight</t>
  </si>
  <si>
    <t>Weighted Savings Values for Basic Tier (ENERGY STAR)</t>
  </si>
  <si>
    <t>Savings Values Using Engineering Algorithm &amp; Split AC EFLH</t>
  </si>
  <si>
    <t>% Difference</t>
  </si>
  <si>
    <t>% Higher Than Basic Tier</t>
  </si>
  <si>
    <r>
      <t>EER</t>
    </r>
    <r>
      <rPr>
        <vertAlign val="subscript"/>
        <sz val="12"/>
        <color theme="1"/>
        <rFont val="Calibri (Body)"/>
      </rPr>
      <t xml:space="preserve">ENERGY STAR </t>
    </r>
    <r>
      <rPr>
        <sz val="12"/>
        <color theme="1"/>
        <rFont val="Calibri"/>
        <family val="2"/>
        <scheme val="minor"/>
      </rPr>
      <t xml:space="preserve">= </t>
    </r>
  </si>
  <si>
    <r>
      <t>EER</t>
    </r>
    <r>
      <rPr>
        <vertAlign val="subscript"/>
        <sz val="12"/>
        <color theme="1"/>
        <rFont val="Calibri (Body)"/>
      </rPr>
      <t>Baseline</t>
    </r>
    <r>
      <rPr>
        <sz val="12"/>
        <color theme="1"/>
        <rFont val="Calibri"/>
        <family val="2"/>
        <scheme val="minor"/>
      </rPr>
      <t xml:space="preserve"> = </t>
    </r>
  </si>
  <si>
    <t xml:space="preserve">Cap = </t>
  </si>
  <si>
    <t>Btu/h</t>
  </si>
  <si>
    <t>SCE Workpaper Assumptions</t>
  </si>
  <si>
    <t>CEER (Btu/Wh)</t>
  </si>
  <si>
    <t xml:space="preserve">DEER Climate Zone Weights </t>
  </si>
  <si>
    <t>DEER Full Load Cooling Hours for Split Acs</t>
  </si>
  <si>
    <t>DEER kW/kWh</t>
  </si>
  <si>
    <t>Savings using DEER Split AC FLHc</t>
  </si>
  <si>
    <t>Estimated Peak Demand Reduction (kW/unit)</t>
  </si>
  <si>
    <t>coincident demand factor for clothes dryers from Building America Analysis spreadsheet</t>
  </si>
  <si>
    <t>ENERGY STAR Qualifying Criteria</t>
  </si>
  <si>
    <t>ENERGY STAR +10% Qualifying Criteria</t>
  </si>
  <si>
    <t>Base Case (Federal minimum)</t>
  </si>
  <si>
    <t>RMC of clothes prior to drying prescribed by DOE appendix D2 test procedure</t>
  </si>
  <si>
    <t>final moisture content of dryer load per the DOE appendix D2 test procedure</t>
  </si>
  <si>
    <t>from DEER</t>
  </si>
  <si>
    <r>
      <t>RMC</t>
    </r>
    <r>
      <rPr>
        <vertAlign val="subscript"/>
        <sz val="12"/>
        <color theme="1"/>
        <rFont val="Calibri (Body)"/>
      </rPr>
      <t>red</t>
    </r>
    <r>
      <rPr>
        <sz val="12"/>
        <color theme="1"/>
        <rFont val="Calibri"/>
        <family val="2"/>
        <scheme val="minor"/>
      </rPr>
      <t xml:space="preserve"> = </t>
    </r>
  </si>
  <si>
    <t>a factor accounting for the lower remaining moisture content (RMC) of clothes washed in ENERGY STAR washers</t>
  </si>
  <si>
    <r>
      <t>RMC</t>
    </r>
    <r>
      <rPr>
        <vertAlign val="subscript"/>
        <sz val="12"/>
        <color theme="1"/>
        <rFont val="Calibri (Body)"/>
      </rPr>
      <t>w,D2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</si>
  <si>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w,ENERGY STAR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</si>
  <si>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d,D2</t>
    </r>
    <r>
      <rPr>
        <sz val="12"/>
        <color theme="1"/>
        <rFont val="Calibri"/>
        <family val="2"/>
        <scheme val="minor"/>
      </rPr>
      <t xml:space="preserve"> = </t>
    </r>
  </si>
  <si>
    <t xml:space="preserve">Vented electric dryer internal heat gain fraction = </t>
  </si>
  <si>
    <t xml:space="preserve">Unit Type = </t>
  </si>
  <si>
    <t>room air conditioner with louvered sides</t>
  </si>
  <si>
    <t>Size (Btu/h)</t>
  </si>
  <si>
    <t>N/A</t>
  </si>
  <si>
    <t>Refrigerator Calculations</t>
  </si>
  <si>
    <t>RE-RefgFrz-Wtd-Tier1</t>
  </si>
  <si>
    <t>exante database tables: EnImpact</t>
  </si>
  <si>
    <t>This file created on 12/21/2016 6:20:40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</si>
  <si>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</si>
  <si>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</si>
  <si>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</si>
  <si>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</si>
  <si>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</si>
  <si>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</si>
  <si>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</si>
  <si>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</si>
  <si>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</si>
  <si>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</si>
  <si>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</si>
  <si>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</si>
  <si>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</si>
  <si>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</si>
  <si>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</si>
  <si>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</si>
  <si>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</si>
  <si>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</si>
  <si>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</si>
  <si>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</si>
  <si>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</si>
  <si>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</si>
  <si>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</si>
  <si>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</si>
  <si>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</si>
  <si>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</si>
  <si>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</si>
  <si>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</si>
  <si>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</si>
  <si>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</si>
  <si>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</si>
  <si>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</si>
  <si>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</si>
  <si>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Res-Frzr-dKWH-Cond</t>
  </si>
  <si>
    <t>DEER2017</t>
  </si>
  <si>
    <t>D17 v1</t>
  </si>
  <si>
    <t>SDG</t>
  </si>
  <si>
    <t>Res</t>
  </si>
  <si>
    <t>Ex</t>
  </si>
  <si>
    <t>rWtd</t>
  </si>
  <si>
    <t>IOU</t>
  </si>
  <si>
    <t>Household</t>
  </si>
  <si>
    <t>None</t>
  </si>
  <si>
    <t>DEER:Res:RefgFrzr_HighEff</t>
  </si>
  <si>
    <t>Annual</t>
  </si>
  <si>
    <t>Residential</t>
  </si>
  <si>
    <t>Existing</t>
  </si>
  <si>
    <t>IOU Territory</t>
  </si>
  <si>
    <t>RPP Measure</t>
  </si>
  <si>
    <t>Measure ID</t>
  </si>
  <si>
    <t>Refrigerators - weighted (ESME)</t>
  </si>
  <si>
    <t>DEER 2017 Residential HVAC Interactive Effects Factors</t>
  </si>
  <si>
    <t>DEER Version: 2017</t>
  </si>
  <si>
    <t>PLF Assumptions</t>
  </si>
  <si>
    <t>Low</t>
  </si>
  <si>
    <t>Medium</t>
  </si>
  <si>
    <t>High</t>
  </si>
  <si>
    <t>Usage Frequency</t>
  </si>
  <si>
    <t>Relative Power Draw</t>
  </si>
  <si>
    <t>PLF</t>
  </si>
  <si>
    <t>RMC of clothes washed in ENERGY STAR compliant clothes washers (standard 35% and compact 38%), per 2012 DOE Clothes Washers TSD</t>
  </si>
  <si>
    <t>percentage of dryers in unconditioned space</t>
  </si>
  <si>
    <t>percentage of dryers in conditioned space</t>
  </si>
  <si>
    <t>percentage of compact dryers paired with compact washers</t>
  </si>
  <si>
    <t>percentage of compact dryers paired with standard washers</t>
  </si>
  <si>
    <t>Application of interactive factors (Source: PG&amp;E Customer Voice Panel Research)</t>
  </si>
  <si>
    <t>Compact Dryers (Source: PG&amp;E Customer Voice Panel Research)</t>
  </si>
  <si>
    <t>AP024, AP043</t>
  </si>
  <si>
    <t>AP025, AP044</t>
  </si>
  <si>
    <t>AP026, AP045</t>
  </si>
  <si>
    <t>AP027, AP046</t>
  </si>
  <si>
    <t>AP028, AP047</t>
  </si>
  <si>
    <t>AP029, AP048</t>
  </si>
  <si>
    <t>AP030, AP049</t>
  </si>
  <si>
    <t>ENERGY STAR +30% Power Draw Assumptions</t>
  </si>
  <si>
    <t>ENERGY STAR + 50% Power Draw Assumptions</t>
  </si>
  <si>
    <t>Basic Tier (ENERGY STAR +30%)</t>
  </si>
  <si>
    <t>Advanced Tier (ENERGY STAR +50%)</t>
  </si>
  <si>
    <t>Advanced Tier (ENERGY STAR Most Efficient 2017) Clothes Dryers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</si>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</sst>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"/>
    <numFmt numFmtId="166" formatCode="0.0000"/>
    <numFmt numFmtId="167" formatCode="0.000"/>
    <numFmt numFmtId="168" formatCode="0.0%"/>
  </numFmts>
  <fonts count="4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Helv"/>
    </font>
    <font>
      <sz val="9"/>
      <color rgb="FF000000"/>
      <name val="Helv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name val="Calibri"/>
      <family val="2"/>
    </font>
    <font>
      <sz val="9"/>
      <color rgb="FF000000"/>
      <name val="Helvetica"/>
    </font>
    <font>
      <sz val="9"/>
      <name val="Helv"/>
    </font>
    <font>
      <sz val="12"/>
      <name val="Calibri"/>
      <family val="2"/>
      <scheme val="minor"/>
    </font>
    <font>
      <b/>
      <sz val="9"/>
      <color rgb="FF000000"/>
      <name val="Helvetica"/>
    </font>
    <font>
      <b/>
      <sz val="9"/>
      <name val="Helvetica"/>
    </font>
    <font>
      <b/>
      <sz val="10"/>
      <color theme="1"/>
      <name val="Arial"/>
      <family val="2"/>
    </font>
    <font>
      <vertAlign val="subscript"/>
      <sz val="12"/>
      <color theme="1"/>
      <name val="Calibri (Body)"/>
    </font>
    <font>
      <sz val="9"/>
      <color theme="1"/>
      <name val="Helvetica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9"/>
      <color theme="1"/>
      <name val="Helv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rgb="FFE4E5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9F9F8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8">
    <border>
      <left/>
      <right/>
      <top/>
      <bottom/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/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/>
      <bottom style="medium">
        <color rgb="FFD9D9D9"/>
      </bottom>
      <diagonal/>
    </border>
    <border>
      <left/>
      <right/>
      <top style="medium">
        <color rgb="FFD9D9D9"/>
      </top>
      <bottom/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/>
      <diagonal/>
    </border>
    <border>
      <left style="medium">
        <color rgb="FFD9D9D9"/>
      </left>
      <right/>
      <top style="medium">
        <color auto="1"/>
      </top>
      <bottom style="medium">
        <color rgb="FFD9D9D9"/>
      </bottom>
      <diagonal/>
    </border>
    <border>
      <left/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/>
      <top style="medium">
        <color rgb="FFD9D9D9"/>
      </top>
      <bottom style="medium">
        <color auto="1"/>
      </bottom>
      <diagonal/>
    </border>
    <border>
      <left/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D9D9D9"/>
      </left>
      <right/>
      <top/>
      <bottom style="medium">
        <color auto="1"/>
      </bottom>
      <diagonal/>
    </border>
    <border>
      <left/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 style="medium">
        <color rgb="FFD9D9D9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auto="1"/>
      </bottom>
      <diagonal/>
    </border>
    <border>
      <left style="medium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rgb="FFD9D9D9"/>
      </top>
      <bottom style="medium">
        <color auto="1"/>
      </bottom>
      <diagonal/>
    </border>
    <border>
      <left style="thin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auto="1"/>
      </bottom>
      <diagonal/>
    </border>
    <border>
      <left style="medium">
        <color auto="1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rgb="FFD9D9D9"/>
      </bottom>
      <diagonal/>
    </border>
    <border>
      <left/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rgb="FFD9D9D9"/>
      </left>
      <right style="medium">
        <color auto="1"/>
      </right>
      <top/>
      <bottom style="medium">
        <color rgb="FFD9D9D9"/>
      </bottom>
      <diagonal/>
    </border>
    <border>
      <left style="medium">
        <color rgb="FFD9D9D9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theme="1"/>
      </bottom>
      <diagonal/>
    </border>
    <border>
      <left/>
      <right style="medium">
        <color auto="1"/>
      </right>
      <top/>
      <bottom/>
      <diagonal/>
    </border>
    <border>
      <left style="medium">
        <color rgb="FFD9D9D9"/>
      </left>
      <right style="medium">
        <color rgb="FFD9D9D9"/>
      </right>
      <top style="medium">
        <color theme="1"/>
      </top>
      <bottom style="medium">
        <color rgb="FFD9D9D9"/>
      </bottom>
      <diagonal/>
    </border>
    <border>
      <left/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/>
      <diagonal/>
    </border>
    <border>
      <left style="medium">
        <color auto="1"/>
      </left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auto="1"/>
      </left>
      <right/>
      <top style="medium">
        <color theme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theme="1"/>
      </top>
      <bottom style="medium">
        <color rgb="FFD9D9D9"/>
      </bottom>
      <diagonal/>
    </border>
    <border>
      <left/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/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/>
      <diagonal/>
    </border>
    <border>
      <left/>
      <right style="medium">
        <color rgb="FFD9D9D9"/>
      </right>
      <top style="medium">
        <color auto="1"/>
      </top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D9D9D9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rgb="FFD9D9D9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rgb="FFD9D9D9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rgb="FFD9D9D9"/>
      </top>
      <bottom style="medium">
        <color auto="1"/>
      </bottom>
      <diagonal/>
    </border>
  </borders>
  <cellStyleXfs count="67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17" applyNumberFormat="0" applyFill="0" applyAlignment="0" applyProtection="0"/>
    <xf numFmtId="0" fontId="26" fillId="0" borderId="118" applyNumberFormat="0" applyFill="0" applyAlignment="0" applyProtection="0"/>
    <xf numFmtId="0" fontId="27" fillId="0" borderId="119" applyNumberFormat="0" applyFill="0" applyAlignment="0" applyProtection="0"/>
    <xf numFmtId="0" fontId="27" fillId="0" borderId="0" applyNumberFormat="0" applyFill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120" applyNumberFormat="0" applyAlignment="0" applyProtection="0"/>
    <xf numFmtId="0" fontId="32" fillId="15" borderId="121" applyNumberFormat="0" applyAlignment="0" applyProtection="0"/>
    <xf numFmtId="0" fontId="33" fillId="15" borderId="120" applyNumberFormat="0" applyAlignment="0" applyProtection="0"/>
    <xf numFmtId="0" fontId="34" fillId="0" borderId="122" applyNumberFormat="0" applyFill="0" applyAlignment="0" applyProtection="0"/>
    <xf numFmtId="0" fontId="35" fillId="16" borderId="123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25" applyNumberFormat="0" applyFill="0" applyAlignment="0" applyProtection="0"/>
    <xf numFmtId="0" fontId="3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39" fillId="41" borderId="0" applyNumberFormat="0" applyBorder="0" applyAlignment="0" applyProtection="0"/>
    <xf numFmtId="0" fontId="1" fillId="0" borderId="0"/>
    <xf numFmtId="0" fontId="40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" fillId="17" borderId="124" applyNumberFormat="0" applyFont="0" applyAlignment="0" applyProtection="0"/>
  </cellStyleXfs>
  <cellXfs count="54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" fontId="5" fillId="4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7" fillId="0" borderId="0" xfId="0" applyFont="1" applyAlignment="1"/>
    <xf numFmtId="0" fontId="4" fillId="5" borderId="2" xfId="0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3" fontId="5" fillId="4" borderId="8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1" fontId="5" fillId="4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quotePrefix="1"/>
    <xf numFmtId="2" fontId="5" fillId="4" borderId="5" xfId="0" applyNumberFormat="1" applyFont="1" applyFill="1" applyBorder="1" applyAlignment="1">
      <alignment horizontal="center" vertical="center" wrapText="1"/>
    </xf>
    <xf numFmtId="0" fontId="12" fillId="0" borderId="0" xfId="33"/>
    <xf numFmtId="0" fontId="13" fillId="0" borderId="0" xfId="34" applyAlignment="1">
      <alignment horizontal="left"/>
    </xf>
    <xf numFmtId="0" fontId="14" fillId="0" borderId="0" xfId="34" applyFont="1" applyAlignment="1">
      <alignment horizontal="left"/>
    </xf>
    <xf numFmtId="0" fontId="0" fillId="0" borderId="15" xfId="0" applyBorder="1"/>
    <xf numFmtId="0" fontId="8" fillId="0" borderId="15" xfId="0" applyFont="1" applyBorder="1"/>
    <xf numFmtId="2" fontId="12" fillId="0" borderId="15" xfId="33" applyNumberFormat="1" applyBorder="1" applyAlignment="1">
      <alignment horizontal="center"/>
    </xf>
    <xf numFmtId="0" fontId="5" fillId="3" borderId="6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7" borderId="16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horizontal="center" vertical="center" wrapText="1"/>
    </xf>
    <xf numFmtId="2" fontId="5" fillId="3" borderId="21" xfId="0" applyNumberFormat="1" applyFont="1" applyFill="1" applyBorder="1" applyAlignment="1">
      <alignment horizontal="center" vertical="center" wrapText="1"/>
    </xf>
    <xf numFmtId="2" fontId="5" fillId="4" borderId="23" xfId="0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5" fillId="3" borderId="27" xfId="0" applyFont="1" applyFill="1" applyBorder="1" applyAlignment="1">
      <alignment horizontal="center" vertical="center" wrapText="1"/>
    </xf>
    <xf numFmtId="2" fontId="5" fillId="3" borderId="27" xfId="0" applyNumberFormat="1" applyFont="1" applyFill="1" applyBorder="1" applyAlignment="1">
      <alignment horizontal="center" vertical="center" wrapText="1"/>
    </xf>
    <xf numFmtId="2" fontId="5" fillId="3" borderId="2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vertical="center" wrapText="1"/>
    </xf>
    <xf numFmtId="0" fontId="5" fillId="6" borderId="31" xfId="0" applyFont="1" applyFill="1" applyBorder="1" applyAlignment="1">
      <alignment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left" vertical="center" wrapText="1"/>
    </xf>
    <xf numFmtId="164" fontId="5" fillId="3" borderId="36" xfId="0" applyNumberFormat="1" applyFont="1" applyFill="1" applyBorder="1" applyAlignment="1">
      <alignment horizontal="center" vertical="center"/>
    </xf>
    <xf numFmtId="164" fontId="5" fillId="3" borderId="37" xfId="0" applyNumberFormat="1" applyFont="1" applyFill="1" applyBorder="1" applyAlignment="1">
      <alignment horizontal="center" vertical="center"/>
    </xf>
    <xf numFmtId="164" fontId="5" fillId="4" borderId="34" xfId="0" applyNumberFormat="1" applyFont="1" applyFill="1" applyBorder="1" applyAlignment="1">
      <alignment horizontal="center" vertical="center"/>
    </xf>
    <xf numFmtId="164" fontId="5" fillId="4" borderId="3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0" fontId="0" fillId="0" borderId="0" xfId="0" applyBorder="1"/>
    <xf numFmtId="166" fontId="15" fillId="3" borderId="8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5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7" fillId="0" borderId="0" xfId="0" applyFont="1" applyFill="1" applyBorder="1"/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2" fontId="16" fillId="0" borderId="23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horizontal="center" vertical="center" wrapText="1"/>
    </xf>
    <xf numFmtId="2" fontId="5" fillId="0" borderId="27" xfId="0" applyNumberFormat="1" applyFont="1" applyFill="1" applyBorder="1" applyAlignment="1">
      <alignment horizontal="center" vertical="center" wrapText="1"/>
    </xf>
    <xf numFmtId="2" fontId="5" fillId="0" borderId="28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0" fillId="0" borderId="0" xfId="0" applyBorder="1" applyAlignment="1"/>
    <xf numFmtId="164" fontId="5" fillId="4" borderId="8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5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2" fontId="18" fillId="4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2" fontId="18" fillId="4" borderId="2" xfId="0" applyNumberFormat="1" applyFont="1" applyFill="1" applyBorder="1" applyAlignment="1">
      <alignment horizontal="center" vertical="center" wrapText="1"/>
    </xf>
    <xf numFmtId="0" fontId="15" fillId="4" borderId="5" xfId="0" quotePrefix="1" applyFont="1" applyFill="1" applyBorder="1" applyAlignment="1">
      <alignment horizontal="center" vertical="center" wrapText="1"/>
    </xf>
    <xf numFmtId="0" fontId="15" fillId="4" borderId="2" xfId="0" quotePrefix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20" fillId="8" borderId="39" xfId="0" applyFont="1" applyFill="1" applyBorder="1" applyAlignment="1">
      <alignment horizontal="center" vertical="center" wrapText="1"/>
    </xf>
    <xf numFmtId="164" fontId="6" fillId="0" borderId="39" xfId="0" applyNumberFormat="1" applyFont="1" applyBorder="1" applyAlignment="1">
      <alignment horizontal="center" vertical="center" wrapText="1"/>
    </xf>
    <xf numFmtId="0" fontId="6" fillId="8" borderId="40" xfId="0" applyFont="1" applyFill="1" applyBorder="1" applyAlignment="1">
      <alignment horizontal="center" vertical="center" wrapText="1"/>
    </xf>
    <xf numFmtId="164" fontId="6" fillId="0" borderId="41" xfId="0" applyNumberFormat="1" applyFont="1" applyBorder="1" applyAlignment="1">
      <alignment horizontal="center" vertical="center" wrapText="1"/>
    </xf>
    <xf numFmtId="164" fontId="6" fillId="0" borderId="29" xfId="0" applyNumberFormat="1" applyFont="1" applyBorder="1" applyAlignment="1">
      <alignment horizontal="center" vertical="center" wrapText="1"/>
    </xf>
    <xf numFmtId="0" fontId="0" fillId="0" borderId="39" xfId="0" applyBorder="1"/>
    <xf numFmtId="0" fontId="6" fillId="0" borderId="39" xfId="0" applyFont="1" applyBorder="1" applyAlignment="1">
      <alignment horizontal="center" vertical="center" wrapText="1"/>
    </xf>
    <xf numFmtId="164" fontId="6" fillId="0" borderId="49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50" xfId="0" applyNumberFormat="1" applyFont="1" applyBorder="1" applyAlignment="1">
      <alignment horizontal="center" vertical="center" wrapText="1"/>
    </xf>
    <xf numFmtId="165" fontId="5" fillId="3" borderId="52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9" fontId="0" fillId="0" borderId="0" xfId="555" applyFont="1" applyFill="1" applyBorder="1"/>
    <xf numFmtId="9" fontId="0" fillId="0" borderId="0" xfId="555" applyFo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5" fillId="0" borderId="1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165" fontId="5" fillId="4" borderId="34" xfId="0" applyNumberFormat="1" applyFont="1" applyFill="1" applyBorder="1" applyAlignment="1">
      <alignment horizontal="center" vertical="center"/>
    </xf>
    <xf numFmtId="165" fontId="5" fillId="3" borderId="36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/>
    </xf>
    <xf numFmtId="0" fontId="4" fillId="5" borderId="1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 wrapText="1"/>
    </xf>
    <xf numFmtId="0" fontId="0" fillId="0" borderId="39" xfId="0" applyFill="1" applyBorder="1"/>
    <xf numFmtId="164" fontId="6" fillId="0" borderId="54" xfId="0" applyNumberFormat="1" applyFont="1" applyBorder="1" applyAlignment="1">
      <alignment horizontal="center" vertical="center" wrapText="1"/>
    </xf>
    <xf numFmtId="0" fontId="0" fillId="0" borderId="55" xfId="0" applyBorder="1"/>
    <xf numFmtId="9" fontId="6" fillId="0" borderId="41" xfId="555" applyFont="1" applyBorder="1" applyAlignment="1">
      <alignment horizontal="center" vertical="center" wrapText="1"/>
    </xf>
    <xf numFmtId="9" fontId="0" fillId="0" borderId="39" xfId="555" applyFont="1" applyBorder="1"/>
    <xf numFmtId="167" fontId="6" fillId="0" borderId="39" xfId="0" applyNumberFormat="1" applyFont="1" applyBorder="1" applyAlignment="1">
      <alignment horizontal="center" vertical="center" wrapText="1"/>
    </xf>
    <xf numFmtId="167" fontId="0" fillId="0" borderId="39" xfId="0" applyNumberFormat="1" applyBorder="1"/>
    <xf numFmtId="9" fontId="6" fillId="0" borderId="0" xfId="555" applyFont="1" applyBorder="1" applyAlignment="1">
      <alignment horizontal="center" vertical="center" wrapText="1"/>
    </xf>
    <xf numFmtId="9" fontId="0" fillId="0" borderId="0" xfId="555" applyFont="1" applyBorder="1"/>
    <xf numFmtId="167" fontId="6" fillId="0" borderId="54" xfId="0" applyNumberFormat="1" applyFont="1" applyBorder="1" applyAlignment="1">
      <alignment horizontal="center" vertical="center" wrapText="1"/>
    </xf>
    <xf numFmtId="167" fontId="0" fillId="0" borderId="55" xfId="0" applyNumberFormat="1" applyBorder="1"/>
    <xf numFmtId="0" fontId="6" fillId="0" borderId="49" xfId="0" applyFont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0" fillId="0" borderId="59" xfId="0" applyBorder="1"/>
    <xf numFmtId="9" fontId="6" fillId="0" borderId="49" xfId="555" applyFont="1" applyBorder="1" applyAlignment="1">
      <alignment horizontal="center" vertical="center" wrapText="1"/>
    </xf>
    <xf numFmtId="167" fontId="6" fillId="0" borderId="49" xfId="0" applyNumberFormat="1" applyFont="1" applyBorder="1" applyAlignment="1">
      <alignment horizontal="center" vertical="center" wrapText="1"/>
    </xf>
    <xf numFmtId="9" fontId="6" fillId="0" borderId="59" xfId="555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9" fontId="6" fillId="0" borderId="15" xfId="555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9" fontId="6" fillId="0" borderId="50" xfId="555" applyFont="1" applyBorder="1" applyAlignment="1">
      <alignment horizontal="center" vertical="center" wrapText="1"/>
    </xf>
    <xf numFmtId="167" fontId="6" fillId="0" borderId="50" xfId="0" applyNumberFormat="1" applyFont="1" applyBorder="1" applyAlignment="1">
      <alignment horizontal="center" vertical="center" wrapText="1"/>
    </xf>
    <xf numFmtId="167" fontId="6" fillId="0" borderId="48" xfId="0" applyNumberFormat="1" applyFont="1" applyBorder="1" applyAlignment="1">
      <alignment horizontal="center" vertical="center" wrapText="1"/>
    </xf>
    <xf numFmtId="0" fontId="0" fillId="0" borderId="60" xfId="0" applyBorder="1"/>
    <xf numFmtId="9" fontId="6" fillId="0" borderId="60" xfId="555" applyFont="1" applyBorder="1" applyAlignment="1">
      <alignment horizontal="center" vertical="center" wrapText="1"/>
    </xf>
    <xf numFmtId="0" fontId="0" fillId="0" borderId="61" xfId="0" applyBorder="1"/>
    <xf numFmtId="9" fontId="6" fillId="0" borderId="61" xfId="555" applyFont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Fill="1" applyBorder="1" applyAlignment="1">
      <alignment horizontal="center" vertical="center" wrapText="1"/>
    </xf>
    <xf numFmtId="165" fontId="6" fillId="0" borderId="49" xfId="0" applyNumberFormat="1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 wrapText="1"/>
    </xf>
    <xf numFmtId="165" fontId="6" fillId="0" borderId="50" xfId="0" applyNumberFormat="1" applyFont="1" applyBorder="1" applyAlignment="1">
      <alignment horizontal="center" vertical="center" wrapText="1"/>
    </xf>
    <xf numFmtId="165" fontId="6" fillId="0" borderId="39" xfId="0" applyNumberFormat="1" applyFont="1" applyBorder="1" applyAlignment="1">
      <alignment horizontal="center" vertical="center" wrapText="1"/>
    </xf>
    <xf numFmtId="165" fontId="0" fillId="0" borderId="39" xfId="0" applyNumberFormat="1" applyBorder="1"/>
    <xf numFmtId="3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164" fontId="5" fillId="3" borderId="68" xfId="0" applyNumberFormat="1" applyFont="1" applyFill="1" applyBorder="1" applyAlignment="1">
      <alignment horizontal="center" vertical="center"/>
    </xf>
    <xf numFmtId="164" fontId="5" fillId="4" borderId="55" xfId="0" applyNumberFormat="1" applyFont="1" applyFill="1" applyBorder="1" applyAlignment="1">
      <alignment horizontal="center" vertical="center"/>
    </xf>
    <xf numFmtId="164" fontId="5" fillId="9" borderId="36" xfId="0" applyNumberFormat="1" applyFont="1" applyFill="1" applyBorder="1" applyAlignment="1">
      <alignment horizontal="center" vertical="center"/>
    </xf>
    <xf numFmtId="164" fontId="5" fillId="3" borderId="52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0" fillId="10" borderId="0" xfId="0" applyFill="1"/>
    <xf numFmtId="0" fontId="0" fillId="10" borderId="0" xfId="0" quotePrefix="1" applyFill="1"/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9" fontId="0" fillId="10" borderId="0" xfId="0" applyNumberFormat="1" applyFill="1" applyBorder="1" applyAlignment="1">
      <alignment horizontal="center"/>
    </xf>
    <xf numFmtId="164" fontId="5" fillId="0" borderId="36" xfId="0" applyNumberFormat="1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9" fontId="0" fillId="0" borderId="0" xfId="0" applyNumberFormat="1"/>
    <xf numFmtId="0" fontId="4" fillId="5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9" fontId="15" fillId="3" borderId="21" xfId="555" applyFont="1" applyFill="1" applyBorder="1" applyAlignment="1">
      <alignment horizontal="center" vertical="center" wrapText="1"/>
    </xf>
    <xf numFmtId="9" fontId="15" fillId="3" borderId="73" xfId="555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9" fontId="15" fillId="3" borderId="74" xfId="555" applyFont="1" applyFill="1" applyBorder="1" applyAlignment="1">
      <alignment horizontal="center" vertical="center" wrapText="1"/>
    </xf>
    <xf numFmtId="164" fontId="15" fillId="3" borderId="8" xfId="0" applyNumberFormat="1" applyFont="1" applyFill="1" applyBorder="1" applyAlignment="1">
      <alignment horizontal="center" vertical="center" wrapText="1"/>
    </xf>
    <xf numFmtId="0" fontId="15" fillId="3" borderId="75" xfId="0" applyFont="1" applyFill="1" applyBorder="1" applyAlignment="1">
      <alignment horizontal="center" vertical="center" wrapText="1"/>
    </xf>
    <xf numFmtId="164" fontId="15" fillId="3" borderId="20" xfId="0" applyNumberFormat="1" applyFont="1" applyFill="1" applyBorder="1" applyAlignment="1">
      <alignment horizontal="center" vertical="center" wrapText="1"/>
    </xf>
    <xf numFmtId="0" fontId="15" fillId="3" borderId="7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164" fontId="15" fillId="3" borderId="32" xfId="0" applyNumberFormat="1" applyFont="1" applyFill="1" applyBorder="1" applyAlignment="1">
      <alignment horizontal="center" vertical="center" wrapText="1"/>
    </xf>
    <xf numFmtId="0" fontId="15" fillId="3" borderId="75" xfId="0" applyFont="1" applyFill="1" applyBorder="1" applyAlignment="1">
      <alignment horizontal="left" vertical="center" wrapText="1"/>
    </xf>
    <xf numFmtId="2" fontId="15" fillId="3" borderId="21" xfId="0" applyNumberFormat="1" applyFont="1" applyFill="1" applyBorder="1" applyAlignment="1">
      <alignment horizontal="center" vertical="center" wrapText="1"/>
    </xf>
    <xf numFmtId="0" fontId="15" fillId="3" borderId="76" xfId="0" applyFont="1" applyFill="1" applyBorder="1" applyAlignment="1">
      <alignment horizontal="left" vertical="center" wrapText="1"/>
    </xf>
    <xf numFmtId="2" fontId="15" fillId="3" borderId="73" xfId="0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left" vertical="center" wrapText="1"/>
    </xf>
    <xf numFmtId="2" fontId="15" fillId="3" borderId="74" xfId="0" applyNumberFormat="1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164" fontId="15" fillId="3" borderId="16" xfId="0" applyNumberFormat="1" applyFont="1" applyFill="1" applyBorder="1" applyAlignment="1">
      <alignment horizontal="center" vertical="center" wrapText="1"/>
    </xf>
    <xf numFmtId="0" fontId="15" fillId="3" borderId="77" xfId="0" applyFont="1" applyFill="1" applyBorder="1" applyAlignment="1">
      <alignment horizontal="left" vertical="center" wrapText="1"/>
    </xf>
    <xf numFmtId="164" fontId="15" fillId="3" borderId="78" xfId="0" applyNumberFormat="1" applyFont="1" applyFill="1" applyBorder="1" applyAlignment="1">
      <alignment horizontal="center" vertical="center" wrapText="1"/>
    </xf>
    <xf numFmtId="9" fontId="15" fillId="3" borderId="78" xfId="555" applyFont="1" applyFill="1" applyBorder="1" applyAlignment="1">
      <alignment horizontal="center" vertical="center" wrapText="1"/>
    </xf>
    <xf numFmtId="2" fontId="15" fillId="3" borderId="78" xfId="0" applyNumberFormat="1" applyFont="1" applyFill="1" applyBorder="1" applyAlignment="1">
      <alignment horizontal="center" vertical="center" wrapText="1"/>
    </xf>
    <xf numFmtId="0" fontId="15" fillId="3" borderId="79" xfId="0" applyFont="1" applyFill="1" applyBorder="1" applyAlignment="1">
      <alignment horizontal="left" vertical="center" wrapText="1"/>
    </xf>
    <xf numFmtId="164" fontId="15" fillId="3" borderId="80" xfId="0" applyNumberFormat="1" applyFont="1" applyFill="1" applyBorder="1" applyAlignment="1">
      <alignment horizontal="center" vertical="center" wrapText="1"/>
    </xf>
    <xf numFmtId="9" fontId="15" fillId="3" borderId="80" xfId="555" applyFont="1" applyFill="1" applyBorder="1" applyAlignment="1">
      <alignment horizontal="center" vertical="center" wrapText="1"/>
    </xf>
    <xf numFmtId="2" fontId="15" fillId="3" borderId="80" xfId="0" applyNumberFormat="1" applyFont="1" applyFill="1" applyBorder="1" applyAlignment="1">
      <alignment horizontal="center" vertical="center" wrapText="1"/>
    </xf>
    <xf numFmtId="0" fontId="15" fillId="3" borderId="81" xfId="0" applyFont="1" applyFill="1" applyBorder="1" applyAlignment="1">
      <alignment horizontal="left" vertical="center" wrapText="1"/>
    </xf>
    <xf numFmtId="164" fontId="15" fillId="3" borderId="82" xfId="0" applyNumberFormat="1" applyFont="1" applyFill="1" applyBorder="1" applyAlignment="1">
      <alignment horizontal="center" vertical="center" wrapText="1"/>
    </xf>
    <xf numFmtId="9" fontId="15" fillId="3" borderId="82" xfId="555" applyFont="1" applyFill="1" applyBorder="1" applyAlignment="1">
      <alignment horizontal="center" vertical="center" wrapText="1"/>
    </xf>
    <xf numFmtId="2" fontId="15" fillId="3" borderId="8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4" fillId="5" borderId="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4" fillId="5" borderId="16" xfId="0" applyFont="1" applyFill="1" applyBorder="1" applyAlignment="1">
      <alignment vertical="center"/>
    </xf>
    <xf numFmtId="0" fontId="15" fillId="3" borderId="6" xfId="0" applyFont="1" applyFill="1" applyBorder="1" applyAlignment="1">
      <alignment horizontal="center" vertical="center" wrapText="1"/>
    </xf>
    <xf numFmtId="9" fontId="23" fillId="4" borderId="8" xfId="555" applyFont="1" applyFill="1" applyBorder="1" applyAlignment="1">
      <alignment horizontal="center" vertical="center" wrapText="1"/>
    </xf>
    <xf numFmtId="0" fontId="15" fillId="0" borderId="7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67" fontId="15" fillId="0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9" fontId="15" fillId="0" borderId="0" xfId="555" applyFont="1" applyFill="1" applyBorder="1" applyAlignment="1">
      <alignment horizontal="center" vertical="center" wrapText="1"/>
    </xf>
    <xf numFmtId="9" fontId="0" fillId="0" borderId="0" xfId="0" applyNumberFormat="1" applyFill="1" applyBorder="1"/>
    <xf numFmtId="164" fontId="15" fillId="0" borderId="16" xfId="0" applyNumberFormat="1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6" borderId="86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4" fillId="2" borderId="84" xfId="0" applyFont="1" applyFill="1" applyBorder="1" applyAlignment="1">
      <alignment horizontal="center" vertical="center" wrapText="1"/>
    </xf>
    <xf numFmtId="0" fontId="4" fillId="2" borderId="90" xfId="0" applyFont="1" applyFill="1" applyBorder="1" applyAlignment="1">
      <alignment horizontal="center" vertical="center" wrapText="1"/>
    </xf>
    <xf numFmtId="0" fontId="4" fillId="2" borderId="83" xfId="0" applyFont="1" applyFill="1" applyBorder="1" applyAlignment="1">
      <alignment horizontal="center" vertical="center" wrapText="1"/>
    </xf>
    <xf numFmtId="1" fontId="5" fillId="0" borderId="91" xfId="0" applyNumberFormat="1" applyFont="1" applyFill="1" applyBorder="1" applyAlignment="1">
      <alignment horizontal="center" vertical="center" wrapText="1"/>
    </xf>
    <xf numFmtId="2" fontId="5" fillId="0" borderId="92" xfId="0" applyNumberFormat="1" applyFont="1" applyFill="1" applyBorder="1" applyAlignment="1">
      <alignment horizontal="center" vertical="center" wrapText="1"/>
    </xf>
    <xf numFmtId="1" fontId="5" fillId="0" borderId="66" xfId="0" applyNumberFormat="1" applyFont="1" applyFill="1" applyBorder="1" applyAlignment="1">
      <alignment horizontal="center" vertical="center" wrapText="1"/>
    </xf>
    <xf numFmtId="1" fontId="16" fillId="0" borderId="66" xfId="0" applyNumberFormat="1" applyFont="1" applyFill="1" applyBorder="1" applyAlignment="1">
      <alignment horizontal="center" vertical="center" wrapText="1"/>
    </xf>
    <xf numFmtId="1" fontId="5" fillId="0" borderId="67" xfId="0" applyNumberFormat="1" applyFont="1" applyFill="1" applyBorder="1" applyAlignment="1">
      <alignment horizontal="center" vertical="center" wrapText="1"/>
    </xf>
    <xf numFmtId="1" fontId="5" fillId="0" borderId="89" xfId="0" applyNumberFormat="1" applyFont="1" applyFill="1" applyBorder="1" applyAlignment="1">
      <alignment horizontal="center" vertical="center" wrapText="1"/>
    </xf>
    <xf numFmtId="1" fontId="5" fillId="4" borderId="87" xfId="0" applyNumberFormat="1" applyFont="1" applyFill="1" applyBorder="1" applyAlignment="1">
      <alignment horizontal="center" vertical="center" wrapText="1"/>
    </xf>
    <xf numFmtId="1" fontId="5" fillId="3" borderId="87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1" fontId="5" fillId="4" borderId="23" xfId="0" applyNumberFormat="1" applyFont="1" applyFill="1" applyBorder="1" applyAlignment="1">
      <alignment horizontal="center" vertical="center" wrapText="1"/>
    </xf>
    <xf numFmtId="0" fontId="4" fillId="2" borderId="94" xfId="0" applyFont="1" applyFill="1" applyBorder="1" applyAlignment="1">
      <alignment horizontal="center" vertical="center" wrapText="1"/>
    </xf>
    <xf numFmtId="0" fontId="4" fillId="2" borderId="95" xfId="0" applyFont="1" applyFill="1" applyBorder="1" applyAlignment="1">
      <alignment horizontal="center" vertical="center" wrapText="1"/>
    </xf>
    <xf numFmtId="164" fontId="5" fillId="0" borderId="75" xfId="0" applyNumberFormat="1" applyFont="1" applyFill="1" applyBorder="1" applyAlignment="1">
      <alignment horizontal="center" vertical="center" wrapText="1"/>
    </xf>
    <xf numFmtId="164" fontId="5" fillId="0" borderId="87" xfId="0" applyNumberFormat="1" applyFont="1" applyFill="1" applyBorder="1" applyAlignment="1">
      <alignment horizontal="center" vertical="center" wrapText="1"/>
    </xf>
    <xf numFmtId="164" fontId="16" fillId="0" borderId="87" xfId="0" applyNumberFormat="1" applyFont="1" applyFill="1" applyBorder="1" applyAlignment="1">
      <alignment horizontal="center" vertical="center" wrapText="1"/>
    </xf>
    <xf numFmtId="164" fontId="5" fillId="0" borderId="96" xfId="0" applyNumberFormat="1" applyFont="1" applyFill="1" applyBorder="1" applyAlignment="1">
      <alignment horizontal="center" vertical="center" wrapText="1"/>
    </xf>
    <xf numFmtId="0" fontId="4" fillId="2" borderId="99" xfId="0" applyFont="1" applyFill="1" applyBorder="1" applyAlignment="1">
      <alignment horizontal="center" vertical="center"/>
    </xf>
    <xf numFmtId="0" fontId="4" fillId="2" borderId="100" xfId="0" applyFont="1" applyFill="1" applyBorder="1" applyAlignment="1">
      <alignment horizontal="center" vertical="center"/>
    </xf>
    <xf numFmtId="164" fontId="5" fillId="4" borderId="75" xfId="0" applyNumberFormat="1" applyFont="1" applyFill="1" applyBorder="1" applyAlignment="1">
      <alignment horizontal="center" vertical="center"/>
    </xf>
    <xf numFmtId="164" fontId="5" fillId="4" borderId="76" xfId="0" applyNumberFormat="1" applyFont="1" applyFill="1" applyBorder="1" applyAlignment="1">
      <alignment horizontal="center" vertical="center"/>
    </xf>
    <xf numFmtId="164" fontId="5" fillId="4" borderId="24" xfId="0" applyNumberFormat="1" applyFont="1" applyFill="1" applyBorder="1" applyAlignment="1">
      <alignment horizontal="center" vertical="center"/>
    </xf>
    <xf numFmtId="164" fontId="5" fillId="4" borderId="87" xfId="0" applyNumberFormat="1" applyFont="1" applyFill="1" applyBorder="1" applyAlignment="1">
      <alignment horizontal="center" vertical="center"/>
    </xf>
    <xf numFmtId="164" fontId="5" fillId="4" borderId="96" xfId="0" applyNumberFormat="1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73" xfId="0" applyFont="1" applyFill="1" applyBorder="1" applyAlignment="1">
      <alignment horizontal="center" vertical="center"/>
    </xf>
    <xf numFmtId="0" fontId="5" fillId="4" borderId="74" xfId="0" applyFont="1" applyFill="1" applyBorder="1" applyAlignment="1">
      <alignment horizontal="center" vertical="center"/>
    </xf>
    <xf numFmtId="49" fontId="0" fillId="0" borderId="0" xfId="0" applyNumberFormat="1"/>
    <xf numFmtId="168" fontId="0" fillId="0" borderId="0" xfId="0" applyNumberFormat="1"/>
    <xf numFmtId="167" fontId="0" fillId="0" borderId="0" xfId="0" applyNumberFormat="1"/>
    <xf numFmtId="0" fontId="5" fillId="4" borderId="108" xfId="0" applyFont="1" applyFill="1" applyBorder="1" applyAlignment="1">
      <alignment horizontal="center" vertical="center"/>
    </xf>
    <xf numFmtId="0" fontId="5" fillId="4" borderId="109" xfId="0" applyFont="1" applyFill="1" applyBorder="1" applyAlignment="1">
      <alignment horizontal="center" vertical="center"/>
    </xf>
    <xf numFmtId="0" fontId="5" fillId="4" borderId="107" xfId="0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center" vertical="center"/>
    </xf>
    <xf numFmtId="0" fontId="5" fillId="4" borderId="110" xfId="0" applyFont="1" applyFill="1" applyBorder="1" applyAlignment="1">
      <alignment horizontal="center" vertical="center"/>
    </xf>
    <xf numFmtId="165" fontId="6" fillId="0" borderId="62" xfId="0" applyNumberFormat="1" applyFont="1" applyBorder="1" applyAlignment="1">
      <alignment horizontal="center" vertical="center" wrapText="1"/>
    </xf>
    <xf numFmtId="165" fontId="6" fillId="0" borderId="63" xfId="0" applyNumberFormat="1" applyFont="1" applyBorder="1" applyAlignment="1">
      <alignment horizontal="center" vertical="center" wrapText="1"/>
    </xf>
    <xf numFmtId="165" fontId="6" fillId="0" borderId="64" xfId="0" applyNumberFormat="1" applyFont="1" applyBorder="1" applyAlignment="1">
      <alignment horizontal="center" vertical="center" wrapText="1"/>
    </xf>
    <xf numFmtId="165" fontId="6" fillId="0" borderId="62" xfId="0" applyNumberFormat="1" applyFont="1" applyFill="1" applyBorder="1" applyAlignment="1">
      <alignment horizontal="center" vertical="center" wrapText="1"/>
    </xf>
    <xf numFmtId="165" fontId="6" fillId="0" borderId="63" xfId="0" applyNumberFormat="1" applyFont="1" applyFill="1" applyBorder="1" applyAlignment="1">
      <alignment horizontal="center" vertical="center" wrapText="1"/>
    </xf>
    <xf numFmtId="165" fontId="6" fillId="0" borderId="64" xfId="0" applyNumberFormat="1" applyFont="1" applyFill="1" applyBorder="1" applyAlignment="1">
      <alignment horizontal="center" vertical="center" wrapText="1"/>
    </xf>
    <xf numFmtId="167" fontId="6" fillId="0" borderId="44" xfId="0" applyNumberFormat="1" applyFont="1" applyBorder="1" applyAlignment="1">
      <alignment horizontal="center" vertical="center" wrapText="1"/>
    </xf>
    <xf numFmtId="167" fontId="6" fillId="0" borderId="46" xfId="0" applyNumberFormat="1" applyFont="1" applyBorder="1" applyAlignment="1">
      <alignment horizontal="center" vertical="center" wrapText="1"/>
    </xf>
    <xf numFmtId="167" fontId="6" fillId="0" borderId="44" xfId="0" applyNumberFormat="1" applyFont="1" applyFill="1" applyBorder="1" applyAlignment="1">
      <alignment horizontal="center" vertical="center" wrapText="1"/>
    </xf>
    <xf numFmtId="167" fontId="6" fillId="0" borderId="46" xfId="0" applyNumberFormat="1" applyFont="1" applyFill="1" applyBorder="1" applyAlignment="1">
      <alignment horizontal="center" vertical="center" wrapText="1"/>
    </xf>
    <xf numFmtId="167" fontId="6" fillId="0" borderId="48" xfId="0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/>
    <xf numFmtId="164" fontId="5" fillId="0" borderId="8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5" fillId="4" borderId="5" xfId="0" applyNumberFormat="1" applyFont="1" applyFill="1" applyBorder="1" applyAlignment="1">
      <alignment horizontal="center" vertical="center" wrapText="1"/>
    </xf>
    <xf numFmtId="164" fontId="5" fillId="0" borderId="87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4" fillId="5" borderId="1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/>
    </xf>
    <xf numFmtId="0" fontId="5" fillId="4" borderId="111" xfId="0" applyFont="1" applyFill="1" applyBorder="1" applyAlignment="1">
      <alignment horizontal="center" vertical="center"/>
    </xf>
    <xf numFmtId="0" fontId="5" fillId="4" borderId="112" xfId="0" applyFont="1" applyFill="1" applyBorder="1" applyAlignment="1">
      <alignment horizontal="center" vertical="center"/>
    </xf>
    <xf numFmtId="164" fontId="5" fillId="4" borderId="112" xfId="0" applyNumberFormat="1" applyFont="1" applyFill="1" applyBorder="1" applyAlignment="1">
      <alignment horizontal="center" vertical="center"/>
    </xf>
    <xf numFmtId="164" fontId="5" fillId="4" borderId="110" xfId="0" applyNumberFormat="1" applyFont="1" applyFill="1" applyBorder="1" applyAlignment="1">
      <alignment horizontal="center" vertical="center"/>
    </xf>
    <xf numFmtId="164" fontId="5" fillId="4" borderId="113" xfId="0" applyNumberFormat="1" applyFont="1" applyFill="1" applyBorder="1" applyAlignment="1">
      <alignment horizontal="center" vertical="center"/>
    </xf>
    <xf numFmtId="0" fontId="4" fillId="2" borderId="105" xfId="0" applyFont="1" applyFill="1" applyBorder="1" applyAlignment="1">
      <alignment horizontal="left" vertical="center" wrapText="1"/>
    </xf>
    <xf numFmtId="0" fontId="5" fillId="4" borderId="32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164" fontId="5" fillId="4" borderId="115" xfId="0" applyNumberFormat="1" applyFont="1" applyFill="1" applyBorder="1" applyAlignment="1">
      <alignment horizontal="center" vertical="center"/>
    </xf>
    <xf numFmtId="166" fontId="5" fillId="4" borderId="58" xfId="0" applyNumberFormat="1" applyFont="1" applyFill="1" applyBorder="1" applyAlignment="1">
      <alignment horizontal="center" vertical="center"/>
    </xf>
    <xf numFmtId="166" fontId="5" fillId="4" borderId="114" xfId="0" applyNumberFormat="1" applyFont="1" applyFill="1" applyBorder="1" applyAlignment="1">
      <alignment horizontal="center" vertical="center"/>
    </xf>
    <xf numFmtId="166" fontId="5" fillId="4" borderId="106" xfId="0" applyNumberFormat="1" applyFont="1" applyFill="1" applyBorder="1" applyAlignment="1">
      <alignment horizontal="center" vertical="center"/>
    </xf>
    <xf numFmtId="166" fontId="5" fillId="4" borderId="116" xfId="0" applyNumberFormat="1" applyFont="1" applyFill="1" applyBorder="1" applyAlignment="1">
      <alignment horizontal="center" vertical="center"/>
    </xf>
    <xf numFmtId="166" fontId="5" fillId="4" borderId="98" xfId="0" applyNumberFormat="1" applyFont="1" applyFill="1" applyBorder="1" applyAlignment="1">
      <alignment horizontal="center" vertical="center"/>
    </xf>
    <xf numFmtId="166" fontId="15" fillId="3" borderId="21" xfId="0" applyNumberFormat="1" applyFont="1" applyFill="1" applyBorder="1" applyAlignment="1">
      <alignment horizontal="center" vertical="center" wrapText="1"/>
    </xf>
    <xf numFmtId="166" fontId="15" fillId="3" borderId="73" xfId="0" applyNumberFormat="1" applyFont="1" applyFill="1" applyBorder="1" applyAlignment="1">
      <alignment horizontal="center" vertical="center" wrapText="1"/>
    </xf>
    <xf numFmtId="166" fontId="15" fillId="3" borderId="74" xfId="0" applyNumberFormat="1" applyFont="1" applyFill="1" applyBorder="1" applyAlignment="1">
      <alignment horizontal="center" vertical="center" wrapText="1"/>
    </xf>
    <xf numFmtId="166" fontId="5" fillId="4" borderId="21" xfId="0" applyNumberFormat="1" applyFont="1" applyFill="1" applyBorder="1" applyAlignment="1">
      <alignment horizontal="center" vertical="center"/>
    </xf>
    <xf numFmtId="166" fontId="5" fillId="4" borderId="23" xfId="0" applyNumberFormat="1" applyFont="1" applyFill="1" applyBorder="1" applyAlignment="1">
      <alignment horizontal="center" vertical="center"/>
    </xf>
    <xf numFmtId="166" fontId="5" fillId="4" borderId="28" xfId="0" applyNumberFormat="1" applyFont="1" applyFill="1" applyBorder="1" applyAlignment="1">
      <alignment horizontal="center" vertical="center"/>
    </xf>
    <xf numFmtId="166" fontId="5" fillId="4" borderId="20" xfId="0" applyNumberFormat="1" applyFont="1" applyFill="1" applyBorder="1" applyAlignment="1">
      <alignment horizontal="center" vertical="center"/>
    </xf>
    <xf numFmtId="166" fontId="5" fillId="4" borderId="5" xfId="0" applyNumberFormat="1" applyFont="1" applyFill="1" applyBorder="1" applyAlignment="1">
      <alignment horizontal="center" vertical="center"/>
    </xf>
    <xf numFmtId="166" fontId="5" fillId="4" borderId="27" xfId="0" applyNumberFormat="1" applyFont="1" applyFill="1" applyBorder="1" applyAlignment="1">
      <alignment horizontal="center" vertical="center"/>
    </xf>
    <xf numFmtId="2" fontId="5" fillId="4" borderId="21" xfId="0" applyNumberFormat="1" applyFont="1" applyFill="1" applyBorder="1" applyAlignment="1">
      <alignment horizontal="center" vertical="center"/>
    </xf>
    <xf numFmtId="2" fontId="5" fillId="4" borderId="23" xfId="0" applyNumberFormat="1" applyFont="1" applyFill="1" applyBorder="1" applyAlignment="1">
      <alignment horizontal="center" vertical="center"/>
    </xf>
    <xf numFmtId="2" fontId="5" fillId="4" borderId="28" xfId="0" applyNumberFormat="1" applyFont="1" applyFill="1" applyBorder="1" applyAlignment="1">
      <alignment horizontal="center" vertical="center"/>
    </xf>
    <xf numFmtId="2" fontId="5" fillId="3" borderId="37" xfId="0" applyNumberFormat="1" applyFont="1" applyFill="1" applyBorder="1" applyAlignment="1">
      <alignment horizontal="center" vertical="center"/>
    </xf>
    <xf numFmtId="2" fontId="5" fillId="4" borderId="35" xfId="0" applyNumberFormat="1" applyFont="1" applyFill="1" applyBorder="1" applyAlignment="1">
      <alignment horizontal="center" vertical="center"/>
    </xf>
    <xf numFmtId="0" fontId="8" fillId="0" borderId="0" xfId="0" applyFont="1"/>
    <xf numFmtId="0" fontId="1" fillId="0" borderId="0" xfId="673" applyFill="1"/>
    <xf numFmtId="0" fontId="1" fillId="0" borderId="0" xfId="33" applyFont="1"/>
    <xf numFmtId="0" fontId="1" fillId="0" borderId="0" xfId="673"/>
    <xf numFmtId="22" fontId="1" fillId="0" borderId="0" xfId="673" applyNumberFormat="1"/>
    <xf numFmtId="0" fontId="4" fillId="5" borderId="39" xfId="0" applyFont="1" applyFill="1" applyBorder="1" applyAlignment="1">
      <alignment horizontal="center" vertical="center"/>
    </xf>
    <xf numFmtId="2" fontId="5" fillId="4" borderId="39" xfId="0" applyNumberFormat="1" applyFont="1" applyFill="1" applyBorder="1" applyAlignment="1">
      <alignment horizontal="center" vertical="center"/>
    </xf>
    <xf numFmtId="2" fontId="41" fillId="0" borderId="39" xfId="0" applyNumberFormat="1" applyFont="1" applyBorder="1" applyAlignment="1">
      <alignment horizontal="center"/>
    </xf>
    <xf numFmtId="0" fontId="0" fillId="0" borderId="126" xfId="0" applyBorder="1" applyAlignment="1">
      <alignment horizontal="center"/>
    </xf>
    <xf numFmtId="2" fontId="5" fillId="0" borderId="18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16" fillId="0" borderId="6" xfId="0" applyNumberFormat="1" applyFont="1" applyFill="1" applyBorder="1" applyAlignment="1">
      <alignment horizontal="center" vertical="center" wrapText="1"/>
    </xf>
    <xf numFmtId="166" fontId="5" fillId="0" borderId="93" xfId="0" applyNumberFormat="1" applyFont="1" applyFill="1" applyBorder="1" applyAlignment="1">
      <alignment horizontal="center" vertical="center" wrapText="1"/>
    </xf>
    <xf numFmtId="166" fontId="5" fillId="0" borderId="71" xfId="0" applyNumberFormat="1" applyFont="1" applyFill="1" applyBorder="1" applyAlignment="1">
      <alignment horizontal="center" vertical="center" wrapText="1"/>
    </xf>
    <xf numFmtId="166" fontId="16" fillId="0" borderId="71" xfId="0" applyNumberFormat="1" applyFont="1" applyFill="1" applyBorder="1" applyAlignment="1">
      <alignment horizontal="center" vertical="center" wrapText="1"/>
    </xf>
    <xf numFmtId="166" fontId="5" fillId="0" borderId="127" xfId="0" applyNumberFormat="1" applyFont="1" applyFill="1" applyBorder="1" applyAlignment="1">
      <alignment horizontal="center" vertical="center" wrapText="1"/>
    </xf>
    <xf numFmtId="166" fontId="5" fillId="0" borderId="19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66" fontId="5" fillId="0" borderId="26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5" fillId="4" borderId="5" xfId="0" applyFont="1" applyFill="1" applyBorder="1" applyAlignment="1">
      <alignment horizontal="left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4" borderId="5" xfId="0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89" xfId="0" applyFont="1" applyFill="1" applyBorder="1" applyAlignment="1">
      <alignment horizontal="center" vertical="center" wrapText="1"/>
    </xf>
    <xf numFmtId="0" fontId="4" fillId="2" borderId="86" xfId="0" applyFont="1" applyFill="1" applyBorder="1" applyAlignment="1">
      <alignment horizontal="center" vertical="center" wrapText="1"/>
    </xf>
    <xf numFmtId="0" fontId="4" fillId="2" borderId="9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" fontId="5" fillId="0" borderId="66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2" borderId="8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5" fillId="0" borderId="89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" fontId="16" fillId="0" borderId="66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" fontId="5" fillId="0" borderId="67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4" borderId="66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5" fillId="3" borderId="65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1" fontId="5" fillId="3" borderId="67" xfId="0" applyNumberFormat="1" applyFont="1" applyFill="1" applyBorder="1" applyAlignment="1">
      <alignment horizontal="center" vertical="center" wrapText="1"/>
    </xf>
    <xf numFmtId="1" fontId="5" fillId="3" borderId="26" xfId="0" applyNumberFormat="1" applyFont="1" applyFill="1" applyBorder="1" applyAlignment="1">
      <alignment horizontal="center" vertical="center" wrapText="1"/>
    </xf>
    <xf numFmtId="1" fontId="5" fillId="3" borderId="89" xfId="0" applyNumberFormat="1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5" fillId="4" borderId="4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2" borderId="6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4" fillId="5" borderId="39" xfId="0" applyFont="1" applyFill="1" applyBorder="1" applyAlignment="1">
      <alignment horizontal="center" vertical="center"/>
    </xf>
    <xf numFmtId="0" fontId="4" fillId="2" borderId="97" xfId="0" applyFont="1" applyFill="1" applyBorder="1" applyAlignment="1">
      <alignment horizontal="center" vertical="center"/>
    </xf>
    <xf numFmtId="0" fontId="4" fillId="2" borderId="98" xfId="0" applyFont="1" applyFill="1" applyBorder="1" applyAlignment="1">
      <alignment horizontal="center" vertical="center"/>
    </xf>
    <xf numFmtId="0" fontId="4" fillId="2" borderId="101" xfId="0" applyFont="1" applyFill="1" applyBorder="1" applyAlignment="1">
      <alignment horizontal="center" vertical="center"/>
    </xf>
    <xf numFmtId="0" fontId="4" fillId="2" borderId="102" xfId="0" applyFont="1" applyFill="1" applyBorder="1" applyAlignment="1">
      <alignment horizontal="center" vertical="center"/>
    </xf>
    <xf numFmtId="0" fontId="4" fillId="2" borderId="103" xfId="0" applyFont="1" applyFill="1" applyBorder="1" applyAlignment="1">
      <alignment horizontal="center" vertical="center"/>
    </xf>
    <xf numFmtId="0" fontId="4" fillId="2" borderId="104" xfId="0" applyFont="1" applyFill="1" applyBorder="1" applyAlignment="1">
      <alignment horizontal="center" vertical="center"/>
    </xf>
    <xf numFmtId="0" fontId="4" fillId="2" borderId="97" xfId="0" applyFont="1" applyFill="1" applyBorder="1" applyAlignment="1">
      <alignment horizontal="center" vertical="center" wrapText="1"/>
    </xf>
    <xf numFmtId="0" fontId="4" fillId="2" borderId="105" xfId="0" applyFont="1" applyFill="1" applyBorder="1" applyAlignment="1">
      <alignment horizontal="center" vertical="center" wrapText="1"/>
    </xf>
    <xf numFmtId="0" fontId="4" fillId="2" borderId="99" xfId="0" applyFont="1" applyFill="1" applyBorder="1" applyAlignment="1">
      <alignment horizontal="center" vertical="center" wrapText="1"/>
    </xf>
    <xf numFmtId="0" fontId="4" fillId="2" borderId="98" xfId="0" applyFont="1" applyFill="1" applyBorder="1" applyAlignment="1">
      <alignment horizontal="center" vertical="center" wrapText="1"/>
    </xf>
    <xf numFmtId="0" fontId="4" fillId="2" borderId="106" xfId="0" applyFont="1" applyFill="1" applyBorder="1" applyAlignment="1">
      <alignment horizontal="center" vertical="center" wrapText="1"/>
    </xf>
    <xf numFmtId="0" fontId="4" fillId="2" borderId="100" xfId="0" applyFont="1" applyFill="1" applyBorder="1" applyAlignment="1">
      <alignment horizontal="center" vertical="center" wrapText="1"/>
    </xf>
    <xf numFmtId="3" fontId="5" fillId="4" borderId="39" xfId="0" applyNumberFormat="1" applyFont="1" applyFill="1" applyBorder="1" applyAlignment="1">
      <alignment horizontal="center" vertical="center"/>
    </xf>
    <xf numFmtId="0" fontId="41" fillId="0" borderId="39" xfId="0" applyFont="1" applyBorder="1" applyAlignment="1">
      <alignment horizontal="center"/>
    </xf>
    <xf numFmtId="0" fontId="4" fillId="2" borderId="17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/>
    </xf>
    <xf numFmtId="0" fontId="20" fillId="8" borderId="40" xfId="0" applyFont="1" applyFill="1" applyBorder="1" applyAlignment="1">
      <alignment horizontal="center" vertical="center" wrapText="1"/>
    </xf>
    <xf numFmtId="0" fontId="20" fillId="8" borderId="4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0" fillId="8" borderId="41" xfId="0" applyFont="1" applyFill="1" applyBorder="1" applyAlignment="1">
      <alignment horizontal="center" vertical="center" wrapText="1"/>
    </xf>
    <xf numFmtId="0" fontId="20" fillId="8" borderId="39" xfId="0" applyFont="1" applyFill="1" applyBorder="1" applyAlignment="1">
      <alignment horizontal="center" vertical="center" wrapText="1"/>
    </xf>
    <xf numFmtId="0" fontId="20" fillId="8" borderId="57" xfId="0" applyFont="1" applyFill="1" applyBorder="1" applyAlignment="1">
      <alignment horizontal="center" vertical="center" wrapText="1"/>
    </xf>
    <xf numFmtId="0" fontId="20" fillId="8" borderId="38" xfId="0" applyFont="1" applyFill="1" applyBorder="1" applyAlignment="1">
      <alignment horizontal="center" vertical="center" wrapText="1"/>
    </xf>
    <xf numFmtId="0" fontId="20" fillId="8" borderId="58" xfId="0" applyFont="1" applyFill="1" applyBorder="1" applyAlignment="1">
      <alignment horizontal="center" vertical="center" wrapText="1"/>
    </xf>
    <xf numFmtId="0" fontId="20" fillId="8" borderId="54" xfId="0" applyFont="1" applyFill="1" applyBorder="1" applyAlignment="1">
      <alignment horizontal="center" vertical="center" wrapText="1"/>
    </xf>
    <xf numFmtId="0" fontId="20" fillId="8" borderId="29" xfId="0" applyFont="1" applyFill="1" applyBorder="1" applyAlignment="1">
      <alignment horizontal="center" vertical="center" wrapText="1"/>
    </xf>
    <xf numFmtId="0" fontId="20" fillId="8" borderId="5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</cellXfs>
  <cellStyles count="677">
    <cellStyle name="20% - Accent1" xfId="650" builtinId="30" customBuiltin="1"/>
    <cellStyle name="20% - Accent2" xfId="654" builtinId="34" customBuiltin="1"/>
    <cellStyle name="20% - Accent3" xfId="658" builtinId="38" customBuiltin="1"/>
    <cellStyle name="20% - Accent4" xfId="662" builtinId="42" customBuiltin="1"/>
    <cellStyle name="20% - Accent5" xfId="666" builtinId="46" customBuiltin="1"/>
    <cellStyle name="20% - Accent6" xfId="670" builtinId="50" customBuiltin="1"/>
    <cellStyle name="40% - Accent1" xfId="651" builtinId="31" customBuiltin="1"/>
    <cellStyle name="40% - Accent2" xfId="655" builtinId="35" customBuiltin="1"/>
    <cellStyle name="40% - Accent3" xfId="659" builtinId="39" customBuiltin="1"/>
    <cellStyle name="40% - Accent4" xfId="663" builtinId="43" customBuiltin="1"/>
    <cellStyle name="40% - Accent5" xfId="667" builtinId="47" customBuiltin="1"/>
    <cellStyle name="40% - Accent6" xfId="671" builtinId="51" customBuiltin="1"/>
    <cellStyle name="60% - Accent1" xfId="652" builtinId="32" customBuiltin="1"/>
    <cellStyle name="60% - Accent2" xfId="656" builtinId="36" customBuiltin="1"/>
    <cellStyle name="60% - Accent3" xfId="660" builtinId="40" customBuiltin="1"/>
    <cellStyle name="60% - Accent4" xfId="664" builtinId="44" customBuiltin="1"/>
    <cellStyle name="60% - Accent5" xfId="668" builtinId="48" customBuiltin="1"/>
    <cellStyle name="60% - Accent6" xfId="672" builtinId="52" customBuiltin="1"/>
    <cellStyle name="Accent1" xfId="649" builtinId="29" customBuiltin="1"/>
    <cellStyle name="Accent2" xfId="653" builtinId="33" customBuiltin="1"/>
    <cellStyle name="Accent3" xfId="657" builtinId="37" customBuiltin="1"/>
    <cellStyle name="Accent4" xfId="661" builtinId="41" customBuiltin="1"/>
    <cellStyle name="Accent5" xfId="665" builtinId="45" customBuiltin="1"/>
    <cellStyle name="Accent6" xfId="669" builtinId="49" customBuiltin="1"/>
    <cellStyle name="Bad" xfId="639" builtinId="27" customBuiltin="1"/>
    <cellStyle name="Calculation" xfId="643" builtinId="22" customBuiltin="1"/>
    <cellStyle name="Check Cell" xfId="645" builtinId="23" customBuiltin="1"/>
    <cellStyle name="Explanatory Text" xfId="647" builtinId="53" customBuiltin="1"/>
    <cellStyle name="Explanatory Text 2" xfId="3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Good" xfId="638" builtinId="26" customBuiltin="1"/>
    <cellStyle name="Heading 1" xfId="634" builtinId="16" customBuiltin="1"/>
    <cellStyle name="Heading 2" xfId="635" builtinId="17" customBuiltin="1"/>
    <cellStyle name="Heading 3" xfId="636" builtinId="18" customBuiltin="1"/>
    <cellStyle name="Heading 4" xfId="637" builtinId="19" customBuilti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Input" xfId="641" builtinId="20" customBuiltin="1"/>
    <cellStyle name="Linked Cell" xfId="644" builtinId="24" customBuiltin="1"/>
    <cellStyle name="Neutral" xfId="640" builtinId="28" customBuiltin="1"/>
    <cellStyle name="Normal" xfId="0" builtinId="0"/>
    <cellStyle name="Normal 16" xfId="33"/>
    <cellStyle name="Normal 16 2" xfId="620"/>
    <cellStyle name="Normal 2" xfId="673"/>
    <cellStyle name="Note 2" xfId="676"/>
    <cellStyle name="Output" xfId="642" builtinId="21" customBuiltin="1"/>
    <cellStyle name="Percent" xfId="555" builtinId="5"/>
    <cellStyle name="Percent 2" xfId="675"/>
    <cellStyle name="Title" xfId="633" builtinId="15" customBuiltin="1"/>
    <cellStyle name="Title 2" xfId="674"/>
    <cellStyle name="Total" xfId="648" builtinId="25" customBuiltin="1"/>
    <cellStyle name="Warning Text" xfId="646" builtinId="11" customBuiltin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104775</xdr:rowOff>
    </xdr:from>
    <xdr:to>
      <xdr:col>3</xdr:col>
      <xdr:colOff>1062117</xdr:colOff>
      <xdr:row>8</xdr:row>
      <xdr:rowOff>66674</xdr:rowOff>
    </xdr:to>
    <xdr:pic>
      <xdr:nvPicPr>
        <xdr:cNvPr id="3" name="Picture 2" descr="UE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79575"/>
          <a:ext cx="3948192" cy="469899"/>
        </a:xfrm>
        <a:prstGeom prst="rect">
          <a:avLst/>
        </a:prstGeom>
      </xdr:spPr>
    </xdr:pic>
    <xdr:clientData/>
  </xdr:twoCellAnchor>
  <xdr:twoCellAnchor>
    <xdr:from>
      <xdr:col>3</xdr:col>
      <xdr:colOff>688976</xdr:colOff>
      <xdr:row>1</xdr:row>
      <xdr:rowOff>85724</xdr:rowOff>
    </xdr:from>
    <xdr:to>
      <xdr:col>6</xdr:col>
      <xdr:colOff>543904</xdr:colOff>
      <xdr:row>2</xdr:row>
      <xdr:rowOff>304799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9176" y="327024"/>
          <a:ext cx="2369528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</xdr:row>
      <xdr:rowOff>133351</xdr:rowOff>
    </xdr:from>
    <xdr:to>
      <xdr:col>2</xdr:col>
      <xdr:colOff>152400</xdr:colOff>
      <xdr:row>3</xdr:row>
      <xdr:rowOff>4864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71476"/>
          <a:ext cx="2238375" cy="4334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88900</xdr:colOff>
      <xdr:row>3</xdr:row>
      <xdr:rowOff>101600</xdr:rowOff>
    </xdr:from>
    <xdr:to>
      <xdr:col>3</xdr:col>
      <xdr:colOff>504825</xdr:colOff>
      <xdr:row>5</xdr:row>
      <xdr:rowOff>203200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914400"/>
          <a:ext cx="3302000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487543</xdr:colOff>
      <xdr:row>15</xdr:row>
      <xdr:rowOff>127000</xdr:rowOff>
    </xdr:to>
    <xdr:pic>
      <xdr:nvPicPr>
        <xdr:cNvPr id="2" name="Picture 1" descr="home audio UEC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7057676" cy="279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85725</xdr:rowOff>
    </xdr:from>
    <xdr:to>
      <xdr:col>2</xdr:col>
      <xdr:colOff>485512</xdr:colOff>
      <xdr:row>4</xdr:row>
      <xdr:rowOff>66602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23850"/>
          <a:ext cx="2104762" cy="5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4</xdr:row>
      <xdr:rowOff>114300</xdr:rowOff>
    </xdr:from>
    <xdr:to>
      <xdr:col>1</xdr:col>
      <xdr:colOff>266593</xdr:colOff>
      <xdr:row>7</xdr:row>
      <xdr:rowOff>47558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952500"/>
          <a:ext cx="857143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7</xdr:row>
      <xdr:rowOff>104775</xdr:rowOff>
    </xdr:from>
    <xdr:to>
      <xdr:col>7</xdr:col>
      <xdr:colOff>618325</xdr:colOff>
      <xdr:row>17</xdr:row>
      <xdr:rowOff>75954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725" y="1543050"/>
          <a:ext cx="6400000" cy="19714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2</xdr:col>
      <xdr:colOff>393700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400"/>
          <a:ext cx="3848100" cy="1016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50800</xdr:rowOff>
    </xdr:from>
    <xdr:to>
      <xdr:col>4</xdr:col>
      <xdr:colOff>444500</xdr:colOff>
      <xdr:row>9</xdr:row>
      <xdr:rowOff>165100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46200"/>
          <a:ext cx="5956300" cy="116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25"/>
  <sheetViews>
    <sheetView workbookViewId="0">
      <selection activeCell="G18" sqref="G18"/>
    </sheetView>
  </sheetViews>
  <sheetFormatPr defaultColWidth="11" defaultRowHeight="15.75"/>
  <cols>
    <col min="1" max="1" width="6.875" customWidth="1"/>
    <col min="2" max="2" width="21" customWidth="1"/>
    <col min="3" max="3" width="10" customWidth="1"/>
    <col min="4" max="4" width="15" customWidth="1"/>
    <col min="5" max="5" width="13" customWidth="1"/>
    <col min="6" max="6" width="5" customWidth="1"/>
    <col min="7" max="7" width="15.125" customWidth="1"/>
    <col min="8" max="8" width="15.375" customWidth="1"/>
    <col min="9" max="9" width="11" customWidth="1"/>
    <col min="10" max="10" width="14.625" customWidth="1"/>
    <col min="11" max="11" width="10.875" customWidth="1"/>
    <col min="12" max="12" width="12.375" customWidth="1"/>
    <col min="13" max="13" width="19.375" customWidth="1"/>
    <col min="14" max="14" width="15.5" customWidth="1"/>
    <col min="15" max="15" width="11.5" customWidth="1"/>
    <col min="16" max="16" width="19.875" customWidth="1"/>
    <col min="17" max="17" width="13" customWidth="1"/>
  </cols>
  <sheetData>
    <row r="1" spans="1:17" ht="18.75">
      <c r="A1" s="463" t="s">
        <v>74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</row>
    <row r="2" spans="1:17" ht="19.5" thickBot="1">
      <c r="A2" s="13"/>
      <c r="B2" s="13"/>
      <c r="C2" s="13"/>
      <c r="D2" s="13"/>
      <c r="E2" s="13"/>
      <c r="F2" s="13"/>
      <c r="G2" s="13"/>
      <c r="H2" s="13"/>
      <c r="L2" s="464" t="s">
        <v>101</v>
      </c>
      <c r="M2" s="464"/>
      <c r="N2" s="464"/>
      <c r="O2" s="464"/>
      <c r="P2" s="464"/>
      <c r="Q2" s="464"/>
    </row>
    <row r="3" spans="1:17" ht="24.75" thickBot="1">
      <c r="A3" s="13"/>
      <c r="B3" s="13"/>
      <c r="C3" s="13"/>
      <c r="D3" s="13"/>
      <c r="E3" s="13"/>
      <c r="F3" s="13"/>
      <c r="G3" s="13"/>
      <c r="H3" s="13"/>
      <c r="L3" s="124" t="s">
        <v>0</v>
      </c>
      <c r="M3" s="125" t="s">
        <v>1</v>
      </c>
      <c r="N3" s="125" t="s">
        <v>2</v>
      </c>
      <c r="O3" s="126" t="s">
        <v>98</v>
      </c>
      <c r="P3" s="125" t="s">
        <v>99</v>
      </c>
      <c r="Q3" s="125" t="s">
        <v>100</v>
      </c>
    </row>
    <row r="4" spans="1:17" ht="19.5" thickBot="1">
      <c r="A4" s="13"/>
      <c r="B4" s="13"/>
      <c r="C4" s="13"/>
      <c r="D4" s="13"/>
      <c r="E4" s="13"/>
      <c r="F4" s="13"/>
      <c r="G4" s="13"/>
      <c r="H4" s="13"/>
      <c r="L4" s="465" t="s">
        <v>94</v>
      </c>
      <c r="M4" s="465" t="s">
        <v>6</v>
      </c>
      <c r="N4" s="465" t="s">
        <v>4</v>
      </c>
      <c r="O4" s="122" t="s">
        <v>95</v>
      </c>
      <c r="P4" s="122">
        <v>3.58</v>
      </c>
      <c r="Q4" s="123">
        <v>3.16</v>
      </c>
    </row>
    <row r="5" spans="1:17" ht="19.5" thickBot="1">
      <c r="A5" s="33"/>
      <c r="B5" s="33"/>
      <c r="C5" s="33"/>
      <c r="D5" s="33"/>
      <c r="E5" s="33"/>
      <c r="F5" s="33"/>
      <c r="G5" s="33"/>
      <c r="H5" s="33"/>
      <c r="L5" s="466"/>
      <c r="M5" s="466"/>
      <c r="N5" s="466"/>
      <c r="O5" s="96" t="s">
        <v>95</v>
      </c>
      <c r="P5" s="96">
        <v>3.93</v>
      </c>
      <c r="Q5" s="121">
        <v>2.73</v>
      </c>
    </row>
    <row r="6" spans="1:17" ht="19.5" thickBot="1">
      <c r="A6" s="33"/>
      <c r="B6" s="33"/>
      <c r="C6" s="33"/>
      <c r="D6" s="33"/>
      <c r="E6" s="33"/>
      <c r="F6" s="33"/>
      <c r="G6" s="33"/>
      <c r="H6" s="33"/>
      <c r="L6" s="466"/>
      <c r="M6" s="466"/>
      <c r="N6" s="466"/>
      <c r="O6" s="122" t="s">
        <v>95</v>
      </c>
      <c r="P6" s="122">
        <v>3.83</v>
      </c>
      <c r="Q6" s="123">
        <v>3.49</v>
      </c>
    </row>
    <row r="7" spans="1:17" ht="19.5" thickBot="1">
      <c r="A7" s="33"/>
      <c r="B7" s="33"/>
      <c r="C7" s="33"/>
      <c r="D7" s="33"/>
      <c r="E7" s="33"/>
      <c r="F7" s="33"/>
      <c r="G7" s="33"/>
      <c r="H7" s="33"/>
      <c r="L7" s="466"/>
      <c r="M7" s="466"/>
      <c r="N7" s="466"/>
      <c r="O7" s="96" t="s">
        <v>95</v>
      </c>
      <c r="P7" s="96">
        <v>3.71</v>
      </c>
      <c r="Q7" s="121">
        <v>3.48</v>
      </c>
    </row>
    <row r="8" spans="1:17" ht="19.5" thickBot="1">
      <c r="A8" s="33"/>
      <c r="B8" s="33"/>
      <c r="C8" s="33"/>
      <c r="D8" s="33"/>
      <c r="E8" s="33"/>
      <c r="F8" s="33"/>
      <c r="G8" s="33"/>
      <c r="H8" s="33"/>
      <c r="L8" s="466"/>
      <c r="M8" s="466"/>
      <c r="N8" s="466"/>
      <c r="O8" s="122" t="s">
        <v>95</v>
      </c>
      <c r="P8" s="122">
        <v>3.9</v>
      </c>
      <c r="Q8" s="123">
        <v>3.51</v>
      </c>
    </row>
    <row r="9" spans="1:17" ht="19.5" thickBot="1">
      <c r="A9" s="33"/>
      <c r="B9" s="33"/>
      <c r="C9" s="33"/>
      <c r="D9" s="33"/>
      <c r="E9" s="33"/>
      <c r="F9" s="33"/>
      <c r="G9" s="33"/>
      <c r="H9" s="33"/>
      <c r="L9" s="466"/>
      <c r="M9" s="466"/>
      <c r="N9" s="466"/>
      <c r="O9" s="96" t="s">
        <v>95</v>
      </c>
      <c r="P9" s="96">
        <v>3.8</v>
      </c>
      <c r="Q9" s="121">
        <v>2.71</v>
      </c>
    </row>
    <row r="10" spans="1:17" ht="16.5" thickBot="1">
      <c r="A10" t="s">
        <v>13</v>
      </c>
      <c r="L10" s="466"/>
      <c r="M10" s="466"/>
      <c r="N10" s="466"/>
      <c r="O10" s="122" t="s">
        <v>95</v>
      </c>
      <c r="P10" s="122">
        <v>3.84</v>
      </c>
      <c r="Q10" s="123">
        <v>3.06</v>
      </c>
    </row>
    <row r="11" spans="1:17" ht="16.5" thickBot="1">
      <c r="B11" t="s">
        <v>24</v>
      </c>
      <c r="C11" t="s">
        <v>16</v>
      </c>
      <c r="L11" s="466"/>
      <c r="M11" s="466"/>
      <c r="N11" s="466"/>
      <c r="O11" s="96" t="s">
        <v>95</v>
      </c>
      <c r="P11" s="96">
        <v>3.71</v>
      </c>
      <c r="Q11" s="121">
        <v>3.11</v>
      </c>
    </row>
    <row r="12" spans="1:17" ht="19.5" thickBot="1">
      <c r="B12" t="s">
        <v>109</v>
      </c>
      <c r="C12">
        <v>283</v>
      </c>
      <c r="D12" t="s">
        <v>44</v>
      </c>
      <c r="L12" s="466"/>
      <c r="M12" s="466"/>
      <c r="N12" s="466"/>
      <c r="O12" s="122" t="s">
        <v>96</v>
      </c>
      <c r="P12" s="122">
        <v>3.99</v>
      </c>
      <c r="Q12" s="123">
        <v>3.22</v>
      </c>
    </row>
    <row r="13" spans="1:17" ht="19.5" thickBot="1">
      <c r="B13" t="s">
        <v>110</v>
      </c>
      <c r="C13">
        <v>251</v>
      </c>
      <c r="D13" t="s">
        <v>44</v>
      </c>
      <c r="L13" s="466"/>
      <c r="M13" s="466"/>
      <c r="N13" s="466"/>
      <c r="O13" s="96" t="s">
        <v>96</v>
      </c>
      <c r="P13" s="96">
        <v>4.01</v>
      </c>
      <c r="Q13" s="121">
        <v>3.41</v>
      </c>
    </row>
    <row r="14" spans="1:17" ht="19.5" thickBot="1">
      <c r="B14" t="s">
        <v>45</v>
      </c>
      <c r="C14">
        <v>274</v>
      </c>
      <c r="D14" t="s">
        <v>44</v>
      </c>
      <c r="L14" s="466"/>
      <c r="M14" s="466"/>
      <c r="N14" s="466"/>
      <c r="O14" s="122" t="s">
        <v>97</v>
      </c>
      <c r="P14" s="122">
        <v>3.92</v>
      </c>
      <c r="Q14" s="123">
        <v>3.19</v>
      </c>
    </row>
    <row r="15" spans="1:17" ht="19.5" thickBot="1">
      <c r="B15" t="s">
        <v>49</v>
      </c>
      <c r="C15" t="s">
        <v>14</v>
      </c>
      <c r="F15">
        <v>8.4499999999999993</v>
      </c>
      <c r="L15" s="466"/>
      <c r="M15" s="466"/>
      <c r="N15" s="466"/>
      <c r="O15" s="96" t="s">
        <v>97</v>
      </c>
      <c r="P15" s="96">
        <v>3.78</v>
      </c>
      <c r="Q15" s="121">
        <v>3.19</v>
      </c>
    </row>
    <row r="16" spans="1:17" ht="19.5" thickBot="1">
      <c r="B16" t="s">
        <v>50</v>
      </c>
      <c r="C16" t="s">
        <v>14</v>
      </c>
      <c r="F16">
        <v>3</v>
      </c>
      <c r="L16" s="467"/>
      <c r="M16" s="467"/>
      <c r="N16" s="467"/>
      <c r="O16" s="128" t="s">
        <v>105</v>
      </c>
      <c r="P16" s="129">
        <f>AVERAGE(P4:P15)</f>
        <v>3.8333333333333335</v>
      </c>
      <c r="Q16" s="129">
        <f>AVERAGE(Q4:Q15)</f>
        <v>3.188333333333333</v>
      </c>
    </row>
    <row r="17" spans="1:17" ht="16.5" thickBot="1">
      <c r="B17" t="s">
        <v>17</v>
      </c>
      <c r="C17" t="s">
        <v>18</v>
      </c>
      <c r="L17" s="457" t="s">
        <v>94</v>
      </c>
      <c r="M17" s="457" t="s">
        <v>7</v>
      </c>
      <c r="N17" s="457">
        <v>240</v>
      </c>
      <c r="O17" s="96" t="s">
        <v>95</v>
      </c>
      <c r="P17" s="96">
        <v>3.53</v>
      </c>
      <c r="Q17" s="121">
        <v>3.32</v>
      </c>
    </row>
    <row r="18" spans="1:17" ht="16.5" thickBot="1">
      <c r="B18" t="s">
        <v>47</v>
      </c>
      <c r="C18" t="s">
        <v>48</v>
      </c>
      <c r="L18" s="458"/>
      <c r="M18" s="458"/>
      <c r="N18" s="458"/>
      <c r="O18" s="122" t="s">
        <v>95</v>
      </c>
      <c r="P18" s="122">
        <v>3.56</v>
      </c>
      <c r="Q18" s="123">
        <v>2.27</v>
      </c>
    </row>
    <row r="19" spans="1:17" ht="16.5" thickBot="1">
      <c r="B19" t="s">
        <v>51</v>
      </c>
      <c r="C19" s="324">
        <f>AVERAGE(0.057,0.061,0.055)</f>
        <v>5.7666666666666665E-2</v>
      </c>
      <c r="D19" s="40" t="s">
        <v>215</v>
      </c>
      <c r="L19" s="458"/>
      <c r="M19" s="458"/>
      <c r="N19" s="458"/>
      <c r="O19" s="96" t="s">
        <v>96</v>
      </c>
      <c r="P19" s="96">
        <v>3.69</v>
      </c>
      <c r="Q19" s="121">
        <v>3.19</v>
      </c>
    </row>
    <row r="20" spans="1:17" ht="20.25" thickBot="1">
      <c r="B20" t="s">
        <v>222</v>
      </c>
      <c r="C20" s="234">
        <f>(C22-C23)/(C21-C23)</f>
        <v>0.5964125560538116</v>
      </c>
      <c r="D20" s="234">
        <f>(D22-C23)/(C21-C23)</f>
        <v>0.65022421524663676</v>
      </c>
      <c r="E20" s="322" t="s">
        <v>223</v>
      </c>
      <c r="L20" s="458"/>
      <c r="M20" s="458"/>
      <c r="N20" s="458"/>
      <c r="O20" s="122" t="s">
        <v>97</v>
      </c>
      <c r="P20" s="122">
        <v>3.74</v>
      </c>
      <c r="Q20" s="123">
        <v>3.51</v>
      </c>
    </row>
    <row r="21" spans="1:17" ht="20.25" thickBot="1">
      <c r="B21" s="345" t="s">
        <v>224</v>
      </c>
      <c r="C21" s="323">
        <v>0.57499999999999996</v>
      </c>
      <c r="D21" t="s">
        <v>219</v>
      </c>
      <c r="L21" s="458"/>
      <c r="M21" s="458"/>
      <c r="N21" s="459"/>
      <c r="O21" s="96" t="s">
        <v>97</v>
      </c>
      <c r="P21" s="96">
        <v>3.74</v>
      </c>
      <c r="Q21" s="121">
        <v>3.14</v>
      </c>
    </row>
    <row r="22" spans="1:17" ht="20.25" thickBot="1">
      <c r="B22" s="345" t="s">
        <v>225</v>
      </c>
      <c r="C22" s="234">
        <v>0.35</v>
      </c>
      <c r="D22" s="234">
        <v>0.38</v>
      </c>
      <c r="E22" t="s">
        <v>296</v>
      </c>
      <c r="G22" s="40"/>
      <c r="L22" s="459"/>
      <c r="M22" s="458"/>
      <c r="N22" s="122">
        <v>120</v>
      </c>
      <c r="O22" s="122" t="s">
        <v>95</v>
      </c>
      <c r="P22" s="122">
        <v>3.75</v>
      </c>
      <c r="Q22" s="123">
        <v>2.1800000000000002</v>
      </c>
    </row>
    <row r="23" spans="1:17" ht="15.95" customHeight="1" thickBot="1">
      <c r="B23" s="345" t="s">
        <v>226</v>
      </c>
      <c r="C23" s="350">
        <v>1.7500000000000002E-2</v>
      </c>
      <c r="D23" t="s">
        <v>220</v>
      </c>
      <c r="G23" s="40"/>
      <c r="L23" s="127" t="s">
        <v>102</v>
      </c>
      <c r="M23" s="458"/>
      <c r="N23" s="96">
        <v>240</v>
      </c>
      <c r="O23" s="96" t="s">
        <v>95</v>
      </c>
      <c r="P23" s="96">
        <v>2.98</v>
      </c>
      <c r="Q23" s="121">
        <v>2.73</v>
      </c>
    </row>
    <row r="24" spans="1:17" ht="33.950000000000003" customHeight="1" thickBot="1">
      <c r="B24" s="347" t="s">
        <v>227</v>
      </c>
      <c r="C24" s="345">
        <v>0.2</v>
      </c>
      <c r="D24" t="s">
        <v>221</v>
      </c>
      <c r="L24" s="135" t="s">
        <v>107</v>
      </c>
      <c r="M24" s="459"/>
      <c r="N24" s="136" t="s">
        <v>107</v>
      </c>
      <c r="O24" s="130" t="s">
        <v>105</v>
      </c>
      <c r="P24" s="130">
        <f>AVERAGE(P17:P23)</f>
        <v>3.57</v>
      </c>
      <c r="Q24" s="131">
        <f>AVERAGE(Q17:Q23)</f>
        <v>2.9057142857142857</v>
      </c>
    </row>
    <row r="25" spans="1:17" ht="16.5" thickBot="1">
      <c r="L25" s="457" t="s">
        <v>42</v>
      </c>
      <c r="M25" s="460" t="s">
        <v>6</v>
      </c>
      <c r="N25" s="457" t="s">
        <v>4</v>
      </c>
      <c r="O25" s="121" t="s">
        <v>95</v>
      </c>
      <c r="P25" s="96">
        <v>3.43</v>
      </c>
      <c r="Q25" s="121">
        <v>2.7</v>
      </c>
    </row>
    <row r="26" spans="1:17" ht="16.5" customHeight="1" thickBot="1">
      <c r="A26" t="s">
        <v>301</v>
      </c>
      <c r="L26" s="458"/>
      <c r="M26" s="461"/>
      <c r="N26" s="458"/>
      <c r="O26" s="123" t="s">
        <v>95</v>
      </c>
      <c r="P26" s="122">
        <v>3.31</v>
      </c>
      <c r="Q26" s="123">
        <v>2.87</v>
      </c>
    </row>
    <row r="27" spans="1:17" ht="15.95" customHeight="1" thickBot="1">
      <c r="B27" s="323">
        <v>0.66100000000000003</v>
      </c>
      <c r="C27" t="s">
        <v>298</v>
      </c>
      <c r="L27" s="458"/>
      <c r="M27" s="461"/>
      <c r="N27" s="458"/>
      <c r="O27" s="121" t="s">
        <v>95</v>
      </c>
      <c r="P27" s="96">
        <v>3.49</v>
      </c>
      <c r="Q27" s="121">
        <v>3.07</v>
      </c>
    </row>
    <row r="28" spans="1:17" ht="15.95" customHeight="1" thickBot="1">
      <c r="B28" s="323">
        <f>1-B27</f>
        <v>0.33899999999999997</v>
      </c>
      <c r="C28" t="s">
        <v>297</v>
      </c>
      <c r="L28" s="458"/>
      <c r="M28" s="461"/>
      <c r="N28" s="458"/>
      <c r="O28" s="123" t="s">
        <v>95</v>
      </c>
      <c r="P28" s="122">
        <v>3.39</v>
      </c>
      <c r="Q28" s="123">
        <v>2.69</v>
      </c>
    </row>
    <row r="29" spans="1:17" ht="15.95" customHeight="1" thickBot="1">
      <c r="L29" s="458"/>
      <c r="M29" s="461"/>
      <c r="N29" s="458"/>
      <c r="O29" s="121" t="s">
        <v>95</v>
      </c>
      <c r="P29" s="96">
        <v>3.37</v>
      </c>
      <c r="Q29" s="121">
        <v>3.25</v>
      </c>
    </row>
    <row r="30" spans="1:17" ht="15.95" customHeight="1" thickBot="1">
      <c r="A30" t="s">
        <v>302</v>
      </c>
      <c r="L30" s="458"/>
      <c r="M30" s="461"/>
      <c r="N30" s="458"/>
      <c r="O30" s="121" t="s">
        <v>95</v>
      </c>
      <c r="P30" s="96">
        <v>3.37</v>
      </c>
      <c r="Q30" s="121">
        <v>2.94</v>
      </c>
    </row>
    <row r="31" spans="1:17" ht="16.5" thickBot="1">
      <c r="B31" s="323">
        <v>0.72399999999999998</v>
      </c>
      <c r="C31" t="s">
        <v>299</v>
      </c>
      <c r="L31" s="458"/>
      <c r="M31" s="461"/>
      <c r="N31" s="458"/>
      <c r="O31" s="123" t="s">
        <v>96</v>
      </c>
      <c r="P31" s="122">
        <v>3.35</v>
      </c>
      <c r="Q31" s="123">
        <v>2.54</v>
      </c>
    </row>
    <row r="32" spans="1:17" ht="16.5" thickBot="1">
      <c r="B32" s="323">
        <f>1-B31</f>
        <v>0.27600000000000002</v>
      </c>
      <c r="C32" t="s">
        <v>300</v>
      </c>
      <c r="L32" s="458"/>
      <c r="M32" s="461"/>
      <c r="N32" s="458"/>
      <c r="O32" s="121" t="s">
        <v>97</v>
      </c>
      <c r="P32" s="96">
        <v>3.74</v>
      </c>
      <c r="Q32" s="121">
        <v>2.93</v>
      </c>
    </row>
    <row r="33" spans="1:17" ht="16.5" thickBot="1">
      <c r="L33" s="459"/>
      <c r="M33" s="462"/>
      <c r="N33" s="459"/>
      <c r="O33" s="130" t="s">
        <v>105</v>
      </c>
      <c r="P33" s="134">
        <f>AVERAGE(P25:P32)</f>
        <v>3.4312500000000004</v>
      </c>
      <c r="Q33" s="134">
        <f>AVERAGE(Q25:Q32)</f>
        <v>2.8737499999999998</v>
      </c>
    </row>
    <row r="34" spans="1:17" ht="21.95" customHeight="1"/>
    <row r="35" spans="1:17" s="345" customFormat="1" ht="17.100000000000001" customHeight="1" thickBot="1">
      <c r="A35" s="414" t="s">
        <v>182</v>
      </c>
      <c r="B35" s="414"/>
      <c r="C35" s="414"/>
      <c r="D35" s="414"/>
      <c r="E35" s="414"/>
      <c r="F35" s="414"/>
      <c r="G35" s="414"/>
      <c r="H35" s="414"/>
    </row>
    <row r="36" spans="1:17" s="345" customFormat="1" ht="28.5" customHeight="1" thickBot="1">
      <c r="A36" s="426" t="s">
        <v>0</v>
      </c>
      <c r="B36" s="427"/>
      <c r="C36" s="427"/>
      <c r="D36" s="1" t="s">
        <v>1</v>
      </c>
      <c r="E36" s="1" t="s">
        <v>2</v>
      </c>
      <c r="F36" s="405" t="s">
        <v>3</v>
      </c>
      <c r="G36" s="406"/>
      <c r="H36" s="2" t="s">
        <v>15</v>
      </c>
    </row>
    <row r="37" spans="1:17" s="345" customFormat="1" ht="17.100000000000001" customHeight="1" thickBot="1">
      <c r="A37" s="409" t="s">
        <v>5</v>
      </c>
      <c r="B37" s="410"/>
      <c r="C37" s="411"/>
      <c r="D37" s="28" t="s">
        <v>6</v>
      </c>
      <c r="E37" s="28" t="s">
        <v>4</v>
      </c>
      <c r="F37" s="407">
        <v>3.93</v>
      </c>
      <c r="G37" s="408"/>
      <c r="H37" s="10">
        <f>$C$12*F15/F37*$C$20</f>
        <v>362.90869361813799</v>
      </c>
    </row>
    <row r="38" spans="1:17" s="345" customFormat="1" ht="17.100000000000001" customHeight="1" thickBot="1">
      <c r="A38" s="429" t="s">
        <v>5</v>
      </c>
      <c r="B38" s="430"/>
      <c r="C38" s="431"/>
      <c r="D38" s="7" t="s">
        <v>7</v>
      </c>
      <c r="E38" s="3">
        <v>120</v>
      </c>
      <c r="F38" s="468">
        <v>3.8</v>
      </c>
      <c r="G38" s="469"/>
      <c r="H38" s="37">
        <f>$C$13*F16/F38*(B31*$D$20+B32*C20)</f>
        <v>125.90401699315552</v>
      </c>
    </row>
    <row r="39" spans="1:17" s="345" customFormat="1" ht="17.100000000000001" customHeight="1" thickBot="1">
      <c r="A39" s="409" t="s">
        <v>8</v>
      </c>
      <c r="B39" s="410"/>
      <c r="C39" s="411"/>
      <c r="D39" s="28" t="s">
        <v>7</v>
      </c>
      <c r="E39" s="27">
        <v>240</v>
      </c>
      <c r="F39" s="407">
        <v>3.45</v>
      </c>
      <c r="G39" s="408"/>
      <c r="H39" s="10">
        <f>$C$13*F16/F39*(B31*$D$20+B32*C20)</f>
        <v>138.67688828231621</v>
      </c>
    </row>
    <row r="40" spans="1:17" s="345" customFormat="1" ht="17.100000000000001" customHeight="1" thickBot="1">
      <c r="A40" s="429" t="s">
        <v>9</v>
      </c>
      <c r="B40" s="430"/>
      <c r="C40" s="431"/>
      <c r="D40" s="7" t="s">
        <v>7</v>
      </c>
      <c r="E40" s="3">
        <v>240</v>
      </c>
      <c r="F40" s="468">
        <v>2.68</v>
      </c>
      <c r="G40" s="469"/>
      <c r="H40" s="37">
        <f>$C$13*F16/F40*(B31*$D$20+B32*C20)</f>
        <v>178.52062110969811</v>
      </c>
    </row>
    <row r="41" spans="1:17" s="345" customFormat="1" ht="17.100000000000001" customHeight="1" thickBot="1">
      <c r="A41" s="409" t="s">
        <v>42</v>
      </c>
      <c r="B41" s="410"/>
      <c r="C41" s="411"/>
      <c r="D41" s="32" t="s">
        <v>4</v>
      </c>
      <c r="E41" s="29" t="s">
        <v>4</v>
      </c>
      <c r="F41" s="407">
        <v>3.48</v>
      </c>
      <c r="G41" s="408"/>
      <c r="H41" s="10">
        <f>$C$14*F15/F41*$C$20</f>
        <v>396.80287098603156</v>
      </c>
    </row>
    <row r="42" spans="1:17" s="345" customFormat="1" ht="17.100000000000001" customHeight="1">
      <c r="A42"/>
      <c r="B42"/>
      <c r="C42"/>
      <c r="D42"/>
      <c r="E42"/>
      <c r="F42"/>
      <c r="G42"/>
      <c r="H42"/>
    </row>
    <row r="43" spans="1:17" s="345" customFormat="1" ht="17.100000000000001" customHeight="1" thickBot="1">
      <c r="A43" s="414" t="s">
        <v>314</v>
      </c>
      <c r="B43" s="414"/>
      <c r="C43" s="414"/>
      <c r="D43" s="414"/>
      <c r="E43" s="414"/>
      <c r="F43" s="414"/>
      <c r="G43" s="414"/>
      <c r="H43" s="414"/>
    </row>
    <row r="44" spans="1:17" s="345" customFormat="1" ht="30" customHeight="1" thickBot="1">
      <c r="A44" s="426" t="s">
        <v>315</v>
      </c>
      <c r="B44" s="427"/>
      <c r="C44" s="427"/>
      <c r="D44" s="166" t="s">
        <v>1</v>
      </c>
      <c r="E44" s="166" t="s">
        <v>2</v>
      </c>
      <c r="F44" s="405" t="s">
        <v>3</v>
      </c>
      <c r="G44" s="406"/>
      <c r="H44" s="167" t="s">
        <v>15</v>
      </c>
    </row>
    <row r="45" spans="1:17" s="345" customFormat="1" ht="17.100000000000001" customHeight="1" thickBot="1">
      <c r="A45" s="409" t="s">
        <v>5</v>
      </c>
      <c r="B45" s="410"/>
      <c r="C45" s="411"/>
      <c r="D45" s="165" t="s">
        <v>6</v>
      </c>
      <c r="E45" s="165" t="s">
        <v>4</v>
      </c>
      <c r="F45" s="407">
        <v>4.3</v>
      </c>
      <c r="G45" s="408"/>
      <c r="H45" s="10">
        <f>$C$12*F15/F45*$C$20</f>
        <v>331.68166649285632</v>
      </c>
    </row>
    <row r="46" spans="1:17" s="345" customFormat="1" ht="17.100000000000001" customHeight="1" thickBot="1">
      <c r="A46" s="403" t="s">
        <v>5</v>
      </c>
      <c r="B46" s="403"/>
      <c r="C46" s="403"/>
      <c r="D46" s="7" t="s">
        <v>7</v>
      </c>
      <c r="E46" s="162" t="s">
        <v>4</v>
      </c>
      <c r="F46" s="404">
        <v>4.3</v>
      </c>
      <c r="G46" s="404"/>
      <c r="H46" s="14">
        <f>$C$13*F16/F46*(B31*$D$20+B32*C20)</f>
        <v>111.2640150172072</v>
      </c>
    </row>
    <row r="47" spans="1:17" s="345" customFormat="1" ht="17.100000000000001" customHeight="1" thickBot="1">
      <c r="A47" s="409" t="s">
        <v>42</v>
      </c>
      <c r="B47" s="410"/>
      <c r="C47" s="411"/>
      <c r="D47" s="165" t="s">
        <v>4</v>
      </c>
      <c r="E47" s="165" t="s">
        <v>4</v>
      </c>
      <c r="F47" s="412">
        <v>3.8</v>
      </c>
      <c r="G47" s="413"/>
      <c r="H47" s="10">
        <f>$C$14*F15/F47*$C$20</f>
        <v>363.38789237668158</v>
      </c>
    </row>
    <row r="48" spans="1:17" s="345" customFormat="1" ht="16.5" customHeight="1"/>
    <row r="49" spans="1:18" s="345" customFormat="1" ht="17.100000000000001" customHeight="1"/>
    <row r="50" spans="1:18" s="345" customFormat="1" ht="17.100000000000001" customHeight="1"/>
    <row r="51" spans="1:18" s="345" customFormat="1" ht="17.100000000000001" customHeight="1"/>
    <row r="52" spans="1:18" ht="16.5" thickBot="1">
      <c r="A52" s="414" t="s">
        <v>10</v>
      </c>
      <c r="B52" s="414"/>
      <c r="C52" s="414"/>
      <c r="D52" s="414"/>
      <c r="E52" s="414"/>
      <c r="F52" s="414"/>
      <c r="G52" s="414"/>
      <c r="H52" s="36"/>
      <c r="I52" s="414" t="s">
        <v>22</v>
      </c>
      <c r="J52" s="414"/>
      <c r="K52" s="414"/>
      <c r="L52" s="414"/>
      <c r="M52" s="414"/>
      <c r="N52" s="414"/>
    </row>
    <row r="53" spans="1:18" ht="29.1" customHeight="1" thickBot="1">
      <c r="A53" s="426" t="s">
        <v>0</v>
      </c>
      <c r="B53" s="427"/>
      <c r="C53" s="427"/>
      <c r="D53" s="1" t="s">
        <v>1</v>
      </c>
      <c r="E53" s="1" t="s">
        <v>2</v>
      </c>
      <c r="F53" s="405" t="s">
        <v>3</v>
      </c>
      <c r="G53" s="406"/>
      <c r="H53" s="17"/>
      <c r="I53" s="426" t="s">
        <v>0</v>
      </c>
      <c r="J53" s="427"/>
      <c r="K53" s="8" t="s">
        <v>1</v>
      </c>
      <c r="L53" s="8" t="s">
        <v>2</v>
      </c>
      <c r="M53" s="15" t="s">
        <v>3</v>
      </c>
      <c r="N53" s="2" t="s">
        <v>15</v>
      </c>
    </row>
    <row r="54" spans="1:18" ht="15.95" customHeight="1" thickBot="1">
      <c r="A54" s="418" t="s">
        <v>5</v>
      </c>
      <c r="B54" s="418"/>
      <c r="C54" s="418"/>
      <c r="D54" s="4" t="s">
        <v>6</v>
      </c>
      <c r="E54" s="4" t="s">
        <v>4</v>
      </c>
      <c r="F54" s="425">
        <v>3.73</v>
      </c>
      <c r="G54" s="425"/>
      <c r="I54" s="418" t="s">
        <v>5</v>
      </c>
      <c r="J54" s="418"/>
      <c r="K54" s="9" t="s">
        <v>6</v>
      </c>
      <c r="L54" s="9" t="s">
        <v>4</v>
      </c>
      <c r="M54" s="16">
        <f>F54*R54</f>
        <v>3.1023869565217388</v>
      </c>
      <c r="N54" s="10">
        <f>$C$12*F15/M54*$C$20</f>
        <v>459.72059124381786</v>
      </c>
      <c r="P54" t="s">
        <v>103</v>
      </c>
      <c r="R54" s="132">
        <f>Q16/P16</f>
        <v>0.83173913043478254</v>
      </c>
    </row>
    <row r="55" spans="1:18" ht="15.95" customHeight="1" thickBot="1">
      <c r="A55" s="403" t="s">
        <v>5</v>
      </c>
      <c r="B55" s="403"/>
      <c r="C55" s="403"/>
      <c r="D55" s="11" t="s">
        <v>7</v>
      </c>
      <c r="E55" s="11">
        <v>120</v>
      </c>
      <c r="F55" s="415">
        <v>3.61</v>
      </c>
      <c r="G55" s="415"/>
      <c r="I55" s="403" t="s">
        <v>5</v>
      </c>
      <c r="J55" s="403"/>
      <c r="K55" s="12" t="s">
        <v>7</v>
      </c>
      <c r="L55" s="12">
        <v>120</v>
      </c>
      <c r="M55" s="16">
        <f>F55*R55</f>
        <v>2.9382713085234093</v>
      </c>
      <c r="N55" s="348">
        <f>$C$13*F16/M55*(B31*$D$20+B32*C20)</f>
        <v>162.82882495776829</v>
      </c>
      <c r="P55" s="133" t="s">
        <v>104</v>
      </c>
      <c r="R55" s="132">
        <f>Q24/P24</f>
        <v>0.81392557022809131</v>
      </c>
    </row>
    <row r="56" spans="1:18" ht="15.95" customHeight="1" thickBot="1">
      <c r="A56" s="418" t="s">
        <v>8</v>
      </c>
      <c r="B56" s="418"/>
      <c r="C56" s="418"/>
      <c r="D56" s="4" t="s">
        <v>7</v>
      </c>
      <c r="E56" s="4">
        <v>240</v>
      </c>
      <c r="F56" s="425">
        <v>3.27</v>
      </c>
      <c r="G56" s="425"/>
      <c r="I56" s="418" t="s">
        <v>8</v>
      </c>
      <c r="J56" s="418"/>
      <c r="K56" s="9" t="s">
        <v>7</v>
      </c>
      <c r="L56" s="9">
        <v>240</v>
      </c>
      <c r="M56" s="16">
        <f>F56*R55</f>
        <v>2.6615366146458586</v>
      </c>
      <c r="N56" s="10">
        <f>$C$13*F16/M56*(B31*$D$20+B32*C20)</f>
        <v>179.75903917356067</v>
      </c>
      <c r="P56" s="133" t="s">
        <v>106</v>
      </c>
      <c r="R56" s="132">
        <f>Q33/P33</f>
        <v>0.8375227686703095</v>
      </c>
    </row>
    <row r="57" spans="1:18" ht="16.5" thickBot="1">
      <c r="A57" s="403" t="s">
        <v>9</v>
      </c>
      <c r="B57" s="403"/>
      <c r="C57" s="403"/>
      <c r="D57" s="11" t="s">
        <v>7</v>
      </c>
      <c r="E57" s="11">
        <v>240</v>
      </c>
      <c r="F57" s="415">
        <v>2.5499999999999998</v>
      </c>
      <c r="G57" s="415"/>
      <c r="I57" s="403" t="s">
        <v>9</v>
      </c>
      <c r="J57" s="403"/>
      <c r="K57" s="12" t="s">
        <v>7</v>
      </c>
      <c r="L57" s="12">
        <v>240</v>
      </c>
      <c r="M57" s="16">
        <f>F57*R55</f>
        <v>2.0755102040816329</v>
      </c>
      <c r="N57" s="14">
        <f>$C$13*F16/M57*(B31*$D$20+B32*C20)</f>
        <v>230.51453258727193</v>
      </c>
    </row>
    <row r="58" spans="1:18" ht="16.5" thickBot="1">
      <c r="A58" s="418" t="s">
        <v>42</v>
      </c>
      <c r="B58" s="418"/>
      <c r="C58" s="418"/>
      <c r="D58" s="29" t="s">
        <v>4</v>
      </c>
      <c r="E58" s="29" t="s">
        <v>4</v>
      </c>
      <c r="F58" s="425">
        <v>3.3</v>
      </c>
      <c r="G58" s="425"/>
      <c r="I58" s="418" t="s">
        <v>42</v>
      </c>
      <c r="J58" s="418"/>
      <c r="K58" s="29" t="s">
        <v>4</v>
      </c>
      <c r="L58" s="29" t="s">
        <v>4</v>
      </c>
      <c r="M58" s="16">
        <f>F58*R56</f>
        <v>2.763825136612021</v>
      </c>
      <c r="N58" s="10">
        <f>$C$14*F15/M58*$C$20</f>
        <v>499.62422468018588</v>
      </c>
    </row>
    <row r="60" spans="1:18">
      <c r="A60" s="5" t="s">
        <v>11</v>
      </c>
    </row>
    <row r="61" spans="1:18">
      <c r="A61" s="5" t="s">
        <v>12</v>
      </c>
    </row>
    <row r="63" spans="1:18" ht="16.5" thickBot="1">
      <c r="A63" s="414" t="s">
        <v>19</v>
      </c>
      <c r="B63" s="414"/>
      <c r="C63" s="414"/>
      <c r="D63" s="414"/>
      <c r="E63" s="414"/>
      <c r="F63" s="414"/>
      <c r="G63" s="414"/>
      <c r="H63" s="414"/>
      <c r="I63" s="414"/>
      <c r="J63" s="414"/>
      <c r="K63" s="414"/>
      <c r="L63" s="414"/>
      <c r="M63" s="414"/>
      <c r="N63" s="414"/>
      <c r="O63" s="414"/>
    </row>
    <row r="64" spans="1:18" ht="27" customHeight="1" thickBot="1">
      <c r="A64" s="426" t="s">
        <v>0</v>
      </c>
      <c r="B64" s="427"/>
      <c r="C64" s="427"/>
      <c r="D64" s="1" t="s">
        <v>1</v>
      </c>
      <c r="E64" s="1" t="s">
        <v>2</v>
      </c>
      <c r="F64" s="428" t="s">
        <v>20</v>
      </c>
      <c r="G64" s="428"/>
      <c r="H64" s="6" t="s">
        <v>179</v>
      </c>
      <c r="I64" s="161" t="s">
        <v>180</v>
      </c>
      <c r="J64" s="31" t="s">
        <v>185</v>
      </c>
      <c r="K64" s="95" t="s">
        <v>181</v>
      </c>
      <c r="L64" s="161" t="s">
        <v>183</v>
      </c>
      <c r="M64" s="161" t="s">
        <v>184</v>
      </c>
      <c r="N64" s="161" t="s">
        <v>186</v>
      </c>
      <c r="O64" s="161" t="s">
        <v>191</v>
      </c>
      <c r="P64" s="86"/>
      <c r="Q64" s="86"/>
      <c r="R64" s="86"/>
    </row>
    <row r="65" spans="1:22" ht="16.5" thickBot="1">
      <c r="A65" s="418" t="s">
        <v>5</v>
      </c>
      <c r="B65" s="418"/>
      <c r="C65" s="418"/>
      <c r="D65" s="4" t="s">
        <v>6</v>
      </c>
      <c r="E65" s="4" t="s">
        <v>4</v>
      </c>
      <c r="F65" s="416">
        <f>N54</f>
        <v>459.72059124381786</v>
      </c>
      <c r="G65" s="417"/>
      <c r="H65" s="10">
        <f>H37</f>
        <v>362.90869361813799</v>
      </c>
      <c r="I65" s="10">
        <f>F65-H65</f>
        <v>96.811897625679876</v>
      </c>
      <c r="J65" s="29" t="s">
        <v>46</v>
      </c>
      <c r="K65" s="16">
        <f>I65/365*$C$19</f>
        <v>1.5295395697938466E-2</v>
      </c>
      <c r="L65" s="10">
        <f>H45</f>
        <v>331.68166649285632</v>
      </c>
      <c r="M65" s="10">
        <f>F65-L65</f>
        <v>128.03892475096154</v>
      </c>
      <c r="N65" s="160" t="s">
        <v>46</v>
      </c>
      <c r="O65" s="16">
        <f>M65/365*$C$19</f>
        <v>2.0228980805403054E-2</v>
      </c>
      <c r="P65" s="87"/>
      <c r="Q65" s="87"/>
      <c r="R65" s="88"/>
    </row>
    <row r="66" spans="1:22" ht="16.5" thickBot="1">
      <c r="A66" s="403" t="s">
        <v>5</v>
      </c>
      <c r="B66" s="403"/>
      <c r="C66" s="403"/>
      <c r="D66" s="11" t="s">
        <v>7</v>
      </c>
      <c r="E66" s="11">
        <v>120</v>
      </c>
      <c r="F66" s="416">
        <f>N55</f>
        <v>162.82882495776829</v>
      </c>
      <c r="G66" s="417"/>
      <c r="H66" s="14">
        <f>H38</f>
        <v>125.90401699315552</v>
      </c>
      <c r="I66" s="14">
        <f>F66-H66</f>
        <v>36.924807964612768</v>
      </c>
      <c r="J66" s="30" t="s">
        <v>46</v>
      </c>
      <c r="K66" s="16">
        <f>I66/365*$C$19</f>
        <v>5.8337824455506927E-3</v>
      </c>
      <c r="L66" s="14">
        <f>H46</f>
        <v>111.2640150172072</v>
      </c>
      <c r="M66" s="10">
        <f>F66-L66</f>
        <v>51.564809940561091</v>
      </c>
      <c r="N66" s="162" t="s">
        <v>46</v>
      </c>
      <c r="O66" s="16">
        <f>M66/365*$C$19</f>
        <v>8.1467690591023462E-3</v>
      </c>
      <c r="P66" s="87"/>
      <c r="Q66" s="87"/>
      <c r="R66" s="88"/>
    </row>
    <row r="67" spans="1:22" ht="16.5" thickBot="1">
      <c r="A67" s="418" t="s">
        <v>8</v>
      </c>
      <c r="B67" s="418"/>
      <c r="C67" s="418"/>
      <c r="D67" s="4" t="s">
        <v>7</v>
      </c>
      <c r="E67" s="4">
        <v>240</v>
      </c>
      <c r="F67" s="416">
        <f>N56</f>
        <v>179.75903917356067</v>
      </c>
      <c r="G67" s="417"/>
      <c r="H67" s="10">
        <f>H39</f>
        <v>138.67688828231621</v>
      </c>
      <c r="I67" s="10">
        <f>F67-H67</f>
        <v>41.082150891244453</v>
      </c>
      <c r="J67" s="29" t="s">
        <v>46</v>
      </c>
      <c r="K67" s="16">
        <f>I67/365*$C$19</f>
        <v>6.4906046613564293E-3</v>
      </c>
      <c r="L67" s="10">
        <f>H46</f>
        <v>111.2640150172072</v>
      </c>
      <c r="M67" s="10">
        <f>F67-L67</f>
        <v>68.495024156353466</v>
      </c>
      <c r="N67" s="160" t="s">
        <v>46</v>
      </c>
      <c r="O67" s="16">
        <f>M67/365*$C$19</f>
        <v>1.0821588291369085E-2</v>
      </c>
      <c r="P67" s="87"/>
      <c r="Q67" s="87"/>
      <c r="R67" s="88"/>
    </row>
    <row r="68" spans="1:22" ht="16.5" thickBot="1">
      <c r="A68" s="403" t="s">
        <v>9</v>
      </c>
      <c r="B68" s="403"/>
      <c r="C68" s="403"/>
      <c r="D68" s="11" t="s">
        <v>7</v>
      </c>
      <c r="E68" s="11">
        <v>240</v>
      </c>
      <c r="F68" s="416">
        <f>N57</f>
        <v>230.51453258727193</v>
      </c>
      <c r="G68" s="417"/>
      <c r="H68" s="14">
        <f>H40</f>
        <v>178.52062110969811</v>
      </c>
      <c r="I68" s="14">
        <f>F68-H68</f>
        <v>51.993911477573818</v>
      </c>
      <c r="J68" s="30" t="s">
        <v>46</v>
      </c>
      <c r="K68" s="16">
        <f>I68/365*$C$19</f>
        <v>8.2145631832148576E-3</v>
      </c>
      <c r="L68" s="14">
        <f>H46</f>
        <v>111.2640150172072</v>
      </c>
      <c r="M68" s="10">
        <f>F68-L68</f>
        <v>119.25051757006473</v>
      </c>
      <c r="N68" s="162" t="s">
        <v>46</v>
      </c>
      <c r="O68" s="16">
        <f>M68/365*$C$19</f>
        <v>1.8840492730247668E-2</v>
      </c>
      <c r="P68" s="87"/>
      <c r="Q68" s="87"/>
      <c r="R68" s="88"/>
    </row>
    <row r="69" spans="1:22" ht="16.5" thickBot="1">
      <c r="A69" s="418" t="s">
        <v>42</v>
      </c>
      <c r="B69" s="418"/>
      <c r="C69" s="418"/>
      <c r="D69" s="29" t="s">
        <v>4</v>
      </c>
      <c r="E69" s="29" t="s">
        <v>4</v>
      </c>
      <c r="F69" s="416">
        <f>N58</f>
        <v>499.62422468018588</v>
      </c>
      <c r="G69" s="417"/>
      <c r="H69" s="10">
        <f>H41</f>
        <v>396.80287098603156</v>
      </c>
      <c r="I69" s="10">
        <f>F69-H69</f>
        <v>102.82135369415431</v>
      </c>
      <c r="J69" s="16">
        <f>I69*0.03412</f>
        <v>3.5082645880445447</v>
      </c>
      <c r="K69" s="10" t="s">
        <v>46</v>
      </c>
      <c r="L69" s="10">
        <f>H47</f>
        <v>363.38789237668158</v>
      </c>
      <c r="M69" s="10">
        <f t="shared" ref="M69" si="0">F69-L69</f>
        <v>136.2363323035043</v>
      </c>
      <c r="N69" s="16">
        <f>M69*0.03412</f>
        <v>4.6483836581955664</v>
      </c>
      <c r="O69" s="10" t="s">
        <v>46</v>
      </c>
    </row>
    <row r="71" spans="1:22" ht="16.5" thickBot="1">
      <c r="A71" s="402" t="s">
        <v>23</v>
      </c>
      <c r="B71" s="402"/>
      <c r="C71" s="402"/>
      <c r="D71" s="402"/>
      <c r="E71" s="402"/>
      <c r="F71" s="402"/>
      <c r="G71" s="402"/>
      <c r="H71" s="402"/>
      <c r="I71" s="402"/>
      <c r="J71" s="402"/>
      <c r="K71" s="402"/>
      <c r="L71" s="402"/>
      <c r="M71" s="402"/>
      <c r="N71" s="402"/>
      <c r="O71" s="402"/>
      <c r="P71" s="402"/>
      <c r="Q71" s="402"/>
      <c r="R71" s="402"/>
      <c r="S71" s="402"/>
      <c r="T71" s="402"/>
      <c r="U71" s="75"/>
      <c r="V71" s="75"/>
    </row>
    <row r="72" spans="1:22" ht="15.95" customHeight="1" thickBot="1">
      <c r="A72" s="438" t="s">
        <v>65</v>
      </c>
      <c r="B72" s="427" t="s">
        <v>0</v>
      </c>
      <c r="C72" s="427"/>
      <c r="D72" s="435" t="s">
        <v>1</v>
      </c>
      <c r="E72" s="438" t="s">
        <v>2</v>
      </c>
      <c r="F72" s="419" t="s">
        <v>68</v>
      </c>
      <c r="G72" s="420"/>
      <c r="H72" s="420"/>
      <c r="I72" s="420"/>
      <c r="J72" s="420"/>
      <c r="K72" s="420"/>
      <c r="L72" s="421"/>
      <c r="M72" s="419" t="s">
        <v>70</v>
      </c>
      <c r="N72" s="420"/>
      <c r="O72" s="420"/>
      <c r="P72" s="420"/>
      <c r="Q72" s="420"/>
      <c r="R72" s="420"/>
      <c r="S72" s="420"/>
      <c r="T72" s="421"/>
      <c r="U72" s="75"/>
      <c r="V72" s="75"/>
    </row>
    <row r="73" spans="1:22" ht="15.95" customHeight="1" thickBot="1">
      <c r="A73" s="439"/>
      <c r="B73" s="441"/>
      <c r="C73" s="441"/>
      <c r="D73" s="440"/>
      <c r="E73" s="439"/>
      <c r="F73" s="419" t="s">
        <v>187</v>
      </c>
      <c r="G73" s="420"/>
      <c r="H73" s="420"/>
      <c r="I73" s="421"/>
      <c r="J73" s="419" t="s">
        <v>188</v>
      </c>
      <c r="K73" s="420"/>
      <c r="L73" s="421"/>
      <c r="M73" s="422" t="s">
        <v>187</v>
      </c>
      <c r="N73" s="423"/>
      <c r="O73" s="423"/>
      <c r="P73" s="424"/>
      <c r="Q73" s="422" t="s">
        <v>188</v>
      </c>
      <c r="R73" s="423"/>
      <c r="S73" s="423"/>
      <c r="T73" s="424"/>
      <c r="U73" s="75"/>
      <c r="V73" s="75"/>
    </row>
    <row r="74" spans="1:22" ht="21.75" thickBot="1">
      <c r="A74" s="439"/>
      <c r="B74" s="441"/>
      <c r="C74" s="441"/>
      <c r="D74" s="440"/>
      <c r="E74" s="439"/>
      <c r="F74" s="434" t="s">
        <v>21</v>
      </c>
      <c r="G74" s="435"/>
      <c r="H74" s="169" t="s">
        <v>43</v>
      </c>
      <c r="I74" s="293" t="s">
        <v>189</v>
      </c>
      <c r="J74" s="294" t="s">
        <v>21</v>
      </c>
      <c r="K74" s="231" t="s">
        <v>43</v>
      </c>
      <c r="L74" s="295" t="s">
        <v>189</v>
      </c>
      <c r="M74" s="306" t="s">
        <v>21</v>
      </c>
      <c r="N74" s="169" t="s">
        <v>43</v>
      </c>
      <c r="O74" s="169" t="s">
        <v>69</v>
      </c>
      <c r="P74" s="307" t="s">
        <v>190</v>
      </c>
      <c r="Q74" s="306" t="s">
        <v>21</v>
      </c>
      <c r="R74" s="169" t="s">
        <v>43</v>
      </c>
      <c r="S74" s="169" t="s">
        <v>69</v>
      </c>
      <c r="T74" s="307" t="s">
        <v>190</v>
      </c>
      <c r="U74" s="75"/>
      <c r="V74" s="75"/>
    </row>
    <row r="75" spans="1:22" s="101" customFormat="1" ht="15.95" customHeight="1" thickBot="1">
      <c r="A75" s="444" t="s">
        <v>66</v>
      </c>
      <c r="B75" s="103" t="s">
        <v>9</v>
      </c>
      <c r="C75" s="104" t="s">
        <v>303</v>
      </c>
      <c r="D75" s="105" t="s">
        <v>6</v>
      </c>
      <c r="E75" s="283" t="s">
        <v>4</v>
      </c>
      <c r="F75" s="436">
        <f>I65</f>
        <v>96.811897625679876</v>
      </c>
      <c r="G75" s="437"/>
      <c r="H75" s="105" t="s">
        <v>46</v>
      </c>
      <c r="I75" s="106">
        <f>K65</f>
        <v>1.5295395697938466E-2</v>
      </c>
      <c r="J75" s="296">
        <f>M65</f>
        <v>128.03892475096154</v>
      </c>
      <c r="K75" s="282" t="s">
        <v>46</v>
      </c>
      <c r="L75" s="297">
        <f>O65</f>
        <v>2.0228980805403054E-2</v>
      </c>
      <c r="M75" s="308">
        <f>F75*('Interactive Effects'!$B$10*$B$27+$B$28)</f>
        <v>98.09175091229136</v>
      </c>
      <c r="N75" s="105" t="s">
        <v>46</v>
      </c>
      <c r="O75" s="391">
        <f>F75*'Interactive Effects'!$D$10*$B$27</f>
        <v>-1.452633480304039</v>
      </c>
      <c r="P75" s="394">
        <f>I75*('Interactive Effects'!$C$10*$B$27+$B$28)</f>
        <v>2.0350523976107128E-2</v>
      </c>
      <c r="Q75" s="308">
        <f>J75*('Interactive Effects'!$B$10*$B$27+$B$28)</f>
        <v>129.73159933616927</v>
      </c>
      <c r="R75" s="105" t="s">
        <v>46</v>
      </c>
      <c r="S75" s="391">
        <f>J75*'Interactive Effects'!$D$10*$B$27</f>
        <v>-1.9211856542107528</v>
      </c>
      <c r="T75" s="398">
        <f>L75*('Interactive Effects'!$C$10*$B$27+$B$28)</f>
        <v>2.6914658961588765E-2</v>
      </c>
      <c r="U75" s="75"/>
      <c r="V75" s="75"/>
    </row>
    <row r="76" spans="1:22" s="101" customFormat="1" ht="15.95" customHeight="1" thickBot="1">
      <c r="A76" s="445"/>
      <c r="B76" s="97" t="s">
        <v>8</v>
      </c>
      <c r="C76" s="98" t="s">
        <v>306</v>
      </c>
      <c r="D76" s="99" t="s">
        <v>6</v>
      </c>
      <c r="E76" s="284" t="s">
        <v>4</v>
      </c>
      <c r="F76" s="432">
        <f>I65</f>
        <v>96.811897625679876</v>
      </c>
      <c r="G76" s="433"/>
      <c r="H76" s="99" t="s">
        <v>46</v>
      </c>
      <c r="I76" s="100">
        <f>K65</f>
        <v>1.5295395697938466E-2</v>
      </c>
      <c r="J76" s="298">
        <f>M65</f>
        <v>128.03892475096154</v>
      </c>
      <c r="K76" s="99" t="s">
        <v>46</v>
      </c>
      <c r="L76" s="100">
        <f>O65</f>
        <v>2.0228980805403054E-2</v>
      </c>
      <c r="M76" s="346">
        <f>F76*(($C$24*'Interactive Effects'!$B$10+(1-$C$24))*$B$27+$B$28)</f>
        <v>97.067868283002184</v>
      </c>
      <c r="N76" s="99" t="s">
        <v>46</v>
      </c>
      <c r="O76" s="392">
        <f>F76*($C$24*'Interactive Effects'!$D$10*$B$27)</f>
        <v>-0.29052669606080783</v>
      </c>
      <c r="P76" s="395">
        <f>I76*(($C$24*'Interactive Effects'!$C$10+(1-$C$24))*$B$27+$B$28)</f>
        <v>1.6306421353572197E-2</v>
      </c>
      <c r="Q76" s="349">
        <f>J76*(($C$24*'Interactive Effects'!$B$10+(1-$C$24))*$B$27+$B$28)</f>
        <v>128.3774596680031</v>
      </c>
      <c r="R76" s="99" t="s">
        <v>46</v>
      </c>
      <c r="S76" s="392">
        <f>J76*($C$24*'Interactive Effects'!$D$10*$B$27)</f>
        <v>-0.38423713084215061</v>
      </c>
      <c r="T76" s="399">
        <f>L76*(($C$24*'Interactive Effects'!$C$10+(1-$C$24))*$B$27+$B$28)</f>
        <v>2.1566116436640196E-2</v>
      </c>
      <c r="U76" s="75"/>
      <c r="V76" s="75"/>
    </row>
    <row r="77" spans="1:22" s="111" customFormat="1" ht="15.95" customHeight="1" thickBot="1">
      <c r="A77" s="445"/>
      <c r="B77" s="107" t="s">
        <v>9</v>
      </c>
      <c r="C77" s="108" t="s">
        <v>304</v>
      </c>
      <c r="D77" s="109" t="s">
        <v>7</v>
      </c>
      <c r="E77" s="285">
        <v>120</v>
      </c>
      <c r="F77" s="442">
        <f>I66</f>
        <v>36.924807964612768</v>
      </c>
      <c r="G77" s="443"/>
      <c r="H77" s="109" t="s">
        <v>46</v>
      </c>
      <c r="I77" s="110">
        <f>K66</f>
        <v>5.8337824455506927E-3</v>
      </c>
      <c r="J77" s="299">
        <f>M66</f>
        <v>51.564809940561091</v>
      </c>
      <c r="K77" s="109" t="s">
        <v>46</v>
      </c>
      <c r="L77" s="110">
        <f>O66</f>
        <v>8.1467690591023462E-3</v>
      </c>
      <c r="M77" s="310">
        <f>F77*($B$27*'Interactive Effects'!$B$10+$B$28)</f>
        <v>37.412953925904951</v>
      </c>
      <c r="N77" s="109" t="s">
        <v>46</v>
      </c>
      <c r="O77" s="393">
        <f>F77*'Interactive Effects'!$D$10*$B$27</f>
        <v>-0.55404566606662531</v>
      </c>
      <c r="P77" s="396">
        <f>I77*($B$27*'Interactive Effects'!$C$10+$B$28)</f>
        <v>7.7618475438051967E-3</v>
      </c>
      <c r="Q77" s="310">
        <f>J77*($B$27*'Interactive Effects'!$B$10+$B$28)</f>
        <v>52.246496727975305</v>
      </c>
      <c r="R77" s="109" t="s">
        <v>46</v>
      </c>
      <c r="S77" s="393">
        <f>J77*'Interactive Effects'!$D$10*$B$27</f>
        <v>-0.77371450371513717</v>
      </c>
      <c r="T77" s="400">
        <f>L77*($B$27*'Interactive Effects'!$C$10+$B$28)</f>
        <v>1.0839276233135672E-2</v>
      </c>
      <c r="U77" s="102"/>
      <c r="V77" s="102"/>
    </row>
    <row r="78" spans="1:22" s="101" customFormat="1" ht="15.95" customHeight="1" thickBot="1">
      <c r="A78" s="445"/>
      <c r="B78" s="97" t="s">
        <v>8</v>
      </c>
      <c r="C78" s="98" t="s">
        <v>307</v>
      </c>
      <c r="D78" s="99" t="s">
        <v>7</v>
      </c>
      <c r="E78" s="284">
        <v>120</v>
      </c>
      <c r="F78" s="432">
        <f>I66</f>
        <v>36.924807964612768</v>
      </c>
      <c r="G78" s="433"/>
      <c r="H78" s="99" t="s">
        <v>46</v>
      </c>
      <c r="I78" s="100">
        <f>K66</f>
        <v>5.8337824455506927E-3</v>
      </c>
      <c r="J78" s="298">
        <f>M66</f>
        <v>51.564809940561091</v>
      </c>
      <c r="K78" s="99" t="s">
        <v>46</v>
      </c>
      <c r="L78" s="100">
        <f>O66</f>
        <v>8.1467690591023462E-3</v>
      </c>
      <c r="M78" s="349">
        <f>F78*(($C$24*'Interactive Effects'!$B$10+(1-$C$24))*$B$27+$B$28)</f>
        <v>37.022437156871206</v>
      </c>
      <c r="N78" s="99" t="s">
        <v>46</v>
      </c>
      <c r="O78" s="392">
        <f>F78*$C$24*'Interactive Effects'!$D$10*$B$27</f>
        <v>-0.11080913321332507</v>
      </c>
      <c r="P78" s="395">
        <f>I78*(($C$24*'Interactive Effects'!$C$10+(1-$C$24))*$B$27+$B$28)</f>
        <v>6.2193954652015942E-3</v>
      </c>
      <c r="Q78" s="349">
        <f>J78*(($C$24*'Interactive Effects'!$B$10+(1-$C$24))*$B$27+$B$28)</f>
        <v>51.701147298043942</v>
      </c>
      <c r="R78" s="99" t="s">
        <v>46</v>
      </c>
      <c r="S78" s="392">
        <f>J78*$C$24*'Interactive Effects'!$D$10*$B$27</f>
        <v>-0.15474290074302743</v>
      </c>
      <c r="T78" s="399">
        <f>L78*(($C$24*'Interactive Effects'!$C$10+(1-$C$24))*$B$27+$B$28)</f>
        <v>8.6852704939090111E-3</v>
      </c>
      <c r="U78" s="75"/>
      <c r="V78" s="75"/>
    </row>
    <row r="79" spans="1:22" s="101" customFormat="1" ht="15.95" customHeight="1" thickBot="1">
      <c r="A79" s="445"/>
      <c r="B79" s="97" t="s">
        <v>8</v>
      </c>
      <c r="C79" s="98" t="s">
        <v>308</v>
      </c>
      <c r="D79" s="99" t="s">
        <v>7</v>
      </c>
      <c r="E79" s="284">
        <v>240</v>
      </c>
      <c r="F79" s="432">
        <f>I67</f>
        <v>41.082150891244453</v>
      </c>
      <c r="G79" s="433"/>
      <c r="H79" s="99" t="s">
        <v>46</v>
      </c>
      <c r="I79" s="100">
        <f>K67</f>
        <v>6.4906046613564293E-3</v>
      </c>
      <c r="J79" s="298">
        <f>M67</f>
        <v>68.495024156353466</v>
      </c>
      <c r="K79" s="99" t="s">
        <v>46</v>
      </c>
      <c r="L79" s="100">
        <f>O67</f>
        <v>1.0821588291369085E-2</v>
      </c>
      <c r="M79" s="349">
        <f>F79*(($C$24*'Interactive Effects'!$B$10+(1-$C$24))*$B$27+$B$28)</f>
        <v>41.19077209820091</v>
      </c>
      <c r="N79" s="99" t="s">
        <v>46</v>
      </c>
      <c r="O79" s="392">
        <f>F79*$C$24*'Interactive Effects'!$D$10*$B$27</f>
        <v>-0.12328506989557113</v>
      </c>
      <c r="P79" s="395">
        <f>I79*(($C$24*'Interactive Effects'!$C$10+(1-$C$24))*$B$27+$B$28)</f>
        <v>6.9196336294720896E-3</v>
      </c>
      <c r="Q79" s="349">
        <f>J79*(($C$24*'Interactive Effects'!$B$10+(1-$C$24))*$B$27+$B$28)</f>
        <v>68.676125000222868</v>
      </c>
      <c r="R79" s="99" t="s">
        <v>46</v>
      </c>
      <c r="S79" s="392">
        <f>J79*$C$24*'Interactive Effects'!$D$10*$B$27</f>
        <v>-0.20554945779176739</v>
      </c>
      <c r="T79" s="399">
        <f>L79*(($C$24*'Interactive Effects'!$C$10+(1-$C$24))*$B$27+$B$28)</f>
        <v>1.1536895277428582E-2</v>
      </c>
      <c r="U79" s="75"/>
      <c r="V79" s="75"/>
    </row>
    <row r="80" spans="1:22" s="101" customFormat="1" ht="15.95" customHeight="1" thickBot="1">
      <c r="A80" s="445"/>
      <c r="B80" s="97" t="s">
        <v>9</v>
      </c>
      <c r="C80" s="98" t="s">
        <v>305</v>
      </c>
      <c r="D80" s="99" t="s">
        <v>7</v>
      </c>
      <c r="E80" s="284">
        <v>240</v>
      </c>
      <c r="F80" s="432">
        <f>I68</f>
        <v>51.993911477573818</v>
      </c>
      <c r="G80" s="433"/>
      <c r="H80" s="99" t="s">
        <v>46</v>
      </c>
      <c r="I80" s="100">
        <f>K68</f>
        <v>8.2145631832148576E-3</v>
      </c>
      <c r="J80" s="298">
        <f>M68</f>
        <v>119.25051757006473</v>
      </c>
      <c r="K80" s="99" t="s">
        <v>46</v>
      </c>
      <c r="L80" s="100">
        <f>O68</f>
        <v>1.8840492730247668E-2</v>
      </c>
      <c r="M80" s="309">
        <f>F80*($B$27*'Interactive Effects'!$B$10+$B$28)</f>
        <v>52.681270987307343</v>
      </c>
      <c r="N80" s="99" t="s">
        <v>46</v>
      </c>
      <c r="O80" s="392">
        <f>F80*'Interactive Effects'!$D$10*$B$27</f>
        <v>-0.78015304354755199</v>
      </c>
      <c r="P80" s="395">
        <f>I80*($B$27*'Interactive Effects'!$C$10+$B$28)</f>
        <v>1.0929476315267368E-2</v>
      </c>
      <c r="Q80" s="349">
        <f>J80*($B$27*'Interactive Effects'!$B$10+$B$28)</f>
        <v>120.82700941234098</v>
      </c>
      <c r="R80" s="99" t="s">
        <v>46</v>
      </c>
      <c r="S80" s="392">
        <f>J80*'Interactive Effects'!$D$10*$B$27</f>
        <v>-1.7893182409835506</v>
      </c>
      <c r="T80" s="399">
        <f>L80*($B$27*'Interactive Effects'!$C$10+$B$28)</f>
        <v>2.5067275577594524E-2</v>
      </c>
      <c r="U80" s="75"/>
      <c r="V80" s="75"/>
    </row>
    <row r="81" spans="1:22" s="101" customFormat="1" ht="15.95" customHeight="1" thickBot="1">
      <c r="A81" s="446"/>
      <c r="B81" s="112" t="s">
        <v>42</v>
      </c>
      <c r="C81" s="113" t="s">
        <v>309</v>
      </c>
      <c r="D81" s="114" t="s">
        <v>4</v>
      </c>
      <c r="E81" s="286" t="s">
        <v>4</v>
      </c>
      <c r="F81" s="447" t="s">
        <v>231</v>
      </c>
      <c r="G81" s="448"/>
      <c r="H81" s="115">
        <f>J69</f>
        <v>3.5082645880445447</v>
      </c>
      <c r="I81" s="116" t="s">
        <v>46</v>
      </c>
      <c r="J81" s="300" t="s">
        <v>231</v>
      </c>
      <c r="K81" s="115">
        <f>N69</f>
        <v>4.6483836581955664</v>
      </c>
      <c r="L81" s="116" t="s">
        <v>46</v>
      </c>
      <c r="M81" s="311" t="s">
        <v>231</v>
      </c>
      <c r="N81" s="115">
        <f>H81</f>
        <v>3.5082645880445447</v>
      </c>
      <c r="O81" s="232">
        <v>0</v>
      </c>
      <c r="P81" s="397" t="s">
        <v>231</v>
      </c>
      <c r="Q81" s="311" t="s">
        <v>231</v>
      </c>
      <c r="R81" s="115">
        <f>K81</f>
        <v>4.6483836581955664</v>
      </c>
      <c r="S81" s="232">
        <v>0</v>
      </c>
      <c r="T81" s="401" t="s">
        <v>231</v>
      </c>
      <c r="U81" s="75"/>
      <c r="V81" s="75"/>
    </row>
    <row r="82" spans="1:22" ht="15.95" customHeight="1" thickBot="1">
      <c r="A82" s="444" t="s">
        <v>62</v>
      </c>
      <c r="B82" s="58" t="s">
        <v>9</v>
      </c>
      <c r="C82" s="59"/>
      <c r="D82" s="60" t="s">
        <v>6</v>
      </c>
      <c r="E82" s="287" t="s">
        <v>4</v>
      </c>
      <c r="F82" s="455">
        <f t="shared" ref="F82:F102" si="1">F75</f>
        <v>96.811897625679876</v>
      </c>
      <c r="G82" s="456"/>
      <c r="H82" s="60" t="str">
        <f t="shared" ref="H82:L102" si="2">H75</f>
        <v>NA</v>
      </c>
      <c r="I82" s="61">
        <f t="shared" si="2"/>
        <v>1.5295395697938466E-2</v>
      </c>
      <c r="J82" s="301">
        <f>J75</f>
        <v>128.03892475096154</v>
      </c>
      <c r="K82" s="168" t="str">
        <f>K75</f>
        <v>NA</v>
      </c>
      <c r="L82" s="106">
        <f>L75</f>
        <v>2.0228980805403054E-2</v>
      </c>
      <c r="M82" s="308">
        <f>F82*('Interactive Effects'!$B$10*$B$27+$B$28)</f>
        <v>98.09175091229136</v>
      </c>
      <c r="N82" s="105" t="s">
        <v>46</v>
      </c>
      <c r="O82" s="391">
        <f>F82*'Interactive Effects'!$D$10*$B$27</f>
        <v>-1.452633480304039</v>
      </c>
      <c r="P82" s="394">
        <f>I82*('Interactive Effects'!$C$10*$B$27+$B$28)</f>
        <v>2.0350523976107128E-2</v>
      </c>
      <c r="Q82" s="308">
        <f>J82*('Interactive Effects'!$B$10*$B$27+$B$28)</f>
        <v>129.73159933616927</v>
      </c>
      <c r="R82" s="105" t="s">
        <v>46</v>
      </c>
      <c r="S82" s="391">
        <f>J82*'Interactive Effects'!$D$10*$B$27</f>
        <v>-1.9211856542107528</v>
      </c>
      <c r="T82" s="398">
        <f>L82*('Interactive Effects'!$C$10*$B$27+$B$28)</f>
        <v>2.6914658961588765E-2</v>
      </c>
      <c r="U82" s="75"/>
      <c r="V82" s="75"/>
    </row>
    <row r="83" spans="1:22" ht="15.95" customHeight="1" thickBot="1">
      <c r="A83" s="445"/>
      <c r="B83" s="50" t="s">
        <v>8</v>
      </c>
      <c r="C83" s="51"/>
      <c r="D83" s="35" t="s">
        <v>6</v>
      </c>
      <c r="E83" s="163" t="s">
        <v>4</v>
      </c>
      <c r="F83" s="449">
        <f t="shared" si="1"/>
        <v>96.811897625679876</v>
      </c>
      <c r="G83" s="450"/>
      <c r="H83" s="162" t="str">
        <f t="shared" si="2"/>
        <v>NA</v>
      </c>
      <c r="I83" s="62">
        <f t="shared" si="2"/>
        <v>1.5295395697938466E-2</v>
      </c>
      <c r="J83" s="302">
        <f t="shared" si="2"/>
        <v>128.03892475096154</v>
      </c>
      <c r="K83" s="14" t="str">
        <f t="shared" si="2"/>
        <v>NA</v>
      </c>
      <c r="L83" s="62">
        <f t="shared" si="2"/>
        <v>2.0228980805403054E-2</v>
      </c>
      <c r="M83" s="349">
        <f>F83*(($C$24*'Interactive Effects'!$B$10+(1-$C$24))*$B$27+$B$28)</f>
        <v>97.067868283002184</v>
      </c>
      <c r="N83" s="99" t="s">
        <v>46</v>
      </c>
      <c r="O83" s="392">
        <f>F83*($C$24*'Interactive Effects'!$D$10*$B$27)</f>
        <v>-0.29052669606080783</v>
      </c>
      <c r="P83" s="395">
        <f>I83*(($C$24*'Interactive Effects'!$C$10+(1-$C$24))*$B$27+$B$28)</f>
        <v>1.6306421353572197E-2</v>
      </c>
      <c r="Q83" s="349">
        <f>J83*(($C$24*'Interactive Effects'!$B$10+(1-$C$24))*$B$27+$B$28)</f>
        <v>128.3774596680031</v>
      </c>
      <c r="R83" s="99" t="s">
        <v>46</v>
      </c>
      <c r="S83" s="392">
        <f>J83*($C$24*'Interactive Effects'!$D$10*$B$27)</f>
        <v>-0.38423713084215061</v>
      </c>
      <c r="T83" s="399">
        <f>L83*(($C$24*'Interactive Effects'!$C$10+(1-$C$24))*$B$27+$B$28)</f>
        <v>2.1566116436640196E-2</v>
      </c>
      <c r="U83" s="75"/>
      <c r="V83" s="75"/>
    </row>
    <row r="84" spans="1:22" ht="16.5" thickBot="1">
      <c r="A84" s="445"/>
      <c r="B84" s="48" t="s">
        <v>9</v>
      </c>
      <c r="C84" s="49"/>
      <c r="D84" s="34" t="s">
        <v>7</v>
      </c>
      <c r="E84" s="164">
        <v>120</v>
      </c>
      <c r="F84" s="451">
        <f t="shared" si="1"/>
        <v>36.924807964612768</v>
      </c>
      <c r="G84" s="452"/>
      <c r="H84" s="160" t="str">
        <f t="shared" si="2"/>
        <v>NA</v>
      </c>
      <c r="I84" s="63">
        <f t="shared" si="2"/>
        <v>5.8337824455506927E-3</v>
      </c>
      <c r="J84" s="303">
        <f t="shared" si="2"/>
        <v>51.564809940561091</v>
      </c>
      <c r="K84" s="16" t="str">
        <f t="shared" si="2"/>
        <v>NA</v>
      </c>
      <c r="L84" s="63">
        <f t="shared" si="2"/>
        <v>8.1467690591023462E-3</v>
      </c>
      <c r="M84" s="310">
        <f>F84*($B$27*'Interactive Effects'!$B$10+$B$28)</f>
        <v>37.412953925904951</v>
      </c>
      <c r="N84" s="109" t="s">
        <v>46</v>
      </c>
      <c r="O84" s="393">
        <f>F84*'Interactive Effects'!$D$10*$B$27</f>
        <v>-0.55404566606662531</v>
      </c>
      <c r="P84" s="396">
        <f>I84*($B$27*'Interactive Effects'!$C$10+$B$28)</f>
        <v>7.7618475438051967E-3</v>
      </c>
      <c r="Q84" s="310">
        <f>J84*($B$27*'Interactive Effects'!$B$10+$B$28)</f>
        <v>52.246496727975305</v>
      </c>
      <c r="R84" s="109" t="s">
        <v>46</v>
      </c>
      <c r="S84" s="393">
        <f>J84*'Interactive Effects'!$D$10*$B$27</f>
        <v>-0.77371450371513717</v>
      </c>
      <c r="T84" s="400">
        <f>L84*($B$27*'Interactive Effects'!$C$10+$B$28)</f>
        <v>1.0839276233135672E-2</v>
      </c>
      <c r="U84" s="75"/>
      <c r="V84" s="75"/>
    </row>
    <row r="85" spans="1:22" ht="16.5" thickBot="1">
      <c r="A85" s="445"/>
      <c r="B85" s="50" t="s">
        <v>8</v>
      </c>
      <c r="C85" s="51"/>
      <c r="D85" s="35" t="s">
        <v>7</v>
      </c>
      <c r="E85" s="163">
        <v>120</v>
      </c>
      <c r="F85" s="449">
        <f t="shared" si="1"/>
        <v>36.924807964612768</v>
      </c>
      <c r="G85" s="450"/>
      <c r="H85" s="162" t="str">
        <f t="shared" si="2"/>
        <v>NA</v>
      </c>
      <c r="I85" s="62">
        <f t="shared" si="2"/>
        <v>5.8337824455506927E-3</v>
      </c>
      <c r="J85" s="302">
        <f t="shared" si="2"/>
        <v>51.564809940561091</v>
      </c>
      <c r="K85" s="41" t="str">
        <f t="shared" si="2"/>
        <v>NA</v>
      </c>
      <c r="L85" s="62">
        <f t="shared" si="2"/>
        <v>8.1467690591023462E-3</v>
      </c>
      <c r="M85" s="349">
        <f>F85*(($C$24*'Interactive Effects'!$B$10+(1-$C$24))*$B$27+$B$28)</f>
        <v>37.022437156871206</v>
      </c>
      <c r="N85" s="99" t="s">
        <v>46</v>
      </c>
      <c r="O85" s="392">
        <f>F85*$C$24*'Interactive Effects'!$D$10*$B$27</f>
        <v>-0.11080913321332507</v>
      </c>
      <c r="P85" s="395">
        <f>I85*(($C$24*'Interactive Effects'!$C$10+(1-$C$24))*$B$27+$B$28)</f>
        <v>6.2193954652015942E-3</v>
      </c>
      <c r="Q85" s="349">
        <f>J85*(($C$24*'Interactive Effects'!$B$10+(1-$C$24))*$B$27+$B$28)</f>
        <v>51.701147298043942</v>
      </c>
      <c r="R85" s="99" t="s">
        <v>46</v>
      </c>
      <c r="S85" s="392">
        <f>J85*$C$24*'Interactive Effects'!$D$10*$B$27</f>
        <v>-0.15474290074302743</v>
      </c>
      <c r="T85" s="399">
        <f>L85*(($C$24*'Interactive Effects'!$C$10+(1-$C$24))*$B$27+$B$28)</f>
        <v>8.6852704939090111E-3</v>
      </c>
      <c r="U85" s="75"/>
      <c r="V85" s="75"/>
    </row>
    <row r="86" spans="1:22" ht="16.5" thickBot="1">
      <c r="A86" s="445"/>
      <c r="B86" s="48" t="s">
        <v>8</v>
      </c>
      <c r="C86" s="49"/>
      <c r="D86" s="34" t="s">
        <v>7</v>
      </c>
      <c r="E86" s="164">
        <v>240</v>
      </c>
      <c r="F86" s="451">
        <f t="shared" si="1"/>
        <v>41.082150891244453</v>
      </c>
      <c r="G86" s="452"/>
      <c r="H86" s="160" t="str">
        <f t="shared" si="2"/>
        <v>NA</v>
      </c>
      <c r="I86" s="63">
        <f t="shared" si="2"/>
        <v>6.4906046613564293E-3</v>
      </c>
      <c r="J86" s="303">
        <f t="shared" si="2"/>
        <v>68.495024156353466</v>
      </c>
      <c r="K86" s="16" t="str">
        <f t="shared" si="2"/>
        <v>NA</v>
      </c>
      <c r="L86" s="63">
        <f t="shared" si="2"/>
        <v>1.0821588291369085E-2</v>
      </c>
      <c r="M86" s="349">
        <f>F86*(($C$24*'Interactive Effects'!$B$10+(1-$C$24))*$B$27+$B$28)</f>
        <v>41.19077209820091</v>
      </c>
      <c r="N86" s="99" t="s">
        <v>46</v>
      </c>
      <c r="O86" s="392">
        <f>F86*$C$24*'Interactive Effects'!$D$10*$B$27</f>
        <v>-0.12328506989557113</v>
      </c>
      <c r="P86" s="395">
        <f>I86*(($C$24*'Interactive Effects'!$C$10+(1-$C$24))*$B$27+$B$28)</f>
        <v>6.9196336294720896E-3</v>
      </c>
      <c r="Q86" s="349">
        <f>J86*(($C$24*'Interactive Effects'!$B$10+(1-$C$24))*$B$27+$B$28)</f>
        <v>68.676125000222868</v>
      </c>
      <c r="R86" s="99" t="s">
        <v>46</v>
      </c>
      <c r="S86" s="392">
        <f>J86*$C$24*'Interactive Effects'!$D$10*$B$27</f>
        <v>-0.20554945779176739</v>
      </c>
      <c r="T86" s="399">
        <f>L86*(($C$24*'Interactive Effects'!$C$10+(1-$C$24))*$B$27+$B$28)</f>
        <v>1.1536895277428582E-2</v>
      </c>
      <c r="U86" s="75"/>
      <c r="V86" s="75"/>
    </row>
    <row r="87" spans="1:22" ht="16.5" thickBot="1">
      <c r="A87" s="445"/>
      <c r="B87" s="50" t="s">
        <v>9</v>
      </c>
      <c r="C87" s="51"/>
      <c r="D87" s="35" t="s">
        <v>7</v>
      </c>
      <c r="E87" s="163">
        <v>240</v>
      </c>
      <c r="F87" s="449">
        <f t="shared" si="1"/>
        <v>51.993911477573818</v>
      </c>
      <c r="G87" s="450"/>
      <c r="H87" s="162" t="str">
        <f t="shared" si="2"/>
        <v>NA</v>
      </c>
      <c r="I87" s="62">
        <f t="shared" si="2"/>
        <v>8.2145631832148576E-3</v>
      </c>
      <c r="J87" s="302">
        <f t="shared" si="2"/>
        <v>119.25051757006473</v>
      </c>
      <c r="K87" s="41" t="str">
        <f t="shared" si="2"/>
        <v>NA</v>
      </c>
      <c r="L87" s="62">
        <f t="shared" si="2"/>
        <v>1.8840492730247668E-2</v>
      </c>
      <c r="M87" s="349">
        <f>F87*($B$27*'Interactive Effects'!$B$10+$B$28)</f>
        <v>52.681270987307343</v>
      </c>
      <c r="N87" s="99" t="s">
        <v>46</v>
      </c>
      <c r="O87" s="392">
        <f>F87*'Interactive Effects'!$D$10*$B$27</f>
        <v>-0.78015304354755199</v>
      </c>
      <c r="P87" s="395">
        <f>I87*($B$27*'Interactive Effects'!$C$10+$B$28)</f>
        <v>1.0929476315267368E-2</v>
      </c>
      <c r="Q87" s="349">
        <f>J87*($B$27*'Interactive Effects'!$B$10+$B$28)</f>
        <v>120.82700941234098</v>
      </c>
      <c r="R87" s="99" t="s">
        <v>46</v>
      </c>
      <c r="S87" s="392">
        <f>J87*'Interactive Effects'!$D$10*$B$27</f>
        <v>-1.7893182409835506</v>
      </c>
      <c r="T87" s="399">
        <f>L87*($B$27*'Interactive Effects'!$C$10+$B$28)</f>
        <v>2.5067275577594524E-2</v>
      </c>
      <c r="U87" s="75"/>
      <c r="V87" s="75"/>
    </row>
    <row r="88" spans="1:22" ht="16.5" thickBot="1">
      <c r="A88" s="446"/>
      <c r="B88" s="64" t="s">
        <v>42</v>
      </c>
      <c r="C88" s="65"/>
      <c r="D88" s="66" t="s">
        <v>4</v>
      </c>
      <c r="E88" s="288" t="s">
        <v>4</v>
      </c>
      <c r="F88" s="453" t="str">
        <f t="shared" si="1"/>
        <v>N/A</v>
      </c>
      <c r="G88" s="454"/>
      <c r="H88" s="67">
        <f t="shared" si="2"/>
        <v>3.5082645880445447</v>
      </c>
      <c r="I88" s="68" t="str">
        <f t="shared" si="2"/>
        <v>NA</v>
      </c>
      <c r="J88" s="300" t="str">
        <f t="shared" si="2"/>
        <v>N/A</v>
      </c>
      <c r="K88" s="232">
        <f t="shared" si="2"/>
        <v>4.6483836581955664</v>
      </c>
      <c r="L88" s="116" t="str">
        <f t="shared" si="2"/>
        <v>NA</v>
      </c>
      <c r="M88" s="311" t="s">
        <v>231</v>
      </c>
      <c r="N88" s="115">
        <f>H88</f>
        <v>3.5082645880445447</v>
      </c>
      <c r="O88" s="232">
        <v>0</v>
      </c>
      <c r="P88" s="397" t="s">
        <v>231</v>
      </c>
      <c r="Q88" s="311" t="s">
        <v>231</v>
      </c>
      <c r="R88" s="115">
        <f>K88</f>
        <v>4.6483836581955664</v>
      </c>
      <c r="S88" s="232">
        <v>0</v>
      </c>
      <c r="T88" s="401" t="s">
        <v>231</v>
      </c>
      <c r="U88" s="75"/>
      <c r="V88" s="75"/>
    </row>
    <row r="89" spans="1:22" ht="16.5" thickBot="1">
      <c r="A89" s="444" t="s">
        <v>63</v>
      </c>
      <c r="B89" s="58" t="s">
        <v>9</v>
      </c>
      <c r="C89" s="59"/>
      <c r="D89" s="60" t="s">
        <v>6</v>
      </c>
      <c r="E89" s="287" t="s">
        <v>4</v>
      </c>
      <c r="F89" s="455">
        <f t="shared" si="1"/>
        <v>96.811897625679876</v>
      </c>
      <c r="G89" s="456"/>
      <c r="H89" s="60" t="str">
        <f t="shared" si="2"/>
        <v>NA</v>
      </c>
      <c r="I89" s="61">
        <f t="shared" si="2"/>
        <v>1.5295395697938466E-2</v>
      </c>
      <c r="J89" s="301">
        <f>J82</f>
        <v>128.03892475096154</v>
      </c>
      <c r="K89" s="168" t="str">
        <f>K82</f>
        <v>NA</v>
      </c>
      <c r="L89" s="304">
        <f>L82</f>
        <v>2.0228980805403054E-2</v>
      </c>
      <c r="M89" s="308">
        <f>F89*('Interactive Effects'!$B$10*$B$27+$B$28)</f>
        <v>98.09175091229136</v>
      </c>
      <c r="N89" s="105" t="s">
        <v>46</v>
      </c>
      <c r="O89" s="391">
        <f>F89*'Interactive Effects'!$D$10*$B$27</f>
        <v>-1.452633480304039</v>
      </c>
      <c r="P89" s="394">
        <f>I89*('Interactive Effects'!$C$10*$B$27+$B$28)</f>
        <v>2.0350523976107128E-2</v>
      </c>
      <c r="Q89" s="308">
        <f>J89*('Interactive Effects'!$B$10*$B$27+$B$28)</f>
        <v>129.73159933616927</v>
      </c>
      <c r="R89" s="105" t="s">
        <v>46</v>
      </c>
      <c r="S89" s="391">
        <f>J89*'Interactive Effects'!$D$10*$B$27</f>
        <v>-1.9211856542107528</v>
      </c>
      <c r="T89" s="398">
        <f>L89*('Interactive Effects'!$C$10*$B$27+$B$28)</f>
        <v>2.6914658961588765E-2</v>
      </c>
      <c r="U89" s="75"/>
      <c r="V89" s="75"/>
    </row>
    <row r="90" spans="1:22" ht="16.5" thickBot="1">
      <c r="A90" s="445"/>
      <c r="B90" s="50" t="s">
        <v>8</v>
      </c>
      <c r="C90" s="51"/>
      <c r="D90" s="35" t="s">
        <v>6</v>
      </c>
      <c r="E90" s="163" t="s">
        <v>4</v>
      </c>
      <c r="F90" s="449">
        <f t="shared" si="1"/>
        <v>96.811897625679876</v>
      </c>
      <c r="G90" s="450"/>
      <c r="H90" s="162" t="str">
        <f t="shared" si="2"/>
        <v>NA</v>
      </c>
      <c r="I90" s="62">
        <f t="shared" si="2"/>
        <v>1.5295395697938466E-2</v>
      </c>
      <c r="J90" s="302">
        <f t="shared" ref="J90:L90" si="3">J83</f>
        <v>128.03892475096154</v>
      </c>
      <c r="K90" s="14" t="str">
        <f t="shared" si="3"/>
        <v>NA</v>
      </c>
      <c r="L90" s="305">
        <f t="shared" si="3"/>
        <v>2.0228980805403054E-2</v>
      </c>
      <c r="M90" s="349">
        <f>F90*(($C$24*'Interactive Effects'!$B$10+(1-$C$24))*$B$27+$B$28)</f>
        <v>97.067868283002184</v>
      </c>
      <c r="N90" s="99" t="s">
        <v>46</v>
      </c>
      <c r="O90" s="392">
        <f>F90*($C$24*'Interactive Effects'!$D$10*$B$27)</f>
        <v>-0.29052669606080783</v>
      </c>
      <c r="P90" s="395">
        <f>I90*(($C$24*'Interactive Effects'!$C$10+(1-$C$24))*$B$27+$B$28)</f>
        <v>1.6306421353572197E-2</v>
      </c>
      <c r="Q90" s="349">
        <f>J90*(($C$24*'Interactive Effects'!$B$10+(1-$C$24))*$B$27+$B$28)</f>
        <v>128.3774596680031</v>
      </c>
      <c r="R90" s="99" t="s">
        <v>46</v>
      </c>
      <c r="S90" s="392">
        <f>J90*($C$24*'Interactive Effects'!$D$10*$B$27)</f>
        <v>-0.38423713084215061</v>
      </c>
      <c r="T90" s="399">
        <f>L90*(($C$24*'Interactive Effects'!$C$10+(1-$C$24))*$B$27+$B$28)</f>
        <v>2.1566116436640196E-2</v>
      </c>
      <c r="U90" s="75"/>
      <c r="V90" s="75"/>
    </row>
    <row r="91" spans="1:22" ht="16.5" thickBot="1">
      <c r="A91" s="445"/>
      <c r="B91" s="48" t="s">
        <v>9</v>
      </c>
      <c r="C91" s="49"/>
      <c r="D91" s="34" t="s">
        <v>7</v>
      </c>
      <c r="E91" s="164">
        <v>120</v>
      </c>
      <c r="F91" s="451">
        <f t="shared" si="1"/>
        <v>36.924807964612768</v>
      </c>
      <c r="G91" s="452"/>
      <c r="H91" s="160" t="str">
        <f t="shared" si="2"/>
        <v>NA</v>
      </c>
      <c r="I91" s="63">
        <f t="shared" si="2"/>
        <v>5.8337824455506927E-3</v>
      </c>
      <c r="J91" s="303">
        <f t="shared" ref="J91:L91" si="4">J84</f>
        <v>51.564809940561091</v>
      </c>
      <c r="K91" s="16" t="str">
        <f t="shared" si="4"/>
        <v>NA</v>
      </c>
      <c r="L91" s="63">
        <f t="shared" si="4"/>
        <v>8.1467690591023462E-3</v>
      </c>
      <c r="M91" s="310">
        <f>F91*($B$27*'Interactive Effects'!$B$10+$B$28)</f>
        <v>37.412953925904951</v>
      </c>
      <c r="N91" s="109" t="s">
        <v>46</v>
      </c>
      <c r="O91" s="393">
        <f>F91*'Interactive Effects'!$D$10*$B$27</f>
        <v>-0.55404566606662531</v>
      </c>
      <c r="P91" s="396">
        <f>I91*($B$27*'Interactive Effects'!$C$10+$B$28)</f>
        <v>7.7618475438051967E-3</v>
      </c>
      <c r="Q91" s="310">
        <f>J91*($B$27*'Interactive Effects'!$B$10+$B$28)</f>
        <v>52.246496727975305</v>
      </c>
      <c r="R91" s="109" t="s">
        <v>46</v>
      </c>
      <c r="S91" s="393">
        <f>J91*'Interactive Effects'!$D$10*$B$27</f>
        <v>-0.77371450371513717</v>
      </c>
      <c r="T91" s="400">
        <f>L91*($B$27*'Interactive Effects'!$C$10+$B$28)</f>
        <v>1.0839276233135672E-2</v>
      </c>
      <c r="U91" s="75"/>
      <c r="V91" s="75"/>
    </row>
    <row r="92" spans="1:22" ht="16.5" thickBot="1">
      <c r="A92" s="445"/>
      <c r="B92" s="50" t="s">
        <v>8</v>
      </c>
      <c r="C92" s="51"/>
      <c r="D92" s="35" t="s">
        <v>7</v>
      </c>
      <c r="E92" s="163">
        <v>120</v>
      </c>
      <c r="F92" s="449">
        <f t="shared" si="1"/>
        <v>36.924807964612768</v>
      </c>
      <c r="G92" s="450"/>
      <c r="H92" s="162" t="str">
        <f t="shared" si="2"/>
        <v>NA</v>
      </c>
      <c r="I92" s="62">
        <f t="shared" si="2"/>
        <v>5.8337824455506927E-3</v>
      </c>
      <c r="J92" s="302">
        <f t="shared" ref="J92:L92" si="5">J85</f>
        <v>51.564809940561091</v>
      </c>
      <c r="K92" s="41" t="str">
        <f t="shared" si="5"/>
        <v>NA</v>
      </c>
      <c r="L92" s="62">
        <f t="shared" si="5"/>
        <v>8.1467690591023462E-3</v>
      </c>
      <c r="M92" s="349">
        <f>F92*(($C$24*'Interactive Effects'!$B$10+(1-$C$24))*$B$27+$B$28)</f>
        <v>37.022437156871206</v>
      </c>
      <c r="N92" s="99" t="s">
        <v>46</v>
      </c>
      <c r="O92" s="392">
        <f>F92*$C$24*'Interactive Effects'!$D$10*$B$27</f>
        <v>-0.11080913321332507</v>
      </c>
      <c r="P92" s="395">
        <f>I92*(($C$24*'Interactive Effects'!$C$10+(1-$C$24))*$B$27+$B$28)</f>
        <v>6.2193954652015942E-3</v>
      </c>
      <c r="Q92" s="349">
        <f>J92*(($C$24*'Interactive Effects'!$B$10+(1-$C$24))*$B$27+$B$28)</f>
        <v>51.701147298043942</v>
      </c>
      <c r="R92" s="99" t="s">
        <v>46</v>
      </c>
      <c r="S92" s="392">
        <f>J92*$C$24*'Interactive Effects'!$D$10*$B$27</f>
        <v>-0.15474290074302743</v>
      </c>
      <c r="T92" s="399">
        <f>L92*(($C$24*'Interactive Effects'!$C$10+(1-$C$24))*$B$27+$B$28)</f>
        <v>8.6852704939090111E-3</v>
      </c>
      <c r="U92" s="75"/>
      <c r="V92" s="75"/>
    </row>
    <row r="93" spans="1:22" ht="16.5" thickBot="1">
      <c r="A93" s="445"/>
      <c r="B93" s="48" t="s">
        <v>8</v>
      </c>
      <c r="C93" s="49"/>
      <c r="D93" s="34" t="s">
        <v>7</v>
      </c>
      <c r="E93" s="164">
        <v>240</v>
      </c>
      <c r="F93" s="451">
        <f t="shared" si="1"/>
        <v>41.082150891244453</v>
      </c>
      <c r="G93" s="452"/>
      <c r="H93" s="160" t="str">
        <f t="shared" si="2"/>
        <v>NA</v>
      </c>
      <c r="I93" s="63">
        <f t="shared" si="2"/>
        <v>6.4906046613564293E-3</v>
      </c>
      <c r="J93" s="303">
        <f t="shared" ref="J93:L93" si="6">J86</f>
        <v>68.495024156353466</v>
      </c>
      <c r="K93" s="16" t="str">
        <f t="shared" si="6"/>
        <v>NA</v>
      </c>
      <c r="L93" s="63">
        <f t="shared" si="6"/>
        <v>1.0821588291369085E-2</v>
      </c>
      <c r="M93" s="349">
        <f>F93*(($C$24*'Interactive Effects'!$B$10+(1-$C$24))*$B$27+$B$28)</f>
        <v>41.19077209820091</v>
      </c>
      <c r="N93" s="99" t="s">
        <v>46</v>
      </c>
      <c r="O93" s="392">
        <f>F93*$C$24*'Interactive Effects'!$D$10*$B$27</f>
        <v>-0.12328506989557113</v>
      </c>
      <c r="P93" s="395">
        <f>I93*(($C$24*'Interactive Effects'!$C$10+(1-$C$24))*$B$27+$B$28)</f>
        <v>6.9196336294720896E-3</v>
      </c>
      <c r="Q93" s="349">
        <f>J93*(($C$24*'Interactive Effects'!$B$10+(1-$C$24))*$B$27+$B$28)</f>
        <v>68.676125000222868</v>
      </c>
      <c r="R93" s="99" t="s">
        <v>46</v>
      </c>
      <c r="S93" s="392">
        <f>J93*$C$24*'Interactive Effects'!$D$10*$B$27</f>
        <v>-0.20554945779176739</v>
      </c>
      <c r="T93" s="399">
        <f>L93*(($C$24*'Interactive Effects'!$C$10+(1-$C$24))*$B$27+$B$28)</f>
        <v>1.1536895277428582E-2</v>
      </c>
      <c r="U93" s="75"/>
      <c r="V93" s="75"/>
    </row>
    <row r="94" spans="1:22" ht="16.5" thickBot="1">
      <c r="A94" s="445"/>
      <c r="B94" s="50" t="s">
        <v>9</v>
      </c>
      <c r="C94" s="51"/>
      <c r="D94" s="35" t="s">
        <v>7</v>
      </c>
      <c r="E94" s="163">
        <v>240</v>
      </c>
      <c r="F94" s="449">
        <f t="shared" si="1"/>
        <v>51.993911477573818</v>
      </c>
      <c r="G94" s="450"/>
      <c r="H94" s="162" t="str">
        <f t="shared" si="2"/>
        <v>NA</v>
      </c>
      <c r="I94" s="62">
        <f t="shared" si="2"/>
        <v>8.2145631832148576E-3</v>
      </c>
      <c r="J94" s="302">
        <f t="shared" ref="J94:L94" si="7">J87</f>
        <v>119.25051757006473</v>
      </c>
      <c r="K94" s="41" t="str">
        <f t="shared" si="7"/>
        <v>NA</v>
      </c>
      <c r="L94" s="62">
        <f t="shared" si="7"/>
        <v>1.8840492730247668E-2</v>
      </c>
      <c r="M94" s="349">
        <f>F94*($B$27*'Interactive Effects'!$B$10+$B$28)</f>
        <v>52.681270987307343</v>
      </c>
      <c r="N94" s="99" t="s">
        <v>46</v>
      </c>
      <c r="O94" s="392">
        <f>F94*'Interactive Effects'!$D$10*$B$27</f>
        <v>-0.78015304354755199</v>
      </c>
      <c r="P94" s="395">
        <f>I94*($B$27*'Interactive Effects'!$C$10+$B$28)</f>
        <v>1.0929476315267368E-2</v>
      </c>
      <c r="Q94" s="349">
        <f>J94*($B$27*'Interactive Effects'!$B$10+$B$28)</f>
        <v>120.82700941234098</v>
      </c>
      <c r="R94" s="99" t="s">
        <v>46</v>
      </c>
      <c r="S94" s="392">
        <f>J94*'Interactive Effects'!$D$10*$B$27</f>
        <v>-1.7893182409835506</v>
      </c>
      <c r="T94" s="399">
        <f>L94*($B$27*'Interactive Effects'!$C$10+$B$28)</f>
        <v>2.5067275577594524E-2</v>
      </c>
      <c r="U94" s="75"/>
      <c r="V94" s="75"/>
    </row>
    <row r="95" spans="1:22" ht="16.5" thickBot="1">
      <c r="A95" s="446"/>
      <c r="B95" s="64" t="s">
        <v>42</v>
      </c>
      <c r="C95" s="65"/>
      <c r="D95" s="66" t="s">
        <v>4</v>
      </c>
      <c r="E95" s="288" t="s">
        <v>4</v>
      </c>
      <c r="F95" s="453" t="str">
        <f t="shared" si="1"/>
        <v>N/A</v>
      </c>
      <c r="G95" s="454"/>
      <c r="H95" s="67">
        <f t="shared" si="2"/>
        <v>3.5082645880445447</v>
      </c>
      <c r="I95" s="68" t="str">
        <f t="shared" si="2"/>
        <v>NA</v>
      </c>
      <c r="J95" s="300" t="str">
        <f t="shared" ref="J95:L95" si="8">J88</f>
        <v>N/A</v>
      </c>
      <c r="K95" s="232">
        <f t="shared" si="8"/>
        <v>4.6483836581955664</v>
      </c>
      <c r="L95" s="116" t="str">
        <f t="shared" si="8"/>
        <v>NA</v>
      </c>
      <c r="M95" s="311" t="s">
        <v>231</v>
      </c>
      <c r="N95" s="115">
        <f>H95</f>
        <v>3.5082645880445447</v>
      </c>
      <c r="O95" s="232">
        <v>0</v>
      </c>
      <c r="P95" s="397" t="s">
        <v>231</v>
      </c>
      <c r="Q95" s="311" t="s">
        <v>231</v>
      </c>
      <c r="R95" s="115">
        <f>K95</f>
        <v>4.6483836581955664</v>
      </c>
      <c r="S95" s="232">
        <v>0</v>
      </c>
      <c r="T95" s="401" t="s">
        <v>231</v>
      </c>
      <c r="U95" s="75"/>
      <c r="V95" s="75"/>
    </row>
    <row r="96" spans="1:22" ht="16.5" thickBot="1">
      <c r="A96" s="444" t="s">
        <v>67</v>
      </c>
      <c r="B96" s="69" t="s">
        <v>9</v>
      </c>
      <c r="C96" s="70"/>
      <c r="D96" s="71" t="s">
        <v>6</v>
      </c>
      <c r="E96" s="289" t="s">
        <v>4</v>
      </c>
      <c r="F96" s="455">
        <f t="shared" si="1"/>
        <v>96.811897625679876</v>
      </c>
      <c r="G96" s="456"/>
      <c r="H96" s="60" t="str">
        <f t="shared" si="2"/>
        <v>NA</v>
      </c>
      <c r="I96" s="61">
        <f t="shared" si="2"/>
        <v>1.5295395697938466E-2</v>
      </c>
      <c r="J96" s="301">
        <f>J89</f>
        <v>128.03892475096154</v>
      </c>
      <c r="K96" s="168" t="str">
        <f>K89</f>
        <v>NA</v>
      </c>
      <c r="L96" s="304">
        <f>L89</f>
        <v>2.0228980805403054E-2</v>
      </c>
      <c r="M96" s="308">
        <f>F96*('Interactive Effects'!$B$10*$B$27+$B$28)</f>
        <v>98.09175091229136</v>
      </c>
      <c r="N96" s="105" t="s">
        <v>46</v>
      </c>
      <c r="O96" s="391">
        <f>F96*'Interactive Effects'!$D$10*$B$27</f>
        <v>-1.452633480304039</v>
      </c>
      <c r="P96" s="394">
        <f>I96*('Interactive Effects'!$C$10*$B$27+$B$28)</f>
        <v>2.0350523976107128E-2</v>
      </c>
      <c r="Q96" s="308">
        <f>J96*('Interactive Effects'!$B$10*$B$27+$B$28)</f>
        <v>129.73159933616927</v>
      </c>
      <c r="R96" s="105" t="s">
        <v>46</v>
      </c>
      <c r="S96" s="391">
        <f>J96*'Interactive Effects'!$D$10*$B$27</f>
        <v>-1.9211856542107528</v>
      </c>
      <c r="T96" s="398">
        <f>L96*('Interactive Effects'!$C$10*$B$27+$B$28)</f>
        <v>2.6914658961588765E-2</v>
      </c>
      <c r="U96" s="75"/>
      <c r="V96" s="75"/>
    </row>
    <row r="97" spans="1:22" ht="16.5" thickBot="1">
      <c r="A97" s="445"/>
      <c r="B97" s="52" t="s">
        <v>8</v>
      </c>
      <c r="C97" s="53"/>
      <c r="D97" s="54" t="s">
        <v>6</v>
      </c>
      <c r="E97" s="290" t="s">
        <v>4</v>
      </c>
      <c r="F97" s="449">
        <f t="shared" si="1"/>
        <v>96.811897625679876</v>
      </c>
      <c r="G97" s="450"/>
      <c r="H97" s="162" t="str">
        <f t="shared" si="2"/>
        <v>NA</v>
      </c>
      <c r="I97" s="62">
        <f t="shared" si="2"/>
        <v>1.5295395697938466E-2</v>
      </c>
      <c r="J97" s="302">
        <f t="shared" ref="J97:L97" si="9">J90</f>
        <v>128.03892475096154</v>
      </c>
      <c r="K97" s="14" t="str">
        <f t="shared" si="9"/>
        <v>NA</v>
      </c>
      <c r="L97" s="305">
        <f t="shared" si="9"/>
        <v>2.0228980805403054E-2</v>
      </c>
      <c r="M97" s="349">
        <f>F97*(($C$24*'Interactive Effects'!$B$10+(1-$C$24))*$B$27+$B$28)</f>
        <v>97.067868283002184</v>
      </c>
      <c r="N97" s="99" t="s">
        <v>46</v>
      </c>
      <c r="O97" s="392">
        <f>F97*($C$24*'Interactive Effects'!$D$10*$B$27)</f>
        <v>-0.29052669606080783</v>
      </c>
      <c r="P97" s="395">
        <f>I97*(($C$24*'Interactive Effects'!$C$10+(1-$C$24))*$B$27+$B$28)</f>
        <v>1.6306421353572197E-2</v>
      </c>
      <c r="Q97" s="349">
        <f>J97*(($C$24*'Interactive Effects'!$B$10+(1-$C$24))*$B$27+$B$28)</f>
        <v>128.3774596680031</v>
      </c>
      <c r="R97" s="99" t="s">
        <v>46</v>
      </c>
      <c r="S97" s="392">
        <f>J97*($C$24*'Interactive Effects'!$D$10*$B$27)</f>
        <v>-0.38423713084215061</v>
      </c>
      <c r="T97" s="399">
        <f>L97*(($C$24*'Interactive Effects'!$C$10+(1-$C$24))*$B$27+$B$28)</f>
        <v>2.1566116436640196E-2</v>
      </c>
      <c r="U97" s="75"/>
      <c r="V97" s="75"/>
    </row>
    <row r="98" spans="1:22" ht="16.5" thickBot="1">
      <c r="A98" s="445"/>
      <c r="B98" s="55" t="s">
        <v>9</v>
      </c>
      <c r="C98" s="56"/>
      <c r="D98" s="57" t="s">
        <v>7</v>
      </c>
      <c r="E98" s="291">
        <v>120</v>
      </c>
      <c r="F98" s="451">
        <f t="shared" si="1"/>
        <v>36.924807964612768</v>
      </c>
      <c r="G98" s="452"/>
      <c r="H98" s="160" t="str">
        <f t="shared" si="2"/>
        <v>NA</v>
      </c>
      <c r="I98" s="63">
        <f t="shared" si="2"/>
        <v>5.8337824455506927E-3</v>
      </c>
      <c r="J98" s="303">
        <f t="shared" ref="J98:L98" si="10">J91</f>
        <v>51.564809940561091</v>
      </c>
      <c r="K98" s="16" t="str">
        <f t="shared" si="10"/>
        <v>NA</v>
      </c>
      <c r="L98" s="63">
        <f t="shared" si="10"/>
        <v>8.1467690591023462E-3</v>
      </c>
      <c r="M98" s="310">
        <f>F98*($B$27*'Interactive Effects'!$B$10+$B$28)</f>
        <v>37.412953925904951</v>
      </c>
      <c r="N98" s="109" t="s">
        <v>46</v>
      </c>
      <c r="O98" s="393">
        <f>F98*'Interactive Effects'!$D$10*$B$27</f>
        <v>-0.55404566606662531</v>
      </c>
      <c r="P98" s="396">
        <f>I98*($B$27*'Interactive Effects'!$C$10+$B$28)</f>
        <v>7.7618475438051967E-3</v>
      </c>
      <c r="Q98" s="310">
        <f>J98*($B$27*'Interactive Effects'!$B$10+$B$28)</f>
        <v>52.246496727975305</v>
      </c>
      <c r="R98" s="109" t="s">
        <v>46</v>
      </c>
      <c r="S98" s="393">
        <f>J98*'Interactive Effects'!$D$10*$B$27</f>
        <v>-0.77371450371513717</v>
      </c>
      <c r="T98" s="400">
        <f>L98*($B$27*'Interactive Effects'!$C$10+$B$28)</f>
        <v>1.0839276233135672E-2</v>
      </c>
      <c r="U98" s="75"/>
      <c r="V98" s="75"/>
    </row>
    <row r="99" spans="1:22" ht="16.5" thickBot="1">
      <c r="A99" s="445"/>
      <c r="B99" s="52" t="s">
        <v>8</v>
      </c>
      <c r="C99" s="53"/>
      <c r="D99" s="54" t="s">
        <v>7</v>
      </c>
      <c r="E99" s="290">
        <v>120</v>
      </c>
      <c r="F99" s="449">
        <f t="shared" si="1"/>
        <v>36.924807964612768</v>
      </c>
      <c r="G99" s="450"/>
      <c r="H99" s="162" t="str">
        <f t="shared" si="2"/>
        <v>NA</v>
      </c>
      <c r="I99" s="62">
        <f t="shared" si="2"/>
        <v>5.8337824455506927E-3</v>
      </c>
      <c r="J99" s="302">
        <f t="shared" ref="J99:L99" si="11">J92</f>
        <v>51.564809940561091</v>
      </c>
      <c r="K99" s="41" t="str">
        <f t="shared" si="11"/>
        <v>NA</v>
      </c>
      <c r="L99" s="62">
        <f t="shared" si="11"/>
        <v>8.1467690591023462E-3</v>
      </c>
      <c r="M99" s="349">
        <f>F99*(($C$24*'Interactive Effects'!$B$10+(1-$C$24))*$B$27+$B$28)</f>
        <v>37.022437156871206</v>
      </c>
      <c r="N99" s="99" t="s">
        <v>46</v>
      </c>
      <c r="O99" s="392">
        <f>F99*$C$24*'Interactive Effects'!$D$10*$B$27</f>
        <v>-0.11080913321332507</v>
      </c>
      <c r="P99" s="395">
        <f>I99*(($C$24*'Interactive Effects'!$C$10+(1-$C$24))*$B$27+$B$28)</f>
        <v>6.2193954652015942E-3</v>
      </c>
      <c r="Q99" s="349">
        <f>J99*(($C$24*'Interactive Effects'!$B$10+(1-$C$24))*$B$27+$B$28)</f>
        <v>51.701147298043942</v>
      </c>
      <c r="R99" s="99" t="s">
        <v>46</v>
      </c>
      <c r="S99" s="392">
        <f>J99*$C$24*'Interactive Effects'!$D$10*$B$27</f>
        <v>-0.15474290074302743</v>
      </c>
      <c r="T99" s="399">
        <f>L99*(($C$24*'Interactive Effects'!$C$10+(1-$C$24))*$B$27+$B$28)</f>
        <v>8.6852704939090111E-3</v>
      </c>
      <c r="U99" s="75"/>
      <c r="V99" s="75"/>
    </row>
    <row r="100" spans="1:22" ht="16.5" thickBot="1">
      <c r="A100" s="445"/>
      <c r="B100" s="55" t="s">
        <v>8</v>
      </c>
      <c r="C100" s="56"/>
      <c r="D100" s="57" t="s">
        <v>7</v>
      </c>
      <c r="E100" s="291">
        <v>240</v>
      </c>
      <c r="F100" s="451">
        <f t="shared" si="1"/>
        <v>41.082150891244453</v>
      </c>
      <c r="G100" s="452"/>
      <c r="H100" s="160" t="str">
        <f t="shared" si="2"/>
        <v>NA</v>
      </c>
      <c r="I100" s="63">
        <f t="shared" si="2"/>
        <v>6.4906046613564293E-3</v>
      </c>
      <c r="J100" s="303">
        <f t="shared" ref="J100:L100" si="12">J93</f>
        <v>68.495024156353466</v>
      </c>
      <c r="K100" s="16" t="str">
        <f t="shared" si="12"/>
        <v>NA</v>
      </c>
      <c r="L100" s="63">
        <f t="shared" si="12"/>
        <v>1.0821588291369085E-2</v>
      </c>
      <c r="M100" s="349">
        <f>F100*(($C$24*'Interactive Effects'!$B$10+(1-$C$24))*$B$27+$B$28)</f>
        <v>41.19077209820091</v>
      </c>
      <c r="N100" s="99" t="s">
        <v>46</v>
      </c>
      <c r="O100" s="392">
        <f>F100*$C$24*'Interactive Effects'!$D$10*$B$27</f>
        <v>-0.12328506989557113</v>
      </c>
      <c r="P100" s="395">
        <f>I100*(($C$24*'Interactive Effects'!$C$10+(1-$C$24))*$B$27+$B$28)</f>
        <v>6.9196336294720896E-3</v>
      </c>
      <c r="Q100" s="349">
        <f>J100*(($C$24*'Interactive Effects'!$B$10+(1-$C$24))*$B$27+$B$28)</f>
        <v>68.676125000222868</v>
      </c>
      <c r="R100" s="99" t="s">
        <v>46</v>
      </c>
      <c r="S100" s="392">
        <f>J100*$C$24*'Interactive Effects'!$D$10*$B$27</f>
        <v>-0.20554945779176739</v>
      </c>
      <c r="T100" s="399">
        <f>L100*(($C$24*'Interactive Effects'!$C$10+(1-$C$24))*$B$27+$B$28)</f>
        <v>1.1536895277428582E-2</v>
      </c>
      <c r="U100" s="75"/>
      <c r="V100" s="75"/>
    </row>
    <row r="101" spans="1:22" ht="16.5" thickBot="1">
      <c r="A101" s="445"/>
      <c r="B101" s="52" t="s">
        <v>9</v>
      </c>
      <c r="C101" s="53"/>
      <c r="D101" s="54" t="s">
        <v>7</v>
      </c>
      <c r="E101" s="290">
        <v>240</v>
      </c>
      <c r="F101" s="449">
        <f t="shared" si="1"/>
        <v>51.993911477573818</v>
      </c>
      <c r="G101" s="450"/>
      <c r="H101" s="162" t="str">
        <f t="shared" si="2"/>
        <v>NA</v>
      </c>
      <c r="I101" s="62">
        <f t="shared" si="2"/>
        <v>8.2145631832148576E-3</v>
      </c>
      <c r="J101" s="302">
        <f t="shared" ref="J101:L101" si="13">J94</f>
        <v>119.25051757006473</v>
      </c>
      <c r="K101" s="41" t="str">
        <f t="shared" si="13"/>
        <v>NA</v>
      </c>
      <c r="L101" s="62">
        <f t="shared" si="13"/>
        <v>1.8840492730247668E-2</v>
      </c>
      <c r="M101" s="349">
        <f>F101*($B$27*'Interactive Effects'!$B$10+$B$28)</f>
        <v>52.681270987307343</v>
      </c>
      <c r="N101" s="99" t="s">
        <v>46</v>
      </c>
      <c r="O101" s="392">
        <f>F101*'Interactive Effects'!$D$10*$B$27</f>
        <v>-0.78015304354755199</v>
      </c>
      <c r="P101" s="395">
        <f>I101*($B$27*'Interactive Effects'!$C$10+$B$28)</f>
        <v>1.0929476315267368E-2</v>
      </c>
      <c r="Q101" s="349">
        <f>J101*($B$27*'Interactive Effects'!$B$10+$B$28)</f>
        <v>120.82700941234098</v>
      </c>
      <c r="R101" s="99" t="s">
        <v>46</v>
      </c>
      <c r="S101" s="392">
        <f>J101*'Interactive Effects'!$D$10*$B$27</f>
        <v>-1.7893182409835506</v>
      </c>
      <c r="T101" s="399">
        <f>L101*($B$27*'Interactive Effects'!$C$10+$B$28)</f>
        <v>2.5067275577594524E-2</v>
      </c>
      <c r="U101" s="75"/>
      <c r="V101" s="75"/>
    </row>
    <row r="102" spans="1:22" ht="16.5" thickBot="1">
      <c r="A102" s="446"/>
      <c r="B102" s="72" t="s">
        <v>42</v>
      </c>
      <c r="C102" s="73"/>
      <c r="D102" s="74" t="s">
        <v>4</v>
      </c>
      <c r="E102" s="292" t="s">
        <v>4</v>
      </c>
      <c r="F102" s="453" t="str">
        <f t="shared" si="1"/>
        <v>N/A</v>
      </c>
      <c r="G102" s="454"/>
      <c r="H102" s="67">
        <f t="shared" si="2"/>
        <v>3.5082645880445447</v>
      </c>
      <c r="I102" s="68" t="str">
        <f t="shared" si="2"/>
        <v>NA</v>
      </c>
      <c r="J102" s="300" t="str">
        <f t="shared" ref="J102:L102" si="14">J95</f>
        <v>N/A</v>
      </c>
      <c r="K102" s="232">
        <f t="shared" si="14"/>
        <v>4.6483836581955664</v>
      </c>
      <c r="L102" s="116" t="str">
        <f t="shared" si="14"/>
        <v>NA</v>
      </c>
      <c r="M102" s="311" t="s">
        <v>231</v>
      </c>
      <c r="N102" s="115">
        <f>H102</f>
        <v>3.5082645880445447</v>
      </c>
      <c r="O102" s="232">
        <v>0</v>
      </c>
      <c r="P102" s="397" t="s">
        <v>231</v>
      </c>
      <c r="Q102" s="311" t="s">
        <v>231</v>
      </c>
      <c r="R102" s="115">
        <f>K102</f>
        <v>4.6483836581955664</v>
      </c>
      <c r="S102" s="232">
        <v>0</v>
      </c>
      <c r="T102" s="401" t="s">
        <v>231</v>
      </c>
      <c r="U102" s="75"/>
      <c r="V102" s="75"/>
    </row>
    <row r="103" spans="1:22">
      <c r="M103" s="120"/>
      <c r="O103" s="75"/>
      <c r="P103" s="75"/>
      <c r="Q103" s="75"/>
      <c r="R103" s="75"/>
      <c r="S103" s="75"/>
      <c r="T103" s="75"/>
      <c r="U103" s="75"/>
      <c r="V103" s="75"/>
    </row>
    <row r="104" spans="1:22">
      <c r="M104" s="120"/>
      <c r="O104" s="75"/>
      <c r="P104" s="75"/>
      <c r="Q104" s="75"/>
      <c r="R104" s="75"/>
      <c r="S104" s="75"/>
      <c r="T104" s="75"/>
      <c r="U104" s="75"/>
      <c r="V104" s="75"/>
    </row>
    <row r="105" spans="1:22">
      <c r="M105" s="120"/>
      <c r="O105" s="75"/>
      <c r="P105" s="75"/>
      <c r="Q105" s="75"/>
      <c r="R105" s="75"/>
      <c r="S105" s="75"/>
      <c r="T105" s="75"/>
      <c r="U105" s="75"/>
      <c r="V105" s="75"/>
    </row>
    <row r="106" spans="1:22">
      <c r="M106" s="120"/>
      <c r="O106" s="75"/>
      <c r="P106" s="75"/>
      <c r="Q106" s="75"/>
      <c r="R106" s="75"/>
      <c r="S106" s="75"/>
      <c r="T106" s="75"/>
      <c r="U106" s="75"/>
      <c r="V106" s="75"/>
    </row>
    <row r="107" spans="1:22">
      <c r="M107" s="120"/>
      <c r="O107" s="75"/>
      <c r="P107" s="75"/>
      <c r="Q107" s="75"/>
      <c r="R107" s="75"/>
      <c r="S107" s="75"/>
      <c r="T107" s="75"/>
      <c r="U107" s="75"/>
      <c r="V107" s="75"/>
    </row>
    <row r="108" spans="1:22">
      <c r="M108" s="120"/>
      <c r="O108" s="75"/>
      <c r="P108" s="75"/>
      <c r="Q108" s="75"/>
      <c r="R108" s="75"/>
      <c r="S108" s="75"/>
      <c r="T108" s="75"/>
      <c r="U108" s="75"/>
      <c r="V108" s="75"/>
    </row>
    <row r="109" spans="1:22">
      <c r="M109" s="120"/>
      <c r="O109" s="75"/>
      <c r="P109" s="75"/>
      <c r="Q109" s="75"/>
      <c r="R109" s="75"/>
      <c r="S109" s="75"/>
      <c r="T109" s="75"/>
      <c r="U109" s="75"/>
      <c r="V109" s="75"/>
    </row>
    <row r="110" spans="1:22">
      <c r="M110" s="120"/>
    </row>
    <row r="111" spans="1:22">
      <c r="M111" s="120"/>
    </row>
    <row r="112" spans="1:22">
      <c r="M112" s="120"/>
    </row>
    <row r="113" spans="13:13">
      <c r="M113" s="120"/>
    </row>
    <row r="114" spans="13:13">
      <c r="M114" s="120"/>
    </row>
    <row r="115" spans="13:13">
      <c r="M115" s="120"/>
    </row>
    <row r="116" spans="13:13">
      <c r="M116" s="120"/>
    </row>
    <row r="117" spans="13:13">
      <c r="M117" s="120"/>
    </row>
    <row r="118" spans="13:13">
      <c r="M118" s="120"/>
    </row>
    <row r="119" spans="13:13">
      <c r="M119" s="120"/>
    </row>
    <row r="120" spans="13:13">
      <c r="M120" s="120"/>
    </row>
    <row r="121" spans="13:13">
      <c r="M121" s="120"/>
    </row>
    <row r="122" spans="13:13">
      <c r="M122" s="120"/>
    </row>
    <row r="123" spans="13:13">
      <c r="M123" s="120"/>
    </row>
    <row r="124" spans="13:13">
      <c r="M124" s="120"/>
    </row>
    <row r="125" spans="13:13">
      <c r="M125" s="120"/>
    </row>
  </sheetData>
  <mergeCells count="110">
    <mergeCell ref="Q73:T73"/>
    <mergeCell ref="L17:L22"/>
    <mergeCell ref="N17:N21"/>
    <mergeCell ref="M17:M24"/>
    <mergeCell ref="N25:N33"/>
    <mergeCell ref="M25:M33"/>
    <mergeCell ref="L25:L33"/>
    <mergeCell ref="A1:Q1"/>
    <mergeCell ref="L2:Q2"/>
    <mergeCell ref="L4:L16"/>
    <mergeCell ref="M4:M16"/>
    <mergeCell ref="N4:N16"/>
    <mergeCell ref="A40:C40"/>
    <mergeCell ref="A35:H35"/>
    <mergeCell ref="F38:G38"/>
    <mergeCell ref="F39:G39"/>
    <mergeCell ref="F40:G40"/>
    <mergeCell ref="A36:C36"/>
    <mergeCell ref="A52:G52"/>
    <mergeCell ref="I52:N52"/>
    <mergeCell ref="I53:J53"/>
    <mergeCell ref="I54:J54"/>
    <mergeCell ref="I55:J55"/>
    <mergeCell ref="A55:C55"/>
    <mergeCell ref="F92:G92"/>
    <mergeCell ref="F93:G93"/>
    <mergeCell ref="F94:G94"/>
    <mergeCell ref="F95:G95"/>
    <mergeCell ref="A82:A88"/>
    <mergeCell ref="F96:G96"/>
    <mergeCell ref="F97:G97"/>
    <mergeCell ref="F98:G98"/>
    <mergeCell ref="F99:G99"/>
    <mergeCell ref="A89:A95"/>
    <mergeCell ref="A96:A102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100:G100"/>
    <mergeCell ref="F101:G101"/>
    <mergeCell ref="F102:G102"/>
    <mergeCell ref="F91:G91"/>
    <mergeCell ref="F76:G76"/>
    <mergeCell ref="F79:G79"/>
    <mergeCell ref="F74:G74"/>
    <mergeCell ref="F75:G75"/>
    <mergeCell ref="A72:A74"/>
    <mergeCell ref="D72:D74"/>
    <mergeCell ref="B72:C74"/>
    <mergeCell ref="E72:E74"/>
    <mergeCell ref="F77:G77"/>
    <mergeCell ref="A75:A81"/>
    <mergeCell ref="F78:G78"/>
    <mergeCell ref="F80:G80"/>
    <mergeCell ref="F81:G81"/>
    <mergeCell ref="F73:I73"/>
    <mergeCell ref="A37:C37"/>
    <mergeCell ref="F36:G36"/>
    <mergeCell ref="F37:G37"/>
    <mergeCell ref="A53:C53"/>
    <mergeCell ref="A54:C54"/>
    <mergeCell ref="F53:G53"/>
    <mergeCell ref="F54:G54"/>
    <mergeCell ref="A41:C41"/>
    <mergeCell ref="F41:G41"/>
    <mergeCell ref="A38:C38"/>
    <mergeCell ref="A39:C39"/>
    <mergeCell ref="A44:C44"/>
    <mergeCell ref="A45:C45"/>
    <mergeCell ref="J73:L73"/>
    <mergeCell ref="F72:L72"/>
    <mergeCell ref="M73:P73"/>
    <mergeCell ref="M72:T72"/>
    <mergeCell ref="I56:J56"/>
    <mergeCell ref="A66:C66"/>
    <mergeCell ref="A67:C67"/>
    <mergeCell ref="A68:C68"/>
    <mergeCell ref="F65:G65"/>
    <mergeCell ref="F66:G66"/>
    <mergeCell ref="F67:G67"/>
    <mergeCell ref="A57:C57"/>
    <mergeCell ref="A58:C58"/>
    <mergeCell ref="F58:G58"/>
    <mergeCell ref="A64:C64"/>
    <mergeCell ref="F64:G64"/>
    <mergeCell ref="I57:J57"/>
    <mergeCell ref="F56:G56"/>
    <mergeCell ref="F57:G57"/>
    <mergeCell ref="A56:C56"/>
    <mergeCell ref="I58:J58"/>
    <mergeCell ref="A69:C69"/>
    <mergeCell ref="F69:G69"/>
    <mergeCell ref="A63:O63"/>
    <mergeCell ref="A71:T71"/>
    <mergeCell ref="A46:C46"/>
    <mergeCell ref="F46:G46"/>
    <mergeCell ref="F44:G44"/>
    <mergeCell ref="F45:G45"/>
    <mergeCell ref="A47:C47"/>
    <mergeCell ref="F47:G47"/>
    <mergeCell ref="A43:H43"/>
    <mergeCell ref="F55:G55"/>
    <mergeCell ref="F68:G68"/>
    <mergeCell ref="A65:C65"/>
  </mergeCells>
  <pageMargins left="0.75" right="0.75" top="1" bottom="1" header="0.5" footer="0.5"/>
  <pageSetup orientation="portrait" horizontalDpi="4294967292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3" workbookViewId="0">
      <selection activeCell="C34" sqref="C34"/>
    </sheetView>
  </sheetViews>
  <sheetFormatPr defaultColWidth="11" defaultRowHeight="15.75"/>
  <cols>
    <col min="1" max="1" width="5.5" bestFit="1" customWidth="1"/>
    <col min="2" max="2" width="9.875" customWidth="1"/>
    <col min="3" max="3" width="10.875" customWidth="1"/>
    <col min="4" max="4" width="6.625" bestFit="1" customWidth="1"/>
    <col min="5" max="5" width="7" bestFit="1" customWidth="1"/>
    <col min="6" max="6" width="8.5" bestFit="1" customWidth="1"/>
    <col min="7" max="7" width="9.5" customWidth="1"/>
    <col min="8" max="8" width="11.125" customWidth="1"/>
    <col min="9" max="9" width="6.625" bestFit="1" customWidth="1"/>
    <col min="10" max="10" width="10.625" customWidth="1"/>
    <col min="11" max="11" width="10.5" customWidth="1"/>
    <col min="12" max="12" width="10" hidden="1" customWidth="1"/>
    <col min="13" max="13" width="11" hidden="1" customWidth="1"/>
    <col min="14" max="14" width="6.625" hidden="1" customWidth="1"/>
    <col min="15" max="15" width="7.125" hidden="1" customWidth="1"/>
    <col min="16" max="16" width="8.5" hidden="1" customWidth="1"/>
    <col min="17" max="17" width="10.5" hidden="1" customWidth="1"/>
    <col min="18" max="18" width="10.125" hidden="1" customWidth="1"/>
    <col min="19" max="19" width="6.625" hidden="1" customWidth="1"/>
    <col min="20" max="20" width="7" hidden="1" customWidth="1"/>
    <col min="21" max="21" width="8.5" hidden="1" customWidth="1"/>
    <col min="23" max="23" width="2" bestFit="1" customWidth="1"/>
    <col min="24" max="24" width="4.5" bestFit="1" customWidth="1"/>
    <col min="25" max="25" width="62.625" bestFit="1" customWidth="1"/>
  </cols>
  <sheetData>
    <row r="1" spans="1:18" ht="18.75">
      <c r="A1" s="463" t="s">
        <v>108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18"/>
      <c r="M1" s="18"/>
      <c r="N1" s="18"/>
      <c r="O1" s="18"/>
      <c r="P1" s="18"/>
      <c r="Q1" s="18"/>
      <c r="R1" s="18"/>
    </row>
    <row r="18" spans="1:26" ht="16.5" thickBot="1">
      <c r="E18" s="488" t="s">
        <v>36</v>
      </c>
      <c r="F18" s="488"/>
      <c r="G18" s="488"/>
      <c r="H18" s="488"/>
      <c r="I18" s="488"/>
      <c r="J18" s="464" t="s">
        <v>33</v>
      </c>
      <c r="K18" s="464"/>
      <c r="N18" s="75"/>
      <c r="V18" s="225"/>
      <c r="W18" s="225"/>
      <c r="X18" s="225"/>
      <c r="Y18" s="225"/>
      <c r="Z18" s="225"/>
    </row>
    <row r="19" spans="1:26">
      <c r="F19" s="479" t="s">
        <v>31</v>
      </c>
      <c r="G19" s="480"/>
      <c r="H19" s="481"/>
      <c r="J19" s="483" t="s">
        <v>39</v>
      </c>
      <c r="K19" s="483" t="s">
        <v>79</v>
      </c>
      <c r="M19" s="75" t="s">
        <v>149</v>
      </c>
      <c r="N19" s="76"/>
      <c r="V19" s="225"/>
      <c r="W19" s="225"/>
      <c r="X19" s="228"/>
      <c r="Y19" s="227"/>
      <c r="Z19" s="225"/>
    </row>
    <row r="20" spans="1:26" ht="16.5" thickBot="1">
      <c r="A20" s="464" t="s">
        <v>32</v>
      </c>
      <c r="B20" s="464"/>
      <c r="C20" s="464"/>
      <c r="D20" s="464"/>
      <c r="F20" s="23" t="s">
        <v>26</v>
      </c>
      <c r="G20" s="19" t="s">
        <v>27</v>
      </c>
      <c r="H20" s="19" t="s">
        <v>28</v>
      </c>
      <c r="J20" s="484"/>
      <c r="K20" s="484"/>
      <c r="M20" s="84" t="s">
        <v>26</v>
      </c>
      <c r="N20" s="84" t="s">
        <v>27</v>
      </c>
      <c r="O20" s="84" t="s">
        <v>28</v>
      </c>
      <c r="V20" s="225"/>
      <c r="W20" s="226"/>
      <c r="X20" s="229"/>
      <c r="Y20" s="227"/>
      <c r="Z20" s="225"/>
    </row>
    <row r="21" spans="1:26" ht="16.5" thickBot="1">
      <c r="A21" s="479" t="s">
        <v>25</v>
      </c>
      <c r="B21" s="480"/>
      <c r="C21" s="480"/>
      <c r="D21" s="481"/>
      <c r="F21" s="24">
        <v>14.2</v>
      </c>
      <c r="G21" s="21">
        <v>8.5</v>
      </c>
      <c r="H21" s="21">
        <v>1.7</v>
      </c>
      <c r="J21" s="25">
        <f>(F21*A23+G21*B23+H21*C23)/1000</f>
        <v>39.606000000000002</v>
      </c>
      <c r="K21" s="25">
        <f>F21</f>
        <v>14.2</v>
      </c>
      <c r="M21" s="85">
        <f>F21*A23/1000</f>
        <v>22.436</v>
      </c>
      <c r="N21" s="85">
        <f>B23*G21/1000</f>
        <v>6.2050000000000001</v>
      </c>
      <c r="O21">
        <f>C23*H21/1000</f>
        <v>10.965</v>
      </c>
      <c r="P21" s="120">
        <f>SUM(M21:O21)</f>
        <v>39.605999999999995</v>
      </c>
      <c r="V21" s="225"/>
      <c r="W21" s="226"/>
      <c r="X21" s="229"/>
      <c r="Y21" s="227"/>
      <c r="Z21" s="225"/>
    </row>
    <row r="22" spans="1:26" ht="16.5" thickBot="1">
      <c r="A22" s="23" t="s">
        <v>26</v>
      </c>
      <c r="B22" s="19" t="s">
        <v>27</v>
      </c>
      <c r="C22" s="19" t="s">
        <v>28</v>
      </c>
      <c r="D22" s="19" t="s">
        <v>29</v>
      </c>
      <c r="M22" s="154">
        <f>M21/P21</f>
        <v>0.56647982628894622</v>
      </c>
      <c r="N22" s="154">
        <f>N21/P21</f>
        <v>0.1566681815886482</v>
      </c>
      <c r="O22" s="155">
        <f>O21/P21</f>
        <v>0.27685199212240574</v>
      </c>
      <c r="V22" s="225"/>
      <c r="W22" s="225"/>
      <c r="X22" s="225"/>
      <c r="Y22" s="225"/>
      <c r="Z22" s="225"/>
    </row>
    <row r="23" spans="1:26" ht="16.5" thickBot="1">
      <c r="A23" s="26">
        <v>1580</v>
      </c>
      <c r="B23" s="21">
        <v>730</v>
      </c>
      <c r="C23" s="20">
        <v>6450</v>
      </c>
      <c r="D23" s="20">
        <v>8760</v>
      </c>
      <c r="L23" s="118"/>
      <c r="M23" s="76"/>
      <c r="N23" s="489">
        <f>SUM(N22:O22)</f>
        <v>0.43352017371105395</v>
      </c>
      <c r="O23" s="489"/>
      <c r="V23" s="225"/>
      <c r="Z23" s="225"/>
    </row>
    <row r="24" spans="1:26" ht="16.5" hidden="1" thickBot="1">
      <c r="A24" s="217"/>
      <c r="B24" s="218"/>
      <c r="C24" s="217"/>
      <c r="D24" s="217"/>
      <c r="E24" s="478" t="s">
        <v>37</v>
      </c>
      <c r="F24" s="478"/>
      <c r="G24" s="478"/>
      <c r="H24" s="478"/>
      <c r="I24" s="478"/>
      <c r="J24" s="464" t="s">
        <v>35</v>
      </c>
      <c r="K24" s="464"/>
      <c r="L24" s="118"/>
      <c r="M24" s="76"/>
      <c r="N24" s="175"/>
      <c r="O24" s="175"/>
      <c r="V24" s="225"/>
      <c r="Z24" s="225"/>
    </row>
    <row r="25" spans="1:26" hidden="1">
      <c r="F25" s="479" t="s">
        <v>31</v>
      </c>
      <c r="G25" s="480"/>
      <c r="H25" s="481"/>
      <c r="J25" s="483" t="s">
        <v>39</v>
      </c>
      <c r="K25" s="483" t="s">
        <v>79</v>
      </c>
      <c r="L25" s="118"/>
      <c r="M25" s="76"/>
      <c r="N25" s="175"/>
      <c r="O25" s="175"/>
    </row>
    <row r="26" spans="1:26" ht="16.5" hidden="1" thickBot="1">
      <c r="F26" s="23" t="s">
        <v>26</v>
      </c>
      <c r="G26" s="177" t="s">
        <v>27</v>
      </c>
      <c r="H26" s="177" t="s">
        <v>28</v>
      </c>
      <c r="J26" s="484"/>
      <c r="K26" s="484"/>
      <c r="L26" s="118"/>
      <c r="M26" s="76"/>
      <c r="N26" s="175"/>
      <c r="O26" s="175"/>
    </row>
    <row r="27" spans="1:26" ht="16.5" hidden="1" thickBot="1">
      <c r="F27" s="24">
        <v>16</v>
      </c>
      <c r="G27" s="21">
        <v>8.3000000000000007</v>
      </c>
      <c r="H27" s="21">
        <v>1.4</v>
      </c>
      <c r="J27" s="25">
        <f>(F27*$A$23+G27*$B$23+H27*$C$23)/1000</f>
        <v>40.369</v>
      </c>
      <c r="K27" s="25">
        <f>F27</f>
        <v>16</v>
      </c>
      <c r="L27" s="118"/>
      <c r="M27" s="76"/>
      <c r="N27" s="175"/>
      <c r="O27" s="175"/>
    </row>
    <row r="28" spans="1:26">
      <c r="L28" s="118"/>
      <c r="M28" s="76"/>
      <c r="N28" s="175"/>
      <c r="O28" s="175"/>
    </row>
    <row r="29" spans="1:26" ht="16.5" thickBot="1">
      <c r="E29" s="488" t="s">
        <v>171</v>
      </c>
      <c r="F29" s="488"/>
      <c r="G29" s="488"/>
      <c r="H29" s="488"/>
      <c r="I29" s="488"/>
      <c r="J29" s="464" t="s">
        <v>172</v>
      </c>
      <c r="K29" s="464"/>
      <c r="L29" s="118"/>
      <c r="M29" s="76"/>
      <c r="N29" s="175"/>
      <c r="O29" s="175"/>
    </row>
    <row r="30" spans="1:26">
      <c r="F30" s="479" t="s">
        <v>31</v>
      </c>
      <c r="G30" s="480"/>
      <c r="H30" s="481"/>
      <c r="J30" s="483" t="s">
        <v>39</v>
      </c>
      <c r="K30" s="483" t="s">
        <v>79</v>
      </c>
      <c r="M30" s="77"/>
      <c r="N30" s="77"/>
    </row>
    <row r="31" spans="1:26" ht="16.5" thickBot="1">
      <c r="F31" s="23" t="s">
        <v>26</v>
      </c>
      <c r="G31" s="19" t="s">
        <v>27</v>
      </c>
      <c r="H31" s="19" t="s">
        <v>28</v>
      </c>
      <c r="J31" s="484"/>
      <c r="K31" s="484"/>
      <c r="M31" s="84" t="s">
        <v>26</v>
      </c>
      <c r="N31" s="84" t="s">
        <v>27</v>
      </c>
      <c r="O31" s="84" t="s">
        <v>28</v>
      </c>
    </row>
    <row r="32" spans="1:26" ht="16.5" thickBot="1">
      <c r="F32" s="119">
        <v>8</v>
      </c>
      <c r="G32" s="21">
        <v>9.1999999999999993</v>
      </c>
      <c r="H32" s="21">
        <v>1.5</v>
      </c>
      <c r="J32" s="25">
        <f>(F32*$A$23+G32*$B$23+H32*$C$23)/1000</f>
        <v>29.030999999999999</v>
      </c>
      <c r="K32" s="25">
        <f>F32</f>
        <v>8</v>
      </c>
      <c r="M32" s="85">
        <f>F32*A23/1000</f>
        <v>12.64</v>
      </c>
      <c r="N32" s="85">
        <f>G32*B23/1000</f>
        <v>6.7159999999999993</v>
      </c>
      <c r="O32">
        <f>H32*C23/1000</f>
        <v>9.6750000000000007</v>
      </c>
      <c r="P32" s="120">
        <f>SUM(M32:O32)</f>
        <v>29.031000000000002</v>
      </c>
    </row>
    <row r="33" spans="1:21">
      <c r="M33" s="154">
        <f>M32/P32</f>
        <v>0.43539664496572628</v>
      </c>
      <c r="N33" s="154">
        <f>N32/P32</f>
        <v>0.23133891357514377</v>
      </c>
      <c r="O33" s="155">
        <f>O32/P32</f>
        <v>0.33326444145912987</v>
      </c>
    </row>
    <row r="34" spans="1:21" ht="16.5" thickBot="1">
      <c r="E34" s="478" t="s">
        <v>40</v>
      </c>
      <c r="F34" s="478"/>
      <c r="G34" s="478"/>
      <c r="H34" s="478"/>
      <c r="I34" s="478"/>
      <c r="J34" s="464" t="s">
        <v>41</v>
      </c>
      <c r="K34" s="464"/>
      <c r="L34" s="118"/>
      <c r="M34" s="76"/>
      <c r="N34" s="489">
        <f>SUM(N33:O33)</f>
        <v>0.56460335503427361</v>
      </c>
      <c r="O34" s="489"/>
    </row>
    <row r="35" spans="1:21">
      <c r="F35" s="479" t="s">
        <v>31</v>
      </c>
      <c r="G35" s="480"/>
      <c r="H35" s="481"/>
      <c r="J35" s="483" t="s">
        <v>39</v>
      </c>
      <c r="K35" s="483" t="s">
        <v>79</v>
      </c>
    </row>
    <row r="36" spans="1:21" ht="16.5" thickBot="1">
      <c r="F36" s="23" t="s">
        <v>26</v>
      </c>
      <c r="G36" s="138" t="s">
        <v>27</v>
      </c>
      <c r="H36" s="138" t="s">
        <v>28</v>
      </c>
      <c r="J36" s="484"/>
      <c r="K36" s="484"/>
    </row>
    <row r="37" spans="1:21" ht="16.5" thickBot="1">
      <c r="F37" s="119">
        <v>9</v>
      </c>
      <c r="G37" s="21">
        <v>5.5</v>
      </c>
      <c r="H37" s="92">
        <v>1</v>
      </c>
      <c r="J37" s="25">
        <f>(F37*$A$23+G37*$B$23+H37*$C$23)/1000</f>
        <v>24.684999999999999</v>
      </c>
      <c r="K37" s="25">
        <f>F37</f>
        <v>9</v>
      </c>
    </row>
    <row r="39" spans="1:21" ht="16.5" hidden="1" thickBot="1">
      <c r="E39" s="478" t="s">
        <v>175</v>
      </c>
      <c r="F39" s="478"/>
      <c r="G39" s="478"/>
      <c r="H39" s="478"/>
      <c r="I39" s="478"/>
      <c r="J39" s="464" t="s">
        <v>176</v>
      </c>
      <c r="K39" s="464"/>
    </row>
    <row r="40" spans="1:21" hidden="1">
      <c r="F40" s="479" t="s">
        <v>31</v>
      </c>
      <c r="G40" s="480"/>
      <c r="H40" s="481"/>
      <c r="J40" s="483" t="s">
        <v>39</v>
      </c>
      <c r="K40" s="483" t="s">
        <v>79</v>
      </c>
    </row>
    <row r="41" spans="1:21" ht="16.5" hidden="1" thickBot="1">
      <c r="F41" s="23" t="s">
        <v>26</v>
      </c>
      <c r="G41" s="177" t="s">
        <v>27</v>
      </c>
      <c r="H41" s="177" t="s">
        <v>28</v>
      </c>
      <c r="J41" s="484"/>
      <c r="K41" s="484"/>
    </row>
    <row r="42" spans="1:21" ht="16.5" hidden="1" thickBot="1">
      <c r="F42" s="24">
        <v>9</v>
      </c>
      <c r="G42" s="21">
        <v>7.8</v>
      </c>
      <c r="H42" s="21">
        <v>1.8</v>
      </c>
      <c r="J42" s="25">
        <f>(F42*$A$23+G42*$B$23+H42*$C$23)/1000</f>
        <v>31.524000000000001</v>
      </c>
      <c r="K42" s="25">
        <f>F42</f>
        <v>9</v>
      </c>
    </row>
    <row r="43" spans="1:21" hidden="1"/>
    <row r="44" spans="1:21">
      <c r="A44" s="478" t="s">
        <v>145</v>
      </c>
      <c r="B44" s="478"/>
      <c r="C44" s="478"/>
      <c r="D44" s="478"/>
      <c r="E44" s="478"/>
      <c r="F44" s="478"/>
      <c r="G44" s="478"/>
      <c r="H44" s="478"/>
      <c r="I44" s="478"/>
      <c r="J44" s="478"/>
      <c r="K44" s="478"/>
      <c r="L44" s="478"/>
      <c r="M44" s="478"/>
      <c r="N44" s="478"/>
      <c r="O44" s="478"/>
      <c r="P44" s="478"/>
      <c r="Q44" s="478"/>
      <c r="R44" s="478"/>
      <c r="S44" s="478"/>
      <c r="T44" s="478"/>
      <c r="U44" s="478"/>
    </row>
    <row r="45" spans="1:21" ht="16.5" thickBot="1">
      <c r="A45" s="441" t="s">
        <v>65</v>
      </c>
      <c r="B45" s="475" t="s">
        <v>173</v>
      </c>
      <c r="C45" s="476"/>
      <c r="D45" s="476"/>
      <c r="E45" s="476"/>
      <c r="F45" s="477"/>
      <c r="G45" s="475" t="s">
        <v>146</v>
      </c>
      <c r="H45" s="476"/>
      <c r="I45" s="476"/>
      <c r="J45" s="476"/>
      <c r="K45" s="477"/>
      <c r="L45" s="475" t="s">
        <v>177</v>
      </c>
      <c r="M45" s="476"/>
      <c r="N45" s="476"/>
      <c r="O45" s="476"/>
      <c r="P45" s="477"/>
      <c r="Q45" s="486" t="s">
        <v>174</v>
      </c>
      <c r="R45" s="487"/>
      <c r="S45" s="487"/>
      <c r="T45" s="487"/>
      <c r="U45" s="487"/>
    </row>
    <row r="46" spans="1:21" ht="16.5" thickBot="1">
      <c r="A46" s="441"/>
      <c r="B46" s="470" t="s">
        <v>68</v>
      </c>
      <c r="C46" s="471"/>
      <c r="D46" s="472" t="s">
        <v>70</v>
      </c>
      <c r="E46" s="473"/>
      <c r="F46" s="474"/>
      <c r="G46" s="470" t="s">
        <v>68</v>
      </c>
      <c r="H46" s="471"/>
      <c r="I46" s="472" t="s">
        <v>70</v>
      </c>
      <c r="J46" s="473"/>
      <c r="K46" s="474"/>
      <c r="L46" s="470" t="s">
        <v>68</v>
      </c>
      <c r="M46" s="471"/>
      <c r="N46" s="472" t="s">
        <v>70</v>
      </c>
      <c r="O46" s="473"/>
      <c r="P46" s="474"/>
      <c r="Q46" s="470" t="s">
        <v>68</v>
      </c>
      <c r="R46" s="471"/>
      <c r="S46" s="485" t="s">
        <v>70</v>
      </c>
      <c r="T46" s="476"/>
      <c r="U46" s="476"/>
    </row>
    <row r="47" spans="1:21" ht="16.5" thickBot="1">
      <c r="A47" s="482"/>
      <c r="B47" s="219" t="s">
        <v>72</v>
      </c>
      <c r="C47" s="174" t="s">
        <v>178</v>
      </c>
      <c r="D47" s="173" t="s">
        <v>147</v>
      </c>
      <c r="E47" s="173" t="s">
        <v>178</v>
      </c>
      <c r="F47" s="224" t="s">
        <v>148</v>
      </c>
      <c r="G47" s="219" t="s">
        <v>72</v>
      </c>
      <c r="H47" s="174" t="s">
        <v>178</v>
      </c>
      <c r="I47" s="173" t="s">
        <v>147</v>
      </c>
      <c r="J47" s="174" t="s">
        <v>178</v>
      </c>
      <c r="K47" s="224" t="s">
        <v>148</v>
      </c>
      <c r="L47" s="219" t="s">
        <v>72</v>
      </c>
      <c r="M47" s="174" t="s">
        <v>178</v>
      </c>
      <c r="N47" s="173" t="s">
        <v>147</v>
      </c>
      <c r="O47" s="174" t="s">
        <v>178</v>
      </c>
      <c r="P47" s="224" t="s">
        <v>148</v>
      </c>
      <c r="Q47" s="219" t="s">
        <v>72</v>
      </c>
      <c r="R47" s="174" t="s">
        <v>178</v>
      </c>
      <c r="S47" s="173" t="s">
        <v>147</v>
      </c>
      <c r="T47" s="174" t="s">
        <v>178</v>
      </c>
      <c r="U47" s="173" t="s">
        <v>148</v>
      </c>
    </row>
    <row r="48" spans="1:21" ht="16.5" thickBot="1">
      <c r="A48" s="79" t="s">
        <v>66</v>
      </c>
      <c r="B48" s="220">
        <f>J21-J32</f>
        <v>10.575000000000003</v>
      </c>
      <c r="C48" s="172">
        <f>(K21-K32)*0.031/1000</f>
        <v>1.9219999999999998E-4</v>
      </c>
      <c r="D48" s="230">
        <f>B48*'Interactive Effects'!B10</f>
        <v>10.786500000000004</v>
      </c>
      <c r="E48" s="172">
        <f>C48*'Interactive Effects'!C10</f>
        <v>2.8829999999999996E-4</v>
      </c>
      <c r="F48" s="380">
        <f>B48*'Interactive Effects'!D10</f>
        <v>-0.24005250000000009</v>
      </c>
      <c r="G48" s="220">
        <f>J21-J37</f>
        <v>14.921000000000003</v>
      </c>
      <c r="H48" s="172">
        <f>(K21-K37)*0.031/1000</f>
        <v>1.6119999999999999E-4</v>
      </c>
      <c r="I48" s="230">
        <f>G48*'Interactive Effects'!$B$10</f>
        <v>15.219420000000003</v>
      </c>
      <c r="J48" s="149">
        <f>H48*'Interactive Effects'!$C$10</f>
        <v>2.4179999999999997E-4</v>
      </c>
      <c r="K48" s="380">
        <f>G48*'Interactive Effects'!$D$10</f>
        <v>-0.33870670000000008</v>
      </c>
      <c r="L48" s="220">
        <f>J21-J42</f>
        <v>8.0820000000000007</v>
      </c>
      <c r="M48" s="172">
        <f>(K21-K42)*0.031/1000</f>
        <v>1.6119999999999999E-4</v>
      </c>
      <c r="N48" s="222">
        <f>L48*'Interactive Effects'!$B$10</f>
        <v>8.243640000000001</v>
      </c>
      <c r="O48" s="149">
        <f>M48*'Interactive Effects'!$C$10</f>
        <v>2.4179999999999997E-4</v>
      </c>
      <c r="P48" s="81">
        <f>L48*'Interactive Effects'!$D$10</f>
        <v>-0.18346140000000002</v>
      </c>
      <c r="Q48" s="220">
        <f>J21-J27</f>
        <v>-0.76299999999999812</v>
      </c>
      <c r="R48" s="172">
        <f>(K21-K27)*0.031/1000</f>
        <v>-5.5800000000000021E-5</v>
      </c>
      <c r="S48" s="222">
        <f>Q48*'Interactive Effects'!B10</f>
        <v>-0.77825999999999806</v>
      </c>
      <c r="T48" s="149">
        <f>R48*'Interactive Effects'!C10</f>
        <v>-8.3700000000000029E-5</v>
      </c>
      <c r="U48" s="223">
        <f>Q48*'Interactive Effects'!D10</f>
        <v>1.732009999999996E-2</v>
      </c>
    </row>
    <row r="49" spans="1:21" ht="16.5" thickBot="1">
      <c r="A49" s="79" t="s">
        <v>62</v>
      </c>
      <c r="B49" s="221">
        <f t="shared" ref="B49:C51" si="0">B48</f>
        <v>10.575000000000003</v>
      </c>
      <c r="C49" s="171">
        <f t="shared" si="0"/>
        <v>1.9219999999999998E-4</v>
      </c>
      <c r="D49" s="82">
        <f>B49*'Interactive Effects'!B11</f>
        <v>11.315250000000004</v>
      </c>
      <c r="E49" s="171">
        <f>C49*'Interactive Effects'!C11</f>
        <v>2.94066E-4</v>
      </c>
      <c r="F49" s="381">
        <f>B49*'Interactive Effects'!D11</f>
        <v>-0.18717750000000005</v>
      </c>
      <c r="G49" s="220">
        <f t="shared" ref="G49:H51" si="1">G48</f>
        <v>14.921000000000003</v>
      </c>
      <c r="H49" s="171">
        <f t="shared" si="1"/>
        <v>1.6119999999999999E-4</v>
      </c>
      <c r="I49" s="82">
        <f>G49*'Interactive Effects'!$B$11</f>
        <v>15.965470000000003</v>
      </c>
      <c r="J49" s="171">
        <f>H49*'Interactive Effects'!$C$11</f>
        <v>2.46636E-4</v>
      </c>
      <c r="K49" s="381">
        <f>G49*'Interactive Effects'!$D$11</f>
        <v>-0.26410170000000005</v>
      </c>
      <c r="L49" s="220">
        <f t="shared" ref="L49:M51" si="2">L48</f>
        <v>8.0820000000000007</v>
      </c>
      <c r="M49" s="171">
        <f t="shared" si="2"/>
        <v>1.6119999999999999E-4</v>
      </c>
      <c r="N49" s="82">
        <f>L49*'Interactive Effects'!$B$11</f>
        <v>8.6477400000000006</v>
      </c>
      <c r="O49" s="171">
        <f>M49*'Interactive Effects'!$C$11</f>
        <v>2.46636E-4</v>
      </c>
      <c r="P49" s="83">
        <f>L49*'Interactive Effects'!$D$11</f>
        <v>-0.14305140000000002</v>
      </c>
      <c r="Q49" s="220">
        <f t="shared" ref="Q49:Q51" si="3">Q48</f>
        <v>-0.76299999999999812</v>
      </c>
      <c r="R49" s="171">
        <f t="shared" ref="R49:R51" si="4">R48</f>
        <v>-5.5800000000000021E-5</v>
      </c>
      <c r="S49" s="82">
        <f>Q49*'Interactive Effects'!B11</f>
        <v>-0.81640999999999808</v>
      </c>
      <c r="T49" s="171">
        <f>R49*'Interactive Effects'!C11</f>
        <v>-8.537400000000004E-5</v>
      </c>
      <c r="U49" s="82">
        <f>Q49*'Interactive Effects'!D11</f>
        <v>1.3505099999999968E-2</v>
      </c>
    </row>
    <row r="50" spans="1:21" ht="16.5" thickBot="1">
      <c r="A50" s="78" t="s">
        <v>63</v>
      </c>
      <c r="B50" s="220">
        <f t="shared" si="0"/>
        <v>10.575000000000003</v>
      </c>
      <c r="C50" s="172">
        <f t="shared" si="0"/>
        <v>1.9219999999999998E-4</v>
      </c>
      <c r="D50" s="80">
        <f>B50*'Interactive Effects'!B12</f>
        <v>11.315250000000004</v>
      </c>
      <c r="E50" s="172">
        <f>C50*'Interactive Effects'!C12</f>
        <v>2.94066E-4</v>
      </c>
      <c r="F50" s="380">
        <f>B50*'Interactive Effects'!D12</f>
        <v>-0.18717750000000005</v>
      </c>
      <c r="G50" s="220">
        <f t="shared" si="1"/>
        <v>14.921000000000003</v>
      </c>
      <c r="H50" s="172">
        <f t="shared" si="1"/>
        <v>1.6119999999999999E-4</v>
      </c>
      <c r="I50" s="80">
        <f>G50*'Interactive Effects'!$B$12</f>
        <v>15.965470000000003</v>
      </c>
      <c r="J50" s="149">
        <f>H50*'Interactive Effects'!$C$12</f>
        <v>2.46636E-4</v>
      </c>
      <c r="K50" s="380">
        <f>G50*'Interactive Effects'!$D$12</f>
        <v>-0.26410170000000005</v>
      </c>
      <c r="L50" s="220">
        <f t="shared" si="2"/>
        <v>8.0820000000000007</v>
      </c>
      <c r="M50" s="172">
        <f t="shared" si="2"/>
        <v>1.6119999999999999E-4</v>
      </c>
      <c r="N50" s="80">
        <f>L50*'Interactive Effects'!$B$12</f>
        <v>8.6477400000000006</v>
      </c>
      <c r="O50" s="149">
        <f>M50*'Interactive Effects'!$C$12</f>
        <v>2.46636E-4</v>
      </c>
      <c r="P50" s="81">
        <f>L50*'Interactive Effects'!$D$12</f>
        <v>-0.14305140000000002</v>
      </c>
      <c r="Q50" s="220">
        <f t="shared" si="3"/>
        <v>-0.76299999999999812</v>
      </c>
      <c r="R50" s="172">
        <f t="shared" si="4"/>
        <v>-5.5800000000000021E-5</v>
      </c>
      <c r="S50" s="80">
        <f>Q50*'Interactive Effects'!B12</f>
        <v>-0.81640999999999808</v>
      </c>
      <c r="T50" s="149">
        <f>R50*'Interactive Effects'!C12</f>
        <v>-8.537400000000004E-5</v>
      </c>
      <c r="U50" s="223">
        <f>Q50*'Interactive Effects'!D12</f>
        <v>1.3505099999999968E-2</v>
      </c>
    </row>
    <row r="51" spans="1:21" ht="16.5" thickBot="1">
      <c r="A51" s="79" t="s">
        <v>67</v>
      </c>
      <c r="B51" s="221">
        <f t="shared" si="0"/>
        <v>10.575000000000003</v>
      </c>
      <c r="C51" s="171">
        <f t="shared" si="0"/>
        <v>1.9219999999999998E-4</v>
      </c>
      <c r="D51" s="82">
        <f>B51*'Interactive Effects'!B13</f>
        <v>10.892250000000002</v>
      </c>
      <c r="E51" s="171">
        <f>C51*'Interactive Effects'!C13</f>
        <v>2.6523599999999997E-4</v>
      </c>
      <c r="F51" s="381">
        <f>B51*'Interactive Effects'!D13</f>
        <v>-0.17025750000000003</v>
      </c>
      <c r="G51" s="221">
        <f t="shared" si="1"/>
        <v>14.921000000000003</v>
      </c>
      <c r="H51" s="171">
        <f t="shared" si="1"/>
        <v>1.6119999999999999E-4</v>
      </c>
      <c r="I51" s="82">
        <f>G51*'Interactive Effects'!$B$13</f>
        <v>15.368630000000003</v>
      </c>
      <c r="J51" s="171">
        <f>H51*'Interactive Effects'!$C$13</f>
        <v>2.2245599999999997E-4</v>
      </c>
      <c r="K51" s="381">
        <f>G51*'Interactive Effects'!$D$13</f>
        <v>-0.24022810000000006</v>
      </c>
      <c r="L51" s="221">
        <f t="shared" si="2"/>
        <v>8.0820000000000007</v>
      </c>
      <c r="M51" s="171">
        <f t="shared" si="2"/>
        <v>1.6119999999999999E-4</v>
      </c>
      <c r="N51" s="82">
        <f>L51*'Interactive Effects'!$B$13</f>
        <v>8.3244600000000002</v>
      </c>
      <c r="O51" s="171">
        <f>M51*'Interactive Effects'!$C$13</f>
        <v>2.2245599999999997E-4</v>
      </c>
      <c r="P51" s="83">
        <f>L51*'Interactive Effects'!$D$13</f>
        <v>-0.13012020000000002</v>
      </c>
      <c r="Q51" s="221">
        <f t="shared" si="3"/>
        <v>-0.76299999999999812</v>
      </c>
      <c r="R51" s="171">
        <f t="shared" si="4"/>
        <v>-5.5800000000000021E-5</v>
      </c>
      <c r="S51" s="82">
        <f>Q51*'Interactive Effects'!B13</f>
        <v>-0.78588999999999809</v>
      </c>
      <c r="T51" s="171">
        <f>R51*'Interactive Effects'!C13</f>
        <v>-7.7004000000000024E-5</v>
      </c>
      <c r="U51" s="82">
        <f>Q51*'Interactive Effects'!D13</f>
        <v>1.228429999999997E-2</v>
      </c>
    </row>
  </sheetData>
  <mergeCells count="44">
    <mergeCell ref="N23:O23"/>
    <mergeCell ref="N34:O34"/>
    <mergeCell ref="J18:K18"/>
    <mergeCell ref="J29:K29"/>
    <mergeCell ref="J34:K34"/>
    <mergeCell ref="J30:J31"/>
    <mergeCell ref="J25:J26"/>
    <mergeCell ref="K25:K26"/>
    <mergeCell ref="J24:K24"/>
    <mergeCell ref="A1:K1"/>
    <mergeCell ref="A20:D20"/>
    <mergeCell ref="F30:H30"/>
    <mergeCell ref="A21:D21"/>
    <mergeCell ref="F19:H19"/>
    <mergeCell ref="J19:J20"/>
    <mergeCell ref="K19:K20"/>
    <mergeCell ref="E18:I18"/>
    <mergeCell ref="E29:I29"/>
    <mergeCell ref="K30:K31"/>
    <mergeCell ref="F25:H25"/>
    <mergeCell ref="E24:I24"/>
    <mergeCell ref="E39:I39"/>
    <mergeCell ref="J39:K39"/>
    <mergeCell ref="F40:H40"/>
    <mergeCell ref="A45:A47"/>
    <mergeCell ref="E34:I34"/>
    <mergeCell ref="B45:F45"/>
    <mergeCell ref="B46:C46"/>
    <mergeCell ref="D46:F46"/>
    <mergeCell ref="J35:J36"/>
    <mergeCell ref="F35:H35"/>
    <mergeCell ref="K35:K36"/>
    <mergeCell ref="J40:J41"/>
    <mergeCell ref="K40:K41"/>
    <mergeCell ref="A44:U44"/>
    <mergeCell ref="S46:U46"/>
    <mergeCell ref="Q45:U45"/>
    <mergeCell ref="Q46:R46"/>
    <mergeCell ref="G46:H46"/>
    <mergeCell ref="I46:K46"/>
    <mergeCell ref="G45:K45"/>
    <mergeCell ref="L45:P45"/>
    <mergeCell ref="L46:M46"/>
    <mergeCell ref="N46:P46"/>
  </mergeCells>
  <pageMargins left="0.75" right="0.75" top="1" bottom="1" header="0.5" footer="0.5"/>
  <pageSetup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A10" workbookViewId="0">
      <selection activeCell="M33" sqref="M33"/>
    </sheetView>
  </sheetViews>
  <sheetFormatPr defaultColWidth="11" defaultRowHeight="15.75"/>
  <cols>
    <col min="9" max="9" width="9.625" customWidth="1"/>
    <col min="10" max="10" width="15.5" customWidth="1"/>
    <col min="11" max="11" width="13" customWidth="1"/>
    <col min="12" max="12" width="8.5" customWidth="1"/>
    <col min="13" max="13" width="16.125" bestFit="1" customWidth="1"/>
    <col min="15" max="17" width="0" hidden="1" customWidth="1"/>
  </cols>
  <sheetData>
    <row r="1" spans="1:13" ht="18.75">
      <c r="A1" s="463" t="s">
        <v>75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19" spans="1:17">
      <c r="M19" s="75"/>
      <c r="N19" s="75"/>
    </row>
    <row r="20" spans="1:17" ht="16.5" thickBot="1">
      <c r="G20" s="464" t="s">
        <v>36</v>
      </c>
      <c r="H20" s="464"/>
      <c r="I20" s="464"/>
      <c r="J20" s="464"/>
      <c r="K20" s="464"/>
      <c r="M20" s="39" t="s">
        <v>33</v>
      </c>
      <c r="N20" s="75"/>
      <c r="O20" s="75" t="s">
        <v>149</v>
      </c>
      <c r="P20" s="76"/>
    </row>
    <row r="21" spans="1:17" ht="42.75" thickBot="1">
      <c r="G21" s="117" t="s">
        <v>89</v>
      </c>
      <c r="H21" s="22" t="s">
        <v>90</v>
      </c>
      <c r="I21" s="22" t="s">
        <v>76</v>
      </c>
      <c r="J21" s="22" t="s">
        <v>78</v>
      </c>
      <c r="K21" s="22" t="s">
        <v>77</v>
      </c>
      <c r="M21" s="38" t="s">
        <v>39</v>
      </c>
      <c r="N21" s="90"/>
      <c r="O21" s="84" t="s">
        <v>26</v>
      </c>
      <c r="P21" s="84" t="s">
        <v>27</v>
      </c>
      <c r="Q21" s="84"/>
    </row>
    <row r="22" spans="1:17" ht="16.5" thickBot="1">
      <c r="C22" s="118"/>
      <c r="D22" s="118"/>
      <c r="E22" s="118"/>
      <c r="F22" s="118"/>
      <c r="G22" s="24" t="s">
        <v>91</v>
      </c>
      <c r="H22" s="24">
        <v>70.3</v>
      </c>
      <c r="I22" s="21">
        <v>2.2000000000000002</v>
      </c>
      <c r="J22" s="92">
        <f>H22/I22</f>
        <v>31.95454545454545</v>
      </c>
      <c r="K22" s="21">
        <v>0.7</v>
      </c>
      <c r="M22" s="25">
        <f>(J22*$A$26+K22*$B$26)/1000*E32</f>
        <v>82.346200799999977</v>
      </c>
      <c r="N22" s="90"/>
      <c r="O22" s="85">
        <f>J22*A26/1000</f>
        <v>116.34649999999999</v>
      </c>
      <c r="P22" s="85">
        <f>K22*B26/1000</f>
        <v>2.6508999999999996</v>
      </c>
      <c r="Q22" s="120">
        <f>SUM(O22:P22)</f>
        <v>118.99739999999998</v>
      </c>
    </row>
    <row r="23" spans="1:17" ht="16.5" thickBot="1">
      <c r="C23" s="118"/>
      <c r="D23" s="118"/>
      <c r="E23" s="118"/>
      <c r="F23" s="118"/>
      <c r="G23" s="24" t="s">
        <v>92</v>
      </c>
      <c r="H23" s="24">
        <v>132.19999999999999</v>
      </c>
      <c r="I23" s="21">
        <v>2.2000000000000002</v>
      </c>
      <c r="J23" s="92">
        <f>H23/I23</f>
        <v>60.090909090909079</v>
      </c>
      <c r="K23" s="21">
        <v>0.7</v>
      </c>
      <c r="M23" s="25">
        <f>(J23*$A$26+K23*$B$26)/1000*E32</f>
        <v>153.23779479999996</v>
      </c>
      <c r="N23" s="90"/>
      <c r="O23" s="154">
        <f>O22/Q22</f>
        <v>0.97772304268832766</v>
      </c>
      <c r="P23" s="154">
        <f>P22/Q22</f>
        <v>2.2276957311672355E-2</v>
      </c>
      <c r="Q23" s="155"/>
    </row>
    <row r="24" spans="1:17" ht="16.5" thickBot="1">
      <c r="A24" s="488" t="s">
        <v>32</v>
      </c>
      <c r="B24" s="488"/>
      <c r="C24" s="488"/>
      <c r="D24" s="488"/>
      <c r="E24" s="488"/>
      <c r="F24" s="118"/>
      <c r="G24" s="24" t="s">
        <v>93</v>
      </c>
      <c r="H24" s="24">
        <v>240.5</v>
      </c>
      <c r="I24" s="21">
        <v>2.2000000000000002</v>
      </c>
      <c r="J24" s="92">
        <f>H24/I24</f>
        <v>109.31818181818181</v>
      </c>
      <c r="K24" s="21">
        <v>0.7</v>
      </c>
      <c r="M24" s="25">
        <f>(J24*$A$26+K24*$B$26)/1000*E32</f>
        <v>277.26945280000001</v>
      </c>
      <c r="N24" s="90"/>
      <c r="O24" s="85">
        <f>J23*A26/1000</f>
        <v>218.79099999999997</v>
      </c>
      <c r="P24" s="85">
        <f>K23*B26/1000</f>
        <v>2.6508999999999996</v>
      </c>
      <c r="Q24" s="120">
        <f>SUM(O24:P24)</f>
        <v>221.44189999999998</v>
      </c>
    </row>
    <row r="25" spans="1:17" ht="16.5" thickBot="1">
      <c r="A25" s="23" t="s">
        <v>26</v>
      </c>
      <c r="B25" s="19" t="s">
        <v>27</v>
      </c>
      <c r="C25" s="19" t="s">
        <v>28</v>
      </c>
      <c r="D25" s="89" t="s">
        <v>30</v>
      </c>
      <c r="E25" s="19" t="s">
        <v>29</v>
      </c>
      <c r="N25" s="75"/>
      <c r="O25" s="154">
        <f>O24/Q24</f>
        <v>0.98802891413052363</v>
      </c>
      <c r="P25" s="154">
        <f>P24/Q24</f>
        <v>1.1971085869476372E-2</v>
      </c>
    </row>
    <row r="26" spans="1:17" ht="16.5" thickBot="1">
      <c r="A26" s="26">
        <v>3641</v>
      </c>
      <c r="B26" s="26">
        <v>3787</v>
      </c>
      <c r="C26" s="26">
        <v>0</v>
      </c>
      <c r="D26" s="26">
        <v>1332</v>
      </c>
      <c r="E26" s="26">
        <f>SUM(A26:D26)</f>
        <v>8760</v>
      </c>
      <c r="G26" s="464" t="s">
        <v>310</v>
      </c>
      <c r="H26" s="464"/>
      <c r="I26" s="464"/>
      <c r="J26" s="464"/>
      <c r="K26" s="464"/>
      <c r="M26" s="39" t="s">
        <v>163</v>
      </c>
      <c r="N26" s="75"/>
      <c r="O26">
        <f>J24*A26/1000</f>
        <v>398.02749999999997</v>
      </c>
      <c r="P26">
        <f>K24*B26/1000</f>
        <v>2.6508999999999996</v>
      </c>
      <c r="Q26">
        <f>SUM(O26:P26)</f>
        <v>400.67839999999995</v>
      </c>
    </row>
    <row r="27" spans="1:17" ht="42.75" thickBot="1">
      <c r="G27" s="117" t="s">
        <v>89</v>
      </c>
      <c r="H27" s="22" t="s">
        <v>90</v>
      </c>
      <c r="I27" s="22" t="s">
        <v>76</v>
      </c>
      <c r="J27" s="22" t="s">
        <v>78</v>
      </c>
      <c r="K27" s="22" t="s">
        <v>77</v>
      </c>
      <c r="M27" s="38" t="s">
        <v>39</v>
      </c>
      <c r="O27" s="155">
        <f>O26/Q26</f>
        <v>0.99338397078554774</v>
      </c>
      <c r="P27" s="155">
        <f>P26/Q26</f>
        <v>6.6160292144522882E-3</v>
      </c>
    </row>
    <row r="28" spans="1:17" ht="16.5" thickBot="1">
      <c r="A28" s="488" t="s">
        <v>289</v>
      </c>
      <c r="B28" s="488"/>
      <c r="C28" s="488"/>
      <c r="D28" s="488"/>
      <c r="E28" s="488"/>
      <c r="G28" s="24" t="s">
        <v>91</v>
      </c>
      <c r="H28" s="24">
        <v>70.3</v>
      </c>
      <c r="I28" s="21">
        <v>2.6</v>
      </c>
      <c r="J28" s="91">
        <f>H28/I28</f>
        <v>27.038461538461537</v>
      </c>
      <c r="K28" s="21">
        <v>0.6</v>
      </c>
      <c r="M28" s="25">
        <f>(J28*$A$26+K28*$B$26)/1000*E32</f>
        <v>69.697713015384608</v>
      </c>
      <c r="O28">
        <f>J28*A26/1000</f>
        <v>98.447038461538455</v>
      </c>
      <c r="P28">
        <f>K28*B26/1000</f>
        <v>2.2721999999999998</v>
      </c>
      <c r="Q28">
        <f>SUM(O28:P28)</f>
        <v>100.71923846153845</v>
      </c>
    </row>
    <row r="29" spans="1:17" ht="16.5" thickBot="1">
      <c r="A29" s="490"/>
      <c r="B29" s="490"/>
      <c r="C29" s="387" t="s">
        <v>290</v>
      </c>
      <c r="D29" s="387" t="s">
        <v>291</v>
      </c>
      <c r="E29" s="387" t="s">
        <v>292</v>
      </c>
      <c r="G29" s="24" t="s">
        <v>92</v>
      </c>
      <c r="H29" s="24">
        <v>132.19999999999999</v>
      </c>
      <c r="I29" s="21">
        <v>2.6</v>
      </c>
      <c r="J29" s="91">
        <f>H29/I29</f>
        <v>50.84615384615384</v>
      </c>
      <c r="K29" s="21">
        <v>0.6</v>
      </c>
      <c r="M29" s="25">
        <f>(J29*$A$26+K29*$B$26)/1000*E32</f>
        <v>129.68290793846151</v>
      </c>
      <c r="O29" s="155">
        <f>O28/Q28</f>
        <v>0.97744025833885073</v>
      </c>
      <c r="P29" s="155">
        <f>P28/Q28</f>
        <v>2.25597416611493E-2</v>
      </c>
    </row>
    <row r="30" spans="1:17" ht="16.5" thickBot="1">
      <c r="A30" s="503" t="s">
        <v>293</v>
      </c>
      <c r="B30" s="503"/>
      <c r="C30" s="388">
        <v>0.3</v>
      </c>
      <c r="D30" s="388">
        <v>0.5</v>
      </c>
      <c r="E30" s="388">
        <v>0.2</v>
      </c>
      <c r="G30" s="24" t="s">
        <v>93</v>
      </c>
      <c r="H30" s="24">
        <v>240.5</v>
      </c>
      <c r="I30" s="21">
        <v>2.6</v>
      </c>
      <c r="J30" s="91">
        <f>H30/I30</f>
        <v>92.5</v>
      </c>
      <c r="K30" s="21">
        <v>0.6</v>
      </c>
      <c r="M30" s="25">
        <f>(J30*$A$26+K30*$B$26)/1000*E32</f>
        <v>234.63277239999999</v>
      </c>
      <c r="O30">
        <f>J29*A26/1000</f>
        <v>185.13084615384614</v>
      </c>
      <c r="P30">
        <f>K29*B26/1000</f>
        <v>2.2721999999999998</v>
      </c>
      <c r="Q30">
        <f>SUM(O30:P30)</f>
        <v>187.40304615384613</v>
      </c>
    </row>
    <row r="31" spans="1:17" ht="16.5" thickBot="1">
      <c r="A31" s="504" t="s">
        <v>294</v>
      </c>
      <c r="B31" s="504"/>
      <c r="C31" s="389">
        <v>0.59</v>
      </c>
      <c r="D31" s="389">
        <v>0.63</v>
      </c>
      <c r="E31" s="389">
        <v>1</v>
      </c>
    </row>
    <row r="32" spans="1:17" ht="16.5" thickBot="1">
      <c r="D32" s="390" t="s">
        <v>295</v>
      </c>
      <c r="E32" s="390">
        <f>SUMPRODUCT(C30:E30,C31:E31)</f>
        <v>0.69199999999999995</v>
      </c>
      <c r="G32" s="464" t="s">
        <v>311</v>
      </c>
      <c r="H32" s="464"/>
      <c r="I32" s="464"/>
      <c r="J32" s="464"/>
      <c r="K32" s="464"/>
      <c r="M32" s="152" t="s">
        <v>41</v>
      </c>
    </row>
    <row r="33" spans="1:17" ht="43.5" thickTop="1" thickBot="1">
      <c r="G33" s="117" t="s">
        <v>89</v>
      </c>
      <c r="H33" s="22" t="s">
        <v>90</v>
      </c>
      <c r="I33" s="22" t="s">
        <v>76</v>
      </c>
      <c r="J33" s="22" t="s">
        <v>78</v>
      </c>
      <c r="K33" s="22" t="s">
        <v>77</v>
      </c>
      <c r="M33" s="153" t="s">
        <v>39</v>
      </c>
    </row>
    <row r="34" spans="1:17" ht="16.5" thickBot="1">
      <c r="G34" s="24" t="s">
        <v>91</v>
      </c>
      <c r="H34" s="24">
        <v>70.3</v>
      </c>
      <c r="I34" s="21">
        <v>3</v>
      </c>
      <c r="J34" s="92">
        <f>H34/I34</f>
        <v>23.433333333333334</v>
      </c>
      <c r="K34" s="21">
        <v>0.6</v>
      </c>
      <c r="M34" s="25">
        <f>(J34*$A$26+K34*$B$26)/1000*E32</f>
        <v>60.614332933333323</v>
      </c>
    </row>
    <row r="35" spans="1:17" ht="16.5" thickBot="1">
      <c r="G35" s="24" t="s">
        <v>92</v>
      </c>
      <c r="H35" s="24">
        <v>132.19999999999999</v>
      </c>
      <c r="I35" s="21">
        <v>3</v>
      </c>
      <c r="J35" s="92">
        <f>H35/I35</f>
        <v>44.066666666666663</v>
      </c>
      <c r="K35" s="21">
        <v>0.6</v>
      </c>
      <c r="M35" s="25">
        <f>(J35*$A$26+K35*$B$26)/1000*E32</f>
        <v>112.60150186666665</v>
      </c>
    </row>
    <row r="36" spans="1:17" ht="16.5" thickBot="1">
      <c r="G36" s="24" t="s">
        <v>93</v>
      </c>
      <c r="H36" s="24">
        <v>240.5</v>
      </c>
      <c r="I36" s="21">
        <v>3</v>
      </c>
      <c r="J36" s="92">
        <f>H36/I36</f>
        <v>80.166666666666671</v>
      </c>
      <c r="K36" s="21">
        <v>0.6</v>
      </c>
      <c r="M36" s="25">
        <f>(J36*$A$26+K36*$B$26)/1000*E32</f>
        <v>203.55805106666671</v>
      </c>
    </row>
    <row r="38" spans="1:17" ht="16.5" thickBot="1">
      <c r="A38" s="478" t="s">
        <v>71</v>
      </c>
      <c r="B38" s="478"/>
      <c r="C38" s="478"/>
      <c r="D38" s="478"/>
      <c r="E38" s="478"/>
      <c r="F38" s="478"/>
      <c r="G38" s="478"/>
      <c r="H38" s="478"/>
      <c r="I38" s="478"/>
      <c r="J38" s="478"/>
      <c r="K38" s="478"/>
      <c r="L38" s="478"/>
      <c r="O38" s="155">
        <f>O30/Q30</f>
        <v>0.98787533048884024</v>
      </c>
      <c r="P38" s="155">
        <f>P30/Q30</f>
        <v>1.2124669511159741E-2</v>
      </c>
    </row>
    <row r="39" spans="1:17" ht="16.5" thickBot="1">
      <c r="A39" s="497" t="s">
        <v>65</v>
      </c>
      <c r="B39" s="500" t="s">
        <v>89</v>
      </c>
      <c r="C39" s="494" t="s">
        <v>312</v>
      </c>
      <c r="D39" s="495"/>
      <c r="E39" s="495"/>
      <c r="F39" s="495"/>
      <c r="G39" s="496"/>
      <c r="H39" s="494" t="s">
        <v>313</v>
      </c>
      <c r="I39" s="495"/>
      <c r="J39" s="495"/>
      <c r="K39" s="495"/>
      <c r="L39" s="496"/>
      <c r="O39" s="155"/>
      <c r="P39" s="155"/>
    </row>
    <row r="40" spans="1:17" ht="15.95" customHeight="1" thickBot="1">
      <c r="A40" s="498"/>
      <c r="B40" s="501"/>
      <c r="C40" s="491" t="s">
        <v>68</v>
      </c>
      <c r="D40" s="492"/>
      <c r="E40" s="491" t="s">
        <v>70</v>
      </c>
      <c r="F40" s="493"/>
      <c r="G40" s="492"/>
      <c r="H40" s="491" t="s">
        <v>68</v>
      </c>
      <c r="I40" s="492"/>
      <c r="J40" s="491" t="s">
        <v>70</v>
      </c>
      <c r="K40" s="493"/>
      <c r="L40" s="492"/>
      <c r="O40">
        <f>J30*A26/1000</f>
        <v>336.79250000000002</v>
      </c>
      <c r="P40">
        <f>K30*B26/1000</f>
        <v>2.2721999999999998</v>
      </c>
      <c r="Q40">
        <f>SUM(O40:P40)</f>
        <v>339.06470000000002</v>
      </c>
    </row>
    <row r="41" spans="1:17" ht="16.5" thickBot="1">
      <c r="A41" s="499"/>
      <c r="B41" s="502"/>
      <c r="C41" s="312" t="s">
        <v>72</v>
      </c>
      <c r="D41" s="313" t="s">
        <v>73</v>
      </c>
      <c r="E41" s="312" t="s">
        <v>34</v>
      </c>
      <c r="F41" s="159" t="s">
        <v>73</v>
      </c>
      <c r="G41" s="313" t="s">
        <v>38</v>
      </c>
      <c r="H41" s="312" t="s">
        <v>72</v>
      </c>
      <c r="I41" s="313" t="s">
        <v>73</v>
      </c>
      <c r="J41" s="312" t="s">
        <v>34</v>
      </c>
      <c r="K41" s="159" t="s">
        <v>73</v>
      </c>
      <c r="L41" s="313" t="s">
        <v>38</v>
      </c>
      <c r="O41" s="155">
        <f>O40/Q40</f>
        <v>0.99329862412689973</v>
      </c>
      <c r="P41" s="155">
        <f>P40/Q40</f>
        <v>6.7013758731003245E-3</v>
      </c>
    </row>
    <row r="42" spans="1:17" ht="16.5" thickBot="1">
      <c r="A42" s="505" t="s">
        <v>66</v>
      </c>
      <c r="B42" s="319" t="s">
        <v>91</v>
      </c>
      <c r="C42" s="314">
        <f>M22-M28</f>
        <v>12.648487784615369</v>
      </c>
      <c r="D42" s="371">
        <f>(J22-J28)/1000*0.33</f>
        <v>1.6223076923076916E-3</v>
      </c>
      <c r="E42" s="314">
        <f>C42*'Interactive Effects'!$B$10</f>
        <v>12.901457540307677</v>
      </c>
      <c r="F42" s="374">
        <f>D42*'Interactive Effects'!$C$10</f>
        <v>2.4334615384615371E-3</v>
      </c>
      <c r="G42" s="377">
        <f>C42*'Interactive Effects'!$D$10</f>
        <v>-0.28712067271076891</v>
      </c>
      <c r="H42" s="314">
        <f>M22-M34</f>
        <v>21.731867866666654</v>
      </c>
      <c r="I42" s="371">
        <f>(J22-J34)/1000*0.33</f>
        <v>2.8119999999999985E-3</v>
      </c>
      <c r="J42" s="314">
        <f>H42*'Interactive Effects'!$B$10</f>
        <v>22.166505223999987</v>
      </c>
      <c r="K42" s="374">
        <f>I42*'Interactive Effects'!$C$10</f>
        <v>4.2179999999999978E-3</v>
      </c>
      <c r="L42" s="377">
        <f>H42*'Interactive Effects'!$D$10</f>
        <v>-0.49331340057333306</v>
      </c>
    </row>
    <row r="43" spans="1:17" ht="16.5" thickBot="1">
      <c r="A43" s="506"/>
      <c r="B43" s="320" t="s">
        <v>92</v>
      </c>
      <c r="C43" s="315">
        <f>M23-M29</f>
        <v>23.554886861538449</v>
      </c>
      <c r="D43" s="372">
        <f>(J23-J29)/1000*0.33</f>
        <v>3.0507692307692289E-3</v>
      </c>
      <c r="E43" s="317">
        <f>C43*'Interactive Effects'!$B$10</f>
        <v>24.02598459876922</v>
      </c>
      <c r="F43" s="375">
        <f>D43*'Interactive Effects'!$C$10</f>
        <v>4.5761538461538435E-3</v>
      </c>
      <c r="G43" s="378">
        <f>C43*'Interactive Effects'!$D$10</f>
        <v>-0.53469593175692287</v>
      </c>
      <c r="H43" s="315">
        <f>M23-M35</f>
        <v>40.636292933333308</v>
      </c>
      <c r="I43" s="372">
        <f>(J23-J35)/1000*0.33</f>
        <v>5.2879999999999976E-3</v>
      </c>
      <c r="J43" s="317">
        <f>H43*'Interactive Effects'!$B$10</f>
        <v>41.449018791999976</v>
      </c>
      <c r="K43" s="375">
        <f>I43*'Interactive Effects'!$C$10</f>
        <v>7.9319999999999963E-3</v>
      </c>
      <c r="L43" s="378">
        <f>H43*'Interactive Effects'!$D$10</f>
        <v>-0.92244384958666614</v>
      </c>
    </row>
    <row r="44" spans="1:17" ht="16.5" thickBot="1">
      <c r="A44" s="507"/>
      <c r="B44" s="321" t="s">
        <v>93</v>
      </c>
      <c r="C44" s="316">
        <f>M24-M30</f>
        <v>42.636680400000017</v>
      </c>
      <c r="D44" s="373">
        <f>(J24-J30)/1000*0.33</f>
        <v>5.5499999999999985E-3</v>
      </c>
      <c r="E44" s="318">
        <f>C44*'Interactive Effects'!$B$10</f>
        <v>43.489414008000018</v>
      </c>
      <c r="F44" s="376">
        <f>D44*'Interactive Effects'!$C$10</f>
        <v>8.3249999999999973E-3</v>
      </c>
      <c r="G44" s="379">
        <f>C44*'Interactive Effects'!$D$10</f>
        <v>-0.96785264508000046</v>
      </c>
      <c r="H44" s="316">
        <f>M24-M36</f>
        <v>73.711401733333304</v>
      </c>
      <c r="I44" s="373">
        <f>(J24-J36)/1000*0.33</f>
        <v>9.6199999999999966E-3</v>
      </c>
      <c r="J44" s="318">
        <f>H44*'Interactive Effects'!$B$10</f>
        <v>75.18562976799997</v>
      </c>
      <c r="K44" s="376">
        <f>I44*'Interactive Effects'!$C$10</f>
        <v>1.4429999999999995E-2</v>
      </c>
      <c r="L44" s="379">
        <f>H44*'Interactive Effects'!$D$10</f>
        <v>-1.6732488193466661</v>
      </c>
    </row>
    <row r="45" spans="1:17" ht="16.5" thickBot="1">
      <c r="A45" s="505" t="s">
        <v>62</v>
      </c>
      <c r="B45" s="319" t="s">
        <v>91</v>
      </c>
      <c r="C45" s="314">
        <f t="shared" ref="C45:D50" si="0">C42</f>
        <v>12.648487784615369</v>
      </c>
      <c r="D45" s="371">
        <f t="shared" si="0"/>
        <v>1.6223076923076916E-3</v>
      </c>
      <c r="E45" s="314">
        <f>C45*'Interactive Effects'!$B$11</f>
        <v>13.533881929538445</v>
      </c>
      <c r="F45" s="374">
        <f>D45*'Interactive Effects'!$C$11</f>
        <v>2.482130769230768E-3</v>
      </c>
      <c r="G45" s="377">
        <f>C45*'Interactive Effects'!$D$11</f>
        <v>-0.22387823378769203</v>
      </c>
      <c r="H45" s="314">
        <f t="shared" ref="H45:I53" si="1">H42</f>
        <v>21.731867866666654</v>
      </c>
      <c r="I45" s="371">
        <f t="shared" si="1"/>
        <v>2.8119999999999985E-3</v>
      </c>
      <c r="J45" s="314">
        <f>H45*'Interactive Effects'!$B$11</f>
        <v>23.253098617333322</v>
      </c>
      <c r="K45" s="374">
        <f>I45*'Interactive Effects'!$C$11</f>
        <v>4.3023599999999981E-3</v>
      </c>
      <c r="L45" s="377">
        <f>H45*'Interactive Effects'!$D$11</f>
        <v>-0.38465406123999979</v>
      </c>
    </row>
    <row r="46" spans="1:17" ht="16.5" thickBot="1">
      <c r="A46" s="506"/>
      <c r="B46" s="320" t="s">
        <v>92</v>
      </c>
      <c r="C46" s="317">
        <f t="shared" si="0"/>
        <v>23.554886861538449</v>
      </c>
      <c r="D46" s="372">
        <f t="shared" si="0"/>
        <v>3.0507692307692289E-3</v>
      </c>
      <c r="E46" s="317">
        <f>C46*'Interactive Effects'!$B$11</f>
        <v>25.203728941846141</v>
      </c>
      <c r="F46" s="375">
        <f>D46*'Interactive Effects'!$C$11</f>
        <v>4.6676769230769204E-3</v>
      </c>
      <c r="G46" s="378">
        <f>C46*'Interactive Effects'!$D$11</f>
        <v>-0.41692149744923057</v>
      </c>
      <c r="H46" s="317">
        <f t="shared" si="1"/>
        <v>40.636292933333308</v>
      </c>
      <c r="I46" s="372">
        <f t="shared" si="1"/>
        <v>5.2879999999999976E-3</v>
      </c>
      <c r="J46" s="317">
        <f>H46*'Interactive Effects'!$B$11</f>
        <v>43.480833438666643</v>
      </c>
      <c r="K46" s="375">
        <f>I46*'Interactive Effects'!$C$11</f>
        <v>8.0906399999999962E-3</v>
      </c>
      <c r="L46" s="378">
        <f>H46*'Interactive Effects'!$D$11</f>
        <v>-0.71926238491999961</v>
      </c>
    </row>
    <row r="47" spans="1:17" ht="16.5" thickBot="1">
      <c r="A47" s="507"/>
      <c r="B47" s="321" t="s">
        <v>93</v>
      </c>
      <c r="C47" s="318">
        <f t="shared" si="0"/>
        <v>42.636680400000017</v>
      </c>
      <c r="D47" s="373">
        <f t="shared" si="0"/>
        <v>5.5499999999999985E-3</v>
      </c>
      <c r="E47" s="318">
        <f>C47*'Interactive Effects'!$B$11</f>
        <v>45.621248028000018</v>
      </c>
      <c r="F47" s="376">
        <f>D47*'Interactive Effects'!$C$11</f>
        <v>8.4914999999999973E-3</v>
      </c>
      <c r="G47" s="379">
        <f>C47*'Interactive Effects'!$D$11</f>
        <v>-0.75466924308000027</v>
      </c>
      <c r="H47" s="318">
        <f t="shared" si="1"/>
        <v>73.711401733333304</v>
      </c>
      <c r="I47" s="373">
        <f t="shared" si="1"/>
        <v>9.6199999999999966E-3</v>
      </c>
      <c r="J47" s="318">
        <f>H47*'Interactive Effects'!$B$11</f>
        <v>78.871199854666642</v>
      </c>
      <c r="K47" s="376">
        <f>I47*'Interactive Effects'!$C$11</f>
        <v>1.4718599999999995E-2</v>
      </c>
      <c r="L47" s="379">
        <f>H47*'Interactive Effects'!$D$11</f>
        <v>-1.3046918106799996</v>
      </c>
    </row>
    <row r="48" spans="1:17" ht="16.5" thickBot="1">
      <c r="A48" s="505" t="s">
        <v>63</v>
      </c>
      <c r="B48" s="319" t="s">
        <v>91</v>
      </c>
      <c r="C48" s="314">
        <f t="shared" si="0"/>
        <v>12.648487784615369</v>
      </c>
      <c r="D48" s="371">
        <f t="shared" si="0"/>
        <v>1.6223076923076916E-3</v>
      </c>
      <c r="E48" s="314">
        <f>C48*'Interactive Effects'!$B$12</f>
        <v>13.533881929538445</v>
      </c>
      <c r="F48" s="374">
        <f>D48*'Interactive Effects'!$C$12</f>
        <v>2.482130769230768E-3</v>
      </c>
      <c r="G48" s="377">
        <f>C48*'Interactive Effects'!$D$12</f>
        <v>-0.22387823378769203</v>
      </c>
      <c r="H48" s="314">
        <f t="shared" si="1"/>
        <v>21.731867866666654</v>
      </c>
      <c r="I48" s="371">
        <f t="shared" si="1"/>
        <v>2.8119999999999985E-3</v>
      </c>
      <c r="J48" s="314">
        <f>H48*'Interactive Effects'!$B$12</f>
        <v>23.253098617333322</v>
      </c>
      <c r="K48" s="374">
        <f>I48*'Interactive Effects'!$C$12</f>
        <v>4.3023599999999981E-3</v>
      </c>
      <c r="L48" s="377">
        <f>H48*'Interactive Effects'!$D$12</f>
        <v>-0.38465406123999979</v>
      </c>
    </row>
    <row r="49" spans="1:12" ht="16.5" thickBot="1">
      <c r="A49" s="506"/>
      <c r="B49" s="320" t="s">
        <v>92</v>
      </c>
      <c r="C49" s="317">
        <f t="shared" si="0"/>
        <v>23.554886861538449</v>
      </c>
      <c r="D49" s="372">
        <f t="shared" si="0"/>
        <v>3.0507692307692289E-3</v>
      </c>
      <c r="E49" s="317">
        <f>C49*'Interactive Effects'!$B$12</f>
        <v>25.203728941846141</v>
      </c>
      <c r="F49" s="375">
        <f>D49*'Interactive Effects'!$C$12</f>
        <v>4.6676769230769204E-3</v>
      </c>
      <c r="G49" s="378">
        <f>C49*'Interactive Effects'!$D$12</f>
        <v>-0.41692149744923057</v>
      </c>
      <c r="H49" s="317">
        <f t="shared" si="1"/>
        <v>40.636292933333308</v>
      </c>
      <c r="I49" s="372">
        <f t="shared" si="1"/>
        <v>5.2879999999999976E-3</v>
      </c>
      <c r="J49" s="317">
        <f>H49*'Interactive Effects'!$B$12</f>
        <v>43.480833438666643</v>
      </c>
      <c r="K49" s="375">
        <f>I49*'Interactive Effects'!$C$12</f>
        <v>8.0906399999999962E-3</v>
      </c>
      <c r="L49" s="378">
        <f>H49*'Interactive Effects'!$D$12</f>
        <v>-0.71926238491999961</v>
      </c>
    </row>
    <row r="50" spans="1:12" ht="16.5" thickBot="1">
      <c r="A50" s="507"/>
      <c r="B50" s="321" t="s">
        <v>93</v>
      </c>
      <c r="C50" s="318">
        <f t="shared" si="0"/>
        <v>42.636680400000017</v>
      </c>
      <c r="D50" s="373">
        <f t="shared" si="0"/>
        <v>5.5499999999999985E-3</v>
      </c>
      <c r="E50" s="318">
        <f>C50*'Interactive Effects'!$B$12</f>
        <v>45.621248028000018</v>
      </c>
      <c r="F50" s="376">
        <f>D50*'Interactive Effects'!$C$12</f>
        <v>8.4914999999999973E-3</v>
      </c>
      <c r="G50" s="379">
        <f>C50*'Interactive Effects'!$D$12</f>
        <v>-0.75466924308000027</v>
      </c>
      <c r="H50" s="318">
        <f t="shared" si="1"/>
        <v>73.711401733333304</v>
      </c>
      <c r="I50" s="373">
        <f t="shared" si="1"/>
        <v>9.6199999999999966E-3</v>
      </c>
      <c r="J50" s="318">
        <f>H50*'Interactive Effects'!$B$12</f>
        <v>78.871199854666642</v>
      </c>
      <c r="K50" s="376">
        <f>I50*'Interactive Effects'!$C$12</f>
        <v>1.4718599999999995E-2</v>
      </c>
      <c r="L50" s="379">
        <f>H50*'Interactive Effects'!$D$12</f>
        <v>-1.3046918106799996</v>
      </c>
    </row>
    <row r="51" spans="1:12" ht="16.5" thickBot="1">
      <c r="A51" s="505" t="s">
        <v>67</v>
      </c>
      <c r="B51" s="319" t="s">
        <v>91</v>
      </c>
      <c r="C51" s="314">
        <f t="shared" ref="C51:D53" si="2">C48</f>
        <v>12.648487784615369</v>
      </c>
      <c r="D51" s="371">
        <f t="shared" si="2"/>
        <v>1.6223076923076916E-3</v>
      </c>
      <c r="E51" s="314">
        <f>C51*'Interactive Effects'!$B$13</f>
        <v>13.027942418153831</v>
      </c>
      <c r="F51" s="374">
        <f>D51*'Interactive Effects'!$C$13</f>
        <v>2.2387846153846141E-3</v>
      </c>
      <c r="G51" s="377">
        <f>C51*'Interactive Effects'!$D$13</f>
        <v>-0.20364065333230744</v>
      </c>
      <c r="H51" s="314">
        <f t="shared" si="1"/>
        <v>21.731867866666654</v>
      </c>
      <c r="I51" s="371">
        <f t="shared" si="1"/>
        <v>2.8119999999999985E-3</v>
      </c>
      <c r="J51" s="314">
        <f>H51*'Interactive Effects'!$B$13</f>
        <v>22.383823902666656</v>
      </c>
      <c r="K51" s="374">
        <f>I51*'Interactive Effects'!$C$13</f>
        <v>3.8805599999999977E-3</v>
      </c>
      <c r="L51" s="377">
        <f>H51*'Interactive Effects'!$D$13</f>
        <v>-0.34988307265333313</v>
      </c>
    </row>
    <row r="52" spans="1:12" ht="16.5" thickBot="1">
      <c r="A52" s="506"/>
      <c r="B52" s="320" t="s">
        <v>92</v>
      </c>
      <c r="C52" s="317">
        <f t="shared" si="2"/>
        <v>23.554886861538449</v>
      </c>
      <c r="D52" s="372">
        <f t="shared" si="2"/>
        <v>3.0507692307692289E-3</v>
      </c>
      <c r="E52" s="317">
        <f>C52*'Interactive Effects'!$B$13</f>
        <v>24.261533467384602</v>
      </c>
      <c r="F52" s="375">
        <f>D52*'Interactive Effects'!$C$13</f>
        <v>4.2100615384615351E-3</v>
      </c>
      <c r="G52" s="378">
        <f>C52*'Interactive Effects'!$D$13</f>
        <v>-0.37923367847076905</v>
      </c>
      <c r="H52" s="317">
        <f t="shared" si="1"/>
        <v>40.636292933333308</v>
      </c>
      <c r="I52" s="372">
        <f t="shared" si="1"/>
        <v>5.2879999999999976E-3</v>
      </c>
      <c r="J52" s="317">
        <f>H52*'Interactive Effects'!$B$13</f>
        <v>41.855381721333309</v>
      </c>
      <c r="K52" s="375">
        <f>I52*'Interactive Effects'!$C$13</f>
        <v>7.2974399999999962E-3</v>
      </c>
      <c r="L52" s="378">
        <f>H52*'Interactive Effects'!$D$13</f>
        <v>-0.65424431622666623</v>
      </c>
    </row>
    <row r="53" spans="1:12" ht="16.5" thickBot="1">
      <c r="A53" s="507"/>
      <c r="B53" s="321" t="s">
        <v>93</v>
      </c>
      <c r="C53" s="318">
        <f t="shared" si="2"/>
        <v>42.636680400000017</v>
      </c>
      <c r="D53" s="373">
        <f t="shared" si="2"/>
        <v>5.5499999999999985E-3</v>
      </c>
      <c r="E53" s="318">
        <f>C53*'Interactive Effects'!$B$13</f>
        <v>43.915780812000015</v>
      </c>
      <c r="F53" s="376">
        <f>D53*'Interactive Effects'!$C$13</f>
        <v>7.6589999999999974E-3</v>
      </c>
      <c r="G53" s="379">
        <f>C53*'Interactive Effects'!$D$13</f>
        <v>-0.68645055444000025</v>
      </c>
      <c r="H53" s="318">
        <f t="shared" si="1"/>
        <v>73.711401733333304</v>
      </c>
      <c r="I53" s="373">
        <f t="shared" si="1"/>
        <v>9.6199999999999966E-3</v>
      </c>
      <c r="J53" s="318">
        <f>H53*'Interactive Effects'!$B$13</f>
        <v>75.92274378533331</v>
      </c>
      <c r="K53" s="376">
        <f>I53*'Interactive Effects'!$C$13</f>
        <v>1.3275599999999995E-2</v>
      </c>
      <c r="L53" s="379">
        <f>H53*'Interactive Effects'!$D$13</f>
        <v>-1.1867535679066661</v>
      </c>
    </row>
  </sheetData>
  <mergeCells count="22">
    <mergeCell ref="H40:I40"/>
    <mergeCell ref="J40:L40"/>
    <mergeCell ref="A48:A50"/>
    <mergeCell ref="A51:A53"/>
    <mergeCell ref="A42:A44"/>
    <mergeCell ref="A45:A47"/>
    <mergeCell ref="A29:B29"/>
    <mergeCell ref="A1:M1"/>
    <mergeCell ref="G26:K26"/>
    <mergeCell ref="G20:K20"/>
    <mergeCell ref="C40:D40"/>
    <mergeCell ref="E40:G40"/>
    <mergeCell ref="A24:E24"/>
    <mergeCell ref="G32:K32"/>
    <mergeCell ref="C39:G39"/>
    <mergeCell ref="A38:L38"/>
    <mergeCell ref="A39:A41"/>
    <mergeCell ref="B39:B41"/>
    <mergeCell ref="H39:L39"/>
    <mergeCell ref="A28:E28"/>
    <mergeCell ref="A30:B30"/>
    <mergeCell ref="A31:B31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9"/>
  <sheetViews>
    <sheetView workbookViewId="0">
      <selection activeCell="M21" sqref="M21"/>
    </sheetView>
  </sheetViews>
  <sheetFormatPr defaultColWidth="11" defaultRowHeight="15.75"/>
  <cols>
    <col min="1" max="1" width="16.125" customWidth="1"/>
    <col min="2" max="2" width="29.125" bestFit="1" customWidth="1"/>
    <col min="3" max="3" width="12.375" customWidth="1"/>
    <col min="4" max="4" width="14.625" customWidth="1"/>
    <col min="5" max="5" width="12.125" customWidth="1"/>
    <col min="6" max="8" width="10.875" customWidth="1"/>
    <col min="9" max="9" width="13" hidden="1" customWidth="1"/>
    <col min="10" max="10" width="11.5" hidden="1" customWidth="1"/>
    <col min="11" max="11" width="15.625" hidden="1" customWidth="1"/>
    <col min="12" max="13" width="13.125" customWidth="1"/>
    <col min="14" max="14" width="3" customWidth="1"/>
    <col min="15" max="15" width="6.875" bestFit="1" customWidth="1"/>
    <col min="16" max="16" width="10.625" bestFit="1" customWidth="1"/>
    <col min="17" max="17" width="6" bestFit="1" customWidth="1"/>
    <col min="18" max="18" width="4.625" customWidth="1"/>
    <col min="19" max="19" width="13.625" hidden="1" customWidth="1"/>
    <col min="20" max="20" width="17.625" hidden="1" customWidth="1"/>
    <col min="21" max="21" width="14" hidden="1" customWidth="1"/>
    <col min="22" max="22" width="4.875" hidden="1" customWidth="1"/>
    <col min="23" max="23" width="0" hidden="1" customWidth="1"/>
    <col min="24" max="24" width="14.625" hidden="1" customWidth="1"/>
    <col min="25" max="25" width="10.375" hidden="1" customWidth="1"/>
    <col min="26" max="26" width="13.125" hidden="1" customWidth="1"/>
    <col min="27" max="27" width="10.375" hidden="1" customWidth="1"/>
    <col min="28" max="32" width="0" hidden="1" customWidth="1"/>
    <col min="33" max="33" width="14.125" hidden="1" customWidth="1"/>
    <col min="34" max="35" width="0" hidden="1" customWidth="1"/>
  </cols>
  <sheetData>
    <row r="1" spans="1:35" ht="18.75">
      <c r="A1" s="463" t="s">
        <v>80</v>
      </c>
      <c r="B1" s="463"/>
      <c r="C1" s="463"/>
      <c r="D1" s="463"/>
      <c r="E1" s="463"/>
      <c r="F1" s="463"/>
      <c r="G1" s="463"/>
      <c r="H1" s="463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35">
      <c r="L2" s="75"/>
      <c r="M2" s="233"/>
      <c r="N2" s="75"/>
      <c r="O2" s="75"/>
      <c r="P2" s="75"/>
      <c r="S2" s="478" t="s">
        <v>200</v>
      </c>
      <c r="T2" s="478"/>
      <c r="U2" s="478"/>
      <c r="W2" s="478" t="s">
        <v>201</v>
      </c>
      <c r="X2" s="478"/>
      <c r="Y2" s="478"/>
      <c r="Z2" s="478"/>
      <c r="AA2" s="478"/>
      <c r="AC2" s="478" t="s">
        <v>201</v>
      </c>
      <c r="AD2" s="478"/>
      <c r="AE2" s="478"/>
      <c r="AF2" s="478"/>
      <c r="AG2" s="478"/>
      <c r="AH2" s="478"/>
    </row>
    <row r="3" spans="1:35" ht="50.1" customHeight="1" thickBot="1">
      <c r="L3" s="75"/>
      <c r="M3" s="75"/>
      <c r="N3" s="75"/>
      <c r="O3" s="75"/>
      <c r="P3" s="75"/>
      <c r="S3" s="235" t="s">
        <v>65</v>
      </c>
      <c r="T3" s="236" t="s">
        <v>194</v>
      </c>
      <c r="U3" s="236" t="s">
        <v>195</v>
      </c>
      <c r="W3" s="235" t="s">
        <v>65</v>
      </c>
      <c r="X3" s="236" t="s">
        <v>194</v>
      </c>
      <c r="Y3" s="236" t="s">
        <v>202</v>
      </c>
      <c r="Z3" s="236" t="s">
        <v>195</v>
      </c>
      <c r="AA3" s="236" t="s">
        <v>202</v>
      </c>
      <c r="AC3" s="235" t="s">
        <v>65</v>
      </c>
      <c r="AD3" s="236" t="s">
        <v>194</v>
      </c>
      <c r="AE3" s="236" t="s">
        <v>203</v>
      </c>
      <c r="AF3" s="236" t="s">
        <v>202</v>
      </c>
      <c r="AG3" s="236" t="s">
        <v>195</v>
      </c>
      <c r="AH3" s="236" t="s">
        <v>203</v>
      </c>
      <c r="AI3" s="236" t="s">
        <v>202</v>
      </c>
    </row>
    <row r="4" spans="1:35" ht="16.5" thickBot="1">
      <c r="L4" s="75"/>
      <c r="M4" s="75"/>
      <c r="N4" s="75"/>
      <c r="O4" s="75"/>
      <c r="P4" s="75"/>
      <c r="S4" s="248" t="s">
        <v>61</v>
      </c>
      <c r="T4" s="244">
        <f>$H20*C20+$H21*C21+$H22*C22+$H23*C23+$H24*C24+$H25*C30+$H26*C31+$H27*C32+$H28*C35</f>
        <v>32.83108</v>
      </c>
      <c r="U4" s="249">
        <f>$H20*D20+$H21*D21+$H22*D22+$H23*D23+$H24*D24+$H25*D30+$H26*D31+$H27*D32+$H28*D35</f>
        <v>3.532362E-2</v>
      </c>
      <c r="W4" s="257" t="s">
        <v>61</v>
      </c>
      <c r="X4" s="258">
        <f>AVERAGE(E59:E59)</f>
        <v>32.83108</v>
      </c>
      <c r="Y4" s="259">
        <f>(X4-T4)/T4</f>
        <v>0</v>
      </c>
      <c r="Z4" s="260">
        <f>AVERAGE(F59:F59)</f>
        <v>3.532362E-2</v>
      </c>
      <c r="AA4" s="259">
        <f>(Z4-U4)/U4</f>
        <v>0</v>
      </c>
      <c r="AC4" s="257" t="s">
        <v>61</v>
      </c>
      <c r="AD4" s="258">
        <f>AVERAGE(E67:E67)</f>
        <v>62.406185123966985</v>
      </c>
      <c r="AE4" s="259">
        <f>(AD4-X4)/X4</f>
        <v>0.90082644628099307</v>
      </c>
      <c r="AF4" s="259">
        <f>(AD4-Z4)/Z4</f>
        <v>1765.6984619347334</v>
      </c>
      <c r="AG4" s="260">
        <f>AVERAGE(F67:F67)</f>
        <v>6.714407107438021E-2</v>
      </c>
      <c r="AH4" s="259">
        <f>(AG4-Z4)/Z4</f>
        <v>0.90082644628099295</v>
      </c>
      <c r="AI4" s="259" t="e">
        <f>(AG4-AA4)/AA4</f>
        <v>#DIV/0!</v>
      </c>
    </row>
    <row r="5" spans="1:35" ht="16.5" thickBot="1">
      <c r="L5" s="75"/>
      <c r="M5" s="75"/>
      <c r="N5" s="75"/>
      <c r="O5" s="75"/>
      <c r="P5" s="75"/>
      <c r="S5" s="250" t="s">
        <v>62</v>
      </c>
      <c r="T5" s="242">
        <f>$H29*C24+$H30*C25+$H31*C27+$H32*C28+$H33*C29+$H34*C32+$H35*C33+$H36*C34+$H37*C35</f>
        <v>44.637600000000006</v>
      </c>
      <c r="U5" s="251">
        <f>$H29*D24+$H30*D25+$H31*D27+$H32*D28+$H33*D29+$H34*D32+$H35*D33+$H36*D34+$H37*D35</f>
        <v>4.7411900000000007E-2</v>
      </c>
      <c r="W5" s="261" t="s">
        <v>62</v>
      </c>
      <c r="X5" s="262">
        <f>AVERAGE(E60:E60)</f>
        <v>44.637600000000006</v>
      </c>
      <c r="Y5" s="263">
        <f t="shared" ref="Y5:Y7" si="0">(X5-T5)/T5</f>
        <v>0</v>
      </c>
      <c r="Z5" s="264">
        <f>AVERAGE(F60:F60)</f>
        <v>4.7411900000000007E-2</v>
      </c>
      <c r="AA5" s="263">
        <f t="shared" ref="AA5:AA7" si="1">(Z5-U5)/U5</f>
        <v>0</v>
      </c>
      <c r="AC5" s="261" t="s">
        <v>62</v>
      </c>
      <c r="AD5" s="262">
        <f>AVERAGE(E68:E68)</f>
        <v>84.84833057851246</v>
      </c>
      <c r="AE5" s="263">
        <f t="shared" ref="AE5:AE7" si="2">(AD5-X5)/X5</f>
        <v>0.90082644628099284</v>
      </c>
      <c r="AF5" s="263">
        <f t="shared" ref="AF5:AF7" si="3">(AD5-Z5)/Z5</f>
        <v>1788.599880589313</v>
      </c>
      <c r="AG5" s="264">
        <f>AVERAGE(F68:F68)</f>
        <v>9.0121793388429822E-2</v>
      </c>
      <c r="AH5" s="263">
        <f t="shared" ref="AH5:AH7" si="4">(AG5-Z5)/Z5</f>
        <v>0.90082644628099295</v>
      </c>
      <c r="AI5" s="263" t="e">
        <f>(AG5-AA5)/AA5</f>
        <v>#DIV/0!</v>
      </c>
    </row>
    <row r="6" spans="1:35" ht="16.5" thickBot="1">
      <c r="L6" s="75"/>
      <c r="M6" s="75"/>
      <c r="N6" s="75"/>
      <c r="O6" s="75"/>
      <c r="P6" s="75"/>
      <c r="S6" s="250" t="s">
        <v>63</v>
      </c>
      <c r="T6" s="242">
        <f>$H38*C23+$H39*C24+$H40*C25+$H41*C26+$H42*C27+$H43*C28+$H44*C29+$H45*C32+$H46*C33+$H47*C34+$H48*C35</f>
        <v>40.580600000000004</v>
      </c>
      <c r="U6" s="251">
        <f>$H38*D23+$H39*D24+$H40*D25+$H41*D26+$H42*D27+$H43*D28+$H44*D29+$H45*D32+$H46*D33+$H47*D34+$H48*D35</f>
        <v>4.2006700000000001E-2</v>
      </c>
      <c r="W6" s="261" t="s">
        <v>63</v>
      </c>
      <c r="X6" s="262">
        <f>AVERAGE(E61:E61)</f>
        <v>40.580600000000004</v>
      </c>
      <c r="Y6" s="263">
        <f t="shared" si="0"/>
        <v>0</v>
      </c>
      <c r="Z6" s="264">
        <f>AVERAGE(F61:F61)</f>
        <v>4.2006700000000001E-2</v>
      </c>
      <c r="AA6" s="263">
        <f t="shared" si="1"/>
        <v>0</v>
      </c>
      <c r="AC6" s="261" t="s">
        <v>63</v>
      </c>
      <c r="AD6" s="262">
        <f>AVERAGE(E69:E69)</f>
        <v>77.136677685950474</v>
      </c>
      <c r="AE6" s="263">
        <f t="shared" si="2"/>
        <v>0.90082644628099307</v>
      </c>
      <c r="AF6" s="263">
        <f t="shared" si="3"/>
        <v>1835.2946312362187</v>
      </c>
      <c r="AG6" s="264">
        <f>AVERAGE(F69:F69)</f>
        <v>7.9847446280991788E-2</v>
      </c>
      <c r="AH6" s="263">
        <f t="shared" si="4"/>
        <v>0.90082644628099295</v>
      </c>
      <c r="AI6" s="263" t="e">
        <f>(AG6-AA6)/AA6</f>
        <v>#DIV/0!</v>
      </c>
    </row>
    <row r="7" spans="1:35" ht="16.5" thickBot="1">
      <c r="L7" s="75"/>
      <c r="M7" s="75"/>
      <c r="N7" s="75"/>
      <c r="O7" s="75"/>
      <c r="P7" s="75"/>
      <c r="S7" s="252" t="s">
        <v>64</v>
      </c>
      <c r="T7" s="247">
        <f>$H49*C25+$H50*C26+$H51*C27+$H52*C29+$H53*C33+$H54*C34</f>
        <v>31.207200000000004</v>
      </c>
      <c r="U7" s="253">
        <f>$H49*D25+$H50*D26+$H51*D27+$H52*D29+$H53*D33+$H54*D34</f>
        <v>2.8912E-2</v>
      </c>
      <c r="W7" s="265" t="s">
        <v>64</v>
      </c>
      <c r="X7" s="266">
        <f>AVERAGE(E62:E62)</f>
        <v>31.207200000000004</v>
      </c>
      <c r="Y7" s="267">
        <f t="shared" si="0"/>
        <v>0</v>
      </c>
      <c r="Z7" s="268">
        <f>AVERAGE(F62:F62)</f>
        <v>2.8912E-2</v>
      </c>
      <c r="AA7" s="267">
        <f t="shared" si="1"/>
        <v>0</v>
      </c>
      <c r="AC7" s="265" t="s">
        <v>64</v>
      </c>
      <c r="AD7" s="266">
        <f>AVERAGE(E70:E70)</f>
        <v>59.31947107438021</v>
      </c>
      <c r="AE7" s="267">
        <f t="shared" si="2"/>
        <v>0.90082644628099295</v>
      </c>
      <c r="AF7" s="267">
        <f t="shared" si="3"/>
        <v>2050.7249264796696</v>
      </c>
      <c r="AG7" s="268">
        <f>AVERAGE(F70:F70)</f>
        <v>5.4956694214876069E-2</v>
      </c>
      <c r="AH7" s="267">
        <f t="shared" si="4"/>
        <v>0.90082644628099295</v>
      </c>
      <c r="AI7" s="267" t="e">
        <f>(AG7-AA7)/AA7</f>
        <v>#DIV/0!</v>
      </c>
    </row>
    <row r="8" spans="1:35">
      <c r="L8" s="75"/>
      <c r="M8" s="75"/>
      <c r="N8" s="75"/>
      <c r="O8" s="75"/>
      <c r="P8" s="75"/>
    </row>
    <row r="9" spans="1:35">
      <c r="K9" s="101"/>
      <c r="L9" s="75"/>
      <c r="M9" s="75"/>
      <c r="N9" s="75"/>
      <c r="O9" s="75"/>
      <c r="P9" s="75"/>
    </row>
    <row r="10" spans="1:35">
      <c r="F10" s="93"/>
      <c r="G10" s="93"/>
      <c r="H10" s="75"/>
      <c r="I10" s="75"/>
      <c r="J10" s="75"/>
      <c r="K10" s="75"/>
      <c r="L10" s="75"/>
      <c r="M10" s="75"/>
      <c r="N10" s="75"/>
      <c r="O10" s="75"/>
      <c r="P10" s="75"/>
    </row>
    <row r="11" spans="1:35">
      <c r="F11" s="93"/>
      <c r="G11" s="93"/>
      <c r="H11" s="75"/>
      <c r="I11" s="90"/>
      <c r="J11" s="90"/>
      <c r="K11" s="278"/>
      <c r="L11" s="277"/>
      <c r="M11" s="278"/>
      <c r="N11" s="75"/>
      <c r="O11" s="75"/>
      <c r="P11" s="75"/>
    </row>
    <row r="12" spans="1:35">
      <c r="A12" s="478" t="s">
        <v>208</v>
      </c>
      <c r="B12" s="478"/>
      <c r="C12" s="478"/>
      <c r="F12" s="93"/>
      <c r="G12" s="93"/>
      <c r="H12" s="75"/>
      <c r="I12" s="90"/>
      <c r="J12" s="90"/>
      <c r="K12" s="278"/>
      <c r="L12" s="277"/>
      <c r="M12" s="278"/>
      <c r="N12" s="75"/>
      <c r="O12" s="75"/>
      <c r="P12" s="75"/>
    </row>
    <row r="13" spans="1:35" ht="19.5">
      <c r="A13" s="345" t="s">
        <v>204</v>
      </c>
      <c r="B13" s="345">
        <v>12</v>
      </c>
      <c r="C13" s="345"/>
      <c r="F13" s="93"/>
      <c r="G13" s="93"/>
      <c r="H13" s="75"/>
      <c r="I13" s="90"/>
      <c r="J13" s="90"/>
      <c r="K13" s="278"/>
      <c r="L13" s="277"/>
      <c r="M13" s="278"/>
      <c r="N13" s="75"/>
      <c r="O13" s="75"/>
      <c r="P13" s="75"/>
    </row>
    <row r="14" spans="1:35" ht="19.5">
      <c r="A14" s="345" t="s">
        <v>205</v>
      </c>
      <c r="B14" s="345">
        <v>10.9</v>
      </c>
      <c r="C14" s="345"/>
      <c r="F14" s="93"/>
      <c r="G14" s="93"/>
      <c r="H14" s="75"/>
      <c r="I14" s="90"/>
      <c r="J14" s="90"/>
      <c r="K14" s="278"/>
      <c r="M14" s="278"/>
      <c r="N14" s="75"/>
      <c r="O14" s="75"/>
      <c r="P14" s="75"/>
    </row>
    <row r="15" spans="1:35">
      <c r="A15" s="345" t="s">
        <v>206</v>
      </c>
      <c r="B15" s="269">
        <v>10000</v>
      </c>
      <c r="C15" s="345" t="s">
        <v>207</v>
      </c>
      <c r="F15" s="93"/>
      <c r="G15" s="93"/>
      <c r="H15" s="75"/>
      <c r="I15" s="75"/>
      <c r="J15" s="75"/>
      <c r="K15" s="75"/>
      <c r="L15" s="75"/>
      <c r="M15" s="75"/>
      <c r="N15" s="75"/>
      <c r="O15" s="75"/>
      <c r="P15" s="75"/>
    </row>
    <row r="16" spans="1:35">
      <c r="A16" t="s">
        <v>228</v>
      </c>
      <c r="B16" s="269" t="s">
        <v>229</v>
      </c>
      <c r="F16" s="93"/>
      <c r="G16" s="93"/>
      <c r="H16" s="75"/>
      <c r="I16" s="75"/>
      <c r="J16" s="75"/>
      <c r="K16" s="75"/>
      <c r="L16" s="75"/>
      <c r="M16" s="75"/>
      <c r="N16" s="75"/>
      <c r="O16" s="75"/>
      <c r="P16" s="75"/>
      <c r="R16" s="234"/>
    </row>
    <row r="17" spans="1:36">
      <c r="F17" s="93"/>
      <c r="G17" s="93"/>
      <c r="H17" s="75"/>
      <c r="I17" s="90"/>
      <c r="J17" s="90"/>
      <c r="K17" s="278"/>
      <c r="L17" s="277"/>
      <c r="M17" s="278"/>
      <c r="N17" s="75"/>
      <c r="O17" s="90"/>
      <c r="P17" s="90"/>
      <c r="Q17" s="279"/>
      <c r="R17" s="280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</row>
    <row r="18" spans="1:36">
      <c r="A18" s="478" t="s">
        <v>198</v>
      </c>
      <c r="B18" s="478"/>
      <c r="C18" s="478"/>
      <c r="D18" s="478"/>
      <c r="F18" s="488" t="s">
        <v>210</v>
      </c>
      <c r="G18" s="488"/>
      <c r="H18" s="488"/>
      <c r="I18" s="90"/>
      <c r="J18" s="90"/>
      <c r="K18" s="278"/>
      <c r="L18" s="277"/>
      <c r="M18" s="278"/>
      <c r="N18" s="75"/>
      <c r="O18" s="90"/>
      <c r="P18" s="90"/>
      <c r="Q18" s="279"/>
      <c r="R18" s="280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</row>
    <row r="19" spans="1:36" ht="42.75" thickBot="1">
      <c r="A19" s="235" t="s">
        <v>192</v>
      </c>
      <c r="B19" s="235" t="s">
        <v>193</v>
      </c>
      <c r="C19" s="236" t="s">
        <v>194</v>
      </c>
      <c r="D19" s="270" t="s">
        <v>214</v>
      </c>
      <c r="F19" s="235" t="s">
        <v>65</v>
      </c>
      <c r="G19" s="235" t="s">
        <v>192</v>
      </c>
      <c r="H19" s="236" t="s">
        <v>199</v>
      </c>
      <c r="I19" s="275"/>
      <c r="J19" s="276"/>
      <c r="K19" s="281"/>
      <c r="L19" s="277"/>
      <c r="M19" s="278"/>
      <c r="N19" s="75"/>
      <c r="O19" s="90"/>
      <c r="P19" s="90"/>
      <c r="Q19" s="279"/>
      <c r="R19" s="280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</row>
    <row r="20" spans="1:36" ht="16.5" thickBot="1">
      <c r="A20" s="243">
        <v>1</v>
      </c>
      <c r="B20" s="237" t="s">
        <v>197</v>
      </c>
      <c r="C20" s="244">
        <v>0</v>
      </c>
      <c r="D20" s="368">
        <v>0</v>
      </c>
      <c r="F20" s="511" t="s">
        <v>61</v>
      </c>
      <c r="G20" s="237">
        <v>1</v>
      </c>
      <c r="H20" s="238">
        <v>1.2999999999999999E-2</v>
      </c>
      <c r="I20" s="101"/>
      <c r="J20" s="101"/>
      <c r="K20" s="101"/>
      <c r="M20" s="75"/>
      <c r="N20" s="75"/>
      <c r="O20" s="75"/>
      <c r="P20" s="75"/>
    </row>
    <row r="21" spans="1:36" ht="16.5" thickBot="1">
      <c r="A21" s="245">
        <v>2</v>
      </c>
      <c r="B21" s="341" t="s">
        <v>197</v>
      </c>
      <c r="C21" s="242">
        <v>12.47</v>
      </c>
      <c r="D21" s="369">
        <v>9.3799999999999994E-3</v>
      </c>
      <c r="F21" s="512"/>
      <c r="G21" s="170">
        <v>2</v>
      </c>
      <c r="H21" s="239">
        <v>7.3999999999999996E-2</v>
      </c>
      <c r="I21" s="275"/>
      <c r="J21" s="276"/>
      <c r="K21" s="281"/>
      <c r="L21" s="344"/>
      <c r="M21" s="278"/>
      <c r="N21" s="75"/>
      <c r="O21" s="75"/>
      <c r="P21" s="75"/>
    </row>
    <row r="22" spans="1:36" ht="16.5" thickBot="1">
      <c r="A22" s="245">
        <v>3</v>
      </c>
      <c r="B22" s="341" t="s">
        <v>197</v>
      </c>
      <c r="C22" s="242">
        <v>4.45</v>
      </c>
      <c r="D22" s="369">
        <v>3.3500000000000001E-3</v>
      </c>
      <c r="F22" s="512"/>
      <c r="G22" s="170">
        <v>3</v>
      </c>
      <c r="H22" s="239">
        <v>0.25</v>
      </c>
      <c r="I22" s="245"/>
      <c r="J22" s="170"/>
      <c r="K22" s="281"/>
      <c r="L22" s="277"/>
      <c r="M22" s="278"/>
      <c r="N22" s="75"/>
      <c r="O22" s="75"/>
      <c r="P22" s="75"/>
    </row>
    <row r="23" spans="1:36" ht="16.5" thickBot="1">
      <c r="A23" s="245">
        <v>4</v>
      </c>
      <c r="B23" s="341" t="s">
        <v>197</v>
      </c>
      <c r="C23" s="242">
        <v>19.809999999999999</v>
      </c>
      <c r="D23" s="369">
        <v>1.49E-2</v>
      </c>
      <c r="F23" s="512"/>
      <c r="G23" s="170">
        <v>4</v>
      </c>
      <c r="H23" s="239">
        <v>0.14000000000000001</v>
      </c>
      <c r="I23" s="245"/>
      <c r="J23" s="170"/>
      <c r="K23" s="281"/>
      <c r="L23" s="277"/>
      <c r="M23" s="278"/>
      <c r="N23" s="75"/>
      <c r="O23" s="75"/>
      <c r="P23" s="75"/>
    </row>
    <row r="24" spans="1:36" ht="16.5" thickBot="1">
      <c r="A24" s="245">
        <v>5</v>
      </c>
      <c r="B24" s="341" t="s">
        <v>197</v>
      </c>
      <c r="C24" s="242">
        <v>1.78</v>
      </c>
      <c r="D24" s="369">
        <v>1.34E-3</v>
      </c>
      <c r="F24" s="512"/>
      <c r="G24" s="170">
        <v>5</v>
      </c>
      <c r="H24" s="239">
        <v>0.03</v>
      </c>
      <c r="I24" s="245"/>
      <c r="J24" s="170"/>
      <c r="K24" s="281"/>
      <c r="L24" s="277"/>
      <c r="M24" s="278"/>
      <c r="N24" s="75"/>
      <c r="O24" s="75"/>
      <c r="P24" s="75"/>
    </row>
    <row r="25" spans="1:36" ht="18" customHeight="1" thickBot="1">
      <c r="A25" s="245">
        <v>6</v>
      </c>
      <c r="B25" s="341" t="s">
        <v>196</v>
      </c>
      <c r="C25" s="242">
        <v>18.260000000000002</v>
      </c>
      <c r="D25" s="369">
        <v>1.37E-2</v>
      </c>
      <c r="F25" s="512"/>
      <c r="G25" s="170">
        <v>11</v>
      </c>
      <c r="H25" s="239">
        <v>0.09</v>
      </c>
      <c r="I25" s="245"/>
      <c r="J25" s="170"/>
      <c r="K25" s="281"/>
      <c r="L25" s="277"/>
      <c r="M25" s="278"/>
      <c r="N25" s="75"/>
      <c r="O25" s="75"/>
      <c r="P25" s="75"/>
    </row>
    <row r="26" spans="1:36" ht="18.95" customHeight="1" thickBot="1">
      <c r="A26" s="245">
        <v>7</v>
      </c>
      <c r="B26" s="341" t="s">
        <v>196</v>
      </c>
      <c r="C26" s="242">
        <v>21.8</v>
      </c>
      <c r="D26" s="369">
        <v>1.47E-2</v>
      </c>
      <c r="F26" s="512"/>
      <c r="G26" s="170">
        <v>12</v>
      </c>
      <c r="H26" s="239">
        <v>0.26</v>
      </c>
      <c r="I26" s="245"/>
      <c r="J26" s="170"/>
      <c r="K26" s="281"/>
      <c r="L26" s="277"/>
      <c r="N26" s="75"/>
      <c r="O26" s="75"/>
      <c r="P26" s="75"/>
    </row>
    <row r="27" spans="1:36" ht="18" customHeight="1" thickBot="1">
      <c r="A27" s="245">
        <v>8</v>
      </c>
      <c r="B27" s="341" t="s">
        <v>196</v>
      </c>
      <c r="C27" s="242">
        <v>30.24</v>
      </c>
      <c r="D27" s="369">
        <v>3.3399999999999999E-2</v>
      </c>
      <c r="F27" s="512"/>
      <c r="G27" s="170">
        <v>13</v>
      </c>
      <c r="H27" s="239">
        <v>0.12</v>
      </c>
      <c r="I27" s="245"/>
      <c r="J27" s="170"/>
      <c r="K27" s="281"/>
      <c r="L27" s="277"/>
      <c r="M27" s="278"/>
      <c r="N27" s="75"/>
      <c r="O27" s="75"/>
      <c r="P27" s="75"/>
    </row>
    <row r="28" spans="1:36" ht="21" customHeight="1" thickBot="1">
      <c r="A28" s="245">
        <v>9</v>
      </c>
      <c r="B28" s="341" t="s">
        <v>196</v>
      </c>
      <c r="C28" s="242">
        <v>44.05</v>
      </c>
      <c r="D28" s="369">
        <v>4.02E-2</v>
      </c>
      <c r="F28" s="512"/>
      <c r="G28" s="240">
        <v>16</v>
      </c>
      <c r="H28" s="241">
        <v>0.02</v>
      </c>
      <c r="I28" s="245"/>
      <c r="J28" s="170"/>
      <c r="K28" s="281"/>
      <c r="L28" s="277"/>
      <c r="M28" s="278"/>
      <c r="N28" s="75"/>
      <c r="O28" s="75"/>
      <c r="P28" s="75"/>
    </row>
    <row r="29" spans="1:36" ht="18.95" customHeight="1" thickBot="1">
      <c r="A29" s="245">
        <v>10</v>
      </c>
      <c r="B29" s="341" t="s">
        <v>196</v>
      </c>
      <c r="C29" s="242">
        <v>53.77</v>
      </c>
      <c r="D29" s="369">
        <v>6.1800000000000001E-2</v>
      </c>
      <c r="F29" s="511" t="s">
        <v>62</v>
      </c>
      <c r="G29" s="237">
        <v>5</v>
      </c>
      <c r="H29" s="238">
        <v>0</v>
      </c>
      <c r="I29" s="245"/>
      <c r="J29" s="170"/>
      <c r="K29" s="256"/>
      <c r="L29" s="277"/>
      <c r="M29" s="278"/>
      <c r="N29" s="75"/>
      <c r="O29" s="75"/>
      <c r="P29" s="75"/>
    </row>
    <row r="30" spans="1:36" ht="18.95" customHeight="1" thickBot="1">
      <c r="A30" s="245">
        <v>11</v>
      </c>
      <c r="B30" s="341" t="s">
        <v>197</v>
      </c>
      <c r="C30" s="242">
        <v>82.64</v>
      </c>
      <c r="D30" s="369">
        <v>9.4979999999999995E-2</v>
      </c>
      <c r="F30" s="512"/>
      <c r="G30" s="170">
        <v>6</v>
      </c>
      <c r="H30" s="239">
        <v>0.16</v>
      </c>
      <c r="I30" s="245"/>
      <c r="J30" s="170"/>
      <c r="K30" s="256"/>
      <c r="L30" s="277"/>
      <c r="M30" s="278"/>
      <c r="N30" s="75"/>
      <c r="O30" s="75"/>
      <c r="P30" s="75"/>
    </row>
    <row r="31" spans="1:36" ht="18.95" customHeight="1" thickBot="1">
      <c r="A31" s="245">
        <v>12</v>
      </c>
      <c r="B31" s="341" t="s">
        <v>197</v>
      </c>
      <c r="C31" s="242">
        <v>37.380000000000003</v>
      </c>
      <c r="D31" s="369">
        <v>4.1200000000000001E-2</v>
      </c>
      <c r="F31" s="512"/>
      <c r="G31" s="170">
        <v>8</v>
      </c>
      <c r="H31" s="239">
        <v>0.2</v>
      </c>
      <c r="I31" s="245"/>
      <c r="J31" s="170"/>
      <c r="K31" s="256"/>
      <c r="L31" s="277"/>
      <c r="M31" s="278"/>
      <c r="N31" s="75"/>
      <c r="O31" s="75"/>
      <c r="P31" s="75"/>
    </row>
    <row r="32" spans="1:36" ht="18.95" customHeight="1" thickBot="1">
      <c r="A32" s="245">
        <v>13</v>
      </c>
      <c r="B32" s="341" t="s">
        <v>197</v>
      </c>
      <c r="C32" s="242">
        <v>86.16</v>
      </c>
      <c r="D32" s="369">
        <v>9.9030000000000007E-2</v>
      </c>
      <c r="F32" s="512"/>
      <c r="G32" s="170">
        <v>9</v>
      </c>
      <c r="H32" s="239">
        <v>0.23</v>
      </c>
      <c r="I32" s="245"/>
      <c r="J32" s="170"/>
      <c r="K32" s="256"/>
      <c r="L32" s="277"/>
      <c r="M32" s="278"/>
      <c r="N32" s="75"/>
      <c r="O32" s="75"/>
      <c r="P32" s="75"/>
    </row>
    <row r="33" spans="1:18" ht="18.95" customHeight="1" thickBot="1">
      <c r="A33" s="245">
        <v>14</v>
      </c>
      <c r="B33" s="341" t="s">
        <v>197</v>
      </c>
      <c r="C33" s="242">
        <v>94.32</v>
      </c>
      <c r="D33" s="369">
        <v>0.1084</v>
      </c>
      <c r="F33" s="512"/>
      <c r="G33" s="170">
        <v>10</v>
      </c>
      <c r="H33" s="239">
        <v>0.22</v>
      </c>
      <c r="I33" s="245"/>
      <c r="J33" s="170"/>
      <c r="K33" s="256"/>
      <c r="L33" s="277"/>
      <c r="M33" s="278"/>
      <c r="N33" s="75"/>
      <c r="O33" s="75"/>
      <c r="P33" s="75"/>
    </row>
    <row r="34" spans="1:18" ht="18.95" customHeight="1" thickBot="1">
      <c r="A34" s="245">
        <v>15</v>
      </c>
      <c r="B34" s="341" t="s">
        <v>197</v>
      </c>
      <c r="C34" s="242">
        <v>72.5</v>
      </c>
      <c r="D34" s="369">
        <v>8.3299999999999999E-2</v>
      </c>
      <c r="F34" s="512"/>
      <c r="G34" s="170">
        <v>13</v>
      </c>
      <c r="H34" s="239">
        <v>0.03</v>
      </c>
      <c r="I34" s="245"/>
      <c r="J34" s="170"/>
      <c r="K34" s="256"/>
      <c r="L34" s="277"/>
      <c r="M34" s="278"/>
      <c r="N34" s="75"/>
      <c r="O34" s="75"/>
      <c r="P34" s="75"/>
    </row>
    <row r="35" spans="1:18" ht="18.95" customHeight="1" thickBot="1">
      <c r="A35" s="246">
        <v>16</v>
      </c>
      <c r="B35" s="240" t="s">
        <v>197</v>
      </c>
      <c r="C35" s="247">
        <v>23.67</v>
      </c>
      <c r="D35" s="370">
        <v>2.6100000000000002E-2</v>
      </c>
      <c r="F35" s="512"/>
      <c r="G35" s="170">
        <v>14</v>
      </c>
      <c r="H35" s="239">
        <v>0.09</v>
      </c>
      <c r="I35" s="245"/>
      <c r="J35" s="170"/>
      <c r="K35" s="256"/>
      <c r="L35" s="277"/>
      <c r="M35" s="278"/>
      <c r="N35" s="75"/>
      <c r="O35" s="75"/>
      <c r="P35" s="75"/>
    </row>
    <row r="36" spans="1:18" ht="18.95" customHeight="1" thickBot="1">
      <c r="A36" s="278"/>
      <c r="B36" s="278"/>
      <c r="C36" s="278"/>
      <c r="D36" s="278"/>
      <c r="F36" s="512"/>
      <c r="G36" s="170">
        <v>15</v>
      </c>
      <c r="H36" s="239">
        <v>0.02</v>
      </c>
      <c r="I36" s="245"/>
      <c r="J36" s="170"/>
      <c r="K36" s="256"/>
      <c r="L36" s="277"/>
      <c r="M36" s="278"/>
      <c r="N36" s="75"/>
      <c r="O36" s="75"/>
      <c r="P36" s="75"/>
    </row>
    <row r="37" spans="1:18" ht="16.5" thickBot="1">
      <c r="A37" s="488" t="s">
        <v>218</v>
      </c>
      <c r="B37" s="488"/>
      <c r="C37" s="488"/>
      <c r="D37" s="488"/>
      <c r="F37" s="512"/>
      <c r="G37" s="240">
        <v>16</v>
      </c>
      <c r="H37" s="241">
        <v>0.05</v>
      </c>
      <c r="I37" s="245"/>
      <c r="J37" s="170"/>
      <c r="K37" s="256"/>
      <c r="L37" s="277"/>
      <c r="N37" s="75"/>
      <c r="O37" s="75"/>
      <c r="P37" s="75"/>
    </row>
    <row r="38" spans="1:18" ht="16.5" thickBot="1">
      <c r="A38" s="235" t="s">
        <v>81</v>
      </c>
      <c r="B38" s="351" t="s">
        <v>82</v>
      </c>
      <c r="C38" s="351" t="s">
        <v>84</v>
      </c>
      <c r="D38" s="351" t="s">
        <v>209</v>
      </c>
      <c r="F38" s="508" t="s">
        <v>63</v>
      </c>
      <c r="G38" s="237">
        <v>4</v>
      </c>
      <c r="H38" s="238">
        <v>0.01</v>
      </c>
      <c r="I38" s="272" t="s">
        <v>211</v>
      </c>
      <c r="J38" s="272" t="s">
        <v>202</v>
      </c>
      <c r="K38" s="176" t="s">
        <v>212</v>
      </c>
    </row>
    <row r="39" spans="1:18" ht="16.5" thickBot="1">
      <c r="A39" s="352" t="s">
        <v>85</v>
      </c>
      <c r="B39" s="353" t="s">
        <v>83</v>
      </c>
      <c r="C39" s="353" t="s">
        <v>86</v>
      </c>
      <c r="D39" s="354">
        <v>10.9</v>
      </c>
      <c r="F39" s="509"/>
      <c r="G39" s="170">
        <v>5</v>
      </c>
      <c r="H39" s="239">
        <v>0.02</v>
      </c>
      <c r="I39" s="273">
        <v>356.7</v>
      </c>
      <c r="J39" s="155" t="e">
        <f>(#REF!-I39)/I39</f>
        <v>#REF!</v>
      </c>
      <c r="K39" s="94">
        <v>1.2403825813954801E-3</v>
      </c>
    </row>
    <row r="40" spans="1:18" ht="16.5" thickBot="1">
      <c r="A40" s="345"/>
      <c r="B40" s="345"/>
      <c r="C40" s="345"/>
      <c r="D40" s="345"/>
      <c r="F40" s="509"/>
      <c r="G40" s="170">
        <v>6</v>
      </c>
      <c r="H40" s="239">
        <v>0.18</v>
      </c>
      <c r="I40" s="273">
        <v>375.2</v>
      </c>
      <c r="J40" s="155" t="e">
        <f>(#REF!-I40)/I40</f>
        <v>#REF!</v>
      </c>
      <c r="K40" s="94">
        <v>1.6082839174609194E-3</v>
      </c>
    </row>
    <row r="41" spans="1:18" ht="16.5" thickBot="1">
      <c r="A41" s="488" t="s">
        <v>216</v>
      </c>
      <c r="B41" s="488"/>
      <c r="C41" s="488"/>
      <c r="D41" s="488"/>
      <c r="F41" s="509"/>
      <c r="G41" s="170">
        <v>7</v>
      </c>
      <c r="H41" s="239">
        <v>0</v>
      </c>
      <c r="I41" s="273">
        <v>348.3</v>
      </c>
      <c r="J41" s="155" t="e">
        <f>(#REF!-I41)/I41</f>
        <v>#REF!</v>
      </c>
      <c r="K41" s="94">
        <v>1.6695512153917997E-3</v>
      </c>
    </row>
    <row r="42" spans="1:18" ht="16.5" thickBot="1">
      <c r="A42" s="235" t="s">
        <v>81</v>
      </c>
      <c r="B42" s="351" t="s">
        <v>82</v>
      </c>
      <c r="C42" s="351" t="s">
        <v>84</v>
      </c>
      <c r="D42" s="351" t="s">
        <v>209</v>
      </c>
      <c r="F42" s="509"/>
      <c r="G42" s="170">
        <v>8</v>
      </c>
      <c r="H42" s="239">
        <v>0.22</v>
      </c>
      <c r="I42" s="273">
        <v>258.3</v>
      </c>
      <c r="J42" s="155" t="e">
        <f>(#REF!-I42)/I42</f>
        <v>#REF!</v>
      </c>
      <c r="K42" s="94">
        <v>1.8112639545480921E-3</v>
      </c>
    </row>
    <row r="43" spans="1:18" ht="16.5" thickBot="1">
      <c r="A43" s="352" t="s">
        <v>85</v>
      </c>
      <c r="B43" s="353" t="s">
        <v>83</v>
      </c>
      <c r="C43" s="353" t="s">
        <v>86</v>
      </c>
      <c r="D43" s="355">
        <v>12</v>
      </c>
      <c r="F43" s="509"/>
      <c r="G43" s="170">
        <v>9</v>
      </c>
      <c r="H43" s="239">
        <v>0.28000000000000003</v>
      </c>
    </row>
    <row r="44" spans="1:18" ht="18" customHeight="1" thickBot="1">
      <c r="A44" s="345"/>
      <c r="B44" s="345"/>
      <c r="C44" s="345"/>
      <c r="D44" s="345"/>
      <c r="F44" s="509"/>
      <c r="G44" s="170">
        <v>10</v>
      </c>
      <c r="H44" s="239">
        <v>0.2</v>
      </c>
    </row>
    <row r="45" spans="1:18" ht="16.5" thickBot="1">
      <c r="A45" s="488" t="s">
        <v>217</v>
      </c>
      <c r="B45" s="488"/>
      <c r="C45" s="488"/>
      <c r="D45" s="488"/>
      <c r="F45" s="509"/>
      <c r="G45" s="170">
        <v>13</v>
      </c>
      <c r="H45" s="239">
        <v>0.03</v>
      </c>
      <c r="R45" s="234"/>
    </row>
    <row r="46" spans="1:18" ht="16.5" thickBot="1">
      <c r="A46" s="235" t="s">
        <v>81</v>
      </c>
      <c r="B46" s="351" t="s">
        <v>82</v>
      </c>
      <c r="C46" s="351" t="s">
        <v>84</v>
      </c>
      <c r="D46" s="351" t="s">
        <v>209</v>
      </c>
      <c r="F46" s="509"/>
      <c r="G46" s="170">
        <v>14</v>
      </c>
      <c r="H46" s="239">
        <v>0.04</v>
      </c>
    </row>
    <row r="47" spans="1:18" ht="16.5" thickBot="1">
      <c r="A47" s="352" t="s">
        <v>85</v>
      </c>
      <c r="B47" s="353" t="s">
        <v>83</v>
      </c>
      <c r="C47" s="353" t="s">
        <v>86</v>
      </c>
      <c r="D47" s="355">
        <f>D43*1.1</f>
        <v>13.200000000000001</v>
      </c>
      <c r="F47" s="509"/>
      <c r="G47" s="170">
        <v>15</v>
      </c>
      <c r="H47" s="239">
        <v>0.01</v>
      </c>
    </row>
    <row r="48" spans="1:18" ht="16.5" thickBot="1">
      <c r="A48" s="345"/>
      <c r="B48" s="345"/>
      <c r="C48" s="345"/>
      <c r="D48" s="345"/>
      <c r="F48" s="510"/>
      <c r="G48" s="240">
        <v>16</v>
      </c>
      <c r="H48" s="241">
        <v>0.01</v>
      </c>
    </row>
    <row r="49" spans="1:18" ht="16.5" thickBot="1">
      <c r="A49" s="345"/>
      <c r="B49" s="345"/>
      <c r="C49" s="345"/>
      <c r="D49" s="345"/>
      <c r="F49" s="508" t="s">
        <v>64</v>
      </c>
      <c r="G49" s="237">
        <v>6</v>
      </c>
      <c r="H49" s="238">
        <v>0.1</v>
      </c>
    </row>
    <row r="50" spans="1:18" ht="16.5" thickBot="1">
      <c r="A50" s="345"/>
      <c r="B50" s="345"/>
      <c r="C50" s="345"/>
      <c r="D50" s="345"/>
      <c r="F50" s="509"/>
      <c r="G50" s="170">
        <v>7</v>
      </c>
      <c r="H50" s="239">
        <v>0.6</v>
      </c>
    </row>
    <row r="51" spans="1:18" ht="16.5" thickBot="1">
      <c r="A51" s="345"/>
      <c r="B51" s="345"/>
      <c r="C51" s="345"/>
      <c r="D51" s="345"/>
      <c r="F51" s="509"/>
      <c r="G51" s="170">
        <v>8</v>
      </c>
      <c r="H51" s="239">
        <v>0.01</v>
      </c>
    </row>
    <row r="52" spans="1:18" ht="16.5" thickBot="1">
      <c r="A52" s="345"/>
      <c r="B52" s="345"/>
      <c r="C52" s="345"/>
      <c r="D52" s="345"/>
      <c r="F52" s="509"/>
      <c r="G52" s="170">
        <v>10</v>
      </c>
      <c r="H52" s="239">
        <v>0.28000000000000003</v>
      </c>
    </row>
    <row r="53" spans="1:18" ht="16.5" thickBot="1">
      <c r="A53" s="345"/>
      <c r="B53" s="345"/>
      <c r="C53" s="345"/>
      <c r="D53" s="345"/>
      <c r="F53" s="509"/>
      <c r="G53" s="170">
        <v>14</v>
      </c>
      <c r="H53" s="239">
        <v>0.01</v>
      </c>
    </row>
    <row r="54" spans="1:18" ht="16.5" thickBot="1">
      <c r="A54" s="345"/>
      <c r="B54" s="345"/>
      <c r="C54" s="345"/>
      <c r="D54" s="345"/>
      <c r="F54" s="510"/>
      <c r="G54" s="240">
        <v>15</v>
      </c>
      <c r="H54" s="241">
        <v>0</v>
      </c>
    </row>
    <row r="55" spans="1:18">
      <c r="A55" s="345"/>
      <c r="B55" s="345"/>
      <c r="C55" s="345"/>
      <c r="D55" s="345"/>
      <c r="F55" s="271"/>
      <c r="G55" s="345"/>
      <c r="H55" s="345"/>
    </row>
    <row r="56" spans="1:18">
      <c r="A56" s="478" t="s">
        <v>150</v>
      </c>
      <c r="B56" s="478"/>
      <c r="C56" s="478"/>
      <c r="D56" s="478"/>
      <c r="E56" s="478"/>
      <c r="F56" s="478"/>
      <c r="G56" s="345"/>
      <c r="H56" s="345"/>
    </row>
    <row r="57" spans="1:18" ht="24.95" customHeight="1" thickBot="1">
      <c r="A57" s="513" t="s">
        <v>65</v>
      </c>
      <c r="B57" s="515" t="s">
        <v>81</v>
      </c>
      <c r="C57" s="515" t="s">
        <v>82</v>
      </c>
      <c r="D57" s="515" t="s">
        <v>230</v>
      </c>
      <c r="E57" s="485" t="s">
        <v>88</v>
      </c>
      <c r="F57" s="476"/>
      <c r="R57" s="234"/>
    </row>
    <row r="58" spans="1:18" ht="16.5" thickBot="1">
      <c r="A58" s="514"/>
      <c r="B58" s="516"/>
      <c r="C58" s="516"/>
      <c r="D58" s="516"/>
      <c r="E58" s="150" t="s">
        <v>34</v>
      </c>
      <c r="F58" s="150" t="s">
        <v>87</v>
      </c>
    </row>
    <row r="59" spans="1:18" ht="16.5" thickBot="1">
      <c r="A59" s="342" t="s">
        <v>66</v>
      </c>
      <c r="B59" s="325" t="s">
        <v>85</v>
      </c>
      <c r="C59" s="326" t="s">
        <v>83</v>
      </c>
      <c r="D59" s="328">
        <v>10000</v>
      </c>
      <c r="E59" s="357">
        <f>C20*$H20+C21*$H21+C22*$H22+C23*$H23+C24*$H24+C30*$H25+C31*$H26+C32*$H27+C35*$H28</f>
        <v>32.83108</v>
      </c>
      <c r="F59" s="363">
        <f>D20*$H20+D21*$H21+D22*$H22+D23*$H23+D24*$H24+D30*$H25+D31*$H26+D32*$H27+D35*$H28</f>
        <v>3.532362E-2</v>
      </c>
    </row>
    <row r="60" spans="1:18" ht="16.5" thickBot="1">
      <c r="A60" s="358" t="s">
        <v>62</v>
      </c>
      <c r="B60" s="327" t="s">
        <v>85</v>
      </c>
      <c r="C60" s="327" t="s">
        <v>83</v>
      </c>
      <c r="D60" s="329">
        <v>10000</v>
      </c>
      <c r="E60" s="356">
        <f>C24*$H29+C25*$H30+C27*$H31+C28*$H32+C29*$H33+C32*$H34+C33*$H35+C34*$H36+C35*$H37</f>
        <v>44.637600000000006</v>
      </c>
      <c r="F60" s="364">
        <f>D24*$H29+D25*$H30+D27*$H31+D28*$H32+D29*$H33+D32*$H34+D33*$H35+D34*$H36+D35*$H37</f>
        <v>4.7411900000000007E-2</v>
      </c>
    </row>
    <row r="61" spans="1:18" ht="16.5" thickBot="1">
      <c r="A61" s="358" t="s">
        <v>63</v>
      </c>
      <c r="B61" s="327" t="s">
        <v>85</v>
      </c>
      <c r="C61" s="327" t="s">
        <v>83</v>
      </c>
      <c r="D61" s="329">
        <v>10000</v>
      </c>
      <c r="E61" s="356">
        <f>C23*$H38+C24*$H39+C25*$H40+C26*$H41+C27*$H42+C28*$H43+C29*$H44+C32*$H45+C33*$H46+C34*$H47+C35*$H48</f>
        <v>40.580600000000004</v>
      </c>
      <c r="F61" s="365">
        <f>D23*$H38+D24*$H39+D25*$H40+D26*$H41+D27*$H42+D28*$H43+D29*$H44+D32*$H45+D33*$H46+D34*$H47+D35*$H48</f>
        <v>4.2006700000000001E-2</v>
      </c>
    </row>
    <row r="62" spans="1:18" ht="16.5" thickBot="1">
      <c r="A62" s="343" t="s">
        <v>67</v>
      </c>
      <c r="B62" s="359" t="s">
        <v>85</v>
      </c>
      <c r="C62" s="360" t="s">
        <v>83</v>
      </c>
      <c r="D62" s="361">
        <v>10000</v>
      </c>
      <c r="E62" s="362">
        <f>C25*$H49+C26*$H50+C27*$H51+C29*$H52+C33*$H53+C34*$H54</f>
        <v>31.207200000000004</v>
      </c>
      <c r="F62" s="366">
        <f>D25*$H49+D26*$H50+D27*$H51+D29*$H52+D33*$H53+D34*$H54</f>
        <v>2.8912E-2</v>
      </c>
    </row>
    <row r="63" spans="1:18">
      <c r="A63" s="345"/>
      <c r="B63" s="345"/>
      <c r="C63" s="345"/>
      <c r="D63" s="345"/>
      <c r="E63" s="345"/>
      <c r="F63" s="345"/>
    </row>
    <row r="64" spans="1:18">
      <c r="A64" s="478" t="s">
        <v>151</v>
      </c>
      <c r="B64" s="478"/>
      <c r="C64" s="478"/>
      <c r="D64" s="478"/>
      <c r="E64" s="478"/>
      <c r="F64" s="478"/>
      <c r="G64" s="133"/>
      <c r="H64" s="133"/>
    </row>
    <row r="65" spans="1:13" ht="17.100000000000001" customHeight="1" thickBot="1">
      <c r="A65" s="513" t="s">
        <v>65</v>
      </c>
      <c r="B65" s="515" t="s">
        <v>81</v>
      </c>
      <c r="C65" s="515" t="s">
        <v>82</v>
      </c>
      <c r="D65" s="515" t="s">
        <v>230</v>
      </c>
      <c r="E65" s="485" t="s">
        <v>88</v>
      </c>
      <c r="F65" s="476"/>
      <c r="I65" s="478" t="s">
        <v>213</v>
      </c>
      <c r="J65" s="478"/>
      <c r="K65" s="478"/>
      <c r="M65" s="277"/>
    </row>
    <row r="66" spans="1:13" ht="16.5" thickBot="1">
      <c r="A66" s="514"/>
      <c r="B66" s="516"/>
      <c r="C66" s="516"/>
      <c r="D66" s="516"/>
      <c r="E66" s="150" t="s">
        <v>34</v>
      </c>
      <c r="F66" s="150" t="s">
        <v>87</v>
      </c>
      <c r="I66" s="150" t="s">
        <v>34</v>
      </c>
      <c r="J66" s="151" t="s">
        <v>202</v>
      </c>
      <c r="K66" s="150" t="s">
        <v>87</v>
      </c>
    </row>
    <row r="67" spans="1:13" ht="16.5" thickBot="1">
      <c r="A67" s="342" t="s">
        <v>66</v>
      </c>
      <c r="B67" s="325" t="s">
        <v>85</v>
      </c>
      <c r="C67" s="326" t="s">
        <v>83</v>
      </c>
      <c r="D67" s="328">
        <v>10000</v>
      </c>
      <c r="E67" s="357">
        <f>E59*((1/$D$39)-(1/$D$47))/((1/$D$39)-(1/$D$43))</f>
        <v>62.406185123966985</v>
      </c>
      <c r="F67" s="367">
        <f>F59*((1/$D$39)-(1/$D$47))/((1/$D$39)-(1/$D$43))</f>
        <v>6.714407107438021E-2</v>
      </c>
      <c r="I67" s="254">
        <v>14.8</v>
      </c>
      <c r="J67" s="274">
        <f>(E59-I67)/I67</f>
        <v>1.2183162162162162</v>
      </c>
      <c r="K67" s="255">
        <v>0.02</v>
      </c>
    </row>
    <row r="68" spans="1:13" ht="16.5" thickBot="1">
      <c r="A68" s="358" t="s">
        <v>62</v>
      </c>
      <c r="B68" s="327" t="s">
        <v>85</v>
      </c>
      <c r="C68" s="327" t="s">
        <v>83</v>
      </c>
      <c r="D68" s="329">
        <v>10000</v>
      </c>
      <c r="E68" s="356">
        <f t="shared" ref="E68:F70" si="5">E60*((1/$D$39)-(1/$D$47))/((1/$D$39)-(1/$D$43))</f>
        <v>84.84833057851246</v>
      </c>
      <c r="F68" s="365">
        <f t="shared" si="5"/>
        <v>9.0121793388429822E-2</v>
      </c>
    </row>
    <row r="69" spans="1:13" ht="17.100000000000001" customHeight="1" thickBot="1">
      <c r="A69" s="358" t="s">
        <v>63</v>
      </c>
      <c r="B69" s="327" t="s">
        <v>85</v>
      </c>
      <c r="C69" s="327" t="s">
        <v>83</v>
      </c>
      <c r="D69" s="329">
        <v>10000</v>
      </c>
      <c r="E69" s="356">
        <f t="shared" si="5"/>
        <v>77.136677685950474</v>
      </c>
      <c r="F69" s="365">
        <f t="shared" si="5"/>
        <v>7.9847446280991788E-2</v>
      </c>
    </row>
    <row r="70" spans="1:13" ht="16.5" thickBot="1">
      <c r="A70" s="343" t="s">
        <v>67</v>
      </c>
      <c r="B70" s="359" t="s">
        <v>85</v>
      </c>
      <c r="C70" s="360" t="s">
        <v>83</v>
      </c>
      <c r="D70" s="361">
        <v>10000</v>
      </c>
      <c r="E70" s="362">
        <f t="shared" si="5"/>
        <v>59.31947107438021</v>
      </c>
      <c r="F70" s="366">
        <f t="shared" si="5"/>
        <v>5.4956694214876069E-2</v>
      </c>
    </row>
    <row r="77" spans="1:13">
      <c r="I77" s="478" t="s">
        <v>213</v>
      </c>
      <c r="J77" s="478"/>
      <c r="K77" s="478"/>
    </row>
    <row r="78" spans="1:13">
      <c r="I78" s="150" t="s">
        <v>34</v>
      </c>
      <c r="J78" s="151" t="s">
        <v>202</v>
      </c>
      <c r="K78" s="150" t="s">
        <v>87</v>
      </c>
    </row>
    <row r="79" spans="1:13" ht="16.5" thickBot="1">
      <c r="I79" s="254">
        <v>28.3</v>
      </c>
      <c r="J79" s="274">
        <f>(E67-I79)/I79</f>
        <v>1.2051655520836388</v>
      </c>
      <c r="K79" s="255">
        <v>0.04</v>
      </c>
    </row>
  </sheetData>
  <mergeCells count="28">
    <mergeCell ref="I77:K77"/>
    <mergeCell ref="E65:F65"/>
    <mergeCell ref="I65:K65"/>
    <mergeCell ref="A1:H1"/>
    <mergeCell ref="A65:A66"/>
    <mergeCell ref="E57:F57"/>
    <mergeCell ref="C57:C58"/>
    <mergeCell ref="D57:D58"/>
    <mergeCell ref="B57:B58"/>
    <mergeCell ref="A57:A58"/>
    <mergeCell ref="A56:F56"/>
    <mergeCell ref="B65:B66"/>
    <mergeCell ref="C65:C66"/>
    <mergeCell ref="D65:D66"/>
    <mergeCell ref="A64:F64"/>
    <mergeCell ref="A45:D45"/>
    <mergeCell ref="A18:D18"/>
    <mergeCell ref="F38:F48"/>
    <mergeCell ref="A37:D37"/>
    <mergeCell ref="A41:D41"/>
    <mergeCell ref="A12:C12"/>
    <mergeCell ref="W2:AA2"/>
    <mergeCell ref="AC2:AH2"/>
    <mergeCell ref="F49:F54"/>
    <mergeCell ref="F18:H18"/>
    <mergeCell ref="S2:U2"/>
    <mergeCell ref="F20:F28"/>
    <mergeCell ref="F29:F37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1"/>
  <sheetViews>
    <sheetView workbookViewId="0">
      <selection activeCell="A38" sqref="A38:A49"/>
    </sheetView>
  </sheetViews>
  <sheetFormatPr defaultColWidth="11" defaultRowHeight="15.75"/>
  <cols>
    <col min="2" max="2" width="30.375" customWidth="1"/>
    <col min="3" max="3" width="8.875" customWidth="1"/>
    <col min="4" max="4" width="13.875" hidden="1" customWidth="1"/>
    <col min="5" max="5" width="4.5" hidden="1" customWidth="1"/>
    <col min="6" max="6" width="29.5" hidden="1" customWidth="1"/>
    <col min="7" max="7" width="11" hidden="1" customWidth="1"/>
    <col min="8" max="8" width="25" hidden="1" customWidth="1"/>
    <col min="9" max="9" width="4.125" hidden="1" customWidth="1"/>
    <col min="10" max="10" width="30.625" hidden="1" customWidth="1"/>
    <col min="11" max="11" width="4" hidden="1" customWidth="1"/>
    <col min="12" max="12" width="23.375" hidden="1" customWidth="1"/>
    <col min="13" max="13" width="5.375" hidden="1" customWidth="1"/>
    <col min="14" max="14" width="33.375" hidden="1" customWidth="1"/>
    <col min="15" max="15" width="21.375" hidden="1" customWidth="1"/>
    <col min="16" max="16" width="25.875" hidden="1" customWidth="1"/>
    <col min="17" max="17" width="4.875" hidden="1" customWidth="1"/>
    <col min="18" max="18" width="18.5" hidden="1" customWidth="1"/>
    <col min="19" max="19" width="4.375" hidden="1" customWidth="1"/>
    <col min="20" max="20" width="16.125" hidden="1" customWidth="1"/>
    <col min="21" max="21" width="11.5" hidden="1" customWidth="1"/>
    <col min="22" max="22" width="3.625" hidden="1" customWidth="1"/>
    <col min="23" max="23" width="21.5" hidden="1" customWidth="1"/>
    <col min="24" max="24" width="9.125" hidden="1" customWidth="1"/>
    <col min="25" max="25" width="9.5" hidden="1" customWidth="1"/>
    <col min="26" max="26" width="11.125" hidden="1" customWidth="1"/>
    <col min="27" max="27" width="3.625" hidden="1" customWidth="1"/>
    <col min="28" max="28" width="22.125" hidden="1" customWidth="1"/>
    <col min="29" max="29" width="9.125" hidden="1" customWidth="1"/>
    <col min="30" max="30" width="11.375" hidden="1" customWidth="1"/>
    <col min="31" max="31" width="10.875" hidden="1" customWidth="1"/>
    <col min="32" max="32" width="4" hidden="1" customWidth="1"/>
    <col min="33" max="33" width="9.125" bestFit="1" customWidth="1"/>
    <col min="34" max="34" width="10.125" bestFit="1" customWidth="1"/>
    <col min="35" max="35" width="10.125" customWidth="1"/>
    <col min="36" max="36" width="9.125" bestFit="1" customWidth="1"/>
  </cols>
  <sheetData>
    <row r="1" spans="1:38" ht="19.5" thickBot="1">
      <c r="B1" s="463" t="s">
        <v>127</v>
      </c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463"/>
      <c r="W1" s="463"/>
      <c r="X1" s="463"/>
      <c r="Y1" s="463"/>
      <c r="Z1" s="463"/>
      <c r="AA1" s="463"/>
      <c r="AB1" s="463"/>
      <c r="AC1" s="463"/>
      <c r="AD1" s="463"/>
      <c r="AE1" s="463"/>
      <c r="AF1" s="463"/>
      <c r="AG1" s="463"/>
      <c r="AH1" s="463"/>
      <c r="AI1" s="463"/>
      <c r="AJ1" s="463"/>
      <c r="AK1" s="463"/>
    </row>
    <row r="2" spans="1:38" ht="20.100000000000001" customHeight="1" thickBot="1">
      <c r="A2" s="530" t="s">
        <v>65</v>
      </c>
      <c r="B2" s="530" t="s">
        <v>81</v>
      </c>
      <c r="C2" s="530" t="s">
        <v>169</v>
      </c>
      <c r="D2" s="530" t="s">
        <v>164</v>
      </c>
      <c r="E2" s="137"/>
      <c r="F2" s="529" t="s">
        <v>153</v>
      </c>
      <c r="G2" s="529"/>
      <c r="H2" s="529"/>
      <c r="I2" s="137"/>
      <c r="J2" s="529" t="s">
        <v>154</v>
      </c>
      <c r="K2" s="529"/>
      <c r="L2" s="529"/>
      <c r="M2" s="156"/>
      <c r="N2" s="529" t="s">
        <v>157</v>
      </c>
      <c r="O2" s="529"/>
      <c r="P2" s="529"/>
      <c r="R2" s="532" t="s">
        <v>128</v>
      </c>
      <c r="T2" s="532" t="s">
        <v>160</v>
      </c>
      <c r="U2" s="532" t="s">
        <v>144</v>
      </c>
      <c r="V2" s="137"/>
      <c r="W2" s="533" t="s">
        <v>161</v>
      </c>
      <c r="X2" s="533"/>
      <c r="Y2" s="533"/>
      <c r="Z2" s="532" t="s">
        <v>144</v>
      </c>
      <c r="AA2" s="137"/>
      <c r="AB2" s="533" t="s">
        <v>162</v>
      </c>
      <c r="AC2" s="533"/>
      <c r="AD2" s="533"/>
      <c r="AE2" s="532" t="s">
        <v>144</v>
      </c>
      <c r="AF2" s="157"/>
      <c r="AG2" s="539" t="s">
        <v>166</v>
      </c>
      <c r="AH2" s="540"/>
      <c r="AI2" s="541"/>
      <c r="AJ2" s="539" t="s">
        <v>167</v>
      </c>
      <c r="AK2" s="540"/>
      <c r="AL2" s="541"/>
    </row>
    <row r="3" spans="1:38" ht="26.25" thickBot="1">
      <c r="A3" s="531"/>
      <c r="B3" s="531"/>
      <c r="C3" s="537"/>
      <c r="D3" s="531"/>
      <c r="F3" s="139" t="s">
        <v>111</v>
      </c>
      <c r="G3" s="530" t="s">
        <v>142</v>
      </c>
      <c r="H3" s="530" t="s">
        <v>143</v>
      </c>
      <c r="J3" s="139" t="s">
        <v>111</v>
      </c>
      <c r="K3" s="530" t="s">
        <v>142</v>
      </c>
      <c r="L3" s="530" t="s">
        <v>143</v>
      </c>
      <c r="N3" s="139" t="s">
        <v>111</v>
      </c>
      <c r="O3" s="530" t="s">
        <v>152</v>
      </c>
      <c r="P3" s="530" t="s">
        <v>143</v>
      </c>
      <c r="R3" s="533"/>
      <c r="T3" s="533"/>
      <c r="U3" s="532"/>
      <c r="W3" s="139" t="s">
        <v>68</v>
      </c>
      <c r="X3" s="538" t="s">
        <v>70</v>
      </c>
      <c r="Y3" s="538"/>
      <c r="Z3" s="532"/>
      <c r="AB3" s="139" t="s">
        <v>68</v>
      </c>
      <c r="AC3" s="538" t="s">
        <v>70</v>
      </c>
      <c r="AD3" s="538"/>
      <c r="AE3" s="532"/>
      <c r="AF3" s="157"/>
      <c r="AG3" s="542"/>
      <c r="AH3" s="543"/>
      <c r="AI3" s="544"/>
      <c r="AJ3" s="542"/>
      <c r="AK3" s="543"/>
      <c r="AL3" s="544"/>
    </row>
    <row r="4" spans="1:38" ht="17.100000000000001" customHeight="1" thickBot="1">
      <c r="A4" s="531"/>
      <c r="B4" s="531"/>
      <c r="C4" s="141" t="s">
        <v>168</v>
      </c>
      <c r="D4" s="531"/>
      <c r="F4" s="141" t="s">
        <v>112</v>
      </c>
      <c r="G4" s="531"/>
      <c r="H4" s="531"/>
      <c r="J4" s="141" t="s">
        <v>112</v>
      </c>
      <c r="K4" s="531"/>
      <c r="L4" s="531"/>
      <c r="N4" s="141" t="s">
        <v>112</v>
      </c>
      <c r="O4" s="531"/>
      <c r="P4" s="531"/>
      <c r="R4" s="141" t="s">
        <v>136</v>
      </c>
      <c r="T4" s="141" t="s">
        <v>138</v>
      </c>
      <c r="U4" s="532"/>
      <c r="W4" s="141" t="s">
        <v>138</v>
      </c>
      <c r="X4" s="141" t="s">
        <v>138</v>
      </c>
      <c r="Y4" s="141" t="s">
        <v>165</v>
      </c>
      <c r="Z4" s="532"/>
      <c r="AB4" s="141" t="s">
        <v>138</v>
      </c>
      <c r="AC4" s="141" t="s">
        <v>138</v>
      </c>
      <c r="AD4" s="141" t="s">
        <v>165</v>
      </c>
      <c r="AE4" s="532"/>
      <c r="AF4" s="157"/>
      <c r="AG4" s="141" t="s">
        <v>138</v>
      </c>
      <c r="AH4" s="141" t="s">
        <v>170</v>
      </c>
      <c r="AI4" s="141" t="s">
        <v>165</v>
      </c>
      <c r="AJ4" s="141" t="s">
        <v>138</v>
      </c>
      <c r="AK4" s="141" t="s">
        <v>170</v>
      </c>
      <c r="AL4" s="141" t="s">
        <v>165</v>
      </c>
    </row>
    <row r="5" spans="1:38">
      <c r="A5" s="534" t="s">
        <v>61</v>
      </c>
      <c r="B5" s="517" t="s">
        <v>113</v>
      </c>
      <c r="C5" s="190" t="s">
        <v>140</v>
      </c>
      <c r="D5" s="191">
        <v>11</v>
      </c>
      <c r="E5" s="205"/>
      <c r="F5" s="520" t="s">
        <v>114</v>
      </c>
      <c r="G5" s="146" t="s">
        <v>46</v>
      </c>
      <c r="H5" s="146">
        <f>5.57*D5+193.7</f>
        <v>254.97</v>
      </c>
      <c r="I5" s="205"/>
      <c r="J5" s="520" t="s">
        <v>129</v>
      </c>
      <c r="K5" s="146" t="s">
        <v>46</v>
      </c>
      <c r="L5" s="146">
        <f>5.01*D5+174.3</f>
        <v>229.41000000000003</v>
      </c>
      <c r="M5" s="205"/>
      <c r="N5" s="520" t="s">
        <v>155</v>
      </c>
      <c r="O5" s="146" t="str">
        <f>K5</f>
        <v>NA</v>
      </c>
      <c r="P5" s="146">
        <f t="shared" ref="P5:P10" si="0">0.95*L5</f>
        <v>217.93950000000001</v>
      </c>
      <c r="Q5" s="205"/>
      <c r="R5" s="190" t="s">
        <v>137</v>
      </c>
      <c r="S5" s="205"/>
      <c r="T5" s="146" t="s">
        <v>46</v>
      </c>
      <c r="U5" s="146" t="s">
        <v>46</v>
      </c>
      <c r="V5" s="205"/>
      <c r="W5" s="146">
        <f t="shared" ref="W5:W16" si="1">H5-L5</f>
        <v>25.559999999999974</v>
      </c>
      <c r="X5" s="146">
        <f>W5*'Interactive Effects'!$B$10</f>
        <v>26.071199999999973</v>
      </c>
      <c r="Y5" s="146">
        <f>W5*'Interactive Effects'!$D$10</f>
        <v>-0.58021199999999939</v>
      </c>
      <c r="Z5" s="193">
        <f t="shared" ref="Z5:Z17" si="2">(X5-AG5)/AG5</f>
        <v>1.4443579766535928E-2</v>
      </c>
      <c r="AA5" s="205"/>
      <c r="AB5" s="146">
        <f>H5-P5</f>
        <v>37.030499999999989</v>
      </c>
      <c r="AC5" s="146">
        <f>AB5*'Interactive Effects'!$B$10</f>
        <v>37.771109999999993</v>
      </c>
      <c r="AD5" s="194">
        <f>AB5*'Interactive Effects'!$D$10</f>
        <v>-0.84059234999999977</v>
      </c>
      <c r="AE5" s="193">
        <f t="shared" ref="AE5:AE25" si="3">(AC5-AJ5)/AJ5</f>
        <v>1.3581376626861465E-2</v>
      </c>
      <c r="AF5" s="206"/>
      <c r="AG5" s="146">
        <v>25.7</v>
      </c>
      <c r="AH5" s="212">
        <v>5.5900000000000004E-3</v>
      </c>
      <c r="AI5" s="194">
        <v>-0.69499999999999995</v>
      </c>
      <c r="AJ5" s="146">
        <f>AG5*1.45</f>
        <v>37.265000000000001</v>
      </c>
      <c r="AK5" s="330">
        <f>AH5*1.45</f>
        <v>8.1054999999999999E-3</v>
      </c>
      <c r="AL5" s="336">
        <f>AI5*1.45</f>
        <v>-1.0077499999999999</v>
      </c>
    </row>
    <row r="6" spans="1:38">
      <c r="A6" s="535"/>
      <c r="B6" s="518"/>
      <c r="C6" s="196" t="s">
        <v>139</v>
      </c>
      <c r="D6" s="197">
        <f>AVERAGE(13,16)</f>
        <v>14.5</v>
      </c>
      <c r="E6" s="192"/>
      <c r="F6" s="521"/>
      <c r="G6" s="147">
        <f>5.57*R6+193.7</f>
        <v>277.25</v>
      </c>
      <c r="H6" s="147">
        <f>5.57*D6+193.7</f>
        <v>274.46499999999997</v>
      </c>
      <c r="I6" s="192"/>
      <c r="J6" s="521"/>
      <c r="K6" s="147">
        <f>5.01*R6+174.3</f>
        <v>249.45</v>
      </c>
      <c r="L6" s="147">
        <f>5.01*D6+174.3</f>
        <v>246.94499999999999</v>
      </c>
      <c r="M6" s="192"/>
      <c r="N6" s="521"/>
      <c r="O6" s="147">
        <f>0.95*K6</f>
        <v>236.97749999999999</v>
      </c>
      <c r="P6" s="147">
        <f t="shared" si="0"/>
        <v>234.59774999999999</v>
      </c>
      <c r="Q6" s="192"/>
      <c r="R6" s="196">
        <v>15</v>
      </c>
      <c r="S6" s="192"/>
      <c r="T6" s="147">
        <f>G6-K6</f>
        <v>27.800000000000011</v>
      </c>
      <c r="U6" s="198">
        <f>(T6-AG6)/AG6</f>
        <v>-4.7945205479451643E-2</v>
      </c>
      <c r="V6" s="192"/>
      <c r="W6" s="147">
        <f t="shared" si="1"/>
        <v>27.519999999999982</v>
      </c>
      <c r="X6" s="147">
        <f>W6*'Interactive Effects'!$B$10</f>
        <v>28.070399999999982</v>
      </c>
      <c r="Y6" s="147">
        <f>W6*'Interactive Effects'!$D$10</f>
        <v>-0.62470399999999959</v>
      </c>
      <c r="Z6" s="198">
        <f t="shared" si="2"/>
        <v>-3.8684931506849922E-2</v>
      </c>
      <c r="AA6" s="192"/>
      <c r="AB6" s="147">
        <f t="shared" ref="AB6:AB16" si="4">H6-P6</f>
        <v>39.867249999999984</v>
      </c>
      <c r="AC6" s="147">
        <f>AB6*'Interactive Effects'!$B$10</f>
        <v>40.664594999999984</v>
      </c>
      <c r="AD6" s="199">
        <f>AB6*'Interactive Effects'!$D$10</f>
        <v>-0.90498657499999968</v>
      </c>
      <c r="AE6" s="198">
        <f t="shared" si="3"/>
        <v>-3.9570264525271896E-2</v>
      </c>
      <c r="AF6" s="195"/>
      <c r="AG6" s="147">
        <v>29.2</v>
      </c>
      <c r="AH6" s="213">
        <v>6.3299999999999997E-3</v>
      </c>
      <c r="AI6" s="199">
        <v>-0.78800000000000003</v>
      </c>
      <c r="AJ6" s="147">
        <f t="shared" ref="AJ6:AJ61" si="5">AG6*1.45</f>
        <v>42.339999999999996</v>
      </c>
      <c r="AK6" s="331">
        <f>AH6*1.45</f>
        <v>9.1784999999999992E-3</v>
      </c>
      <c r="AL6" s="337">
        <f>AI6*1.45</f>
        <v>-1.1426000000000001</v>
      </c>
    </row>
    <row r="7" spans="1:38" ht="16.5" thickBot="1">
      <c r="A7" s="535"/>
      <c r="B7" s="519"/>
      <c r="C7" s="200" t="s">
        <v>141</v>
      </c>
      <c r="D7" s="201">
        <v>18</v>
      </c>
      <c r="E7" s="192"/>
      <c r="F7" s="522"/>
      <c r="G7" s="148">
        <f>5.57*R7+193.7</f>
        <v>292.846</v>
      </c>
      <c r="H7" s="148">
        <f>5.57*D7+193.7</f>
        <v>293.95999999999998</v>
      </c>
      <c r="I7" s="192"/>
      <c r="J7" s="522"/>
      <c r="K7" s="148">
        <f>5.01*R7+174.3</f>
        <v>263.47800000000001</v>
      </c>
      <c r="L7" s="148">
        <f>5.01*D7+174.3</f>
        <v>264.48</v>
      </c>
      <c r="M7" s="192"/>
      <c r="N7" s="522"/>
      <c r="O7" s="148">
        <f>0.95*K7</f>
        <v>250.30410000000001</v>
      </c>
      <c r="P7" s="148">
        <f t="shared" si="0"/>
        <v>251.256</v>
      </c>
      <c r="Q7" s="192"/>
      <c r="R7" s="200">
        <v>17.8</v>
      </c>
      <c r="S7" s="192"/>
      <c r="T7" s="148">
        <f>G7-K7</f>
        <v>29.367999999999995</v>
      </c>
      <c r="U7" s="202">
        <f>(T7-AG7)/AG7</f>
        <v>-7.3564668769716221E-2</v>
      </c>
      <c r="V7" s="192"/>
      <c r="W7" s="148">
        <f t="shared" si="1"/>
        <v>29.479999999999961</v>
      </c>
      <c r="X7" s="148">
        <f>W7*'Interactive Effects'!$B$10</f>
        <v>30.069599999999962</v>
      </c>
      <c r="Y7" s="148">
        <f>W7*'Interactive Effects'!$D$10</f>
        <v>-0.66919599999999912</v>
      </c>
      <c r="Z7" s="202">
        <f t="shared" si="2"/>
        <v>-5.1432176656152594E-2</v>
      </c>
      <c r="AA7" s="192"/>
      <c r="AB7" s="148">
        <f t="shared" si="4"/>
        <v>42.703999999999979</v>
      </c>
      <c r="AC7" s="148">
        <f>AB7*'Interactive Effects'!$B$10</f>
        <v>43.558079999999983</v>
      </c>
      <c r="AD7" s="203">
        <f>AB7*'Interactive Effects'!$D$10</f>
        <v>-0.9693807999999996</v>
      </c>
      <c r="AE7" s="202">
        <f t="shared" si="3"/>
        <v>-5.2364190144675596E-2</v>
      </c>
      <c r="AF7" s="195"/>
      <c r="AG7" s="148">
        <v>31.7</v>
      </c>
      <c r="AH7" s="214">
        <v>6.8900000000000003E-3</v>
      </c>
      <c r="AI7" s="203">
        <v>-0.85699999999999998</v>
      </c>
      <c r="AJ7" s="148">
        <f t="shared" si="5"/>
        <v>45.964999999999996</v>
      </c>
      <c r="AK7" s="332">
        <f t="shared" ref="AK7:AL61" si="6">AH7*1.45</f>
        <v>9.9904999999999994E-3</v>
      </c>
      <c r="AL7" s="204">
        <f t="shared" si="6"/>
        <v>-1.24265</v>
      </c>
    </row>
    <row r="8" spans="1:38" ht="17.100000000000001" customHeight="1">
      <c r="A8" s="535"/>
      <c r="B8" s="517" t="s">
        <v>115</v>
      </c>
      <c r="C8" s="190" t="s">
        <v>140</v>
      </c>
      <c r="D8" s="191">
        <v>11</v>
      </c>
      <c r="E8" s="192"/>
      <c r="F8" s="520" t="s">
        <v>116</v>
      </c>
      <c r="G8" s="146" t="s">
        <v>46</v>
      </c>
      <c r="H8" s="146">
        <f>8.62*D8+228.3</f>
        <v>323.12</v>
      </c>
      <c r="I8" s="192"/>
      <c r="J8" s="520" t="s">
        <v>130</v>
      </c>
      <c r="K8" s="146" t="s">
        <v>46</v>
      </c>
      <c r="L8" s="146">
        <f>7.76*D8+205.5</f>
        <v>290.86</v>
      </c>
      <c r="M8" s="192"/>
      <c r="N8" s="520" t="s">
        <v>156</v>
      </c>
      <c r="O8" s="146" t="str">
        <f>K8</f>
        <v>NA</v>
      </c>
      <c r="P8" s="146">
        <f t="shared" si="0"/>
        <v>276.31700000000001</v>
      </c>
      <c r="Q8" s="192"/>
      <c r="R8" s="190" t="s">
        <v>137</v>
      </c>
      <c r="S8" s="192"/>
      <c r="T8" s="146" t="s">
        <v>46</v>
      </c>
      <c r="U8" s="146" t="s">
        <v>46</v>
      </c>
      <c r="V8" s="192"/>
      <c r="W8" s="146">
        <f t="shared" si="1"/>
        <v>32.259999999999991</v>
      </c>
      <c r="X8" s="146">
        <f>W8*'Interactive Effects'!$B$10</f>
        <v>32.905199999999994</v>
      </c>
      <c r="Y8" s="146">
        <f>W8*'Interactive Effects'!$D$10</f>
        <v>-0.73230199999999979</v>
      </c>
      <c r="Z8" s="193">
        <f t="shared" si="2"/>
        <v>-4.0664723032070076E-2</v>
      </c>
      <c r="AA8" s="192"/>
      <c r="AB8" s="146">
        <f t="shared" si="4"/>
        <v>46.802999999999997</v>
      </c>
      <c r="AC8" s="146">
        <f>AB8*'Interactive Effects'!$B$10</f>
        <v>47.739059999999995</v>
      </c>
      <c r="AD8" s="194">
        <f>AB8*'Interactive Effects'!$D$10</f>
        <v>-1.0624281</v>
      </c>
      <c r="AE8" s="193">
        <f t="shared" si="3"/>
        <v>-4.0131496933748824E-2</v>
      </c>
      <c r="AF8" s="195"/>
      <c r="AG8" s="146">
        <v>34.299999999999997</v>
      </c>
      <c r="AH8" s="212">
        <v>7.45E-3</v>
      </c>
      <c r="AI8" s="194">
        <v>-0.92700000000000005</v>
      </c>
      <c r="AJ8" s="146">
        <f t="shared" si="5"/>
        <v>49.734999999999992</v>
      </c>
      <c r="AK8" s="330">
        <f t="shared" si="6"/>
        <v>1.08025E-2</v>
      </c>
      <c r="AL8" s="336">
        <f>AI8*1.45</f>
        <v>-1.34415</v>
      </c>
    </row>
    <row r="9" spans="1:38">
      <c r="A9" s="535"/>
      <c r="B9" s="518"/>
      <c r="C9" s="196" t="s">
        <v>139</v>
      </c>
      <c r="D9" s="197">
        <f>AVERAGE(13,16)</f>
        <v>14.5</v>
      </c>
      <c r="E9" s="192"/>
      <c r="F9" s="521"/>
      <c r="G9" s="147">
        <f>8.62*R9+228.3</f>
        <v>351.56600000000003</v>
      </c>
      <c r="H9" s="147">
        <f>8.62*D9+228.3</f>
        <v>353.29</v>
      </c>
      <c r="I9" s="192"/>
      <c r="J9" s="521"/>
      <c r="K9" s="147">
        <f>7.67*R9+205.5</f>
        <v>315.18099999999998</v>
      </c>
      <c r="L9" s="147">
        <f>7.76*D9+205.5</f>
        <v>318.02</v>
      </c>
      <c r="M9" s="192"/>
      <c r="N9" s="521"/>
      <c r="O9" s="147">
        <f>0.95*K9</f>
        <v>299.42194999999998</v>
      </c>
      <c r="P9" s="147">
        <f t="shared" si="0"/>
        <v>302.11899999999997</v>
      </c>
      <c r="Q9" s="192"/>
      <c r="R9" s="196">
        <v>14.3</v>
      </c>
      <c r="S9" s="192"/>
      <c r="T9" s="147">
        <f>G9-K9</f>
        <v>36.385000000000048</v>
      </c>
      <c r="U9" s="198">
        <f>(T9-AG9)/AG9</f>
        <v>-5.7383419689117969E-2</v>
      </c>
      <c r="V9" s="192"/>
      <c r="W9" s="147">
        <f t="shared" si="1"/>
        <v>35.270000000000039</v>
      </c>
      <c r="X9" s="147">
        <f>W9*'Interactive Effects'!$B$10</f>
        <v>35.975400000000043</v>
      </c>
      <c r="Y9" s="147">
        <f>W9*'Interactive Effects'!$D$10</f>
        <v>-0.80062900000000092</v>
      </c>
      <c r="Z9" s="198">
        <f>(X9-AG9)/AG9</f>
        <v>-6.7994818652848663E-2</v>
      </c>
      <c r="AA9" s="192"/>
      <c r="AB9" s="147">
        <f t="shared" si="4"/>
        <v>51.171000000000049</v>
      </c>
      <c r="AC9" s="147">
        <f>AB9*'Interactive Effects'!$B$10</f>
        <v>52.194420000000051</v>
      </c>
      <c r="AD9" s="199">
        <f>AB9*'Interactive Effects'!$D$10</f>
        <v>-1.1615817000000013</v>
      </c>
      <c r="AE9" s="198">
        <f t="shared" si="3"/>
        <v>-6.7457209219223657E-2</v>
      </c>
      <c r="AF9" s="195"/>
      <c r="AG9" s="147">
        <v>38.6</v>
      </c>
      <c r="AH9" s="213">
        <v>8.3800000000000003E-3</v>
      </c>
      <c r="AI9" s="199">
        <v>-1.04</v>
      </c>
      <c r="AJ9" s="147">
        <f>AG9*1.45</f>
        <v>55.97</v>
      </c>
      <c r="AK9" s="331">
        <f>AH9*1.45</f>
        <v>1.2151E-2</v>
      </c>
      <c r="AL9" s="337">
        <f>AI9*1.45</f>
        <v>-1.508</v>
      </c>
    </row>
    <row r="10" spans="1:38" ht="16.5" thickBot="1">
      <c r="A10" s="535"/>
      <c r="B10" s="519"/>
      <c r="C10" s="200" t="s">
        <v>141</v>
      </c>
      <c r="D10" s="201">
        <v>18</v>
      </c>
      <c r="E10" s="192"/>
      <c r="F10" s="522"/>
      <c r="G10" s="148">
        <f>8.62*R10+228.3</f>
        <v>481.72799999999995</v>
      </c>
      <c r="H10" s="148">
        <f>8.62*D10+228.3</f>
        <v>383.46000000000004</v>
      </c>
      <c r="I10" s="192"/>
      <c r="J10" s="522"/>
      <c r="K10" s="148">
        <f>7.67*R10+205.5</f>
        <v>430.99799999999999</v>
      </c>
      <c r="L10" s="148">
        <f>7.76*D10+205.5</f>
        <v>345.18</v>
      </c>
      <c r="M10" s="192"/>
      <c r="N10" s="522"/>
      <c r="O10" s="148">
        <f>0.95*K10</f>
        <v>409.44809999999995</v>
      </c>
      <c r="P10" s="148">
        <f t="shared" si="0"/>
        <v>327.92099999999999</v>
      </c>
      <c r="Q10" s="192"/>
      <c r="R10" s="200">
        <v>29.4</v>
      </c>
      <c r="S10" s="192"/>
      <c r="T10" s="148">
        <f>G10-K10</f>
        <v>50.729999999999961</v>
      </c>
      <c r="U10" s="202">
        <f>(T10-AG10)/AG10</f>
        <v>0.18251748251748165</v>
      </c>
      <c r="V10" s="192"/>
      <c r="W10" s="148">
        <f t="shared" si="1"/>
        <v>38.28000000000003</v>
      </c>
      <c r="X10" s="148">
        <f>W10*'Interactive Effects'!$B$10</f>
        <v>39.045600000000029</v>
      </c>
      <c r="Y10" s="148">
        <f>W10*'Interactive Effects'!$D$10</f>
        <v>-0.86895600000000073</v>
      </c>
      <c r="Z10" s="202">
        <f t="shared" si="2"/>
        <v>-8.9846153846153146E-2</v>
      </c>
      <c r="AA10" s="192"/>
      <c r="AB10" s="148">
        <f t="shared" si="4"/>
        <v>55.539000000000044</v>
      </c>
      <c r="AC10" s="148">
        <f>AB10*'Interactive Effects'!$B$10</f>
        <v>56.649780000000042</v>
      </c>
      <c r="AD10" s="203">
        <f>AB10*'Interactive Effects'!$D$10</f>
        <v>-1.260735300000001</v>
      </c>
      <c r="AE10" s="202">
        <f t="shared" si="3"/>
        <v>-8.9305039787797705E-2</v>
      </c>
      <c r="AF10" s="195"/>
      <c r="AG10" s="148">
        <v>42.9</v>
      </c>
      <c r="AH10" s="214">
        <v>9.3200000000000002E-3</v>
      </c>
      <c r="AI10" s="203">
        <v>-1.1599999999999999</v>
      </c>
      <c r="AJ10" s="148">
        <f t="shared" si="5"/>
        <v>62.204999999999998</v>
      </c>
      <c r="AK10" s="332">
        <f t="shared" si="6"/>
        <v>1.3514E-2</v>
      </c>
      <c r="AL10" s="204">
        <f t="shared" si="6"/>
        <v>-1.6819999999999999</v>
      </c>
    </row>
    <row r="11" spans="1:38" ht="17.100000000000001" hidden="1" customHeight="1" thickBot="1">
      <c r="A11" s="535"/>
      <c r="B11" s="523" t="s">
        <v>117</v>
      </c>
      <c r="C11" s="145" t="s">
        <v>140</v>
      </c>
      <c r="D11" s="178">
        <v>12.9</v>
      </c>
      <c r="E11" s="93"/>
      <c r="F11" s="526" t="s">
        <v>118</v>
      </c>
      <c r="G11" s="143" t="s">
        <v>46</v>
      </c>
      <c r="H11" s="140">
        <f>8.62*D11+312.3</f>
        <v>423.49799999999999</v>
      </c>
      <c r="I11" s="93"/>
      <c r="J11" s="526" t="s">
        <v>131</v>
      </c>
      <c r="K11" s="143" t="s">
        <v>46</v>
      </c>
      <c r="L11" s="140">
        <f>7.76*D11+289.5</f>
        <v>389.60399999999998</v>
      </c>
      <c r="M11" s="93"/>
      <c r="N11" s="526" t="s">
        <v>131</v>
      </c>
      <c r="O11" s="143" t="s">
        <v>46</v>
      </c>
      <c r="P11" s="140">
        <f>7.76*V11+289.5</f>
        <v>289.5</v>
      </c>
      <c r="Q11" s="93"/>
      <c r="R11" s="158" t="s">
        <v>137</v>
      </c>
      <c r="S11" s="93"/>
      <c r="T11" s="158" t="s">
        <v>46</v>
      </c>
      <c r="U11" s="158" t="s">
        <v>46</v>
      </c>
      <c r="V11" s="93"/>
      <c r="W11" s="142">
        <f t="shared" si="1"/>
        <v>33.894000000000005</v>
      </c>
      <c r="X11" s="142"/>
      <c r="Y11" s="180">
        <f>W11*'Interactive Effects'!$D$10</f>
        <v>-0.76939380000000013</v>
      </c>
      <c r="Z11" s="182" t="e">
        <f t="shared" si="2"/>
        <v>#DIV/0!</v>
      </c>
      <c r="AA11" s="93"/>
      <c r="AB11" s="140">
        <f t="shared" si="4"/>
        <v>133.99799999999999</v>
      </c>
      <c r="AC11" s="142"/>
      <c r="AD11" s="188">
        <f>AB11*'Interactive Effects'!$D$10</f>
        <v>-3.0417546</v>
      </c>
      <c r="AE11" s="182" t="e">
        <f t="shared" si="3"/>
        <v>#DIV/0!</v>
      </c>
      <c r="AF11" s="186"/>
      <c r="AG11" s="140"/>
      <c r="AH11" s="215"/>
      <c r="AI11" s="184"/>
      <c r="AJ11" s="140">
        <f t="shared" si="5"/>
        <v>0</v>
      </c>
      <c r="AK11" s="215">
        <f t="shared" si="6"/>
        <v>0</v>
      </c>
      <c r="AL11" s="204">
        <f t="shared" si="6"/>
        <v>0</v>
      </c>
    </row>
    <row r="12" spans="1:38" ht="17.100000000000001" hidden="1" customHeight="1" thickBot="1">
      <c r="A12" s="535"/>
      <c r="B12" s="524"/>
      <c r="C12" s="145" t="s">
        <v>139</v>
      </c>
      <c r="D12" s="178">
        <f>AVERAGE(13,16)</f>
        <v>14.5</v>
      </c>
      <c r="E12" s="93"/>
      <c r="F12" s="527"/>
      <c r="G12" s="143" t="s">
        <v>46</v>
      </c>
      <c r="H12" s="140">
        <f>8.62*D12+312.3</f>
        <v>437.29</v>
      </c>
      <c r="I12" s="93"/>
      <c r="J12" s="527"/>
      <c r="K12" s="143" t="s">
        <v>46</v>
      </c>
      <c r="L12" s="140">
        <f>7.76*D12+289.5</f>
        <v>402.02</v>
      </c>
      <c r="M12" s="93"/>
      <c r="N12" s="527"/>
      <c r="O12" s="143" t="s">
        <v>46</v>
      </c>
      <c r="P12" s="140">
        <f>7.76*V12+289.5</f>
        <v>289.5</v>
      </c>
      <c r="Q12" s="93"/>
      <c r="R12" s="158" t="s">
        <v>137</v>
      </c>
      <c r="S12" s="93"/>
      <c r="T12" s="158" t="s">
        <v>46</v>
      </c>
      <c r="U12" s="158" t="s">
        <v>46</v>
      </c>
      <c r="V12" s="93"/>
      <c r="W12" s="142">
        <f t="shared" si="1"/>
        <v>35.270000000000039</v>
      </c>
      <c r="X12" s="142"/>
      <c r="Y12" s="180">
        <f>W12*'Interactive Effects'!$D$10</f>
        <v>-0.80062900000000092</v>
      </c>
      <c r="Z12" s="182" t="e">
        <f t="shared" si="2"/>
        <v>#DIV/0!</v>
      </c>
      <c r="AA12" s="93"/>
      <c r="AB12" s="140">
        <f t="shared" si="4"/>
        <v>147.79000000000002</v>
      </c>
      <c r="AC12" s="142"/>
      <c r="AD12" s="188">
        <f>AB12*'Interactive Effects'!$D$10</f>
        <v>-3.3548330000000006</v>
      </c>
      <c r="AE12" s="182" t="e">
        <f t="shared" si="3"/>
        <v>#DIV/0!</v>
      </c>
      <c r="AF12" s="186"/>
      <c r="AG12" s="140"/>
      <c r="AH12" s="215"/>
      <c r="AI12" s="184"/>
      <c r="AJ12" s="140">
        <f t="shared" si="5"/>
        <v>0</v>
      </c>
      <c r="AK12" s="215">
        <f t="shared" si="6"/>
        <v>0</v>
      </c>
      <c r="AL12" s="204">
        <f t="shared" si="6"/>
        <v>0</v>
      </c>
    </row>
    <row r="13" spans="1:38" ht="17.100000000000001" hidden="1" customHeight="1" thickBot="1">
      <c r="A13" s="535"/>
      <c r="B13" s="525"/>
      <c r="C13" s="145" t="s">
        <v>141</v>
      </c>
      <c r="D13" s="178">
        <v>16</v>
      </c>
      <c r="E13" s="93"/>
      <c r="F13" s="528"/>
      <c r="G13" s="143" t="s">
        <v>46</v>
      </c>
      <c r="H13" s="140">
        <f>8.62*D13+312.3</f>
        <v>450.22</v>
      </c>
      <c r="I13" s="93"/>
      <c r="J13" s="528"/>
      <c r="K13" s="143" t="s">
        <v>46</v>
      </c>
      <c r="L13" s="140">
        <f>7.76*D13+289.5</f>
        <v>413.65999999999997</v>
      </c>
      <c r="M13" s="93"/>
      <c r="N13" s="528"/>
      <c r="O13" s="143" t="s">
        <v>46</v>
      </c>
      <c r="P13" s="140">
        <f>7.76*V13+289.5</f>
        <v>289.5</v>
      </c>
      <c r="Q13" s="93"/>
      <c r="R13" s="158" t="s">
        <v>137</v>
      </c>
      <c r="S13" s="93"/>
      <c r="T13" s="158" t="s">
        <v>46</v>
      </c>
      <c r="U13" s="158" t="s">
        <v>46</v>
      </c>
      <c r="V13" s="93"/>
      <c r="W13" s="142">
        <f t="shared" si="1"/>
        <v>36.560000000000059</v>
      </c>
      <c r="X13" s="142"/>
      <c r="Y13" s="180">
        <f>W13*'Interactive Effects'!$D$10</f>
        <v>-0.82991200000000143</v>
      </c>
      <c r="Z13" s="182" t="e">
        <f t="shared" si="2"/>
        <v>#DIV/0!</v>
      </c>
      <c r="AA13" s="93"/>
      <c r="AB13" s="140">
        <f t="shared" si="4"/>
        <v>160.72000000000003</v>
      </c>
      <c r="AC13" s="142"/>
      <c r="AD13" s="188">
        <f>AB13*'Interactive Effects'!$D$10</f>
        <v>-3.6483440000000007</v>
      </c>
      <c r="AE13" s="182" t="e">
        <f t="shared" si="3"/>
        <v>#DIV/0!</v>
      </c>
      <c r="AF13" s="186"/>
      <c r="AG13" s="140"/>
      <c r="AH13" s="215"/>
      <c r="AI13" s="184"/>
      <c r="AJ13" s="140">
        <f t="shared" si="5"/>
        <v>0</v>
      </c>
      <c r="AK13" s="215">
        <f t="shared" si="6"/>
        <v>0</v>
      </c>
      <c r="AL13" s="204">
        <f t="shared" si="6"/>
        <v>0</v>
      </c>
    </row>
    <row r="14" spans="1:38" ht="17.100000000000001" hidden="1" customHeight="1" thickBot="1">
      <c r="A14" s="535"/>
      <c r="B14" s="523" t="s">
        <v>119</v>
      </c>
      <c r="C14" s="145" t="s">
        <v>140</v>
      </c>
      <c r="D14" s="178">
        <v>12.9</v>
      </c>
      <c r="E14" s="93"/>
      <c r="F14" s="526" t="s">
        <v>120</v>
      </c>
      <c r="G14" s="143" t="s">
        <v>46</v>
      </c>
      <c r="H14" s="140">
        <f>9.86*D14+260.9</f>
        <v>388.09399999999999</v>
      </c>
      <c r="I14" s="93"/>
      <c r="J14" s="526" t="s">
        <v>132</v>
      </c>
      <c r="K14" s="143" t="s">
        <v>46</v>
      </c>
      <c r="L14" s="140">
        <f>8.87*D14+234.8</f>
        <v>349.22300000000001</v>
      </c>
      <c r="M14" s="93"/>
      <c r="N14" s="526" t="s">
        <v>132</v>
      </c>
      <c r="O14" s="143" t="s">
        <v>46</v>
      </c>
      <c r="P14" s="140">
        <f>8.87*V14+234.8</f>
        <v>234.8</v>
      </c>
      <c r="Q14" s="93"/>
      <c r="R14" s="158" t="s">
        <v>137</v>
      </c>
      <c r="S14" s="93"/>
      <c r="T14" s="158" t="s">
        <v>46</v>
      </c>
      <c r="U14" s="158" t="s">
        <v>46</v>
      </c>
      <c r="V14" s="93"/>
      <c r="W14" s="142">
        <f t="shared" si="1"/>
        <v>38.870999999999981</v>
      </c>
      <c r="X14" s="142"/>
      <c r="Y14" s="180">
        <f>W14*'Interactive Effects'!$D$10</f>
        <v>-0.88237169999999965</v>
      </c>
      <c r="Z14" s="182" t="e">
        <f t="shared" si="2"/>
        <v>#DIV/0!</v>
      </c>
      <c r="AA14" s="93"/>
      <c r="AB14" s="140">
        <f t="shared" si="4"/>
        <v>153.29399999999998</v>
      </c>
      <c r="AC14" s="142"/>
      <c r="AD14" s="188">
        <f>AB14*'Interactive Effects'!$D$10</f>
        <v>-3.4797737999999998</v>
      </c>
      <c r="AE14" s="182" t="e">
        <f t="shared" si="3"/>
        <v>#DIV/0!</v>
      </c>
      <c r="AF14" s="186"/>
      <c r="AG14" s="140"/>
      <c r="AH14" s="215"/>
      <c r="AI14" s="184"/>
      <c r="AJ14" s="140">
        <f t="shared" si="5"/>
        <v>0</v>
      </c>
      <c r="AK14" s="215">
        <f t="shared" si="6"/>
        <v>0</v>
      </c>
      <c r="AL14" s="204">
        <f t="shared" si="6"/>
        <v>0</v>
      </c>
    </row>
    <row r="15" spans="1:38" ht="17.100000000000001" hidden="1" customHeight="1" thickBot="1">
      <c r="A15" s="535"/>
      <c r="B15" s="524"/>
      <c r="C15" s="145" t="s">
        <v>139</v>
      </c>
      <c r="D15" s="178">
        <f>AVERAGE(13,16)</f>
        <v>14.5</v>
      </c>
      <c r="E15" s="93"/>
      <c r="F15" s="527"/>
      <c r="G15" s="143" t="s">
        <v>46</v>
      </c>
      <c r="H15" s="140">
        <f>9.86*D15+260.9</f>
        <v>403.87</v>
      </c>
      <c r="I15" s="93"/>
      <c r="J15" s="527"/>
      <c r="K15" s="143" t="s">
        <v>46</v>
      </c>
      <c r="L15" s="140">
        <f>8.87*D15+234.8</f>
        <v>363.41499999999996</v>
      </c>
      <c r="M15" s="93"/>
      <c r="N15" s="527"/>
      <c r="O15" s="143" t="s">
        <v>46</v>
      </c>
      <c r="P15" s="140">
        <f>8.87*V15+234.8</f>
        <v>234.8</v>
      </c>
      <c r="Q15" s="93"/>
      <c r="R15" s="158" t="s">
        <v>137</v>
      </c>
      <c r="S15" s="93"/>
      <c r="T15" s="158" t="s">
        <v>46</v>
      </c>
      <c r="U15" s="158" t="s">
        <v>46</v>
      </c>
      <c r="V15" s="93"/>
      <c r="W15" s="142">
        <f t="shared" si="1"/>
        <v>40.455000000000041</v>
      </c>
      <c r="X15" s="142"/>
      <c r="Y15" s="180">
        <f>W15*'Interactive Effects'!$D$10</f>
        <v>-0.91832850000000099</v>
      </c>
      <c r="Z15" s="182" t="e">
        <f t="shared" si="2"/>
        <v>#DIV/0!</v>
      </c>
      <c r="AA15" s="93"/>
      <c r="AB15" s="140">
        <f t="shared" si="4"/>
        <v>169.07</v>
      </c>
      <c r="AC15" s="142"/>
      <c r="AD15" s="188">
        <f>AB15*'Interactive Effects'!$D$10</f>
        <v>-3.8378890000000001</v>
      </c>
      <c r="AE15" s="182" t="e">
        <f t="shared" si="3"/>
        <v>#DIV/0!</v>
      </c>
      <c r="AF15" s="186"/>
      <c r="AG15" s="140"/>
      <c r="AH15" s="215"/>
      <c r="AI15" s="184"/>
      <c r="AJ15" s="140">
        <f t="shared" si="5"/>
        <v>0</v>
      </c>
      <c r="AK15" s="215">
        <f t="shared" si="6"/>
        <v>0</v>
      </c>
      <c r="AL15" s="204">
        <f t="shared" si="6"/>
        <v>0</v>
      </c>
    </row>
    <row r="16" spans="1:38" ht="17.100000000000001" hidden="1" customHeight="1" thickBot="1">
      <c r="A16" s="535"/>
      <c r="B16" s="525"/>
      <c r="C16" s="145" t="s">
        <v>141</v>
      </c>
      <c r="D16" s="178">
        <v>16</v>
      </c>
      <c r="E16" s="93"/>
      <c r="F16" s="528"/>
      <c r="G16" s="143" t="s">
        <v>46</v>
      </c>
      <c r="H16" s="140">
        <f>9.86*D16+260.9</f>
        <v>418.65999999999997</v>
      </c>
      <c r="I16" s="93"/>
      <c r="J16" s="528"/>
      <c r="K16" s="143" t="s">
        <v>46</v>
      </c>
      <c r="L16" s="140">
        <f>8.87*D16+234.8</f>
        <v>376.72</v>
      </c>
      <c r="M16" s="93"/>
      <c r="N16" s="528"/>
      <c r="O16" s="143" t="s">
        <v>46</v>
      </c>
      <c r="P16" s="140">
        <f>8.87*V16+234.8</f>
        <v>234.8</v>
      </c>
      <c r="Q16" s="93"/>
      <c r="R16" s="158" t="s">
        <v>137</v>
      </c>
      <c r="S16" s="93"/>
      <c r="T16" s="158" t="s">
        <v>46</v>
      </c>
      <c r="U16" s="158" t="s">
        <v>46</v>
      </c>
      <c r="V16" s="93"/>
      <c r="W16" s="142">
        <f t="shared" si="1"/>
        <v>41.939999999999941</v>
      </c>
      <c r="X16" s="142"/>
      <c r="Y16" s="180">
        <f>W16*'Interactive Effects'!$D$10</f>
        <v>-0.95203799999999872</v>
      </c>
      <c r="Z16" s="182" t="e">
        <f t="shared" si="2"/>
        <v>#DIV/0!</v>
      </c>
      <c r="AA16" s="93"/>
      <c r="AB16" s="140">
        <f t="shared" si="4"/>
        <v>183.85999999999996</v>
      </c>
      <c r="AC16" s="142"/>
      <c r="AD16" s="188">
        <f>AB16*'Interactive Effects'!$D$10</f>
        <v>-4.1736219999999991</v>
      </c>
      <c r="AE16" s="182" t="e">
        <f t="shared" si="3"/>
        <v>#DIV/0!</v>
      </c>
      <c r="AF16" s="186"/>
      <c r="AG16" s="140"/>
      <c r="AH16" s="215"/>
      <c r="AI16" s="184"/>
      <c r="AJ16" s="140">
        <f t="shared" si="5"/>
        <v>0</v>
      </c>
      <c r="AK16" s="215">
        <f t="shared" si="6"/>
        <v>0</v>
      </c>
      <c r="AL16" s="204">
        <f t="shared" si="6"/>
        <v>0</v>
      </c>
    </row>
    <row r="17" spans="1:38" ht="17.100000000000001" hidden="1" customHeight="1" thickBot="1">
      <c r="A17" s="535"/>
      <c r="B17" s="523" t="s">
        <v>121</v>
      </c>
      <c r="C17" s="145" t="s">
        <v>140</v>
      </c>
      <c r="D17" s="179"/>
      <c r="E17" s="93"/>
      <c r="F17" s="526" t="s">
        <v>122</v>
      </c>
      <c r="G17" s="143" t="s">
        <v>46</v>
      </c>
      <c r="H17" s="140"/>
      <c r="I17" s="93"/>
      <c r="J17" s="526" t="s">
        <v>133</v>
      </c>
      <c r="K17" s="143" t="s">
        <v>46</v>
      </c>
      <c r="L17" s="144"/>
      <c r="M17" s="93"/>
      <c r="N17" s="526" t="s">
        <v>133</v>
      </c>
      <c r="O17" s="143" t="s">
        <v>46</v>
      </c>
      <c r="P17" s="144"/>
      <c r="Q17" s="93"/>
      <c r="R17" s="158" t="s">
        <v>137</v>
      </c>
      <c r="S17" s="93"/>
      <c r="T17" s="158" t="s">
        <v>46</v>
      </c>
      <c r="U17" s="158" t="s">
        <v>46</v>
      </c>
      <c r="V17" s="93"/>
      <c r="W17" s="144"/>
      <c r="X17" s="144"/>
      <c r="Y17" s="181">
        <f>W17*'Interactive Effects'!$D$10</f>
        <v>0</v>
      </c>
      <c r="Z17" s="183" t="e">
        <f t="shared" si="2"/>
        <v>#DIV/0!</v>
      </c>
      <c r="AA17" s="93"/>
      <c r="AB17" s="144"/>
      <c r="AC17" s="144"/>
      <c r="AD17" s="189">
        <f>AB17*'Interactive Effects'!$D$10</f>
        <v>0</v>
      </c>
      <c r="AE17" s="183" t="e">
        <f t="shared" si="3"/>
        <v>#DIV/0!</v>
      </c>
      <c r="AF17" s="187"/>
      <c r="AG17" s="144"/>
      <c r="AH17" s="216"/>
      <c r="AI17" s="185"/>
      <c r="AJ17" s="144">
        <f t="shared" si="5"/>
        <v>0</v>
      </c>
      <c r="AK17" s="216">
        <f t="shared" si="6"/>
        <v>0</v>
      </c>
      <c r="AL17" s="204">
        <f t="shared" si="6"/>
        <v>0</v>
      </c>
    </row>
    <row r="18" spans="1:38" ht="17.100000000000001" hidden="1" customHeight="1" thickBot="1">
      <c r="A18" s="535"/>
      <c r="B18" s="524"/>
      <c r="C18" s="145" t="s">
        <v>139</v>
      </c>
      <c r="D18" s="179"/>
      <c r="E18" s="93"/>
      <c r="F18" s="527"/>
      <c r="G18" s="143" t="s">
        <v>46</v>
      </c>
      <c r="H18" s="140"/>
      <c r="I18" s="93"/>
      <c r="J18" s="527"/>
      <c r="K18" s="143" t="s">
        <v>46</v>
      </c>
      <c r="L18" s="144"/>
      <c r="M18" s="93"/>
      <c r="N18" s="527"/>
      <c r="O18" s="143" t="s">
        <v>46</v>
      </c>
      <c r="P18" s="144"/>
      <c r="Q18" s="93"/>
      <c r="R18" s="158" t="s">
        <v>137</v>
      </c>
      <c r="S18" s="93"/>
      <c r="T18" s="158" t="s">
        <v>46</v>
      </c>
      <c r="U18" s="158" t="s">
        <v>46</v>
      </c>
      <c r="V18" s="93"/>
      <c r="W18" s="144"/>
      <c r="X18" s="144"/>
      <c r="Y18" s="181">
        <f>W18*'Interactive Effects'!$D$10</f>
        <v>0</v>
      </c>
      <c r="Z18" s="183"/>
      <c r="AA18" s="93"/>
      <c r="AB18" s="144"/>
      <c r="AC18" s="144"/>
      <c r="AD18" s="189">
        <f>AB18*'Interactive Effects'!$D$10</f>
        <v>0</v>
      </c>
      <c r="AE18" s="183" t="e">
        <f t="shared" si="3"/>
        <v>#DIV/0!</v>
      </c>
      <c r="AF18" s="187"/>
      <c r="AG18" s="144"/>
      <c r="AH18" s="216"/>
      <c r="AI18" s="185"/>
      <c r="AJ18" s="144">
        <f t="shared" si="5"/>
        <v>0</v>
      </c>
      <c r="AK18" s="216">
        <f t="shared" si="6"/>
        <v>0</v>
      </c>
      <c r="AL18" s="204">
        <f t="shared" si="6"/>
        <v>0</v>
      </c>
    </row>
    <row r="19" spans="1:38" ht="17.100000000000001" hidden="1" customHeight="1" thickBot="1">
      <c r="A19" s="535"/>
      <c r="B19" s="525"/>
      <c r="C19" s="145" t="s">
        <v>141</v>
      </c>
      <c r="D19" s="179"/>
      <c r="E19" s="93"/>
      <c r="F19" s="528"/>
      <c r="G19" s="143" t="s">
        <v>46</v>
      </c>
      <c r="H19" s="140"/>
      <c r="I19" s="93"/>
      <c r="J19" s="528"/>
      <c r="K19" s="143" t="s">
        <v>46</v>
      </c>
      <c r="L19" s="144"/>
      <c r="M19" s="93"/>
      <c r="N19" s="528"/>
      <c r="O19" s="143" t="s">
        <v>46</v>
      </c>
      <c r="P19" s="144"/>
      <c r="Q19" s="93"/>
      <c r="R19" s="158" t="s">
        <v>137</v>
      </c>
      <c r="S19" s="93"/>
      <c r="T19" s="158" t="s">
        <v>46</v>
      </c>
      <c r="U19" s="158" t="s">
        <v>46</v>
      </c>
      <c r="V19" s="93"/>
      <c r="W19" s="144"/>
      <c r="X19" s="144"/>
      <c r="Y19" s="181">
        <f>W19*'Interactive Effects'!$D$10</f>
        <v>0</v>
      </c>
      <c r="Z19" s="183"/>
      <c r="AA19" s="93"/>
      <c r="AB19" s="144"/>
      <c r="AC19" s="144"/>
      <c r="AD19" s="189">
        <f>AB19*'Interactive Effects'!$D$10</f>
        <v>0</v>
      </c>
      <c r="AE19" s="183" t="e">
        <f t="shared" si="3"/>
        <v>#DIV/0!</v>
      </c>
      <c r="AF19" s="187"/>
      <c r="AG19" s="144"/>
      <c r="AH19" s="216"/>
      <c r="AI19" s="185"/>
      <c r="AJ19" s="144">
        <f t="shared" si="5"/>
        <v>0</v>
      </c>
      <c r="AK19" s="216">
        <f t="shared" si="6"/>
        <v>0</v>
      </c>
      <c r="AL19" s="204">
        <f t="shared" si="6"/>
        <v>0</v>
      </c>
    </row>
    <row r="20" spans="1:38" ht="17.100000000000001" customHeight="1">
      <c r="A20" s="535"/>
      <c r="B20" s="517" t="s">
        <v>123</v>
      </c>
      <c r="C20" s="190" t="s">
        <v>140</v>
      </c>
      <c r="D20" s="191">
        <v>11</v>
      </c>
      <c r="E20" s="192"/>
      <c r="F20" s="520" t="s">
        <v>124</v>
      </c>
      <c r="G20" s="146" t="s">
        <v>46</v>
      </c>
      <c r="H20" s="146">
        <f>7.29*D20+107.8</f>
        <v>187.99</v>
      </c>
      <c r="I20" s="192"/>
      <c r="J20" s="520" t="s">
        <v>134</v>
      </c>
      <c r="K20" s="146" t="s">
        <v>46</v>
      </c>
      <c r="L20" s="146">
        <f>6.56*D20+97</f>
        <v>169.16</v>
      </c>
      <c r="M20" s="192"/>
      <c r="N20" s="520" t="s">
        <v>158</v>
      </c>
      <c r="O20" s="146" t="str">
        <f>K20</f>
        <v>NA</v>
      </c>
      <c r="P20" s="146">
        <f t="shared" ref="P20:P25" si="7">0.95*L20</f>
        <v>160.702</v>
      </c>
      <c r="Q20" s="192"/>
      <c r="R20" s="190" t="s">
        <v>137</v>
      </c>
      <c r="S20" s="192"/>
      <c r="T20" s="146" t="s">
        <v>46</v>
      </c>
      <c r="U20" s="146" t="s">
        <v>46</v>
      </c>
      <c r="V20" s="192"/>
      <c r="W20" s="146">
        <f t="shared" ref="W20:W25" si="8">H20-L20</f>
        <v>18.830000000000013</v>
      </c>
      <c r="X20" s="146">
        <f>W20*'Interactive Effects'!$B$10</f>
        <v>19.206600000000012</v>
      </c>
      <c r="Y20" s="146">
        <f>W20*'Interactive Effects'!$D$10</f>
        <v>-0.42744100000000029</v>
      </c>
      <c r="Z20" s="193">
        <f t="shared" ref="Z20:Z25" si="9">(X20-AG20)/AG20</f>
        <v>-0.10666976744185989</v>
      </c>
      <c r="AA20" s="192"/>
      <c r="AB20" s="146">
        <f t="shared" ref="AB20:AB25" si="10">H20-P20</f>
        <v>27.288000000000011</v>
      </c>
      <c r="AC20" s="146">
        <f>AB20*'Interactive Effects'!$B$10</f>
        <v>27.833760000000012</v>
      </c>
      <c r="AD20" s="194">
        <f>AB20*'Interactive Effects'!$D$10</f>
        <v>-0.61943760000000025</v>
      </c>
      <c r="AE20" s="193">
        <f t="shared" si="3"/>
        <v>-0.10717690457096996</v>
      </c>
      <c r="AF20" s="195"/>
      <c r="AG20" s="146">
        <v>21.5</v>
      </c>
      <c r="AH20" s="212">
        <v>4.6600000000000001E-3</v>
      </c>
      <c r="AI20" s="194">
        <v>-0.57899999999999996</v>
      </c>
      <c r="AJ20" s="146">
        <f t="shared" si="5"/>
        <v>31.175000000000001</v>
      </c>
      <c r="AK20" s="212">
        <f t="shared" si="6"/>
        <v>6.757E-3</v>
      </c>
      <c r="AL20" s="336">
        <f t="shared" si="6"/>
        <v>-0.83954999999999991</v>
      </c>
    </row>
    <row r="21" spans="1:38">
      <c r="A21" s="535"/>
      <c r="B21" s="518"/>
      <c r="C21" s="196" t="s">
        <v>139</v>
      </c>
      <c r="D21" s="197">
        <f>AVERAGE(13,16)</f>
        <v>14.5</v>
      </c>
      <c r="E21" s="192"/>
      <c r="F21" s="521"/>
      <c r="G21" s="147">
        <f>7.29*R21+107.8</f>
        <v>212.047</v>
      </c>
      <c r="H21" s="147">
        <f>7.29*D21+107.8</f>
        <v>213.505</v>
      </c>
      <c r="I21" s="192"/>
      <c r="J21" s="521"/>
      <c r="K21" s="147">
        <f>6.56*R21+97</f>
        <v>190.80799999999999</v>
      </c>
      <c r="L21" s="147">
        <f>6.56*D21+97</f>
        <v>192.12</v>
      </c>
      <c r="M21" s="192"/>
      <c r="N21" s="521"/>
      <c r="O21" s="147">
        <f>0.95*K21</f>
        <v>181.26759999999999</v>
      </c>
      <c r="P21" s="147">
        <f t="shared" si="7"/>
        <v>182.51399999999998</v>
      </c>
      <c r="Q21" s="192"/>
      <c r="R21" s="196">
        <v>14.3</v>
      </c>
      <c r="S21" s="192"/>
      <c r="T21" s="147">
        <f>G21-K21</f>
        <v>21.239000000000004</v>
      </c>
      <c r="U21" s="198">
        <f>(T21-AG21)/AG21</f>
        <v>-0.14702811244979896</v>
      </c>
      <c r="V21" s="192"/>
      <c r="W21" s="147">
        <f t="shared" si="8"/>
        <v>21.384999999999991</v>
      </c>
      <c r="X21" s="147">
        <f>W21*'Interactive Effects'!$B$10</f>
        <v>21.812699999999992</v>
      </c>
      <c r="Y21" s="147">
        <f>W21*'Interactive Effects'!$D$10</f>
        <v>-0.4854394999999998</v>
      </c>
      <c r="Z21" s="198">
        <f t="shared" si="9"/>
        <v>-0.12398795180722917</v>
      </c>
      <c r="AA21" s="192"/>
      <c r="AB21" s="147">
        <f t="shared" si="10"/>
        <v>30.991000000000014</v>
      </c>
      <c r="AC21" s="147">
        <f>AB21*'Interactive Effects'!$B$10</f>
        <v>31.610820000000015</v>
      </c>
      <c r="AD21" s="199">
        <f>AB21*'Interactive Effects'!$D$10</f>
        <v>-0.70349570000000039</v>
      </c>
      <c r="AE21" s="198">
        <f t="shared" si="3"/>
        <v>-0.12447528043207264</v>
      </c>
      <c r="AF21" s="195"/>
      <c r="AG21" s="147">
        <v>24.9</v>
      </c>
      <c r="AH21" s="213">
        <v>5.4000000000000003E-3</v>
      </c>
      <c r="AI21" s="199">
        <v>-0.67200000000000004</v>
      </c>
      <c r="AJ21" s="147">
        <f t="shared" si="5"/>
        <v>36.104999999999997</v>
      </c>
      <c r="AK21" s="213">
        <f t="shared" si="6"/>
        <v>7.8300000000000002E-3</v>
      </c>
      <c r="AL21" s="337">
        <f t="shared" si="6"/>
        <v>-0.97440000000000004</v>
      </c>
    </row>
    <row r="22" spans="1:38" ht="16.5" thickBot="1">
      <c r="A22" s="535"/>
      <c r="B22" s="519"/>
      <c r="C22" s="200" t="s">
        <v>141</v>
      </c>
      <c r="D22" s="201">
        <v>18</v>
      </c>
      <c r="E22" s="192"/>
      <c r="F22" s="522"/>
      <c r="G22" s="148">
        <f>7.29*R22+107.8</f>
        <v>257.245</v>
      </c>
      <c r="H22" s="148">
        <f>7.29*D22+107.8</f>
        <v>239.01999999999998</v>
      </c>
      <c r="I22" s="192"/>
      <c r="J22" s="522"/>
      <c r="K22" s="148">
        <f>6.56*R22+97</f>
        <v>231.48</v>
      </c>
      <c r="L22" s="148">
        <f>6.56*D22+97</f>
        <v>215.07999999999998</v>
      </c>
      <c r="M22" s="192"/>
      <c r="N22" s="522"/>
      <c r="O22" s="148">
        <f>0.95*K22</f>
        <v>219.90599999999998</v>
      </c>
      <c r="P22" s="148">
        <f t="shared" si="7"/>
        <v>204.32599999999996</v>
      </c>
      <c r="Q22" s="192"/>
      <c r="R22" s="200">
        <v>20.5</v>
      </c>
      <c r="S22" s="192"/>
      <c r="T22" s="148">
        <f>G22-K22</f>
        <v>25.765000000000015</v>
      </c>
      <c r="U22" s="202">
        <f>(T22-AG22)/AG22</f>
        <v>-0.11763698630136933</v>
      </c>
      <c r="V22" s="192"/>
      <c r="W22" s="148">
        <f t="shared" si="8"/>
        <v>23.939999999999998</v>
      </c>
      <c r="X22" s="148">
        <f>W22*'Interactive Effects'!$B$10</f>
        <v>24.418799999999997</v>
      </c>
      <c r="Y22" s="148">
        <f>W22*'Interactive Effects'!$D$10</f>
        <v>-0.54343799999999998</v>
      </c>
      <c r="Z22" s="202">
        <f t="shared" si="9"/>
        <v>-0.16373972602739734</v>
      </c>
      <c r="AA22" s="192"/>
      <c r="AB22" s="148">
        <f t="shared" si="10"/>
        <v>34.694000000000017</v>
      </c>
      <c r="AC22" s="148">
        <f>AB22*'Interactive Effects'!$B$10</f>
        <v>35.387880000000017</v>
      </c>
      <c r="AD22" s="203">
        <f>AB22*'Interactive Effects'!$D$10</f>
        <v>-0.78755380000000041</v>
      </c>
      <c r="AE22" s="202">
        <f t="shared" si="3"/>
        <v>-0.1641974492205947</v>
      </c>
      <c r="AF22" s="195"/>
      <c r="AG22" s="148">
        <v>29.2</v>
      </c>
      <c r="AH22" s="214">
        <v>6.3299999999999997E-3</v>
      </c>
      <c r="AI22" s="203">
        <v>-0.78800000000000003</v>
      </c>
      <c r="AJ22" s="148">
        <f t="shared" si="5"/>
        <v>42.339999999999996</v>
      </c>
      <c r="AK22" s="214">
        <f t="shared" si="6"/>
        <v>9.1784999999999992E-3</v>
      </c>
      <c r="AL22" s="204">
        <f t="shared" si="6"/>
        <v>-1.1426000000000001</v>
      </c>
    </row>
    <row r="23" spans="1:38" ht="17.100000000000001" customHeight="1">
      <c r="A23" s="535"/>
      <c r="B23" s="517" t="s">
        <v>125</v>
      </c>
      <c r="C23" s="190" t="s">
        <v>140</v>
      </c>
      <c r="D23" s="191">
        <v>11</v>
      </c>
      <c r="E23" s="192"/>
      <c r="F23" s="520" t="s">
        <v>126</v>
      </c>
      <c r="G23" s="146" t="s">
        <v>46</v>
      </c>
      <c r="H23" s="146">
        <f>10.24*D23+148.1</f>
        <v>260.74</v>
      </c>
      <c r="I23" s="192"/>
      <c r="J23" s="520" t="s">
        <v>135</v>
      </c>
      <c r="K23" s="146" t="s">
        <v>46</v>
      </c>
      <c r="L23" s="146">
        <f>9.22*D23+133.3</f>
        <v>234.72000000000003</v>
      </c>
      <c r="M23" s="192"/>
      <c r="N23" s="520" t="s">
        <v>159</v>
      </c>
      <c r="O23" s="146" t="str">
        <f>K23</f>
        <v>NA</v>
      </c>
      <c r="P23" s="146">
        <f t="shared" si="7"/>
        <v>222.98400000000001</v>
      </c>
      <c r="Q23" s="192"/>
      <c r="R23" s="190" t="s">
        <v>137</v>
      </c>
      <c r="S23" s="192"/>
      <c r="T23" s="146" t="s">
        <v>46</v>
      </c>
      <c r="U23" s="146" t="s">
        <v>46</v>
      </c>
      <c r="V23" s="192"/>
      <c r="W23" s="146">
        <f t="shared" si="8"/>
        <v>26.019999999999982</v>
      </c>
      <c r="X23" s="146">
        <f>W23*'Interactive Effects'!$B$10</f>
        <v>26.54039999999998</v>
      </c>
      <c r="Y23" s="146">
        <f>W23*'Interactive Effects'!$D$10</f>
        <v>-0.59065399999999968</v>
      </c>
      <c r="Z23" s="193">
        <f t="shared" si="9"/>
        <v>-0.11532000000000066</v>
      </c>
      <c r="AA23" s="192"/>
      <c r="AB23" s="146">
        <f t="shared" si="10"/>
        <v>37.756</v>
      </c>
      <c r="AC23" s="146">
        <f>AB23*'Interactive Effects'!$B$10</f>
        <v>38.511119999999998</v>
      </c>
      <c r="AD23" s="194">
        <f>AB23*'Interactive Effects'!$D$10</f>
        <v>-0.85706120000000008</v>
      </c>
      <c r="AE23" s="193">
        <f t="shared" si="3"/>
        <v>-0.11468689655172418</v>
      </c>
      <c r="AF23" s="195"/>
      <c r="AG23" s="146">
        <v>30</v>
      </c>
      <c r="AH23" s="212">
        <v>6.5199999999999998E-3</v>
      </c>
      <c r="AI23" s="194">
        <v>-0.81100000000000005</v>
      </c>
      <c r="AJ23" s="146">
        <f t="shared" si="5"/>
        <v>43.5</v>
      </c>
      <c r="AK23" s="212">
        <f t="shared" si="6"/>
        <v>9.4539999999999989E-3</v>
      </c>
      <c r="AL23" s="336">
        <f t="shared" si="6"/>
        <v>-1.1759500000000001</v>
      </c>
    </row>
    <row r="24" spans="1:38">
      <c r="A24" s="535"/>
      <c r="B24" s="518"/>
      <c r="C24" s="196" t="s">
        <v>139</v>
      </c>
      <c r="D24" s="197">
        <f>AVERAGE(13,16)</f>
        <v>14.5</v>
      </c>
      <c r="E24" s="192"/>
      <c r="F24" s="521"/>
      <c r="G24" s="147" t="s">
        <v>46</v>
      </c>
      <c r="H24" s="147">
        <f>10.24*D24+148.1</f>
        <v>296.58</v>
      </c>
      <c r="I24" s="192"/>
      <c r="J24" s="521"/>
      <c r="K24" s="147" t="s">
        <v>46</v>
      </c>
      <c r="L24" s="147">
        <f>9.22*D24+133.3</f>
        <v>266.99</v>
      </c>
      <c r="M24" s="192"/>
      <c r="N24" s="521"/>
      <c r="O24" s="147" t="str">
        <f>K24</f>
        <v>NA</v>
      </c>
      <c r="P24" s="147">
        <f t="shared" si="7"/>
        <v>253.6405</v>
      </c>
      <c r="Q24" s="192"/>
      <c r="R24" s="196" t="s">
        <v>137</v>
      </c>
      <c r="S24" s="192"/>
      <c r="T24" s="147" t="s">
        <v>46</v>
      </c>
      <c r="U24" s="198" t="s">
        <v>46</v>
      </c>
      <c r="V24" s="192"/>
      <c r="W24" s="147">
        <f t="shared" si="8"/>
        <v>29.589999999999975</v>
      </c>
      <c r="X24" s="147">
        <f>W24*'Interactive Effects'!$B$10</f>
        <v>30.181799999999974</v>
      </c>
      <c r="Y24" s="147">
        <f>W24*'Interactive Effects'!$D$10</f>
        <v>-0.67169299999999943</v>
      </c>
      <c r="Z24" s="198">
        <f t="shared" si="9"/>
        <v>-0.14256250000000081</v>
      </c>
      <c r="AA24" s="192"/>
      <c r="AB24" s="147">
        <f t="shared" si="10"/>
        <v>42.939499999999981</v>
      </c>
      <c r="AC24" s="147">
        <f>AB24*'Interactive Effects'!$B$10</f>
        <v>43.79828999999998</v>
      </c>
      <c r="AD24" s="199">
        <f>AB24*'Interactive Effects'!$D$10</f>
        <v>-0.97472664999999958</v>
      </c>
      <c r="AE24" s="198">
        <f t="shared" si="3"/>
        <v>-0.14188303291536086</v>
      </c>
      <c r="AF24" s="195"/>
      <c r="AG24" s="147">
        <v>35.200000000000003</v>
      </c>
      <c r="AH24" s="213">
        <v>7.6400000000000001E-3</v>
      </c>
      <c r="AI24" s="199">
        <v>-0.95</v>
      </c>
      <c r="AJ24" s="147">
        <f t="shared" si="5"/>
        <v>51.04</v>
      </c>
      <c r="AK24" s="213">
        <f t="shared" si="6"/>
        <v>1.1077999999999999E-2</v>
      </c>
      <c r="AL24" s="337">
        <f t="shared" si="6"/>
        <v>-1.3774999999999999</v>
      </c>
    </row>
    <row r="25" spans="1:38" ht="16.5" thickBot="1">
      <c r="A25" s="536"/>
      <c r="B25" s="519"/>
      <c r="C25" s="200" t="s">
        <v>141</v>
      </c>
      <c r="D25" s="201">
        <v>18</v>
      </c>
      <c r="E25" s="207"/>
      <c r="F25" s="522"/>
      <c r="G25" s="148" t="s">
        <v>46</v>
      </c>
      <c r="H25" s="148">
        <f>10.24*D25+148.1</f>
        <v>332.41999999999996</v>
      </c>
      <c r="I25" s="207"/>
      <c r="J25" s="522"/>
      <c r="K25" s="148" t="s">
        <v>46</v>
      </c>
      <c r="L25" s="148">
        <f>9.22*D25+133.3</f>
        <v>299.26</v>
      </c>
      <c r="M25" s="207"/>
      <c r="N25" s="522"/>
      <c r="O25" s="148" t="str">
        <f>K25</f>
        <v>NA</v>
      </c>
      <c r="P25" s="148">
        <f t="shared" si="7"/>
        <v>284.29699999999997</v>
      </c>
      <c r="Q25" s="207"/>
      <c r="R25" s="200" t="s">
        <v>137</v>
      </c>
      <c r="S25" s="207"/>
      <c r="T25" s="148" t="s">
        <v>46</v>
      </c>
      <c r="U25" s="202" t="s">
        <v>46</v>
      </c>
      <c r="V25" s="207"/>
      <c r="W25" s="148">
        <f t="shared" si="8"/>
        <v>33.159999999999968</v>
      </c>
      <c r="X25" s="148">
        <f>W25*'Interactive Effects'!$B$10</f>
        <v>33.823199999999972</v>
      </c>
      <c r="Y25" s="148">
        <f>W25*'Interactive Effects'!$D$10</f>
        <v>-0.75273199999999929</v>
      </c>
      <c r="Z25" s="202">
        <f t="shared" si="9"/>
        <v>-0.16071464019851181</v>
      </c>
      <c r="AA25" s="207"/>
      <c r="AB25" s="148">
        <f t="shared" si="10"/>
        <v>48.12299999999999</v>
      </c>
      <c r="AC25" s="148">
        <f>AB25*'Interactive Effects'!$B$10</f>
        <v>49.085459999999991</v>
      </c>
      <c r="AD25" s="203">
        <f>AB25*'Interactive Effects'!$D$10</f>
        <v>-1.0923920999999999</v>
      </c>
      <c r="AE25" s="202">
        <f t="shared" si="3"/>
        <v>-0.15999897321810569</v>
      </c>
      <c r="AF25" s="208"/>
      <c r="AG25" s="148">
        <v>40.299999999999997</v>
      </c>
      <c r="AH25" s="214">
        <v>8.7600000000000004E-3</v>
      </c>
      <c r="AI25" s="203">
        <v>-1.0900000000000001</v>
      </c>
      <c r="AJ25" s="148">
        <f t="shared" si="5"/>
        <v>58.434999999999995</v>
      </c>
      <c r="AK25" s="214">
        <f t="shared" si="6"/>
        <v>1.2702E-2</v>
      </c>
      <c r="AL25" s="204">
        <f t="shared" si="6"/>
        <v>-1.5805</v>
      </c>
    </row>
    <row r="26" spans="1:38">
      <c r="A26" s="534" t="s">
        <v>62</v>
      </c>
      <c r="B26" s="517" t="s">
        <v>113</v>
      </c>
      <c r="C26" s="190" t="s">
        <v>140</v>
      </c>
      <c r="D26" s="191"/>
      <c r="E26" s="205"/>
      <c r="F26" s="520"/>
      <c r="G26" s="146"/>
      <c r="H26" s="146"/>
      <c r="I26" s="205"/>
      <c r="J26" s="520"/>
      <c r="K26" s="146"/>
      <c r="L26" s="146"/>
      <c r="M26" s="205"/>
      <c r="N26" s="520"/>
      <c r="O26" s="146"/>
      <c r="P26" s="146"/>
      <c r="Q26" s="205"/>
      <c r="R26" s="190"/>
      <c r="S26" s="205"/>
      <c r="T26" s="146"/>
      <c r="U26" s="146"/>
      <c r="V26" s="205"/>
      <c r="W26" s="146"/>
      <c r="X26" s="146"/>
      <c r="Y26" s="146"/>
      <c r="Z26" s="193"/>
      <c r="AA26" s="205"/>
      <c r="AB26" s="146"/>
      <c r="AC26" s="146"/>
      <c r="AD26" s="194"/>
      <c r="AE26" s="193"/>
      <c r="AF26" s="206"/>
      <c r="AG26" s="146">
        <v>28.8</v>
      </c>
      <c r="AH26" s="212">
        <v>5.7200000000000003E-3</v>
      </c>
      <c r="AI26" s="194">
        <v>-0.56999999999999995</v>
      </c>
      <c r="AJ26" s="209">
        <f t="shared" si="5"/>
        <v>41.76</v>
      </c>
      <c r="AK26" s="333">
        <f>AH26*1.45</f>
        <v>8.2939999999999993E-3</v>
      </c>
      <c r="AL26" s="338">
        <f>AI26*1.45</f>
        <v>-0.8264999999999999</v>
      </c>
    </row>
    <row r="27" spans="1:38">
      <c r="A27" s="535"/>
      <c r="B27" s="518"/>
      <c r="C27" s="196" t="s">
        <v>139</v>
      </c>
      <c r="D27" s="197"/>
      <c r="E27" s="192"/>
      <c r="F27" s="521"/>
      <c r="G27" s="147"/>
      <c r="H27" s="147"/>
      <c r="I27" s="192"/>
      <c r="J27" s="521"/>
      <c r="K27" s="147"/>
      <c r="L27" s="147"/>
      <c r="M27" s="192"/>
      <c r="N27" s="521"/>
      <c r="O27" s="147"/>
      <c r="P27" s="147"/>
      <c r="Q27" s="192"/>
      <c r="R27" s="196"/>
      <c r="S27" s="192"/>
      <c r="T27" s="147"/>
      <c r="U27" s="198"/>
      <c r="V27" s="192"/>
      <c r="W27" s="147"/>
      <c r="X27" s="147"/>
      <c r="Y27" s="147"/>
      <c r="Z27" s="198"/>
      <c r="AA27" s="192"/>
      <c r="AB27" s="147"/>
      <c r="AC27" s="147"/>
      <c r="AD27" s="199"/>
      <c r="AE27" s="198"/>
      <c r="AF27" s="195"/>
      <c r="AG27" s="147">
        <v>32.700000000000003</v>
      </c>
      <c r="AH27" s="213">
        <v>6.4900000000000001E-3</v>
      </c>
      <c r="AI27" s="199">
        <v>-0.64500000000000002</v>
      </c>
      <c r="AJ27" s="210">
        <f t="shared" si="5"/>
        <v>47.414999999999999</v>
      </c>
      <c r="AK27" s="334">
        <f>AH27*1.45</f>
        <v>9.4105000000000005E-3</v>
      </c>
      <c r="AL27" s="339">
        <f>AI27*1.45</f>
        <v>-0.93525000000000003</v>
      </c>
    </row>
    <row r="28" spans="1:38" ht="16.5" thickBot="1">
      <c r="A28" s="535"/>
      <c r="B28" s="519"/>
      <c r="C28" s="200" t="s">
        <v>141</v>
      </c>
      <c r="D28" s="201"/>
      <c r="E28" s="192"/>
      <c r="F28" s="522"/>
      <c r="G28" s="148"/>
      <c r="H28" s="148"/>
      <c r="I28" s="192"/>
      <c r="J28" s="522"/>
      <c r="K28" s="148"/>
      <c r="L28" s="148"/>
      <c r="M28" s="192"/>
      <c r="N28" s="522"/>
      <c r="O28" s="148"/>
      <c r="P28" s="148"/>
      <c r="Q28" s="192"/>
      <c r="R28" s="200"/>
      <c r="S28" s="192"/>
      <c r="T28" s="148"/>
      <c r="U28" s="202"/>
      <c r="V28" s="192"/>
      <c r="W28" s="148"/>
      <c r="X28" s="148"/>
      <c r="Y28" s="148"/>
      <c r="Z28" s="202"/>
      <c r="AA28" s="192"/>
      <c r="AB28" s="148"/>
      <c r="AC28" s="148"/>
      <c r="AD28" s="203"/>
      <c r="AE28" s="202"/>
      <c r="AF28" s="195"/>
      <c r="AG28" s="148">
        <v>35.6</v>
      </c>
      <c r="AH28" s="214">
        <v>7.0600000000000003E-3</v>
      </c>
      <c r="AI28" s="203">
        <v>-0.70199999999999996</v>
      </c>
      <c r="AJ28" s="211">
        <f t="shared" si="5"/>
        <v>51.62</v>
      </c>
      <c r="AK28" s="335">
        <f t="shared" si="6"/>
        <v>1.0237E-2</v>
      </c>
      <c r="AL28" s="340">
        <f t="shared" si="6"/>
        <v>-1.0178999999999998</v>
      </c>
    </row>
    <row r="29" spans="1:38">
      <c r="A29" s="535"/>
      <c r="B29" s="517" t="s">
        <v>115</v>
      </c>
      <c r="C29" s="190" t="s">
        <v>140</v>
      </c>
      <c r="D29" s="191"/>
      <c r="E29" s="192"/>
      <c r="F29" s="520"/>
      <c r="G29" s="146"/>
      <c r="H29" s="146"/>
      <c r="I29" s="192"/>
      <c r="J29" s="520"/>
      <c r="K29" s="146"/>
      <c r="L29" s="146"/>
      <c r="M29" s="192"/>
      <c r="N29" s="520"/>
      <c r="O29" s="146"/>
      <c r="P29" s="146"/>
      <c r="Q29" s="192"/>
      <c r="R29" s="190"/>
      <c r="S29" s="192"/>
      <c r="T29" s="146"/>
      <c r="U29" s="146"/>
      <c r="V29" s="192"/>
      <c r="W29" s="146"/>
      <c r="X29" s="146"/>
      <c r="Y29" s="146"/>
      <c r="Z29" s="193"/>
      <c r="AA29" s="192"/>
      <c r="AB29" s="146"/>
      <c r="AC29" s="146"/>
      <c r="AD29" s="194"/>
      <c r="AE29" s="193"/>
      <c r="AF29" s="195"/>
      <c r="AG29" s="146">
        <v>38.4</v>
      </c>
      <c r="AH29" s="212">
        <v>7.6299999999999996E-3</v>
      </c>
      <c r="AI29" s="194">
        <v>-0.75900000000000001</v>
      </c>
      <c r="AJ29" s="209">
        <f t="shared" si="5"/>
        <v>55.68</v>
      </c>
      <c r="AK29" s="333">
        <f t="shared" si="6"/>
        <v>1.1063499999999999E-2</v>
      </c>
      <c r="AL29" s="338">
        <f>AI29*1.45</f>
        <v>-1.1005499999999999</v>
      </c>
    </row>
    <row r="30" spans="1:38">
      <c r="A30" s="535"/>
      <c r="B30" s="518"/>
      <c r="C30" s="196" t="s">
        <v>139</v>
      </c>
      <c r="D30" s="197"/>
      <c r="E30" s="192"/>
      <c r="F30" s="521"/>
      <c r="G30" s="147"/>
      <c r="H30" s="147"/>
      <c r="I30" s="192"/>
      <c r="J30" s="521"/>
      <c r="K30" s="147"/>
      <c r="L30" s="147"/>
      <c r="M30" s="192"/>
      <c r="N30" s="521"/>
      <c r="O30" s="147"/>
      <c r="P30" s="147"/>
      <c r="Q30" s="192"/>
      <c r="R30" s="196"/>
      <c r="S30" s="192"/>
      <c r="T30" s="147"/>
      <c r="U30" s="198"/>
      <c r="V30" s="192"/>
      <c r="W30" s="147"/>
      <c r="X30" s="147"/>
      <c r="Y30" s="147"/>
      <c r="Z30" s="198"/>
      <c r="AA30" s="192"/>
      <c r="AB30" s="147"/>
      <c r="AC30" s="147"/>
      <c r="AD30" s="199"/>
      <c r="AE30" s="198"/>
      <c r="AF30" s="195"/>
      <c r="AG30" s="147">
        <v>43.2</v>
      </c>
      <c r="AH30" s="213">
        <v>8.5900000000000004E-3</v>
      </c>
      <c r="AI30" s="199">
        <v>-0.85399999999999998</v>
      </c>
      <c r="AJ30" s="210">
        <f>AG30*1.45</f>
        <v>62.64</v>
      </c>
      <c r="AK30" s="334">
        <f>AH30*1.45</f>
        <v>1.24555E-2</v>
      </c>
      <c r="AL30" s="339">
        <f>AI30*1.45</f>
        <v>-1.2383</v>
      </c>
    </row>
    <row r="31" spans="1:38" ht="16.5" thickBot="1">
      <c r="A31" s="535"/>
      <c r="B31" s="519"/>
      <c r="C31" s="200" t="s">
        <v>141</v>
      </c>
      <c r="D31" s="201"/>
      <c r="E31" s="192"/>
      <c r="F31" s="522"/>
      <c r="G31" s="148"/>
      <c r="H31" s="148"/>
      <c r="I31" s="192"/>
      <c r="J31" s="522"/>
      <c r="K31" s="148"/>
      <c r="L31" s="148"/>
      <c r="M31" s="192"/>
      <c r="N31" s="522"/>
      <c r="O31" s="148"/>
      <c r="P31" s="148"/>
      <c r="Q31" s="192"/>
      <c r="R31" s="200"/>
      <c r="S31" s="192"/>
      <c r="T31" s="148"/>
      <c r="U31" s="202"/>
      <c r="V31" s="192"/>
      <c r="W31" s="148"/>
      <c r="X31" s="148"/>
      <c r="Y31" s="148"/>
      <c r="Z31" s="202"/>
      <c r="AA31" s="192"/>
      <c r="AB31" s="148"/>
      <c r="AC31" s="148"/>
      <c r="AD31" s="203"/>
      <c r="AE31" s="202"/>
      <c r="AF31" s="195"/>
      <c r="AG31" s="148">
        <v>48</v>
      </c>
      <c r="AH31" s="214">
        <v>9.5399999999999999E-3</v>
      </c>
      <c r="AI31" s="203">
        <v>-0.94899999999999995</v>
      </c>
      <c r="AJ31" s="211">
        <f t="shared" si="5"/>
        <v>69.599999999999994</v>
      </c>
      <c r="AK31" s="335">
        <f t="shared" si="6"/>
        <v>1.3833E-2</v>
      </c>
      <c r="AL31" s="340">
        <f t="shared" si="6"/>
        <v>-1.37605</v>
      </c>
    </row>
    <row r="32" spans="1:38">
      <c r="A32" s="535"/>
      <c r="B32" s="517" t="s">
        <v>123</v>
      </c>
      <c r="C32" s="190" t="s">
        <v>140</v>
      </c>
      <c r="D32" s="191"/>
      <c r="E32" s="192"/>
      <c r="F32" s="520"/>
      <c r="G32" s="146"/>
      <c r="H32" s="146">
        <f>5.57*0.95</f>
        <v>5.2915000000000001</v>
      </c>
      <c r="I32" s="192"/>
      <c r="J32" s="520"/>
      <c r="K32" s="146"/>
      <c r="L32" s="146"/>
      <c r="M32" s="192"/>
      <c r="N32" s="520"/>
      <c r="O32" s="146"/>
      <c r="P32" s="146"/>
      <c r="Q32" s="192"/>
      <c r="R32" s="190"/>
      <c r="S32" s="192"/>
      <c r="T32" s="146"/>
      <c r="U32" s="146"/>
      <c r="V32" s="192"/>
      <c r="W32" s="146"/>
      <c r="X32" s="146"/>
      <c r="Y32" s="146"/>
      <c r="Z32" s="193"/>
      <c r="AA32" s="192"/>
      <c r="AB32" s="146"/>
      <c r="AC32" s="146"/>
      <c r="AD32" s="194"/>
      <c r="AE32" s="193"/>
      <c r="AF32" s="195"/>
      <c r="AG32" s="146">
        <v>24</v>
      </c>
      <c r="AH32" s="212">
        <v>4.7699999999999999E-3</v>
      </c>
      <c r="AI32" s="194">
        <v>-0.47499999999999998</v>
      </c>
      <c r="AJ32" s="209">
        <f t="shared" si="5"/>
        <v>34.799999999999997</v>
      </c>
      <c r="AK32" s="333">
        <f t="shared" si="6"/>
        <v>6.9164999999999999E-3</v>
      </c>
      <c r="AL32" s="338">
        <f t="shared" si="6"/>
        <v>-0.68874999999999997</v>
      </c>
    </row>
    <row r="33" spans="1:38">
      <c r="A33" s="535"/>
      <c r="B33" s="518"/>
      <c r="C33" s="196" t="s">
        <v>139</v>
      </c>
      <c r="D33" s="197"/>
      <c r="E33" s="192"/>
      <c r="F33" s="521"/>
      <c r="G33" s="147"/>
      <c r="H33" s="147"/>
      <c r="I33" s="192"/>
      <c r="J33" s="521"/>
      <c r="K33" s="147"/>
      <c r="L33" s="147"/>
      <c r="M33" s="192"/>
      <c r="N33" s="521"/>
      <c r="O33" s="147"/>
      <c r="P33" s="147"/>
      <c r="Q33" s="192"/>
      <c r="R33" s="196"/>
      <c r="S33" s="192"/>
      <c r="T33" s="147"/>
      <c r="U33" s="198"/>
      <c r="V33" s="192"/>
      <c r="W33" s="147"/>
      <c r="X33" s="147"/>
      <c r="Y33" s="147"/>
      <c r="Z33" s="198"/>
      <c r="AA33" s="192"/>
      <c r="AB33" s="147"/>
      <c r="AC33" s="147"/>
      <c r="AD33" s="199"/>
      <c r="AE33" s="198"/>
      <c r="AF33" s="195"/>
      <c r="AG33" s="147">
        <v>27.9</v>
      </c>
      <c r="AH33" s="213">
        <v>5.5300000000000002E-3</v>
      </c>
      <c r="AI33" s="199">
        <v>-0.55100000000000005</v>
      </c>
      <c r="AJ33" s="210">
        <f t="shared" si="5"/>
        <v>40.454999999999998</v>
      </c>
      <c r="AK33" s="334">
        <f t="shared" si="6"/>
        <v>8.0184999999999996E-3</v>
      </c>
      <c r="AL33" s="339">
        <f t="shared" si="6"/>
        <v>-0.79895000000000005</v>
      </c>
    </row>
    <row r="34" spans="1:38" ht="16.5" thickBot="1">
      <c r="A34" s="535"/>
      <c r="B34" s="519"/>
      <c r="C34" s="200" t="s">
        <v>141</v>
      </c>
      <c r="D34" s="201"/>
      <c r="E34" s="192"/>
      <c r="F34" s="522"/>
      <c r="G34" s="148"/>
      <c r="H34" s="148"/>
      <c r="I34" s="192"/>
      <c r="J34" s="522"/>
      <c r="K34" s="148"/>
      <c r="L34" s="148"/>
      <c r="M34" s="192"/>
      <c r="N34" s="522"/>
      <c r="O34" s="148"/>
      <c r="P34" s="148"/>
      <c r="Q34" s="192"/>
      <c r="R34" s="200"/>
      <c r="S34" s="192"/>
      <c r="T34" s="148"/>
      <c r="U34" s="202"/>
      <c r="V34" s="192"/>
      <c r="W34" s="148"/>
      <c r="X34" s="148"/>
      <c r="Y34" s="148"/>
      <c r="Z34" s="202"/>
      <c r="AA34" s="192"/>
      <c r="AB34" s="148"/>
      <c r="AC34" s="148"/>
      <c r="AD34" s="203"/>
      <c r="AE34" s="202"/>
      <c r="AF34" s="195"/>
      <c r="AG34" s="148">
        <v>32.700000000000003</v>
      </c>
      <c r="AH34" s="214">
        <v>6.4900000000000001E-3</v>
      </c>
      <c r="AI34" s="203">
        <v>-0.64500000000000002</v>
      </c>
      <c r="AJ34" s="211">
        <f t="shared" si="5"/>
        <v>47.414999999999999</v>
      </c>
      <c r="AK34" s="335">
        <f t="shared" si="6"/>
        <v>9.4105000000000005E-3</v>
      </c>
      <c r="AL34" s="340">
        <f t="shared" si="6"/>
        <v>-0.93525000000000003</v>
      </c>
    </row>
    <row r="35" spans="1:38">
      <c r="A35" s="535"/>
      <c r="B35" s="517" t="s">
        <v>125</v>
      </c>
      <c r="C35" s="190" t="s">
        <v>140</v>
      </c>
      <c r="D35" s="191"/>
      <c r="E35" s="192"/>
      <c r="F35" s="520"/>
      <c r="G35" s="146"/>
      <c r="H35" s="146"/>
      <c r="I35" s="192"/>
      <c r="J35" s="520"/>
      <c r="K35" s="146"/>
      <c r="L35" s="146"/>
      <c r="M35" s="192"/>
      <c r="N35" s="520"/>
      <c r="O35" s="146"/>
      <c r="P35" s="146"/>
      <c r="Q35" s="192"/>
      <c r="R35" s="190"/>
      <c r="S35" s="192"/>
      <c r="T35" s="146"/>
      <c r="U35" s="146"/>
      <c r="V35" s="192"/>
      <c r="W35" s="146"/>
      <c r="X35" s="146"/>
      <c r="Y35" s="146"/>
      <c r="Z35" s="193"/>
      <c r="AA35" s="192"/>
      <c r="AB35" s="146"/>
      <c r="AC35" s="146"/>
      <c r="AD35" s="194"/>
      <c r="AE35" s="193"/>
      <c r="AF35" s="195"/>
      <c r="AG35" s="146">
        <v>33.6</v>
      </c>
      <c r="AH35" s="212">
        <v>6.6800000000000002E-3</v>
      </c>
      <c r="AI35" s="194">
        <v>-0.66400000000000003</v>
      </c>
      <c r="AJ35" s="209">
        <f t="shared" si="5"/>
        <v>48.72</v>
      </c>
      <c r="AK35" s="333">
        <f t="shared" si="6"/>
        <v>9.6860000000000002E-3</v>
      </c>
      <c r="AL35" s="338">
        <f t="shared" si="6"/>
        <v>-0.96279999999999999</v>
      </c>
    </row>
    <row r="36" spans="1:38">
      <c r="A36" s="535"/>
      <c r="B36" s="518"/>
      <c r="C36" s="196" t="s">
        <v>139</v>
      </c>
      <c r="D36" s="197"/>
      <c r="E36" s="192"/>
      <c r="F36" s="521"/>
      <c r="G36" s="147"/>
      <c r="H36" s="147"/>
      <c r="I36" s="192"/>
      <c r="J36" s="521"/>
      <c r="K36" s="147"/>
      <c r="L36" s="147"/>
      <c r="M36" s="192"/>
      <c r="N36" s="521"/>
      <c r="O36" s="147"/>
      <c r="P36" s="147"/>
      <c r="Q36" s="192"/>
      <c r="R36" s="196"/>
      <c r="S36" s="192"/>
      <c r="T36" s="147"/>
      <c r="U36" s="198"/>
      <c r="V36" s="192"/>
      <c r="W36" s="147"/>
      <c r="X36" s="147"/>
      <c r="Y36" s="147"/>
      <c r="Z36" s="198"/>
      <c r="AA36" s="192"/>
      <c r="AB36" s="147"/>
      <c r="AC36" s="147"/>
      <c r="AD36" s="199"/>
      <c r="AE36" s="198"/>
      <c r="AF36" s="195"/>
      <c r="AG36" s="147">
        <v>39.4</v>
      </c>
      <c r="AH36" s="213">
        <v>7.8200000000000006E-3</v>
      </c>
      <c r="AI36" s="199">
        <v>-0.77800000000000002</v>
      </c>
      <c r="AJ36" s="210">
        <f t="shared" si="5"/>
        <v>57.129999999999995</v>
      </c>
      <c r="AK36" s="334">
        <f t="shared" si="6"/>
        <v>1.1339E-2</v>
      </c>
      <c r="AL36" s="339">
        <f t="shared" si="6"/>
        <v>-1.1281000000000001</v>
      </c>
    </row>
    <row r="37" spans="1:38" ht="16.5" thickBot="1">
      <c r="A37" s="536"/>
      <c r="B37" s="519"/>
      <c r="C37" s="200" t="s">
        <v>141</v>
      </c>
      <c r="D37" s="201"/>
      <c r="E37" s="207"/>
      <c r="F37" s="522"/>
      <c r="G37" s="148"/>
      <c r="H37" s="148"/>
      <c r="I37" s="207"/>
      <c r="J37" s="522"/>
      <c r="K37" s="148"/>
      <c r="L37" s="148"/>
      <c r="M37" s="207"/>
      <c r="N37" s="522"/>
      <c r="O37" s="148"/>
      <c r="P37" s="148"/>
      <c r="Q37" s="207"/>
      <c r="R37" s="200"/>
      <c r="S37" s="207"/>
      <c r="T37" s="148"/>
      <c r="U37" s="202"/>
      <c r="V37" s="207"/>
      <c r="W37" s="148"/>
      <c r="X37" s="148"/>
      <c r="Y37" s="148"/>
      <c r="Z37" s="202"/>
      <c r="AA37" s="207"/>
      <c r="AB37" s="148"/>
      <c r="AC37" s="148"/>
      <c r="AD37" s="203"/>
      <c r="AE37" s="202"/>
      <c r="AF37" s="208"/>
      <c r="AG37" s="148">
        <v>45.2</v>
      </c>
      <c r="AH37" s="214">
        <v>8.9700000000000005E-3</v>
      </c>
      <c r="AI37" s="203">
        <v>-0.89200000000000002</v>
      </c>
      <c r="AJ37" s="211">
        <f t="shared" si="5"/>
        <v>65.540000000000006</v>
      </c>
      <c r="AK37" s="335">
        <f t="shared" si="6"/>
        <v>1.3006500000000001E-2</v>
      </c>
      <c r="AL37" s="340">
        <f t="shared" si="6"/>
        <v>-1.2933999999999999</v>
      </c>
    </row>
    <row r="38" spans="1:38">
      <c r="A38" s="534" t="s">
        <v>63</v>
      </c>
      <c r="B38" s="517" t="s">
        <v>113</v>
      </c>
      <c r="C38" s="190" t="s">
        <v>140</v>
      </c>
      <c r="D38" s="191"/>
      <c r="E38" s="205"/>
      <c r="F38" s="520"/>
      <c r="G38" s="146"/>
      <c r="H38" s="146"/>
      <c r="I38" s="205"/>
      <c r="J38" s="520"/>
      <c r="K38" s="146"/>
      <c r="L38" s="146"/>
      <c r="M38" s="205"/>
      <c r="N38" s="520"/>
      <c r="O38" s="146"/>
      <c r="P38" s="146"/>
      <c r="Q38" s="205"/>
      <c r="R38" s="190"/>
      <c r="S38" s="205"/>
      <c r="T38" s="146"/>
      <c r="U38" s="146"/>
      <c r="V38" s="205"/>
      <c r="W38" s="146"/>
      <c r="X38" s="146"/>
      <c r="Y38" s="146"/>
      <c r="Z38" s="193"/>
      <c r="AA38" s="205"/>
      <c r="AB38" s="146"/>
      <c r="AC38" s="146"/>
      <c r="AD38" s="194"/>
      <c r="AE38" s="193"/>
      <c r="AF38" s="206"/>
      <c r="AG38" s="146">
        <v>28.7</v>
      </c>
      <c r="AH38" s="212">
        <v>5.5599999999999998E-3</v>
      </c>
      <c r="AI38" s="194">
        <v>-0.56699999999999995</v>
      </c>
      <c r="AJ38" s="209">
        <f t="shared" si="5"/>
        <v>41.614999999999995</v>
      </c>
      <c r="AK38" s="333">
        <f>AH38*1.45</f>
        <v>8.0619999999999997E-3</v>
      </c>
      <c r="AL38" s="338">
        <f>AI38*1.45</f>
        <v>-0.82214999999999994</v>
      </c>
    </row>
    <row r="39" spans="1:38">
      <c r="A39" s="535"/>
      <c r="B39" s="518"/>
      <c r="C39" s="196" t="s">
        <v>139</v>
      </c>
      <c r="D39" s="197"/>
      <c r="E39" s="192"/>
      <c r="F39" s="521"/>
      <c r="G39" s="147"/>
      <c r="H39" s="147"/>
      <c r="I39" s="192"/>
      <c r="J39" s="521"/>
      <c r="K39" s="147"/>
      <c r="L39" s="147"/>
      <c r="M39" s="192"/>
      <c r="N39" s="521"/>
      <c r="O39" s="147"/>
      <c r="P39" s="147"/>
      <c r="Q39" s="192"/>
      <c r="R39" s="196"/>
      <c r="S39" s="192"/>
      <c r="T39" s="147"/>
      <c r="U39" s="198"/>
      <c r="V39" s="192"/>
      <c r="W39" s="147"/>
      <c r="X39" s="147"/>
      <c r="Y39" s="147"/>
      <c r="Z39" s="198"/>
      <c r="AA39" s="192"/>
      <c r="AB39" s="147"/>
      <c r="AC39" s="147"/>
      <c r="AD39" s="199"/>
      <c r="AE39" s="198"/>
      <c r="AF39" s="195"/>
      <c r="AG39" s="147">
        <v>32.5</v>
      </c>
      <c r="AH39" s="213">
        <v>6.3E-3</v>
      </c>
      <c r="AI39" s="199">
        <v>-0.64200000000000002</v>
      </c>
      <c r="AJ39" s="210">
        <f t="shared" si="5"/>
        <v>47.125</v>
      </c>
      <c r="AK39" s="334">
        <f t="shared" si="6"/>
        <v>9.134999999999999E-3</v>
      </c>
      <c r="AL39" s="339">
        <f t="shared" si="6"/>
        <v>-0.93089999999999995</v>
      </c>
    </row>
    <row r="40" spans="1:38" ht="16.5" thickBot="1">
      <c r="A40" s="535"/>
      <c r="B40" s="519"/>
      <c r="C40" s="200" t="s">
        <v>141</v>
      </c>
      <c r="D40" s="201"/>
      <c r="E40" s="192"/>
      <c r="F40" s="522"/>
      <c r="G40" s="148"/>
      <c r="H40" s="148"/>
      <c r="I40" s="192"/>
      <c r="J40" s="522"/>
      <c r="K40" s="148"/>
      <c r="L40" s="148"/>
      <c r="M40" s="192"/>
      <c r="N40" s="522"/>
      <c r="O40" s="148"/>
      <c r="P40" s="148"/>
      <c r="Q40" s="192"/>
      <c r="R40" s="200"/>
      <c r="S40" s="192"/>
      <c r="T40" s="148"/>
      <c r="U40" s="202"/>
      <c r="V40" s="192"/>
      <c r="W40" s="148"/>
      <c r="X40" s="148"/>
      <c r="Y40" s="148"/>
      <c r="Z40" s="202"/>
      <c r="AA40" s="192"/>
      <c r="AB40" s="148"/>
      <c r="AC40" s="148"/>
      <c r="AD40" s="203"/>
      <c r="AE40" s="202"/>
      <c r="AF40" s="195"/>
      <c r="AG40" s="148">
        <v>35.4</v>
      </c>
      <c r="AH40" s="214">
        <v>6.8500000000000002E-3</v>
      </c>
      <c r="AI40" s="203">
        <v>-0.69899999999999995</v>
      </c>
      <c r="AJ40" s="211">
        <f t="shared" si="5"/>
        <v>51.33</v>
      </c>
      <c r="AK40" s="335">
        <f t="shared" si="6"/>
        <v>9.9325000000000004E-3</v>
      </c>
      <c r="AL40" s="340">
        <f>AI40*1.45</f>
        <v>-1.01355</v>
      </c>
    </row>
    <row r="41" spans="1:38">
      <c r="A41" s="535"/>
      <c r="B41" s="517" t="s">
        <v>115</v>
      </c>
      <c r="C41" s="190" t="s">
        <v>140</v>
      </c>
      <c r="D41" s="191"/>
      <c r="E41" s="192"/>
      <c r="F41" s="520"/>
      <c r="G41" s="146"/>
      <c r="H41" s="146"/>
      <c r="I41" s="192"/>
      <c r="J41" s="520"/>
      <c r="K41" s="146"/>
      <c r="L41" s="146"/>
      <c r="M41" s="192"/>
      <c r="N41" s="520"/>
      <c r="O41" s="146"/>
      <c r="P41" s="146"/>
      <c r="Q41" s="192"/>
      <c r="R41" s="190"/>
      <c r="S41" s="192"/>
      <c r="T41" s="146"/>
      <c r="U41" s="146"/>
      <c r="V41" s="192"/>
      <c r="W41" s="146"/>
      <c r="X41" s="146"/>
      <c r="Y41" s="146"/>
      <c r="Z41" s="193"/>
      <c r="AA41" s="192"/>
      <c r="AB41" s="146"/>
      <c r="AC41" s="146"/>
      <c r="AD41" s="194"/>
      <c r="AE41" s="193"/>
      <c r="AF41" s="195"/>
      <c r="AG41" s="146">
        <v>38.299999999999997</v>
      </c>
      <c r="AH41" s="212">
        <v>7.4099999999999999E-3</v>
      </c>
      <c r="AI41" s="194">
        <v>-0.755</v>
      </c>
      <c r="AJ41" s="209">
        <f t="shared" si="5"/>
        <v>55.534999999999997</v>
      </c>
      <c r="AK41" s="333">
        <f t="shared" si="6"/>
        <v>1.0744499999999999E-2</v>
      </c>
      <c r="AL41" s="338">
        <f t="shared" si="6"/>
        <v>-1.0947499999999999</v>
      </c>
    </row>
    <row r="42" spans="1:38">
      <c r="A42" s="535"/>
      <c r="B42" s="518"/>
      <c r="C42" s="196" t="s">
        <v>139</v>
      </c>
      <c r="D42" s="197"/>
      <c r="E42" s="192"/>
      <c r="F42" s="521"/>
      <c r="G42" s="147"/>
      <c r="H42" s="147"/>
      <c r="I42" s="192"/>
      <c r="J42" s="521"/>
      <c r="K42" s="147"/>
      <c r="L42" s="147"/>
      <c r="M42" s="192"/>
      <c r="N42" s="521"/>
      <c r="O42" s="147"/>
      <c r="P42" s="147"/>
      <c r="Q42" s="192"/>
      <c r="R42" s="196"/>
      <c r="S42" s="192"/>
      <c r="T42" s="147"/>
      <c r="U42" s="198"/>
      <c r="V42" s="192"/>
      <c r="W42" s="147"/>
      <c r="X42" s="147"/>
      <c r="Y42" s="147"/>
      <c r="Z42" s="198"/>
      <c r="AA42" s="192"/>
      <c r="AB42" s="147"/>
      <c r="AC42" s="147"/>
      <c r="AD42" s="199"/>
      <c r="AE42" s="198"/>
      <c r="AF42" s="195"/>
      <c r="AG42" s="147">
        <v>43</v>
      </c>
      <c r="AH42" s="213">
        <v>8.3300000000000006E-3</v>
      </c>
      <c r="AI42" s="199">
        <v>-0.85</v>
      </c>
      <c r="AJ42" s="210">
        <f t="shared" si="5"/>
        <v>62.35</v>
      </c>
      <c r="AK42" s="334">
        <f t="shared" si="6"/>
        <v>1.2078500000000001E-2</v>
      </c>
      <c r="AL42" s="339">
        <f t="shared" si="6"/>
        <v>-1.2324999999999999</v>
      </c>
    </row>
    <row r="43" spans="1:38" ht="16.5" thickBot="1">
      <c r="A43" s="535"/>
      <c r="B43" s="519"/>
      <c r="C43" s="200" t="s">
        <v>141</v>
      </c>
      <c r="D43" s="201"/>
      <c r="E43" s="192"/>
      <c r="F43" s="522"/>
      <c r="G43" s="148"/>
      <c r="H43" s="148"/>
      <c r="I43" s="192"/>
      <c r="J43" s="522"/>
      <c r="K43" s="148"/>
      <c r="L43" s="148"/>
      <c r="M43" s="192"/>
      <c r="N43" s="522"/>
      <c r="O43" s="148"/>
      <c r="P43" s="148"/>
      <c r="Q43" s="192"/>
      <c r="R43" s="200"/>
      <c r="S43" s="192"/>
      <c r="T43" s="148"/>
      <c r="U43" s="202"/>
      <c r="V43" s="192"/>
      <c r="W43" s="148"/>
      <c r="X43" s="148"/>
      <c r="Y43" s="148"/>
      <c r="Z43" s="202"/>
      <c r="AA43" s="192"/>
      <c r="AB43" s="148"/>
      <c r="AC43" s="148"/>
      <c r="AD43" s="203"/>
      <c r="AE43" s="202"/>
      <c r="AF43" s="195"/>
      <c r="AG43" s="148">
        <v>47.8</v>
      </c>
      <c r="AH43" s="214">
        <v>9.2599999999999991E-3</v>
      </c>
      <c r="AI43" s="203">
        <v>-0.94399999999999995</v>
      </c>
      <c r="AJ43" s="211">
        <f t="shared" si="5"/>
        <v>69.309999999999988</v>
      </c>
      <c r="AK43" s="335">
        <f t="shared" si="6"/>
        <v>1.3426999999999998E-2</v>
      </c>
      <c r="AL43" s="340">
        <f t="shared" si="6"/>
        <v>-1.3687999999999998</v>
      </c>
    </row>
    <row r="44" spans="1:38">
      <c r="A44" s="535"/>
      <c r="B44" s="517" t="s">
        <v>123</v>
      </c>
      <c r="C44" s="190" t="s">
        <v>140</v>
      </c>
      <c r="D44" s="191"/>
      <c r="E44" s="192"/>
      <c r="F44" s="520"/>
      <c r="G44" s="146"/>
      <c r="H44" s="146"/>
      <c r="I44" s="192"/>
      <c r="J44" s="520"/>
      <c r="K44" s="146"/>
      <c r="L44" s="146"/>
      <c r="M44" s="192"/>
      <c r="N44" s="520"/>
      <c r="O44" s="146"/>
      <c r="P44" s="146"/>
      <c r="Q44" s="192"/>
      <c r="R44" s="190"/>
      <c r="S44" s="192"/>
      <c r="T44" s="146"/>
      <c r="U44" s="146"/>
      <c r="V44" s="192"/>
      <c r="W44" s="146"/>
      <c r="X44" s="146"/>
      <c r="Y44" s="146"/>
      <c r="Z44" s="193"/>
      <c r="AA44" s="192"/>
      <c r="AB44" s="146"/>
      <c r="AC44" s="146"/>
      <c r="AD44" s="194"/>
      <c r="AE44" s="193"/>
      <c r="AF44" s="195"/>
      <c r="AG44" s="146">
        <v>23.9</v>
      </c>
      <c r="AH44" s="212">
        <v>4.6299999999999996E-3</v>
      </c>
      <c r="AI44" s="194">
        <v>-0.47199999999999998</v>
      </c>
      <c r="AJ44" s="209">
        <f t="shared" si="5"/>
        <v>34.654999999999994</v>
      </c>
      <c r="AK44" s="333">
        <f t="shared" si="6"/>
        <v>6.713499999999999E-3</v>
      </c>
      <c r="AL44" s="338">
        <f t="shared" si="6"/>
        <v>-0.6843999999999999</v>
      </c>
    </row>
    <row r="45" spans="1:38">
      <c r="A45" s="535"/>
      <c r="B45" s="518"/>
      <c r="C45" s="196" t="s">
        <v>139</v>
      </c>
      <c r="D45" s="197"/>
      <c r="E45" s="192"/>
      <c r="F45" s="521"/>
      <c r="G45" s="147"/>
      <c r="H45" s="147"/>
      <c r="I45" s="192"/>
      <c r="J45" s="521"/>
      <c r="K45" s="147"/>
      <c r="L45" s="147"/>
      <c r="M45" s="192"/>
      <c r="N45" s="521"/>
      <c r="O45" s="147"/>
      <c r="P45" s="147"/>
      <c r="Q45" s="192"/>
      <c r="R45" s="196"/>
      <c r="S45" s="192"/>
      <c r="T45" s="147"/>
      <c r="U45" s="198"/>
      <c r="V45" s="192"/>
      <c r="W45" s="147"/>
      <c r="X45" s="147"/>
      <c r="Y45" s="147"/>
      <c r="Z45" s="198"/>
      <c r="AA45" s="192"/>
      <c r="AB45" s="147"/>
      <c r="AC45" s="147"/>
      <c r="AD45" s="199"/>
      <c r="AE45" s="198"/>
      <c r="AF45" s="195"/>
      <c r="AG45" s="147">
        <v>27.7</v>
      </c>
      <c r="AH45" s="213">
        <v>5.3699999999999998E-3</v>
      </c>
      <c r="AI45" s="199">
        <v>-0.54800000000000004</v>
      </c>
      <c r="AJ45" s="210">
        <f t="shared" si="5"/>
        <v>40.164999999999999</v>
      </c>
      <c r="AK45" s="334">
        <f t="shared" si="6"/>
        <v>7.7864999999999992E-3</v>
      </c>
      <c r="AL45" s="339">
        <f t="shared" si="6"/>
        <v>-0.79460000000000008</v>
      </c>
    </row>
    <row r="46" spans="1:38" ht="16.5" thickBot="1">
      <c r="A46" s="535"/>
      <c r="B46" s="519"/>
      <c r="C46" s="200" t="s">
        <v>141</v>
      </c>
      <c r="D46" s="201"/>
      <c r="E46" s="192"/>
      <c r="F46" s="522"/>
      <c r="G46" s="148"/>
      <c r="H46" s="148"/>
      <c r="I46" s="192"/>
      <c r="J46" s="522"/>
      <c r="K46" s="148"/>
      <c r="L46" s="148"/>
      <c r="M46" s="192"/>
      <c r="N46" s="522"/>
      <c r="O46" s="148"/>
      <c r="P46" s="148"/>
      <c r="Q46" s="192"/>
      <c r="R46" s="200"/>
      <c r="S46" s="192"/>
      <c r="T46" s="148"/>
      <c r="U46" s="202"/>
      <c r="V46" s="192"/>
      <c r="W46" s="148"/>
      <c r="X46" s="148"/>
      <c r="Y46" s="148"/>
      <c r="Z46" s="202"/>
      <c r="AA46" s="192"/>
      <c r="AB46" s="148"/>
      <c r="AC46" s="148"/>
      <c r="AD46" s="203"/>
      <c r="AE46" s="202"/>
      <c r="AF46" s="195"/>
      <c r="AG46" s="148">
        <v>32.5</v>
      </c>
      <c r="AH46" s="214">
        <v>6.3E-3</v>
      </c>
      <c r="AI46" s="203">
        <v>-0.64200000000000002</v>
      </c>
      <c r="AJ46" s="211">
        <f t="shared" si="5"/>
        <v>47.125</v>
      </c>
      <c r="AK46" s="335">
        <f t="shared" si="6"/>
        <v>9.134999999999999E-3</v>
      </c>
      <c r="AL46" s="340">
        <f t="shared" si="6"/>
        <v>-0.93089999999999995</v>
      </c>
    </row>
    <row r="47" spans="1:38">
      <c r="A47" s="535"/>
      <c r="B47" s="517" t="s">
        <v>125</v>
      </c>
      <c r="C47" s="190" t="s">
        <v>140</v>
      </c>
      <c r="D47" s="191"/>
      <c r="E47" s="192"/>
      <c r="F47" s="520"/>
      <c r="G47" s="146"/>
      <c r="H47" s="146"/>
      <c r="I47" s="192"/>
      <c r="J47" s="520"/>
      <c r="K47" s="146"/>
      <c r="L47" s="146"/>
      <c r="M47" s="192"/>
      <c r="N47" s="520"/>
      <c r="O47" s="146"/>
      <c r="P47" s="146"/>
      <c r="Q47" s="192"/>
      <c r="R47" s="190"/>
      <c r="S47" s="192"/>
      <c r="T47" s="146"/>
      <c r="U47" s="146"/>
      <c r="V47" s="192"/>
      <c r="W47" s="146"/>
      <c r="X47" s="146"/>
      <c r="Y47" s="146"/>
      <c r="Z47" s="193"/>
      <c r="AA47" s="192"/>
      <c r="AB47" s="146"/>
      <c r="AC47" s="146"/>
      <c r="AD47" s="194"/>
      <c r="AE47" s="193"/>
      <c r="AF47" s="195"/>
      <c r="AG47" s="146">
        <v>33.5</v>
      </c>
      <c r="AH47" s="212">
        <v>6.4799999999999996E-3</v>
      </c>
      <c r="AI47" s="194">
        <v>-0.66100000000000003</v>
      </c>
      <c r="AJ47" s="209">
        <f t="shared" si="5"/>
        <v>48.574999999999996</v>
      </c>
      <c r="AK47" s="333">
        <f t="shared" si="6"/>
        <v>9.3959999999999998E-3</v>
      </c>
      <c r="AL47" s="338">
        <f t="shared" si="6"/>
        <v>-0.95845000000000002</v>
      </c>
    </row>
    <row r="48" spans="1:38">
      <c r="A48" s="535"/>
      <c r="B48" s="518"/>
      <c r="C48" s="196" t="s">
        <v>139</v>
      </c>
      <c r="D48" s="197"/>
      <c r="E48" s="192"/>
      <c r="F48" s="521"/>
      <c r="G48" s="147"/>
      <c r="H48" s="147"/>
      <c r="I48" s="192"/>
      <c r="J48" s="521"/>
      <c r="K48" s="147"/>
      <c r="L48" s="147"/>
      <c r="M48" s="192"/>
      <c r="N48" s="521"/>
      <c r="O48" s="147"/>
      <c r="P48" s="147"/>
      <c r="Q48" s="192"/>
      <c r="R48" s="196"/>
      <c r="S48" s="192"/>
      <c r="T48" s="147"/>
      <c r="U48" s="198"/>
      <c r="V48" s="192"/>
      <c r="W48" s="147"/>
      <c r="X48" s="147"/>
      <c r="Y48" s="147"/>
      <c r="Z48" s="198"/>
      <c r="AA48" s="192"/>
      <c r="AB48" s="147"/>
      <c r="AC48" s="147"/>
      <c r="AD48" s="199"/>
      <c r="AE48" s="198"/>
      <c r="AF48" s="195"/>
      <c r="AG48" s="147">
        <v>39.200000000000003</v>
      </c>
      <c r="AH48" s="213">
        <v>7.5900000000000004E-3</v>
      </c>
      <c r="AI48" s="199">
        <v>-0.77400000000000002</v>
      </c>
      <c r="AJ48" s="210">
        <f t="shared" si="5"/>
        <v>56.84</v>
      </c>
      <c r="AK48" s="334">
        <f t="shared" si="6"/>
        <v>1.10055E-2</v>
      </c>
      <c r="AL48" s="339">
        <f t="shared" si="6"/>
        <v>-1.1223000000000001</v>
      </c>
    </row>
    <row r="49" spans="1:38" ht="16.5" thickBot="1">
      <c r="A49" s="536"/>
      <c r="B49" s="519"/>
      <c r="C49" s="200" t="s">
        <v>141</v>
      </c>
      <c r="D49" s="201"/>
      <c r="E49" s="207"/>
      <c r="F49" s="522"/>
      <c r="G49" s="148"/>
      <c r="H49" s="148"/>
      <c r="I49" s="207"/>
      <c r="J49" s="522"/>
      <c r="K49" s="148"/>
      <c r="L49" s="148"/>
      <c r="M49" s="207"/>
      <c r="N49" s="522"/>
      <c r="O49" s="148"/>
      <c r="P49" s="148"/>
      <c r="Q49" s="207"/>
      <c r="R49" s="200"/>
      <c r="S49" s="207"/>
      <c r="T49" s="148"/>
      <c r="U49" s="202"/>
      <c r="V49" s="207"/>
      <c r="W49" s="148"/>
      <c r="X49" s="148"/>
      <c r="Y49" s="148"/>
      <c r="Z49" s="202"/>
      <c r="AA49" s="207"/>
      <c r="AB49" s="148"/>
      <c r="AC49" s="148"/>
      <c r="AD49" s="203"/>
      <c r="AE49" s="202"/>
      <c r="AF49" s="208"/>
      <c r="AG49" s="148">
        <v>45</v>
      </c>
      <c r="AH49" s="214">
        <v>8.6999999999999994E-3</v>
      </c>
      <c r="AI49" s="203">
        <v>-0.88800000000000001</v>
      </c>
      <c r="AJ49" s="211">
        <f t="shared" si="5"/>
        <v>65.25</v>
      </c>
      <c r="AK49" s="335">
        <f t="shared" si="6"/>
        <v>1.2614999999999999E-2</v>
      </c>
      <c r="AL49" s="340">
        <f t="shared" si="6"/>
        <v>-1.2876000000000001</v>
      </c>
    </row>
    <row r="50" spans="1:38">
      <c r="A50" s="534" t="s">
        <v>64</v>
      </c>
      <c r="B50" s="517" t="s">
        <v>113</v>
      </c>
      <c r="C50" s="190" t="s">
        <v>140</v>
      </c>
      <c r="D50" s="191"/>
      <c r="E50" s="205"/>
      <c r="F50" s="520"/>
      <c r="G50" s="146"/>
      <c r="H50" s="146"/>
      <c r="I50" s="205"/>
      <c r="J50" s="520"/>
      <c r="K50" s="146"/>
      <c r="L50" s="146"/>
      <c r="M50" s="205"/>
      <c r="N50" s="520"/>
      <c r="O50" s="146"/>
      <c r="P50" s="146"/>
      <c r="Q50" s="205"/>
      <c r="R50" s="190"/>
      <c r="S50" s="205"/>
      <c r="T50" s="146"/>
      <c r="U50" s="146"/>
      <c r="V50" s="205"/>
      <c r="W50" s="146"/>
      <c r="X50" s="146"/>
      <c r="Y50" s="146"/>
      <c r="Z50" s="193"/>
      <c r="AA50" s="205"/>
      <c r="AB50" s="146"/>
      <c r="AC50" s="146"/>
      <c r="AD50" s="194"/>
      <c r="AE50" s="193"/>
      <c r="AF50" s="206"/>
      <c r="AG50" s="146">
        <v>27.2</v>
      </c>
      <c r="AH50" s="212">
        <v>5.0800000000000003E-3</v>
      </c>
      <c r="AI50" s="194">
        <v>-0.54600000000000004</v>
      </c>
      <c r="AJ50" s="209">
        <f t="shared" si="5"/>
        <v>39.44</v>
      </c>
      <c r="AK50" s="333">
        <f t="shared" si="6"/>
        <v>7.3660000000000002E-3</v>
      </c>
      <c r="AL50" s="338">
        <f t="shared" si="6"/>
        <v>-0.79170000000000007</v>
      </c>
    </row>
    <row r="51" spans="1:38">
      <c r="A51" s="535"/>
      <c r="B51" s="518"/>
      <c r="C51" s="196" t="s">
        <v>139</v>
      </c>
      <c r="D51" s="197"/>
      <c r="E51" s="192"/>
      <c r="F51" s="521"/>
      <c r="G51" s="147"/>
      <c r="H51" s="147"/>
      <c r="I51" s="192"/>
      <c r="J51" s="521"/>
      <c r="K51" s="147"/>
      <c r="L51" s="147"/>
      <c r="M51" s="192"/>
      <c r="N51" s="521"/>
      <c r="O51" s="147"/>
      <c r="P51" s="147"/>
      <c r="Q51" s="192"/>
      <c r="R51" s="196"/>
      <c r="S51" s="192"/>
      <c r="T51" s="147"/>
      <c r="U51" s="198"/>
      <c r="V51" s="192"/>
      <c r="W51" s="147"/>
      <c r="X51" s="147"/>
      <c r="Y51" s="147"/>
      <c r="Z51" s="198"/>
      <c r="AA51" s="192"/>
      <c r="AB51" s="147"/>
      <c r="AC51" s="147"/>
      <c r="AD51" s="199"/>
      <c r="AE51" s="198"/>
      <c r="AF51" s="195"/>
      <c r="AG51" s="147">
        <v>30.8</v>
      </c>
      <c r="AH51" s="213">
        <v>5.7499999999999999E-3</v>
      </c>
      <c r="AI51" s="199">
        <v>-0.61899999999999999</v>
      </c>
      <c r="AJ51" s="210">
        <f t="shared" si="5"/>
        <v>44.66</v>
      </c>
      <c r="AK51" s="334">
        <f t="shared" si="6"/>
        <v>8.3374999999999994E-3</v>
      </c>
      <c r="AL51" s="339">
        <f t="shared" si="6"/>
        <v>-0.89754999999999996</v>
      </c>
    </row>
    <row r="52" spans="1:38" ht="16.5" thickBot="1">
      <c r="A52" s="535"/>
      <c r="B52" s="519"/>
      <c r="C52" s="200" t="s">
        <v>141</v>
      </c>
      <c r="D52" s="201"/>
      <c r="E52" s="192"/>
      <c r="F52" s="522"/>
      <c r="G52" s="148"/>
      <c r="H52" s="148"/>
      <c r="I52" s="192"/>
      <c r="J52" s="522"/>
      <c r="K52" s="148"/>
      <c r="L52" s="148"/>
      <c r="M52" s="192"/>
      <c r="N52" s="522"/>
      <c r="O52" s="148"/>
      <c r="P52" s="148"/>
      <c r="Q52" s="192"/>
      <c r="R52" s="200"/>
      <c r="S52" s="192"/>
      <c r="T52" s="148"/>
      <c r="U52" s="202"/>
      <c r="V52" s="192"/>
      <c r="W52" s="148"/>
      <c r="X52" s="148"/>
      <c r="Y52" s="148"/>
      <c r="Z52" s="202"/>
      <c r="AA52" s="192"/>
      <c r="AB52" s="148"/>
      <c r="AC52" s="148"/>
      <c r="AD52" s="203"/>
      <c r="AE52" s="202"/>
      <c r="AF52" s="195"/>
      <c r="AG52" s="148">
        <v>33.5</v>
      </c>
      <c r="AH52" s="214">
        <v>6.2599999999999999E-3</v>
      </c>
      <c r="AI52" s="203">
        <v>-0.67400000000000004</v>
      </c>
      <c r="AJ52" s="211">
        <f t="shared" si="5"/>
        <v>48.574999999999996</v>
      </c>
      <c r="AK52" s="335">
        <f t="shared" si="6"/>
        <v>9.077E-3</v>
      </c>
      <c r="AL52" s="340">
        <f t="shared" si="6"/>
        <v>-0.97730000000000006</v>
      </c>
    </row>
    <row r="53" spans="1:38">
      <c r="A53" s="535"/>
      <c r="B53" s="517" t="s">
        <v>115</v>
      </c>
      <c r="C53" s="190" t="s">
        <v>140</v>
      </c>
      <c r="D53" s="191"/>
      <c r="E53" s="192"/>
      <c r="F53" s="520"/>
      <c r="G53" s="146"/>
      <c r="H53" s="146"/>
      <c r="I53" s="192"/>
      <c r="J53" s="520"/>
      <c r="K53" s="146"/>
      <c r="L53" s="146"/>
      <c r="M53" s="192"/>
      <c r="N53" s="520"/>
      <c r="O53" s="146"/>
      <c r="P53" s="146"/>
      <c r="Q53" s="192"/>
      <c r="R53" s="190"/>
      <c r="S53" s="192"/>
      <c r="T53" s="146"/>
      <c r="U53" s="146"/>
      <c r="V53" s="192"/>
      <c r="W53" s="146"/>
      <c r="X53" s="146"/>
      <c r="Y53" s="146"/>
      <c r="Z53" s="193"/>
      <c r="AA53" s="192"/>
      <c r="AB53" s="146"/>
      <c r="AC53" s="146"/>
      <c r="AD53" s="194"/>
      <c r="AE53" s="193"/>
      <c r="AF53" s="195"/>
      <c r="AG53" s="146">
        <v>36.200000000000003</v>
      </c>
      <c r="AH53" s="212">
        <v>6.77E-3</v>
      </c>
      <c r="AI53" s="194">
        <v>-0.72799999999999998</v>
      </c>
      <c r="AJ53" s="209">
        <f t="shared" si="5"/>
        <v>52.49</v>
      </c>
      <c r="AK53" s="333">
        <f t="shared" si="6"/>
        <v>9.8164999999999988E-3</v>
      </c>
      <c r="AL53" s="338">
        <f t="shared" si="6"/>
        <v>-1.0555999999999999</v>
      </c>
    </row>
    <row r="54" spans="1:38">
      <c r="A54" s="535"/>
      <c r="B54" s="518"/>
      <c r="C54" s="196" t="s">
        <v>139</v>
      </c>
      <c r="D54" s="197"/>
      <c r="E54" s="192"/>
      <c r="F54" s="521"/>
      <c r="G54" s="147"/>
      <c r="H54" s="147"/>
      <c r="I54" s="192"/>
      <c r="J54" s="521"/>
      <c r="K54" s="147"/>
      <c r="L54" s="147"/>
      <c r="M54" s="192"/>
      <c r="N54" s="521"/>
      <c r="O54" s="147"/>
      <c r="P54" s="147"/>
      <c r="Q54" s="192"/>
      <c r="R54" s="196"/>
      <c r="S54" s="192"/>
      <c r="T54" s="147"/>
      <c r="U54" s="198"/>
      <c r="V54" s="192"/>
      <c r="W54" s="147"/>
      <c r="X54" s="147"/>
      <c r="Y54" s="147"/>
      <c r="Z54" s="198"/>
      <c r="AA54" s="192"/>
      <c r="AB54" s="147"/>
      <c r="AC54" s="147"/>
      <c r="AD54" s="199"/>
      <c r="AE54" s="198"/>
      <c r="AF54" s="195"/>
      <c r="AG54" s="147">
        <v>40.799999999999997</v>
      </c>
      <c r="AH54" s="213">
        <v>7.6099999999999996E-3</v>
      </c>
      <c r="AI54" s="199">
        <v>-0.81899999999999995</v>
      </c>
      <c r="AJ54" s="210">
        <f t="shared" si="5"/>
        <v>59.16</v>
      </c>
      <c r="AK54" s="334">
        <f t="shared" si="6"/>
        <v>1.1034499999999999E-2</v>
      </c>
      <c r="AL54" s="339">
        <f t="shared" si="6"/>
        <v>-1.1875499999999999</v>
      </c>
    </row>
    <row r="55" spans="1:38" ht="16.5" thickBot="1">
      <c r="A55" s="535"/>
      <c r="B55" s="519"/>
      <c r="C55" s="200" t="s">
        <v>141</v>
      </c>
      <c r="D55" s="201"/>
      <c r="E55" s="192"/>
      <c r="F55" s="522"/>
      <c r="G55" s="148"/>
      <c r="H55" s="148"/>
      <c r="I55" s="192"/>
      <c r="J55" s="522"/>
      <c r="K55" s="148"/>
      <c r="L55" s="148"/>
      <c r="M55" s="192"/>
      <c r="N55" s="522"/>
      <c r="O55" s="148"/>
      <c r="P55" s="148"/>
      <c r="Q55" s="192"/>
      <c r="R55" s="200"/>
      <c r="S55" s="192"/>
      <c r="T55" s="148"/>
      <c r="U55" s="202"/>
      <c r="V55" s="192"/>
      <c r="W55" s="148"/>
      <c r="X55" s="148"/>
      <c r="Y55" s="148"/>
      <c r="Z55" s="202"/>
      <c r="AA55" s="192"/>
      <c r="AB55" s="148"/>
      <c r="AC55" s="148"/>
      <c r="AD55" s="203"/>
      <c r="AE55" s="202"/>
      <c r="AF55" s="195"/>
      <c r="AG55" s="148">
        <v>45.3</v>
      </c>
      <c r="AH55" s="214">
        <v>8.4600000000000005E-3</v>
      </c>
      <c r="AI55" s="203">
        <v>-0.91</v>
      </c>
      <c r="AJ55" s="211">
        <f t="shared" si="5"/>
        <v>65.684999999999988</v>
      </c>
      <c r="AK55" s="335">
        <f t="shared" si="6"/>
        <v>1.2267E-2</v>
      </c>
      <c r="AL55" s="340">
        <f t="shared" si="6"/>
        <v>-1.3194999999999999</v>
      </c>
    </row>
    <row r="56" spans="1:38">
      <c r="A56" s="535"/>
      <c r="B56" s="517" t="s">
        <v>123</v>
      </c>
      <c r="C56" s="190" t="s">
        <v>140</v>
      </c>
      <c r="D56" s="191"/>
      <c r="E56" s="192"/>
      <c r="F56" s="520"/>
      <c r="G56" s="146"/>
      <c r="H56" s="146"/>
      <c r="I56" s="192"/>
      <c r="J56" s="520"/>
      <c r="K56" s="146"/>
      <c r="L56" s="146"/>
      <c r="M56" s="192"/>
      <c r="N56" s="520"/>
      <c r="O56" s="146"/>
      <c r="P56" s="146"/>
      <c r="Q56" s="192"/>
      <c r="R56" s="190"/>
      <c r="S56" s="192"/>
      <c r="T56" s="146"/>
      <c r="U56" s="146"/>
      <c r="V56" s="192"/>
      <c r="W56" s="146"/>
      <c r="X56" s="146"/>
      <c r="Y56" s="146"/>
      <c r="Z56" s="193"/>
      <c r="AA56" s="192"/>
      <c r="AB56" s="146"/>
      <c r="AC56" s="146"/>
      <c r="AD56" s="194"/>
      <c r="AE56" s="193"/>
      <c r="AF56" s="195"/>
      <c r="AG56" s="146">
        <v>22.6</v>
      </c>
      <c r="AH56" s="212">
        <v>4.2300000000000003E-3</v>
      </c>
      <c r="AI56" s="194">
        <v>-0.45500000000000002</v>
      </c>
      <c r="AJ56" s="209">
        <f t="shared" si="5"/>
        <v>32.770000000000003</v>
      </c>
      <c r="AK56" s="333">
        <f t="shared" si="6"/>
        <v>6.1335000000000001E-3</v>
      </c>
      <c r="AL56" s="338">
        <f t="shared" si="6"/>
        <v>-0.65974999999999995</v>
      </c>
    </row>
    <row r="57" spans="1:38">
      <c r="A57" s="535"/>
      <c r="B57" s="518"/>
      <c r="C57" s="196" t="s">
        <v>139</v>
      </c>
      <c r="D57" s="197"/>
      <c r="E57" s="192"/>
      <c r="F57" s="521"/>
      <c r="G57" s="147"/>
      <c r="H57" s="147"/>
      <c r="I57" s="192"/>
      <c r="J57" s="521"/>
      <c r="K57" s="147"/>
      <c r="L57" s="147"/>
      <c r="M57" s="192"/>
      <c r="N57" s="521"/>
      <c r="O57" s="147"/>
      <c r="P57" s="147"/>
      <c r="Q57" s="192"/>
      <c r="R57" s="196"/>
      <c r="S57" s="192"/>
      <c r="T57" s="147"/>
      <c r="U57" s="198"/>
      <c r="V57" s="192"/>
      <c r="W57" s="147"/>
      <c r="X57" s="147"/>
      <c r="Y57" s="147"/>
      <c r="Z57" s="198"/>
      <c r="AA57" s="192"/>
      <c r="AB57" s="147"/>
      <c r="AC57" s="147"/>
      <c r="AD57" s="199"/>
      <c r="AE57" s="198"/>
      <c r="AF57" s="195"/>
      <c r="AG57" s="147">
        <v>26.3</v>
      </c>
      <c r="AH57" s="213">
        <v>4.9100000000000003E-3</v>
      </c>
      <c r="AI57" s="199">
        <v>-0.52800000000000002</v>
      </c>
      <c r="AJ57" s="210">
        <f t="shared" si="5"/>
        <v>38.134999999999998</v>
      </c>
      <c r="AK57" s="334">
        <f t="shared" si="6"/>
        <v>7.1195E-3</v>
      </c>
      <c r="AL57" s="339">
        <f t="shared" si="6"/>
        <v>-0.76560000000000006</v>
      </c>
    </row>
    <row r="58" spans="1:38" ht="16.5" thickBot="1">
      <c r="A58" s="535"/>
      <c r="B58" s="519"/>
      <c r="C58" s="200" t="s">
        <v>141</v>
      </c>
      <c r="D58" s="201"/>
      <c r="E58" s="192"/>
      <c r="F58" s="522"/>
      <c r="G58" s="148"/>
      <c r="H58" s="148"/>
      <c r="I58" s="192"/>
      <c r="J58" s="522"/>
      <c r="K58" s="148"/>
      <c r="L58" s="148"/>
      <c r="M58" s="192"/>
      <c r="N58" s="522"/>
      <c r="O58" s="148"/>
      <c r="P58" s="148"/>
      <c r="Q58" s="192"/>
      <c r="R58" s="200"/>
      <c r="S58" s="192"/>
      <c r="T58" s="148"/>
      <c r="U58" s="202"/>
      <c r="V58" s="192"/>
      <c r="W58" s="148"/>
      <c r="X58" s="148"/>
      <c r="Y58" s="148"/>
      <c r="Z58" s="202"/>
      <c r="AA58" s="192"/>
      <c r="AB58" s="148"/>
      <c r="AC58" s="148"/>
      <c r="AD58" s="203"/>
      <c r="AE58" s="202"/>
      <c r="AF58" s="195"/>
      <c r="AG58" s="148">
        <v>30.8</v>
      </c>
      <c r="AH58" s="214">
        <v>5.7499999999999999E-3</v>
      </c>
      <c r="AI58" s="203">
        <v>-0.61899999999999999</v>
      </c>
      <c r="AJ58" s="211">
        <f t="shared" si="5"/>
        <v>44.66</v>
      </c>
      <c r="AK58" s="335">
        <f t="shared" si="6"/>
        <v>8.3374999999999994E-3</v>
      </c>
      <c r="AL58" s="340">
        <f t="shared" si="6"/>
        <v>-0.89754999999999996</v>
      </c>
    </row>
    <row r="59" spans="1:38">
      <c r="A59" s="535"/>
      <c r="B59" s="517" t="s">
        <v>125</v>
      </c>
      <c r="C59" s="190" t="s">
        <v>140</v>
      </c>
      <c r="D59" s="191"/>
      <c r="E59" s="192"/>
      <c r="F59" s="520"/>
      <c r="G59" s="146"/>
      <c r="H59" s="146"/>
      <c r="I59" s="192"/>
      <c r="J59" s="520"/>
      <c r="K59" s="146"/>
      <c r="L59" s="146"/>
      <c r="M59" s="192"/>
      <c r="N59" s="520"/>
      <c r="O59" s="146"/>
      <c r="P59" s="146"/>
      <c r="Q59" s="192"/>
      <c r="R59" s="190"/>
      <c r="S59" s="192"/>
      <c r="T59" s="146"/>
      <c r="U59" s="146"/>
      <c r="V59" s="192"/>
      <c r="W59" s="146"/>
      <c r="X59" s="146"/>
      <c r="Y59" s="146"/>
      <c r="Z59" s="193"/>
      <c r="AA59" s="192"/>
      <c r="AB59" s="146"/>
      <c r="AC59" s="146"/>
      <c r="AD59" s="194"/>
      <c r="AE59" s="193"/>
      <c r="AF59" s="195"/>
      <c r="AG59" s="146">
        <v>31.7</v>
      </c>
      <c r="AH59" s="212">
        <v>5.9199999999999999E-3</v>
      </c>
      <c r="AI59" s="194">
        <v>-0.63700000000000001</v>
      </c>
      <c r="AJ59" s="209">
        <f t="shared" si="5"/>
        <v>45.964999999999996</v>
      </c>
      <c r="AK59" s="333">
        <f t="shared" si="6"/>
        <v>8.5839999999999996E-3</v>
      </c>
      <c r="AL59" s="338">
        <f t="shared" si="6"/>
        <v>-0.92364999999999997</v>
      </c>
    </row>
    <row r="60" spans="1:38">
      <c r="A60" s="535"/>
      <c r="B60" s="518"/>
      <c r="C60" s="196" t="s">
        <v>139</v>
      </c>
      <c r="D60" s="197"/>
      <c r="E60" s="192"/>
      <c r="F60" s="521"/>
      <c r="G60" s="147"/>
      <c r="H60" s="147"/>
      <c r="I60" s="192"/>
      <c r="J60" s="521"/>
      <c r="K60" s="147"/>
      <c r="L60" s="147"/>
      <c r="M60" s="192"/>
      <c r="N60" s="521"/>
      <c r="O60" s="147"/>
      <c r="P60" s="147"/>
      <c r="Q60" s="192"/>
      <c r="R60" s="196"/>
      <c r="S60" s="192"/>
      <c r="T60" s="147"/>
      <c r="U60" s="198"/>
      <c r="V60" s="192"/>
      <c r="W60" s="147"/>
      <c r="X60" s="147"/>
      <c r="Y60" s="147"/>
      <c r="Z60" s="198"/>
      <c r="AA60" s="192"/>
      <c r="AB60" s="147"/>
      <c r="AC60" s="147"/>
      <c r="AD60" s="199"/>
      <c r="AE60" s="198"/>
      <c r="AF60" s="195"/>
      <c r="AG60" s="147">
        <v>37.1</v>
      </c>
      <c r="AH60" s="213">
        <v>6.94E-3</v>
      </c>
      <c r="AI60" s="199">
        <v>-0.747</v>
      </c>
      <c r="AJ60" s="210">
        <f t="shared" si="5"/>
        <v>53.795000000000002</v>
      </c>
      <c r="AK60" s="334">
        <f t="shared" si="6"/>
        <v>1.0062999999999999E-2</v>
      </c>
      <c r="AL60" s="339">
        <f t="shared" si="6"/>
        <v>-1.0831500000000001</v>
      </c>
    </row>
    <row r="61" spans="1:38" ht="16.5" thickBot="1">
      <c r="A61" s="536"/>
      <c r="B61" s="519"/>
      <c r="C61" s="200" t="s">
        <v>141</v>
      </c>
      <c r="D61" s="201"/>
      <c r="E61" s="207"/>
      <c r="F61" s="522"/>
      <c r="G61" s="148"/>
      <c r="H61" s="148"/>
      <c r="I61" s="207"/>
      <c r="J61" s="522"/>
      <c r="K61" s="148"/>
      <c r="L61" s="148"/>
      <c r="M61" s="207"/>
      <c r="N61" s="522"/>
      <c r="O61" s="148"/>
      <c r="P61" s="148"/>
      <c r="Q61" s="207"/>
      <c r="R61" s="200"/>
      <c r="S61" s="207"/>
      <c r="T61" s="148"/>
      <c r="U61" s="202"/>
      <c r="V61" s="207"/>
      <c r="W61" s="148"/>
      <c r="X61" s="148"/>
      <c r="Y61" s="148"/>
      <c r="Z61" s="202"/>
      <c r="AA61" s="207"/>
      <c r="AB61" s="148"/>
      <c r="AC61" s="148"/>
      <c r="AD61" s="203"/>
      <c r="AE61" s="202"/>
      <c r="AF61" s="208"/>
      <c r="AG61" s="148">
        <v>42.6</v>
      </c>
      <c r="AH61" s="214">
        <v>7.9500000000000005E-3</v>
      </c>
      <c r="AI61" s="203">
        <v>-0.85599999999999998</v>
      </c>
      <c r="AJ61" s="211">
        <f t="shared" si="5"/>
        <v>61.77</v>
      </c>
      <c r="AK61" s="335">
        <f t="shared" si="6"/>
        <v>1.15275E-2</v>
      </c>
      <c r="AL61" s="340">
        <f t="shared" si="6"/>
        <v>-1.2411999999999999</v>
      </c>
    </row>
  </sheetData>
  <mergeCells count="105">
    <mergeCell ref="AG2:AI3"/>
    <mergeCell ref="AJ2:AL3"/>
    <mergeCell ref="F56:F58"/>
    <mergeCell ref="J56:J58"/>
    <mergeCell ref="N56:N58"/>
    <mergeCell ref="F59:F61"/>
    <mergeCell ref="J59:J61"/>
    <mergeCell ref="N59:N61"/>
    <mergeCell ref="F50:F52"/>
    <mergeCell ref="J50:J52"/>
    <mergeCell ref="N50:N52"/>
    <mergeCell ref="F53:F55"/>
    <mergeCell ref="J53:J55"/>
    <mergeCell ref="N53:N55"/>
    <mergeCell ref="F44:F46"/>
    <mergeCell ref="J44:J46"/>
    <mergeCell ref="N44:N46"/>
    <mergeCell ref="F47:F49"/>
    <mergeCell ref="J47:J49"/>
    <mergeCell ref="N47:N49"/>
    <mergeCell ref="F38:F40"/>
    <mergeCell ref="J38:J40"/>
    <mergeCell ref="N38:N40"/>
    <mergeCell ref="F41:F43"/>
    <mergeCell ref="J41:J43"/>
    <mergeCell ref="N41:N43"/>
    <mergeCell ref="F32:F34"/>
    <mergeCell ref="J32:J34"/>
    <mergeCell ref="N32:N34"/>
    <mergeCell ref="F35:F37"/>
    <mergeCell ref="J35:J37"/>
    <mergeCell ref="N35:N37"/>
    <mergeCell ref="F26:F28"/>
    <mergeCell ref="J26:J28"/>
    <mergeCell ref="N26:N28"/>
    <mergeCell ref="F29:F31"/>
    <mergeCell ref="J29:J31"/>
    <mergeCell ref="N29:N31"/>
    <mergeCell ref="B50:B52"/>
    <mergeCell ref="B53:B55"/>
    <mergeCell ref="B56:B58"/>
    <mergeCell ref="B59:B61"/>
    <mergeCell ref="A50:A61"/>
    <mergeCell ref="A26:A37"/>
    <mergeCell ref="B41:B43"/>
    <mergeCell ref="B44:B46"/>
    <mergeCell ref="B47:B49"/>
    <mergeCell ref="A38:A49"/>
    <mergeCell ref="A5:A25"/>
    <mergeCell ref="B1:AK1"/>
    <mergeCell ref="A2:A4"/>
    <mergeCell ref="C2:C3"/>
    <mergeCell ref="B26:B28"/>
    <mergeCell ref="B29:B31"/>
    <mergeCell ref="B38:B40"/>
    <mergeCell ref="B32:B34"/>
    <mergeCell ref="B35:B37"/>
    <mergeCell ref="AC3:AD3"/>
    <mergeCell ref="AB2:AD2"/>
    <mergeCell ref="AE2:AE4"/>
    <mergeCell ref="N23:N25"/>
    <mergeCell ref="D2:D4"/>
    <mergeCell ref="N5:N7"/>
    <mergeCell ref="N8:N10"/>
    <mergeCell ref="N11:N13"/>
    <mergeCell ref="N14:N16"/>
    <mergeCell ref="N17:N19"/>
    <mergeCell ref="R2:R3"/>
    <mergeCell ref="J2:L2"/>
    <mergeCell ref="F2:H2"/>
    <mergeCell ref="X3:Y3"/>
    <mergeCell ref="W2:Y2"/>
    <mergeCell ref="N2:P2"/>
    <mergeCell ref="O3:O4"/>
    <mergeCell ref="P3:P4"/>
    <mergeCell ref="N20:N22"/>
    <mergeCell ref="U2:U4"/>
    <mergeCell ref="Z2:Z4"/>
    <mergeCell ref="T2:T3"/>
    <mergeCell ref="B8:B10"/>
    <mergeCell ref="F8:F10"/>
    <mergeCell ref="J8:J10"/>
    <mergeCell ref="B5:B7"/>
    <mergeCell ref="F5:F7"/>
    <mergeCell ref="J5:J7"/>
    <mergeCell ref="H3:H4"/>
    <mergeCell ref="L3:L4"/>
    <mergeCell ref="G3:G4"/>
    <mergeCell ref="K3:K4"/>
    <mergeCell ref="B2:B4"/>
    <mergeCell ref="B11:B13"/>
    <mergeCell ref="F11:F13"/>
    <mergeCell ref="J11:J13"/>
    <mergeCell ref="B14:B16"/>
    <mergeCell ref="F14:F16"/>
    <mergeCell ref="J14:J16"/>
    <mergeCell ref="B23:B25"/>
    <mergeCell ref="F23:F25"/>
    <mergeCell ref="J23:J25"/>
    <mergeCell ref="B17:B19"/>
    <mergeCell ref="F17:F19"/>
    <mergeCell ref="J17:J19"/>
    <mergeCell ref="B20:B22"/>
    <mergeCell ref="F20:F22"/>
    <mergeCell ref="J20:J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workbookViewId="0">
      <selection activeCell="D33" sqref="C33:D33"/>
    </sheetView>
  </sheetViews>
  <sheetFormatPr defaultRowHeight="15.75"/>
  <cols>
    <col min="1" max="1" width="27.375" style="345" bestFit="1" customWidth="1"/>
    <col min="2" max="2" width="17.625" customWidth="1"/>
  </cols>
  <sheetData>
    <row r="1" spans="1:33">
      <c r="C1" s="382" t="s">
        <v>232</v>
      </c>
    </row>
    <row r="3" spans="1:33">
      <c r="B3" s="385" t="s">
        <v>234</v>
      </c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  <c r="AD3" s="385"/>
      <c r="AE3" s="385"/>
      <c r="AF3" s="385"/>
      <c r="AG3" s="385"/>
    </row>
    <row r="4" spans="1:33">
      <c r="B4" s="385" t="s">
        <v>235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5"/>
      <c r="AG4" s="385"/>
    </row>
    <row r="5" spans="1:33">
      <c r="B5" s="385" t="s">
        <v>236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</row>
    <row r="6" spans="1:33"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</row>
    <row r="7" spans="1:33">
      <c r="A7" s="345" t="s">
        <v>285</v>
      </c>
      <c r="B7" s="385" t="s">
        <v>237</v>
      </c>
      <c r="C7" s="385" t="s">
        <v>238</v>
      </c>
      <c r="D7" s="385" t="s">
        <v>239</v>
      </c>
      <c r="E7" s="385" t="s">
        <v>240</v>
      </c>
      <c r="F7" s="385" t="s">
        <v>241</v>
      </c>
      <c r="G7" s="385" t="s">
        <v>242</v>
      </c>
      <c r="H7" s="385" t="s">
        <v>243</v>
      </c>
      <c r="I7" s="385" t="s">
        <v>244</v>
      </c>
      <c r="J7" s="385" t="s">
        <v>245</v>
      </c>
      <c r="K7" s="385" t="s">
        <v>246</v>
      </c>
      <c r="L7" s="385" t="s">
        <v>247</v>
      </c>
      <c r="M7" s="385" t="s">
        <v>248</v>
      </c>
      <c r="N7" s="385" t="s">
        <v>249</v>
      </c>
      <c r="O7" s="385" t="s">
        <v>250</v>
      </c>
      <c r="P7" s="385" t="s">
        <v>251</v>
      </c>
      <c r="Q7" s="385" t="s">
        <v>252</v>
      </c>
      <c r="R7" s="385" t="s">
        <v>253</v>
      </c>
      <c r="S7" s="385" t="s">
        <v>254</v>
      </c>
      <c r="T7" s="385" t="s">
        <v>255</v>
      </c>
      <c r="U7" s="385" t="s">
        <v>256</v>
      </c>
      <c r="V7" s="385" t="s">
        <v>257</v>
      </c>
      <c r="W7" s="385" t="s">
        <v>258</v>
      </c>
      <c r="X7" s="385" t="s">
        <v>259</v>
      </c>
      <c r="Y7" s="385" t="s">
        <v>260</v>
      </c>
      <c r="Z7" s="385" t="s">
        <v>261</v>
      </c>
      <c r="AA7" s="385" t="s">
        <v>262</v>
      </c>
      <c r="AB7" s="385" t="s">
        <v>263</v>
      </c>
      <c r="AC7" s="385" t="s">
        <v>264</v>
      </c>
      <c r="AD7" s="385" t="s">
        <v>265</v>
      </c>
      <c r="AE7" s="385" t="s">
        <v>266</v>
      </c>
      <c r="AF7" s="385" t="s">
        <v>267</v>
      </c>
      <c r="AG7" s="385" t="s">
        <v>268</v>
      </c>
    </row>
    <row r="8" spans="1:33">
      <c r="A8" s="345" t="s">
        <v>233</v>
      </c>
      <c r="B8" s="385" t="s">
        <v>269</v>
      </c>
      <c r="C8" s="385" t="s">
        <v>270</v>
      </c>
      <c r="D8" s="385" t="s">
        <v>271</v>
      </c>
      <c r="E8" s="386">
        <v>42599.973067129627</v>
      </c>
      <c r="F8" s="385" t="s">
        <v>272</v>
      </c>
      <c r="G8" s="385" t="s">
        <v>273</v>
      </c>
      <c r="H8" s="385" t="s">
        <v>274</v>
      </c>
      <c r="I8" s="385" t="s">
        <v>275</v>
      </c>
      <c r="J8" s="385" t="s">
        <v>276</v>
      </c>
      <c r="K8" s="385" t="s">
        <v>277</v>
      </c>
      <c r="L8" s="385">
        <v>1</v>
      </c>
      <c r="M8" s="385">
        <v>1630</v>
      </c>
      <c r="N8" s="385" t="s">
        <v>278</v>
      </c>
      <c r="O8" s="385">
        <v>0</v>
      </c>
      <c r="P8" s="385">
        <v>0</v>
      </c>
      <c r="Q8" s="385">
        <v>0</v>
      </c>
      <c r="R8" s="385">
        <v>0</v>
      </c>
      <c r="S8" s="385">
        <v>0</v>
      </c>
      <c r="T8" s="385">
        <v>0</v>
      </c>
      <c r="U8" s="385">
        <v>0</v>
      </c>
      <c r="V8" s="385">
        <v>0</v>
      </c>
      <c r="W8" s="385">
        <v>0</v>
      </c>
      <c r="X8" s="385">
        <v>48.9</v>
      </c>
      <c r="Y8" s="385">
        <v>9.1400000000000006E-3</v>
      </c>
      <c r="Z8" s="385">
        <v>-0.98299999999999998</v>
      </c>
      <c r="AA8" s="385" t="s">
        <v>279</v>
      </c>
      <c r="AB8" s="385" t="s">
        <v>280</v>
      </c>
      <c r="AC8" s="385">
        <v>2</v>
      </c>
      <c r="AD8" s="385" t="s">
        <v>281</v>
      </c>
      <c r="AE8" s="385" t="s">
        <v>282</v>
      </c>
      <c r="AF8" s="385" t="s">
        <v>283</v>
      </c>
      <c r="AG8" s="385" t="s">
        <v>64</v>
      </c>
    </row>
    <row r="9" spans="1:33">
      <c r="A9" s="345" t="s">
        <v>233</v>
      </c>
      <c r="B9" s="385" t="s">
        <v>269</v>
      </c>
      <c r="C9" s="385" t="s">
        <v>270</v>
      </c>
      <c r="D9" s="385" t="s">
        <v>271</v>
      </c>
      <c r="E9" s="386">
        <v>42599.973067129627</v>
      </c>
      <c r="F9" s="385" t="s">
        <v>62</v>
      </c>
      <c r="G9" s="385" t="s">
        <v>273</v>
      </c>
      <c r="H9" s="385" t="s">
        <v>274</v>
      </c>
      <c r="I9" s="385" t="s">
        <v>275</v>
      </c>
      <c r="J9" s="385" t="s">
        <v>276</v>
      </c>
      <c r="K9" s="385" t="s">
        <v>277</v>
      </c>
      <c r="L9" s="385">
        <v>1</v>
      </c>
      <c r="M9" s="385">
        <v>1560</v>
      </c>
      <c r="N9" s="385" t="s">
        <v>278</v>
      </c>
      <c r="O9" s="385">
        <v>0</v>
      </c>
      <c r="P9" s="385">
        <v>0</v>
      </c>
      <c r="Q9" s="385">
        <v>0</v>
      </c>
      <c r="R9" s="385">
        <v>0</v>
      </c>
      <c r="S9" s="385">
        <v>0</v>
      </c>
      <c r="T9" s="385">
        <v>0</v>
      </c>
      <c r="U9" s="385">
        <v>0</v>
      </c>
      <c r="V9" s="385">
        <v>0</v>
      </c>
      <c r="W9" s="385">
        <v>0</v>
      </c>
      <c r="X9" s="385">
        <v>51.9</v>
      </c>
      <c r="Y9" s="385">
        <v>1.03E-2</v>
      </c>
      <c r="Z9" s="385">
        <v>-1.03</v>
      </c>
      <c r="AA9" s="385" t="s">
        <v>279</v>
      </c>
      <c r="AB9" s="385" t="s">
        <v>280</v>
      </c>
      <c r="AC9" s="385">
        <v>2</v>
      </c>
      <c r="AD9" s="385" t="s">
        <v>281</v>
      </c>
      <c r="AE9" s="385" t="s">
        <v>282</v>
      </c>
      <c r="AF9" s="385" t="s">
        <v>283</v>
      </c>
      <c r="AG9" s="385" t="s">
        <v>62</v>
      </c>
    </row>
    <row r="10" spans="1:33">
      <c r="A10" s="345" t="s">
        <v>233</v>
      </c>
      <c r="B10" s="385" t="s">
        <v>269</v>
      </c>
      <c r="C10" s="385" t="s">
        <v>270</v>
      </c>
      <c r="D10" s="385" t="s">
        <v>271</v>
      </c>
      <c r="E10" s="386">
        <v>42599.973067129627</v>
      </c>
      <c r="F10" s="385" t="s">
        <v>66</v>
      </c>
      <c r="G10" s="385" t="s">
        <v>273</v>
      </c>
      <c r="H10" s="385" t="s">
        <v>274</v>
      </c>
      <c r="I10" s="385" t="s">
        <v>275</v>
      </c>
      <c r="J10" s="385" t="s">
        <v>276</v>
      </c>
      <c r="K10" s="385" t="s">
        <v>277</v>
      </c>
      <c r="L10" s="385">
        <v>1</v>
      </c>
      <c r="M10" s="385">
        <v>1500</v>
      </c>
      <c r="N10" s="385" t="s">
        <v>278</v>
      </c>
      <c r="O10" s="385">
        <v>0</v>
      </c>
      <c r="P10" s="385">
        <v>0</v>
      </c>
      <c r="Q10" s="385">
        <v>0</v>
      </c>
      <c r="R10" s="385">
        <v>0</v>
      </c>
      <c r="S10" s="385">
        <v>0</v>
      </c>
      <c r="T10" s="385">
        <v>0</v>
      </c>
      <c r="U10" s="385">
        <v>0</v>
      </c>
      <c r="V10" s="385">
        <v>0</v>
      </c>
      <c r="W10" s="385">
        <v>0</v>
      </c>
      <c r="X10" s="385">
        <v>46.3</v>
      </c>
      <c r="Y10" s="385">
        <v>1.01E-2</v>
      </c>
      <c r="Z10" s="385">
        <v>-1.25</v>
      </c>
      <c r="AA10" s="385" t="s">
        <v>279</v>
      </c>
      <c r="AB10" s="385" t="s">
        <v>280</v>
      </c>
      <c r="AC10" s="385">
        <v>2</v>
      </c>
      <c r="AD10" s="385" t="s">
        <v>281</v>
      </c>
      <c r="AE10" s="385" t="s">
        <v>282</v>
      </c>
      <c r="AF10" s="385" t="s">
        <v>283</v>
      </c>
      <c r="AG10" s="385" t="s">
        <v>61</v>
      </c>
    </row>
    <row r="11" spans="1:33">
      <c r="A11" s="345" t="s">
        <v>233</v>
      </c>
      <c r="B11" s="385" t="s">
        <v>269</v>
      </c>
      <c r="C11" s="385" t="s">
        <v>270</v>
      </c>
      <c r="D11" s="385" t="s">
        <v>271</v>
      </c>
      <c r="E11" s="386">
        <v>42599.973067129627</v>
      </c>
      <c r="F11" s="385" t="s">
        <v>63</v>
      </c>
      <c r="G11" s="385" t="s">
        <v>273</v>
      </c>
      <c r="H11" s="385" t="s">
        <v>274</v>
      </c>
      <c r="I11" s="385" t="s">
        <v>275</v>
      </c>
      <c r="J11" s="385" t="s">
        <v>276</v>
      </c>
      <c r="K11" s="385" t="s">
        <v>277</v>
      </c>
      <c r="L11" s="385">
        <v>1</v>
      </c>
      <c r="M11" s="385">
        <v>1560</v>
      </c>
      <c r="N11" s="385" t="s">
        <v>278</v>
      </c>
      <c r="O11" s="385">
        <v>0</v>
      </c>
      <c r="P11" s="385">
        <v>0</v>
      </c>
      <c r="Q11" s="385">
        <v>0</v>
      </c>
      <c r="R11" s="385">
        <v>0</v>
      </c>
      <c r="S11" s="385">
        <v>0</v>
      </c>
      <c r="T11" s="385">
        <v>0</v>
      </c>
      <c r="U11" s="385">
        <v>0</v>
      </c>
      <c r="V11" s="385">
        <v>0</v>
      </c>
      <c r="W11" s="385">
        <v>0</v>
      </c>
      <c r="X11" s="385">
        <v>51.7</v>
      </c>
      <c r="Y11" s="385">
        <v>0.01</v>
      </c>
      <c r="Z11" s="385">
        <v>-1.02</v>
      </c>
      <c r="AA11" s="385" t="s">
        <v>279</v>
      </c>
      <c r="AB11" s="385" t="s">
        <v>280</v>
      </c>
      <c r="AC11" s="385">
        <v>2</v>
      </c>
      <c r="AD11" s="385" t="s">
        <v>281</v>
      </c>
      <c r="AE11" s="385" t="s">
        <v>282</v>
      </c>
      <c r="AF11" s="385" t="s">
        <v>283</v>
      </c>
      <c r="AG11" s="385" t="s">
        <v>63</v>
      </c>
    </row>
    <row r="13" spans="1:33">
      <c r="A13" s="345" t="s">
        <v>284</v>
      </c>
      <c r="B13" s="383" t="s">
        <v>241</v>
      </c>
      <c r="C13" s="385" t="s">
        <v>259</v>
      </c>
      <c r="D13" s="385" t="s">
        <v>260</v>
      </c>
      <c r="E13" s="385" t="s">
        <v>261</v>
      </c>
    </row>
    <row r="14" spans="1:33">
      <c r="A14" s="345" t="s">
        <v>286</v>
      </c>
      <c r="B14" t="str">
        <f>F8</f>
        <v>SDG</v>
      </c>
      <c r="C14">
        <f>ROUND(X8*1.5,1)</f>
        <v>73.400000000000006</v>
      </c>
      <c r="D14" s="345">
        <f>ROUND(Y8*1.5,4)</f>
        <v>1.37E-2</v>
      </c>
      <c r="E14" s="345">
        <f>ROUND(Z8*1.5,2)</f>
        <v>-1.47</v>
      </c>
    </row>
    <row r="15" spans="1:33">
      <c r="A15" s="345" t="s">
        <v>286</v>
      </c>
      <c r="B15" s="345" t="str">
        <f t="shared" ref="B15:B17" si="0">F9</f>
        <v>SCE</v>
      </c>
      <c r="C15" s="345">
        <f t="shared" ref="C15:C17" si="1">ROUND(X9*1.5,1)</f>
        <v>77.900000000000006</v>
      </c>
      <c r="D15" s="345">
        <f t="shared" ref="D15:D17" si="2">ROUND(Y9*1.5,4)</f>
        <v>1.55E-2</v>
      </c>
      <c r="E15" s="345">
        <f t="shared" ref="E15:E17" si="3">ROUND(Z9*1.5,2)</f>
        <v>-1.55</v>
      </c>
    </row>
    <row r="16" spans="1:33">
      <c r="A16" s="345" t="s">
        <v>286</v>
      </c>
      <c r="B16" s="345" t="str">
        <f t="shared" si="0"/>
        <v>PGE</v>
      </c>
      <c r="C16" s="345">
        <f t="shared" si="1"/>
        <v>69.5</v>
      </c>
      <c r="D16" s="345">
        <f t="shared" si="2"/>
        <v>1.52E-2</v>
      </c>
      <c r="E16" s="345">
        <f t="shared" si="3"/>
        <v>-1.88</v>
      </c>
    </row>
    <row r="17" spans="1:5">
      <c r="A17" s="345" t="s">
        <v>286</v>
      </c>
      <c r="B17" s="345" t="str">
        <f t="shared" si="0"/>
        <v>SCG</v>
      </c>
      <c r="C17" s="345">
        <f t="shared" si="1"/>
        <v>77.599999999999994</v>
      </c>
      <c r="D17" s="345">
        <f t="shared" si="2"/>
        <v>1.4999999999999999E-2</v>
      </c>
      <c r="E17" s="345">
        <f t="shared" si="3"/>
        <v>-1.53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E19" sqref="E19"/>
    </sheetView>
  </sheetViews>
  <sheetFormatPr defaultColWidth="11" defaultRowHeight="15.75"/>
  <sheetData>
    <row r="1" spans="1:9" s="345" customFormat="1">
      <c r="A1" s="382" t="s">
        <v>287</v>
      </c>
    </row>
    <row r="2" spans="1:9">
      <c r="A2" s="43"/>
      <c r="B2" s="42"/>
      <c r="C2" s="42"/>
      <c r="D2" s="42"/>
      <c r="E2" s="42"/>
      <c r="F2" s="42"/>
      <c r="G2" s="42"/>
      <c r="H2" s="42"/>
      <c r="I2" s="42"/>
    </row>
    <row r="3" spans="1:9">
      <c r="A3" s="44" t="s">
        <v>52</v>
      </c>
      <c r="B3" s="42"/>
      <c r="C3" s="42"/>
      <c r="D3" s="42" t="s">
        <v>53</v>
      </c>
      <c r="E3" s="42"/>
      <c r="F3" s="42"/>
      <c r="G3" s="42"/>
      <c r="H3" s="42"/>
      <c r="I3" s="42"/>
    </row>
    <row r="4" spans="1:9">
      <c r="A4" s="44" t="s">
        <v>54</v>
      </c>
      <c r="B4" s="42"/>
      <c r="C4" s="42"/>
      <c r="D4" s="42" t="s">
        <v>55</v>
      </c>
      <c r="E4" s="42"/>
      <c r="F4" s="42"/>
      <c r="G4" s="384" t="s">
        <v>288</v>
      </c>
      <c r="H4" s="42"/>
      <c r="I4" s="42"/>
    </row>
    <row r="5" spans="1:9">
      <c r="A5" s="44"/>
      <c r="B5" s="42"/>
      <c r="C5" s="42"/>
      <c r="D5" s="42"/>
      <c r="E5" s="42"/>
      <c r="F5" s="42"/>
      <c r="G5" s="42"/>
      <c r="H5" s="42"/>
      <c r="I5" s="42"/>
    </row>
    <row r="6" spans="1:9">
      <c r="A6" s="44" t="s">
        <v>56</v>
      </c>
      <c r="B6" s="42"/>
      <c r="C6" s="42"/>
      <c r="D6" s="42"/>
      <c r="E6" s="42"/>
      <c r="F6" s="42"/>
      <c r="G6" s="42"/>
      <c r="H6" s="42"/>
      <c r="I6" s="42"/>
    </row>
    <row r="8" spans="1:9">
      <c r="A8" s="45"/>
      <c r="B8" s="545" t="s">
        <v>57</v>
      </c>
      <c r="C8" s="545"/>
      <c r="D8" s="545"/>
    </row>
    <row r="9" spans="1:9">
      <c r="A9" s="45"/>
      <c r="B9" s="46" t="s">
        <v>58</v>
      </c>
      <c r="C9" s="46" t="s">
        <v>59</v>
      </c>
      <c r="D9" s="46" t="s">
        <v>60</v>
      </c>
    </row>
    <row r="10" spans="1:9">
      <c r="A10" s="46" t="s">
        <v>61</v>
      </c>
      <c r="B10" s="47">
        <v>1.02</v>
      </c>
      <c r="C10" s="47">
        <v>1.5</v>
      </c>
      <c r="D10" s="47">
        <v>-2.2700000000000001E-2</v>
      </c>
    </row>
    <row r="11" spans="1:9">
      <c r="A11" s="46" t="s">
        <v>62</v>
      </c>
      <c r="B11" s="47">
        <v>1.07</v>
      </c>
      <c r="C11" s="47">
        <v>1.53</v>
      </c>
      <c r="D11" s="47">
        <v>-1.77E-2</v>
      </c>
    </row>
    <row r="12" spans="1:9">
      <c r="A12" s="46" t="s">
        <v>63</v>
      </c>
      <c r="B12" s="47">
        <v>1.07</v>
      </c>
      <c r="C12" s="47">
        <v>1.53</v>
      </c>
      <c r="D12" s="47">
        <v>-1.77E-2</v>
      </c>
    </row>
    <row r="13" spans="1:9">
      <c r="A13" s="46" t="s">
        <v>64</v>
      </c>
      <c r="B13" s="47">
        <v>1.03</v>
      </c>
      <c r="C13" s="47">
        <v>1.38</v>
      </c>
      <c r="D13" s="47">
        <v>-1.61E-2</v>
      </c>
    </row>
  </sheetData>
  <mergeCells count="1">
    <mergeCell ref="B8:D8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Dryers</vt:lpstr>
      <vt:lpstr>Soundbars</vt:lpstr>
      <vt:lpstr>Room Air Cleaners</vt:lpstr>
      <vt:lpstr>Room Air Conditioners</vt:lpstr>
      <vt:lpstr>Freezers</vt:lpstr>
      <vt:lpstr>Refrigerators</vt:lpstr>
      <vt:lpstr>Interactive Effects</vt:lpstr>
    </vt:vector>
  </TitlesOfParts>
  <Company>EMI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Salazar</dc:creator>
  <cp:lastModifiedBy>Huang, Jia Chang</cp:lastModifiedBy>
  <dcterms:created xsi:type="dcterms:W3CDTF">2015-01-28T20:23:17Z</dcterms:created>
  <dcterms:modified xsi:type="dcterms:W3CDTF">2017-03-30T16:05:41Z</dcterms:modified>
</cp:coreProperties>
</file>