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585" windowWidth="18930" windowHeight="6720" tabRatio="500" firstSheet="4" activeTab="7"/>
  </bookViews>
  <sheets>
    <sheet name="Dryers" sheetId="1" r:id="rId1"/>
    <sheet name="Soundbars" sheetId="3" r:id="rId2"/>
    <sheet name="Room Air Cleaners" sheetId="6" r:id="rId3"/>
    <sheet name="Room Air Conditioners" sheetId="7" r:id="rId4"/>
    <sheet name="Freezers" sheetId="8" r:id="rId5"/>
    <sheet name="Refrigerators" sheetId="9" r:id="rId6"/>
    <sheet name="Interactive Effects" sheetId="4" r:id="rId7"/>
    <sheet name="Clothes Washers" sheetId="10" r:id="rId8"/>
  </sheets>
  <definedNames>
    <definedName name="_xlnm._FilterDatabase" localSheetId="0" hidden="1">Dryers!$A$74:$V$102</definedName>
  </definedNames>
  <calcPr calcId="145621"/>
</workbook>
</file>

<file path=xl/calcChain.xml><?xml version="1.0" encoding="utf-8"?>
<calcChain xmlns="http://schemas.openxmlformats.org/spreadsheetml/2006/main">
  <c r="Y23" i="10" l="1"/>
  <c r="Z23" i="10"/>
  <c r="AA23" i="10"/>
  <c r="Y24" i="10"/>
  <c r="Z24" i="10"/>
  <c r="AA24" i="10"/>
  <c r="Y25" i="10"/>
  <c r="Z25" i="10"/>
  <c r="AA25" i="10"/>
  <c r="Z22" i="10" l="1"/>
  <c r="AA22" i="10"/>
  <c r="Y22" i="10"/>
  <c r="R102" i="1" l="1"/>
  <c r="T101" i="1"/>
  <c r="S101" i="1"/>
  <c r="Q101" i="1"/>
  <c r="T100" i="1"/>
  <c r="S100" i="1"/>
  <c r="Q100" i="1"/>
  <c r="T99" i="1"/>
  <c r="S99" i="1"/>
  <c r="Q99" i="1"/>
  <c r="T98" i="1"/>
  <c r="S98" i="1"/>
  <c r="Q98" i="1"/>
  <c r="T97" i="1"/>
  <c r="S97" i="1"/>
  <c r="Q97" i="1"/>
  <c r="T96" i="1"/>
  <c r="S96" i="1"/>
  <c r="Q96" i="1"/>
  <c r="R95" i="1"/>
  <c r="T94" i="1"/>
  <c r="S94" i="1"/>
  <c r="Q94" i="1"/>
  <c r="T93" i="1"/>
  <c r="S93" i="1"/>
  <c r="Q93" i="1"/>
  <c r="T92" i="1"/>
  <c r="S92" i="1"/>
  <c r="Q92" i="1"/>
  <c r="T91" i="1"/>
  <c r="S91" i="1"/>
  <c r="Q91" i="1"/>
  <c r="T90" i="1"/>
  <c r="S90" i="1"/>
  <c r="Q90" i="1"/>
  <c r="T89" i="1"/>
  <c r="S89" i="1"/>
  <c r="Q89" i="1"/>
  <c r="R88" i="1"/>
  <c r="T87" i="1"/>
  <c r="S87" i="1"/>
  <c r="Q87" i="1"/>
  <c r="T86" i="1"/>
  <c r="S86" i="1"/>
  <c r="Q86" i="1"/>
  <c r="T85" i="1"/>
  <c r="S85" i="1"/>
  <c r="Q85" i="1"/>
  <c r="T84" i="1"/>
  <c r="S84" i="1"/>
  <c r="Q84" i="1"/>
  <c r="T83" i="1"/>
  <c r="S83" i="1"/>
  <c r="Q83" i="1"/>
  <c r="T82" i="1"/>
  <c r="S82" i="1"/>
  <c r="Q82" i="1"/>
  <c r="N102" i="1"/>
  <c r="P101" i="1"/>
  <c r="O101" i="1"/>
  <c r="M101" i="1"/>
  <c r="P100" i="1"/>
  <c r="O100" i="1"/>
  <c r="M100" i="1"/>
  <c r="P99" i="1"/>
  <c r="O99" i="1"/>
  <c r="M99" i="1"/>
  <c r="P98" i="1"/>
  <c r="O98" i="1"/>
  <c r="M98" i="1"/>
  <c r="P97" i="1"/>
  <c r="O97" i="1"/>
  <c r="M97" i="1"/>
  <c r="P96" i="1"/>
  <c r="O96" i="1"/>
  <c r="M96" i="1"/>
  <c r="N95" i="1"/>
  <c r="P94" i="1"/>
  <c r="O94" i="1"/>
  <c r="M94" i="1"/>
  <c r="P93" i="1"/>
  <c r="O93" i="1"/>
  <c r="M93" i="1"/>
  <c r="P92" i="1"/>
  <c r="O92" i="1"/>
  <c r="M92" i="1"/>
  <c r="P91" i="1"/>
  <c r="O91" i="1"/>
  <c r="M91" i="1"/>
  <c r="P90" i="1"/>
  <c r="O90" i="1"/>
  <c r="M90" i="1"/>
  <c r="P89" i="1"/>
  <c r="O89" i="1"/>
  <c r="M89" i="1"/>
  <c r="N88" i="1"/>
  <c r="P87" i="1"/>
  <c r="O87" i="1"/>
  <c r="M87" i="1"/>
  <c r="P86" i="1"/>
  <c r="O86" i="1"/>
  <c r="M86" i="1"/>
  <c r="P85" i="1"/>
  <c r="O85" i="1"/>
  <c r="M85" i="1"/>
  <c r="P84" i="1"/>
  <c r="O84" i="1"/>
  <c r="M84" i="1"/>
  <c r="P83" i="1"/>
  <c r="O83" i="1"/>
  <c r="M83" i="1"/>
  <c r="P82" i="1"/>
  <c r="O82" i="1"/>
  <c r="M82" i="1"/>
  <c r="R81" i="1"/>
  <c r="T80" i="1"/>
  <c r="T79" i="1"/>
  <c r="T78" i="1"/>
  <c r="T77" i="1"/>
  <c r="T76" i="1"/>
  <c r="T75" i="1"/>
  <c r="S80" i="1"/>
  <c r="Q80" i="1"/>
  <c r="S79" i="1"/>
  <c r="Q79" i="1"/>
  <c r="S78" i="1"/>
  <c r="Q78" i="1"/>
  <c r="S77" i="1"/>
  <c r="Q77" i="1"/>
  <c r="S76" i="1"/>
  <c r="Q76" i="1"/>
  <c r="S75" i="1"/>
  <c r="Q75" i="1"/>
  <c r="P80" i="1"/>
  <c r="P79" i="1"/>
  <c r="P78" i="1"/>
  <c r="P77" i="1"/>
  <c r="P76" i="1"/>
  <c r="P75" i="1"/>
  <c r="O80" i="1"/>
  <c r="O79" i="1"/>
  <c r="O78" i="1"/>
  <c r="O77" i="1"/>
  <c r="O76" i="1"/>
  <c r="O75" i="1"/>
  <c r="M80" i="1"/>
  <c r="M79" i="1"/>
  <c r="M78" i="1"/>
  <c r="M77" i="1"/>
  <c r="M76" i="1"/>
  <c r="M75" i="1"/>
  <c r="N57" i="1"/>
  <c r="N56" i="1"/>
  <c r="N55" i="1"/>
  <c r="H46" i="1"/>
  <c r="H41" i="1"/>
  <c r="H45" i="1"/>
  <c r="H40" i="1"/>
  <c r="H39" i="1"/>
  <c r="H38" i="1"/>
  <c r="D20" i="1"/>
  <c r="B32" i="1"/>
  <c r="B28" i="1"/>
  <c r="M24" i="6" l="1"/>
  <c r="M23" i="6"/>
  <c r="M22" i="6"/>
  <c r="E32" i="6"/>
  <c r="C15" i="9" l="1"/>
  <c r="D15" i="9"/>
  <c r="E15" i="9"/>
  <c r="C16" i="9"/>
  <c r="D16" i="9"/>
  <c r="E16" i="9"/>
  <c r="C17" i="9"/>
  <c r="D17" i="9"/>
  <c r="E17" i="9"/>
  <c r="E14" i="9"/>
  <c r="D14" i="9"/>
  <c r="C14" i="9"/>
  <c r="B15" i="9" l="1"/>
  <c r="B16" i="9"/>
  <c r="B17" i="9"/>
  <c r="B14" i="9"/>
  <c r="F70" i="7" l="1"/>
  <c r="F69" i="7"/>
  <c r="F68" i="7"/>
  <c r="F67" i="7"/>
  <c r="E68" i="7"/>
  <c r="E69" i="7"/>
  <c r="E70" i="7"/>
  <c r="E67" i="7"/>
  <c r="F61" i="7"/>
  <c r="F62" i="7"/>
  <c r="E62" i="7"/>
  <c r="E61" i="7"/>
  <c r="F60" i="7"/>
  <c r="E60" i="7"/>
  <c r="F59" i="7"/>
  <c r="E59" i="7"/>
  <c r="C20" i="1"/>
  <c r="Q33" i="1"/>
  <c r="R56" i="1" s="1"/>
  <c r="M58" i="1" s="1"/>
  <c r="P33" i="1"/>
  <c r="Q24" i="1"/>
  <c r="R55" i="1" s="1"/>
  <c r="P24" i="1"/>
  <c r="Q16" i="1"/>
  <c r="R54" i="1" s="1"/>
  <c r="M54" i="1" s="1"/>
  <c r="P16" i="1"/>
  <c r="L65" i="1"/>
  <c r="AL5" i="8"/>
  <c r="AL6" i="8"/>
  <c r="C19" i="1"/>
  <c r="AL61" i="8"/>
  <c r="AK61" i="8"/>
  <c r="AJ61" i="8"/>
  <c r="AL60" i="8"/>
  <c r="AK60" i="8"/>
  <c r="AJ60" i="8"/>
  <c r="AL59" i="8"/>
  <c r="AK59" i="8"/>
  <c r="AJ59" i="8"/>
  <c r="AL58" i="8"/>
  <c r="AK58" i="8"/>
  <c r="AJ58" i="8"/>
  <c r="AL57" i="8"/>
  <c r="AK57" i="8"/>
  <c r="AJ57" i="8"/>
  <c r="AL56" i="8"/>
  <c r="AK56" i="8"/>
  <c r="AJ56" i="8"/>
  <c r="AL55" i="8"/>
  <c r="AK55" i="8"/>
  <c r="AJ55" i="8"/>
  <c r="AL54" i="8"/>
  <c r="AK54" i="8"/>
  <c r="AJ54" i="8"/>
  <c r="AL53" i="8"/>
  <c r="AK53" i="8"/>
  <c r="AJ53" i="8"/>
  <c r="AL52" i="8"/>
  <c r="AK52" i="8"/>
  <c r="AJ52" i="8"/>
  <c r="AL51" i="8"/>
  <c r="AK51" i="8"/>
  <c r="AJ51" i="8"/>
  <c r="AL50" i="8"/>
  <c r="AK50" i="8"/>
  <c r="AJ50" i="8"/>
  <c r="AL49" i="8"/>
  <c r="AK49" i="8"/>
  <c r="AJ49" i="8"/>
  <c r="AL48" i="8"/>
  <c r="AK48" i="8"/>
  <c r="AJ48" i="8"/>
  <c r="AL47" i="8"/>
  <c r="AK47" i="8"/>
  <c r="AJ47" i="8"/>
  <c r="AL46" i="8"/>
  <c r="AK46" i="8"/>
  <c r="AJ46" i="8"/>
  <c r="AL45" i="8"/>
  <c r="AK45" i="8"/>
  <c r="AJ45" i="8"/>
  <c r="AL44" i="8"/>
  <c r="AK44" i="8"/>
  <c r="AJ44" i="8"/>
  <c r="AL43" i="8"/>
  <c r="AK43" i="8"/>
  <c r="AJ43" i="8"/>
  <c r="AL42" i="8"/>
  <c r="AK42" i="8"/>
  <c r="AJ42" i="8"/>
  <c r="AL41" i="8"/>
  <c r="AK41" i="8"/>
  <c r="AJ41" i="8"/>
  <c r="AL40" i="8"/>
  <c r="AK40" i="8"/>
  <c r="AJ40" i="8"/>
  <c r="AL39" i="8"/>
  <c r="AK39" i="8"/>
  <c r="AJ39" i="8"/>
  <c r="AL38" i="8"/>
  <c r="AK38" i="8"/>
  <c r="AJ38" i="8"/>
  <c r="AL37" i="8"/>
  <c r="AK37" i="8"/>
  <c r="AJ37" i="8"/>
  <c r="AL36" i="8"/>
  <c r="AK36" i="8"/>
  <c r="AJ36" i="8"/>
  <c r="AL35" i="8"/>
  <c r="AK35" i="8"/>
  <c r="AJ35" i="8"/>
  <c r="AL34" i="8"/>
  <c r="AK34" i="8"/>
  <c r="AJ34" i="8"/>
  <c r="AL33" i="8"/>
  <c r="AK33" i="8"/>
  <c r="AJ33" i="8"/>
  <c r="AL32" i="8"/>
  <c r="AK32" i="8"/>
  <c r="AJ32" i="8"/>
  <c r="H32" i="8"/>
  <c r="AL31" i="8"/>
  <c r="AK31" i="8"/>
  <c r="AJ31" i="8"/>
  <c r="AL30" i="8"/>
  <c r="AK30" i="8"/>
  <c r="AJ30" i="8"/>
  <c r="AL29" i="8"/>
  <c r="AK29" i="8"/>
  <c r="AJ29" i="8"/>
  <c r="AL28" i="8"/>
  <c r="AK28" i="8"/>
  <c r="AJ28" i="8"/>
  <c r="AL27" i="8"/>
  <c r="AK27" i="8"/>
  <c r="AJ27" i="8"/>
  <c r="AL26" i="8"/>
  <c r="AK26" i="8"/>
  <c r="AJ26" i="8"/>
  <c r="AL25" i="8"/>
  <c r="AK25" i="8"/>
  <c r="AJ25" i="8"/>
  <c r="O25" i="8"/>
  <c r="L25" i="8"/>
  <c r="P25" i="8"/>
  <c r="H25" i="8"/>
  <c r="AL24" i="8"/>
  <c r="AK24" i="8"/>
  <c r="AJ24" i="8"/>
  <c r="O24" i="8"/>
  <c r="D24" i="8"/>
  <c r="L24" i="8"/>
  <c r="P24" i="8"/>
  <c r="AL23" i="8"/>
  <c r="AK23" i="8"/>
  <c r="AJ23" i="8"/>
  <c r="O23" i="8"/>
  <c r="L23" i="8"/>
  <c r="P23" i="8"/>
  <c r="H23" i="8"/>
  <c r="AL22" i="8"/>
  <c r="AK22" i="8"/>
  <c r="AJ22" i="8"/>
  <c r="L22" i="8"/>
  <c r="P22" i="8"/>
  <c r="K22" i="8"/>
  <c r="H22" i="8"/>
  <c r="G22" i="8"/>
  <c r="AL21" i="8"/>
  <c r="AK21" i="8"/>
  <c r="AJ21" i="8"/>
  <c r="K21" i="8"/>
  <c r="G21" i="8"/>
  <c r="D21" i="8"/>
  <c r="L21" i="8"/>
  <c r="P21" i="8"/>
  <c r="AL20" i="8"/>
  <c r="AK20" i="8"/>
  <c r="AJ20" i="8"/>
  <c r="O20" i="8"/>
  <c r="L20" i="8"/>
  <c r="P20" i="8"/>
  <c r="H20" i="8"/>
  <c r="AL19" i="8"/>
  <c r="AK19" i="8"/>
  <c r="AJ19" i="8"/>
  <c r="AE19" i="8"/>
  <c r="AD19" i="8"/>
  <c r="Y19" i="8"/>
  <c r="AL18" i="8"/>
  <c r="AK18" i="8"/>
  <c r="AJ18" i="8"/>
  <c r="AE18" i="8"/>
  <c r="AD18" i="8"/>
  <c r="Y18" i="8"/>
  <c r="AL17" i="8"/>
  <c r="AK17" i="8"/>
  <c r="AJ17" i="8"/>
  <c r="AE17" i="8"/>
  <c r="AD17" i="8"/>
  <c r="Z17" i="8"/>
  <c r="Y17" i="8"/>
  <c r="AL16" i="8"/>
  <c r="AK16" i="8"/>
  <c r="AJ16" i="8"/>
  <c r="AE16" i="8" s="1"/>
  <c r="Z16" i="8"/>
  <c r="P16" i="8"/>
  <c r="L16" i="8"/>
  <c r="H16" i="8"/>
  <c r="AL15" i="8"/>
  <c r="AK15" i="8"/>
  <c r="AJ15" i="8"/>
  <c r="AE15" i="8" s="1"/>
  <c r="Z15" i="8"/>
  <c r="P15" i="8"/>
  <c r="D15" i="8"/>
  <c r="H15" i="8"/>
  <c r="AL14" i="8"/>
  <c r="AK14" i="8"/>
  <c r="AJ14" i="8"/>
  <c r="AE14" i="8" s="1"/>
  <c r="Z14" i="8"/>
  <c r="P14" i="8"/>
  <c r="L14" i="8"/>
  <c r="H14" i="8"/>
  <c r="AL13" i="8"/>
  <c r="AK13" i="8"/>
  <c r="AJ13" i="8"/>
  <c r="AE13" i="8" s="1"/>
  <c r="Z13" i="8"/>
  <c r="P13" i="8"/>
  <c r="L13" i="8"/>
  <c r="H13" i="8"/>
  <c r="AL12" i="8"/>
  <c r="AK12" i="8"/>
  <c r="AJ12" i="8"/>
  <c r="AE12" i="8" s="1"/>
  <c r="Z12" i="8"/>
  <c r="P12" i="8"/>
  <c r="D12" i="8"/>
  <c r="L12" i="8"/>
  <c r="AL11" i="8"/>
  <c r="AK11" i="8"/>
  <c r="AJ11" i="8"/>
  <c r="AE11" i="8" s="1"/>
  <c r="Z11" i="8"/>
  <c r="P11" i="8"/>
  <c r="L11" i="8"/>
  <c r="H11" i="8"/>
  <c r="AL10" i="8"/>
  <c r="AK10" i="8"/>
  <c r="AJ10" i="8"/>
  <c r="L10" i="8"/>
  <c r="P10" i="8"/>
  <c r="K10" i="8"/>
  <c r="H10" i="8"/>
  <c r="G10" i="8"/>
  <c r="AL9" i="8"/>
  <c r="AK9" i="8"/>
  <c r="AJ9" i="8"/>
  <c r="K9" i="8"/>
  <c r="O9" i="8"/>
  <c r="G9" i="8"/>
  <c r="D9" i="8"/>
  <c r="L9" i="8"/>
  <c r="P9" i="8"/>
  <c r="AL8" i="8"/>
  <c r="AK8" i="8"/>
  <c r="AJ8" i="8"/>
  <c r="O8" i="8"/>
  <c r="L8" i="8"/>
  <c r="P8" i="8"/>
  <c r="H8" i="8"/>
  <c r="AL7" i="8"/>
  <c r="AK7" i="8"/>
  <c r="AJ7" i="8"/>
  <c r="L7" i="8"/>
  <c r="P7" i="8"/>
  <c r="K7" i="8"/>
  <c r="O7" i="8"/>
  <c r="H7" i="8"/>
  <c r="G7" i="8"/>
  <c r="AK6" i="8"/>
  <c r="AJ6" i="8"/>
  <c r="K6" i="8"/>
  <c r="G6" i="8"/>
  <c r="D6" i="8"/>
  <c r="H6" i="8"/>
  <c r="AK5" i="8"/>
  <c r="AJ5" i="8"/>
  <c r="O5" i="8"/>
  <c r="L5" i="8"/>
  <c r="P5" i="8"/>
  <c r="H5" i="8"/>
  <c r="D47" i="7"/>
  <c r="U7" i="7"/>
  <c r="T7" i="7"/>
  <c r="U6" i="7"/>
  <c r="T6" i="7"/>
  <c r="U5" i="7"/>
  <c r="T5" i="7"/>
  <c r="U4" i="7"/>
  <c r="T4" i="7"/>
  <c r="J23" i="6"/>
  <c r="J29" i="6"/>
  <c r="M29" i="6" s="1"/>
  <c r="D43" i="6"/>
  <c r="F43" i="6" s="1"/>
  <c r="P40" i="6"/>
  <c r="J30" i="6"/>
  <c r="J36" i="6"/>
  <c r="M36" i="6" s="1"/>
  <c r="J35" i="6"/>
  <c r="M35" i="6" s="1"/>
  <c r="J34" i="6"/>
  <c r="M34" i="6" s="1"/>
  <c r="P30" i="6"/>
  <c r="O30" i="6"/>
  <c r="P28" i="6"/>
  <c r="J28" i="6"/>
  <c r="J22" i="6"/>
  <c r="O22" i="6" s="1"/>
  <c r="P26" i="6"/>
  <c r="E26" i="6"/>
  <c r="P24" i="6"/>
  <c r="J24" i="6"/>
  <c r="P22" i="6"/>
  <c r="K21" i="3"/>
  <c r="H48" i="3" s="1"/>
  <c r="J48" i="3" s="1"/>
  <c r="K37" i="3"/>
  <c r="J21" i="3"/>
  <c r="L48" i="3" s="1"/>
  <c r="N48" i="3" s="1"/>
  <c r="J37" i="3"/>
  <c r="J27" i="3"/>
  <c r="J32" i="3"/>
  <c r="J42" i="3"/>
  <c r="K42" i="3"/>
  <c r="O32" i="3"/>
  <c r="N32" i="3"/>
  <c r="M32" i="3"/>
  <c r="K32" i="3"/>
  <c r="K27" i="3"/>
  <c r="O21" i="3"/>
  <c r="N21" i="3"/>
  <c r="M21" i="3"/>
  <c r="P21" i="3" s="1"/>
  <c r="M22" i="3" s="1"/>
  <c r="H87" i="1"/>
  <c r="H94" i="1" s="1"/>
  <c r="H101" i="1" s="1"/>
  <c r="H82" i="1"/>
  <c r="H89" i="1" s="1"/>
  <c r="H96" i="1" s="1"/>
  <c r="I88" i="1"/>
  <c r="I95" i="1" s="1"/>
  <c r="I102" i="1" s="1"/>
  <c r="K87" i="1"/>
  <c r="H85" i="1"/>
  <c r="H92" i="1" s="1"/>
  <c r="H99" i="1" s="1"/>
  <c r="H83" i="1"/>
  <c r="H90" i="1" s="1"/>
  <c r="H97" i="1" s="1"/>
  <c r="L88" i="1"/>
  <c r="L95" i="1" s="1"/>
  <c r="L102" i="1" s="1"/>
  <c r="K86" i="1"/>
  <c r="K93" i="1" s="1"/>
  <c r="K100" i="1" s="1"/>
  <c r="H86" i="1"/>
  <c r="H93" i="1" s="1"/>
  <c r="H100" i="1" s="1"/>
  <c r="K85" i="1"/>
  <c r="K92" i="1" s="1"/>
  <c r="K99" i="1" s="1"/>
  <c r="K84" i="1"/>
  <c r="K91" i="1" s="1"/>
  <c r="H84" i="1"/>
  <c r="H91" i="1" s="1"/>
  <c r="H98" i="1" s="1"/>
  <c r="K83" i="1"/>
  <c r="K90" i="1" s="1"/>
  <c r="K97" i="1" s="1"/>
  <c r="K82" i="1"/>
  <c r="AB14" i="8"/>
  <c r="AD14" i="8"/>
  <c r="AB7" i="8"/>
  <c r="AD7" i="8"/>
  <c r="AB25" i="8"/>
  <c r="AC25" i="8"/>
  <c r="AE25" i="8" s="1"/>
  <c r="T7" i="8"/>
  <c r="U7" i="8"/>
  <c r="H9" i="8"/>
  <c r="AB11" i="8"/>
  <c r="AD11" i="8"/>
  <c r="H21" i="8"/>
  <c r="W21" i="8"/>
  <c r="W23" i="8"/>
  <c r="Y23" i="8"/>
  <c r="L6" i="8"/>
  <c r="P6" i="8"/>
  <c r="AB6" i="8"/>
  <c r="W7" i="8"/>
  <c r="Y7" i="8"/>
  <c r="W11" i="8"/>
  <c r="Y11" i="8"/>
  <c r="L15" i="8"/>
  <c r="W15" i="8"/>
  <c r="Y15" i="8"/>
  <c r="AB9" i="8"/>
  <c r="AC9" i="8"/>
  <c r="AE9" i="8" s="1"/>
  <c r="H12" i="8"/>
  <c r="W12" i="8"/>
  <c r="Y12" i="8"/>
  <c r="AB23" i="8"/>
  <c r="AC23" i="8"/>
  <c r="AE23" i="8" s="1"/>
  <c r="AB13" i="8"/>
  <c r="AD13" i="8"/>
  <c r="T9" i="8"/>
  <c r="U9" i="8"/>
  <c r="AB5" i="8"/>
  <c r="H24" i="8"/>
  <c r="W24" i="8"/>
  <c r="Y24" i="8"/>
  <c r="O26" i="6"/>
  <c r="O10" i="8"/>
  <c r="T10" i="8"/>
  <c r="U10" i="8"/>
  <c r="P32" i="3"/>
  <c r="M33" i="3"/>
  <c r="AB15" i="8"/>
  <c r="AD15" i="8"/>
  <c r="W16" i="8"/>
  <c r="Y16" i="8"/>
  <c r="AB16" i="8"/>
  <c r="AD16" i="8"/>
  <c r="N33" i="3"/>
  <c r="M48" i="3"/>
  <c r="M49" i="3" s="1"/>
  <c r="R48" i="3"/>
  <c r="T48" i="3" s="1"/>
  <c r="O24" i="6"/>
  <c r="O6" i="8"/>
  <c r="T6" i="8"/>
  <c r="U6" i="8"/>
  <c r="AD9" i="8"/>
  <c r="W9" i="8"/>
  <c r="C48" i="3"/>
  <c r="C49" i="3" s="1"/>
  <c r="O21" i="8"/>
  <c r="T21" i="8"/>
  <c r="U21" i="8"/>
  <c r="O22" i="8"/>
  <c r="T22" i="8"/>
  <c r="U22" i="8"/>
  <c r="W25" i="8"/>
  <c r="W8" i="8"/>
  <c r="AB8" i="8"/>
  <c r="AB10" i="8"/>
  <c r="W10" i="8"/>
  <c r="AD25" i="8"/>
  <c r="W6" i="8"/>
  <c r="W13" i="8"/>
  <c r="Y13" i="8"/>
  <c r="W14" i="8"/>
  <c r="Y14" i="8"/>
  <c r="AB20" i="8"/>
  <c r="AB22" i="8"/>
  <c r="W5" i="8"/>
  <c r="W22" i="8"/>
  <c r="W20" i="8"/>
  <c r="X24" i="8"/>
  <c r="Z24" i="8" s="1"/>
  <c r="AB21" i="8"/>
  <c r="AD23" i="8"/>
  <c r="X23" i="8"/>
  <c r="Z23" i="8" s="1"/>
  <c r="X7" i="8"/>
  <c r="Z7" i="8" s="1"/>
  <c r="AB12" i="8"/>
  <c r="AD12" i="8"/>
  <c r="AC7" i="8"/>
  <c r="AB24" i="8"/>
  <c r="AC5" i="8"/>
  <c r="AD5" i="8"/>
  <c r="E48" i="3"/>
  <c r="X5" i="8"/>
  <c r="Z5" i="8" s="1"/>
  <c r="Y5" i="8"/>
  <c r="AD20" i="8"/>
  <c r="AC20" i="8"/>
  <c r="AE20" i="8" s="1"/>
  <c r="AC22" i="8"/>
  <c r="AE22" i="8" s="1"/>
  <c r="AD22" i="8"/>
  <c r="AD8" i="8"/>
  <c r="AC8" i="8"/>
  <c r="Y25" i="8"/>
  <c r="X25" i="8"/>
  <c r="Z25" i="8" s="1"/>
  <c r="Q26" i="6"/>
  <c r="P27" i="6" s="1"/>
  <c r="X22" i="8"/>
  <c r="Z22" i="8" s="1"/>
  <c r="Y22" i="8"/>
  <c r="AD21" i="8"/>
  <c r="AC21" i="8"/>
  <c r="AE21" i="8" s="1"/>
  <c r="AC6" i="8"/>
  <c r="AD6" i="8"/>
  <c r="Y10" i="8"/>
  <c r="X10" i="8"/>
  <c r="Z10" i="8" s="1"/>
  <c r="O48" i="3"/>
  <c r="AC10" i="8"/>
  <c r="AE10" i="8" s="1"/>
  <c r="AD10" i="8"/>
  <c r="Y9" i="8"/>
  <c r="X9" i="8"/>
  <c r="Z9" i="8" s="1"/>
  <c r="Y20" i="8"/>
  <c r="X20" i="8"/>
  <c r="Z20" i="8" s="1"/>
  <c r="X21" i="8"/>
  <c r="Z21" i="8" s="1"/>
  <c r="Y21" i="8"/>
  <c r="X6" i="8"/>
  <c r="Z6" i="8" s="1"/>
  <c r="Y6" i="8"/>
  <c r="Y8" i="8"/>
  <c r="X8" i="8"/>
  <c r="Z8" i="8" s="1"/>
  <c r="O33" i="3"/>
  <c r="N34" i="3"/>
  <c r="AC24" i="8"/>
  <c r="AD24" i="8"/>
  <c r="F88" i="1"/>
  <c r="F95" i="1" s="1"/>
  <c r="F102" i="1" s="1"/>
  <c r="J88" i="1"/>
  <c r="J95" i="1" s="1"/>
  <c r="J102" i="1" s="1"/>
  <c r="AG4" i="7"/>
  <c r="Z4" i="7"/>
  <c r="AA4" i="7"/>
  <c r="AI4" i="7"/>
  <c r="AD7" i="7"/>
  <c r="X7" i="7"/>
  <c r="AE7" i="7"/>
  <c r="Z7" i="7"/>
  <c r="AF7" i="7"/>
  <c r="AD5" i="7"/>
  <c r="Z5" i="7"/>
  <c r="AF5" i="7"/>
  <c r="X5" i="7"/>
  <c r="AE5" i="7"/>
  <c r="AG5" i="7"/>
  <c r="AA5" i="7"/>
  <c r="AI5" i="7"/>
  <c r="AH5" i="7"/>
  <c r="AD6" i="7"/>
  <c r="X6" i="7"/>
  <c r="AE6" i="7"/>
  <c r="Z6" i="7"/>
  <c r="AF6" i="7"/>
  <c r="AG7" i="7"/>
  <c r="AA7" i="7"/>
  <c r="AI7" i="7"/>
  <c r="AH7" i="7"/>
  <c r="AG6" i="7"/>
  <c r="AA6" i="7"/>
  <c r="AI6" i="7"/>
  <c r="AH6" i="7"/>
  <c r="AD4" i="7"/>
  <c r="AF4" i="7"/>
  <c r="AH4" i="7"/>
  <c r="X4" i="7"/>
  <c r="AE4" i="7"/>
  <c r="Y7" i="7"/>
  <c r="J79" i="7"/>
  <c r="Y6" i="7"/>
  <c r="J67" i="7"/>
  <c r="Y4" i="7"/>
  <c r="Y5" i="7"/>
  <c r="J39" i="7"/>
  <c r="J41" i="7"/>
  <c r="J42" i="7"/>
  <c r="J40" i="7"/>
  <c r="O40" i="6" l="1"/>
  <c r="M30" i="6"/>
  <c r="C44" i="6" s="1"/>
  <c r="O28" i="6"/>
  <c r="M28" i="6"/>
  <c r="C42" i="6" s="1"/>
  <c r="M57" i="1"/>
  <c r="F68" i="1" s="1"/>
  <c r="M55" i="1"/>
  <c r="F66" i="1" s="1"/>
  <c r="M56" i="1"/>
  <c r="N54" i="1"/>
  <c r="F65" i="1" s="1"/>
  <c r="M65" i="1" s="1"/>
  <c r="J75" i="1" s="1"/>
  <c r="H66" i="1"/>
  <c r="N58" i="1"/>
  <c r="F69" i="1" s="1"/>
  <c r="H67" i="1"/>
  <c r="L66" i="1"/>
  <c r="H37" i="1"/>
  <c r="H65" i="1" s="1"/>
  <c r="H68" i="1"/>
  <c r="H47" i="1"/>
  <c r="L69" i="1" s="1"/>
  <c r="F67" i="1"/>
  <c r="H69" i="1"/>
  <c r="Q48" i="3"/>
  <c r="U48" i="3" s="1"/>
  <c r="B48" i="3"/>
  <c r="B49" i="3" s="1"/>
  <c r="D49" i="3" s="1"/>
  <c r="G48" i="3"/>
  <c r="G49" i="3" s="1"/>
  <c r="E49" i="3"/>
  <c r="C50" i="3"/>
  <c r="N22" i="3"/>
  <c r="O22" i="3"/>
  <c r="I48" i="3"/>
  <c r="F48" i="3"/>
  <c r="O27" i="6"/>
  <c r="D44" i="6"/>
  <c r="F44" i="6" s="1"/>
  <c r="I44" i="6"/>
  <c r="K44" i="6" s="1"/>
  <c r="D46" i="6"/>
  <c r="D42" i="6"/>
  <c r="C43" i="6"/>
  <c r="C46" i="6" s="1"/>
  <c r="H43" i="6"/>
  <c r="L43" i="6" s="1"/>
  <c r="I42" i="6"/>
  <c r="I43" i="6"/>
  <c r="I46" i="6" s="1"/>
  <c r="K46" i="6" s="1"/>
  <c r="H44" i="6"/>
  <c r="H47" i="6" s="1"/>
  <c r="L47" i="6" s="1"/>
  <c r="I47" i="6"/>
  <c r="K47" i="6" s="1"/>
  <c r="Q24" i="6"/>
  <c r="O25" i="6" s="1"/>
  <c r="Q30" i="6"/>
  <c r="P38" i="6" s="1"/>
  <c r="H42" i="6"/>
  <c r="J42" i="6" s="1"/>
  <c r="Q22" i="6"/>
  <c r="P23" i="6" s="1"/>
  <c r="Q28" i="6"/>
  <c r="P29" i="6" s="1"/>
  <c r="Q40" i="6"/>
  <c r="P41" i="6" s="1"/>
  <c r="D47" i="6"/>
  <c r="AE24" i="8"/>
  <c r="AE5" i="8"/>
  <c r="AE6" i="8"/>
  <c r="AE7" i="8"/>
  <c r="AE8" i="8"/>
  <c r="K49" i="3"/>
  <c r="G50" i="3"/>
  <c r="G51" i="3" s="1"/>
  <c r="I49" i="3"/>
  <c r="L49" i="3"/>
  <c r="P49" i="3" s="1"/>
  <c r="K48" i="3"/>
  <c r="H49" i="3"/>
  <c r="H50" i="3" s="1"/>
  <c r="H51" i="3" s="1"/>
  <c r="J51" i="3" s="1"/>
  <c r="I49" i="6"/>
  <c r="O49" i="3"/>
  <c r="M50" i="3"/>
  <c r="R49" i="3"/>
  <c r="P48" i="3"/>
  <c r="K98" i="1"/>
  <c r="K89" i="1"/>
  <c r="K94" i="1"/>
  <c r="K43" i="6" l="1"/>
  <c r="E44" i="6"/>
  <c r="C47" i="6"/>
  <c r="C50" i="6" s="1"/>
  <c r="E50" i="6" s="1"/>
  <c r="G44" i="6"/>
  <c r="L67" i="1"/>
  <c r="M67" i="1" s="1"/>
  <c r="J82" i="1"/>
  <c r="J89" i="1" s="1"/>
  <c r="M69" i="1"/>
  <c r="N69" i="1" s="1"/>
  <c r="K81" i="1" s="1"/>
  <c r="I69" i="1"/>
  <c r="J69" i="1" s="1"/>
  <c r="H81" i="1" s="1"/>
  <c r="H88" i="1" s="1"/>
  <c r="I65" i="1"/>
  <c r="K65" i="1" s="1"/>
  <c r="O65" i="1"/>
  <c r="L75" i="1" s="1"/>
  <c r="I67" i="1"/>
  <c r="I66" i="1"/>
  <c r="F78" i="1" s="1"/>
  <c r="J76" i="1"/>
  <c r="L68" i="1"/>
  <c r="M68" i="1" s="1"/>
  <c r="J80" i="1" s="1"/>
  <c r="I68" i="1"/>
  <c r="M66" i="1"/>
  <c r="F49" i="3"/>
  <c r="B50" i="3"/>
  <c r="D50" i="3" s="1"/>
  <c r="Q49" i="3"/>
  <c r="S49" i="3" s="1"/>
  <c r="N23" i="3"/>
  <c r="S48" i="3"/>
  <c r="D48" i="3"/>
  <c r="J50" i="3"/>
  <c r="C51" i="3"/>
  <c r="E51" i="3" s="1"/>
  <c r="E50" i="3"/>
  <c r="J49" i="3"/>
  <c r="H46" i="6"/>
  <c r="H49" i="6" s="1"/>
  <c r="O23" i="6"/>
  <c r="O41" i="6"/>
  <c r="O38" i="6"/>
  <c r="H45" i="6"/>
  <c r="L45" i="6" s="1"/>
  <c r="E43" i="6"/>
  <c r="D49" i="6"/>
  <c r="F46" i="6"/>
  <c r="L42" i="6"/>
  <c r="F42" i="6"/>
  <c r="D45" i="6"/>
  <c r="J43" i="6"/>
  <c r="J44" i="6"/>
  <c r="G43" i="6"/>
  <c r="L44" i="6"/>
  <c r="I50" i="6"/>
  <c r="K50" i="6" s="1"/>
  <c r="P25" i="6"/>
  <c r="I45" i="6"/>
  <c r="K42" i="6"/>
  <c r="G47" i="6"/>
  <c r="E42" i="6"/>
  <c r="G42" i="6"/>
  <c r="C45" i="6"/>
  <c r="H50" i="6"/>
  <c r="H53" i="6" s="1"/>
  <c r="J53" i="6" s="1"/>
  <c r="G46" i="6"/>
  <c r="C49" i="6"/>
  <c r="E46" i="6"/>
  <c r="C53" i="6"/>
  <c r="G50" i="6"/>
  <c r="J47" i="6"/>
  <c r="D50" i="6"/>
  <c r="F47" i="6"/>
  <c r="O29" i="6"/>
  <c r="I53" i="6"/>
  <c r="K53" i="6" s="1"/>
  <c r="L50" i="3"/>
  <c r="N49" i="3"/>
  <c r="U49" i="3"/>
  <c r="Q50" i="3"/>
  <c r="I50" i="3"/>
  <c r="K50" i="3"/>
  <c r="I52" i="6"/>
  <c r="K52" i="6" s="1"/>
  <c r="K49" i="6"/>
  <c r="K51" i="3"/>
  <c r="I51" i="3"/>
  <c r="T49" i="3"/>
  <c r="R50" i="3"/>
  <c r="O50" i="3"/>
  <c r="M51" i="3"/>
  <c r="O51" i="3" s="1"/>
  <c r="K96" i="1"/>
  <c r="K101" i="1"/>
  <c r="E47" i="6" l="1"/>
  <c r="J96" i="1"/>
  <c r="J79" i="1"/>
  <c r="O67" i="1"/>
  <c r="L79" i="1" s="1"/>
  <c r="L86" i="1" s="1"/>
  <c r="F77" i="1"/>
  <c r="F84" i="1" s="1"/>
  <c r="F91" i="1" s="1"/>
  <c r="F76" i="1"/>
  <c r="F83" i="1" s="1"/>
  <c r="H95" i="1"/>
  <c r="H102" i="1" s="1"/>
  <c r="F75" i="1"/>
  <c r="F82" i="1" s="1"/>
  <c r="J83" i="1"/>
  <c r="J90" i="1" s="1"/>
  <c r="N81" i="1"/>
  <c r="K88" i="1"/>
  <c r="F85" i="1"/>
  <c r="F92" i="1" s="1"/>
  <c r="O68" i="1"/>
  <c r="L80" i="1" s="1"/>
  <c r="L76" i="1"/>
  <c r="K66" i="1"/>
  <c r="F79" i="1"/>
  <c r="K67" i="1"/>
  <c r="I79" i="1" s="1"/>
  <c r="O66" i="1"/>
  <c r="J78" i="1"/>
  <c r="J77" i="1"/>
  <c r="F80" i="1"/>
  <c r="K68" i="1"/>
  <c r="I80" i="1" s="1"/>
  <c r="I75" i="1"/>
  <c r="I76" i="1"/>
  <c r="J87" i="1"/>
  <c r="L82" i="1"/>
  <c r="F50" i="3"/>
  <c r="B51" i="3"/>
  <c r="D51" i="3" s="1"/>
  <c r="F51" i="3"/>
  <c r="L46" i="6"/>
  <c r="J46" i="6"/>
  <c r="J45" i="6"/>
  <c r="H48" i="6"/>
  <c r="J48" i="6" s="1"/>
  <c r="L53" i="6"/>
  <c r="F49" i="6"/>
  <c r="D52" i="6"/>
  <c r="F52" i="6" s="1"/>
  <c r="F45" i="6"/>
  <c r="D48" i="6"/>
  <c r="K45" i="6"/>
  <c r="I48" i="6"/>
  <c r="L50" i="6"/>
  <c r="J50" i="6"/>
  <c r="D53" i="6"/>
  <c r="F53" i="6" s="1"/>
  <c r="F50" i="6"/>
  <c r="G53" i="6"/>
  <c r="E53" i="6"/>
  <c r="C48" i="6"/>
  <c r="E45" i="6"/>
  <c r="G45" i="6"/>
  <c r="C52" i="6"/>
  <c r="E49" i="6"/>
  <c r="G49" i="6"/>
  <c r="H52" i="6"/>
  <c r="J49" i="6"/>
  <c r="L49" i="6"/>
  <c r="N50" i="3"/>
  <c r="L51" i="3"/>
  <c r="P50" i="3"/>
  <c r="Q51" i="3"/>
  <c r="S50" i="3"/>
  <c r="U50" i="3"/>
  <c r="T50" i="3"/>
  <c r="R51" i="3"/>
  <c r="T51" i="3" s="1"/>
  <c r="J86" i="1" l="1"/>
  <c r="J93" i="1" s="1"/>
  <c r="L87" i="1"/>
  <c r="L83" i="1"/>
  <c r="K95" i="1"/>
  <c r="F86" i="1"/>
  <c r="I78" i="1"/>
  <c r="I77" i="1"/>
  <c r="I86" i="1"/>
  <c r="J85" i="1"/>
  <c r="I87" i="1"/>
  <c r="L78" i="1"/>
  <c r="L77" i="1"/>
  <c r="F87" i="1"/>
  <c r="J84" i="1"/>
  <c r="I83" i="1"/>
  <c r="F89" i="1"/>
  <c r="F98" i="1"/>
  <c r="F90" i="1"/>
  <c r="I82" i="1"/>
  <c r="F99" i="1"/>
  <c r="L94" i="1"/>
  <c r="L93" i="1"/>
  <c r="J94" i="1"/>
  <c r="L89" i="1"/>
  <c r="J97" i="1"/>
  <c r="H51" i="6"/>
  <c r="L51" i="6" s="1"/>
  <c r="L48" i="6"/>
  <c r="F48" i="6"/>
  <c r="D51" i="6"/>
  <c r="F51" i="6" s="1"/>
  <c r="I51" i="6"/>
  <c r="K51" i="6" s="1"/>
  <c r="K48" i="6"/>
  <c r="J52" i="6"/>
  <c r="L52" i="6"/>
  <c r="C51" i="6"/>
  <c r="E48" i="6"/>
  <c r="G48" i="6"/>
  <c r="E52" i="6"/>
  <c r="G52" i="6"/>
  <c r="S51" i="3"/>
  <c r="U51" i="3"/>
  <c r="N51" i="3"/>
  <c r="P51" i="3"/>
  <c r="J51" i="6" l="1"/>
  <c r="L90" i="1"/>
  <c r="K102" i="1"/>
  <c r="I84" i="1"/>
  <c r="F93" i="1"/>
  <c r="I85" i="1"/>
  <c r="I93" i="1"/>
  <c r="F94" i="1"/>
  <c r="J91" i="1"/>
  <c r="I94" i="1"/>
  <c r="L84" i="1"/>
  <c r="J92" i="1"/>
  <c r="L85" i="1"/>
  <c r="I89" i="1"/>
  <c r="I90" i="1"/>
  <c r="F96" i="1"/>
  <c r="F97" i="1"/>
  <c r="J101" i="1"/>
  <c r="L101" i="1"/>
  <c r="J100" i="1"/>
  <c r="L100" i="1"/>
  <c r="L96" i="1"/>
  <c r="G51" i="6"/>
  <c r="E51" i="6"/>
  <c r="L97" i="1" l="1"/>
  <c r="I91" i="1"/>
  <c r="I100" i="1"/>
  <c r="F100" i="1"/>
  <c r="I92" i="1"/>
  <c r="J99" i="1"/>
  <c r="L92" i="1"/>
  <c r="I101" i="1"/>
  <c r="L91" i="1"/>
  <c r="J98" i="1"/>
  <c r="F101" i="1"/>
  <c r="I96" i="1"/>
  <c r="I97" i="1"/>
  <c r="I99" i="1" l="1"/>
  <c r="I98" i="1"/>
  <c r="L98" i="1"/>
  <c r="L99" i="1"/>
</calcChain>
</file>

<file path=xl/comments1.xml><?xml version="1.0" encoding="utf-8"?>
<comments xmlns="http://schemas.openxmlformats.org/spreadsheetml/2006/main">
  <authors>
    <author>Huang, Jia Chang</author>
  </authors>
  <commentList>
    <comment ref="C20" authorId="0">
      <text>
        <r>
          <rPr>
            <b/>
            <sz val="9"/>
            <color indexed="81"/>
            <rFont val="Tahoma"/>
            <family val="2"/>
          </rPr>
          <t>Huang, Jia Chang:</t>
        </r>
        <r>
          <rPr>
            <sz val="9"/>
            <color indexed="81"/>
            <rFont val="Tahoma"/>
            <family val="2"/>
          </rPr>
          <t xml:space="preserve">
Standard size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>Huang, Jia Chang:</t>
        </r>
        <r>
          <rPr>
            <sz val="9"/>
            <color indexed="81"/>
            <rFont val="Tahoma"/>
            <family val="2"/>
          </rPr>
          <t xml:space="preserve">
Compact size</t>
        </r>
      </text>
    </comment>
    <comment ref="C22" authorId="0">
      <text>
        <r>
          <rPr>
            <b/>
            <sz val="9"/>
            <color indexed="81"/>
            <rFont val="Tahoma"/>
            <family val="2"/>
          </rPr>
          <t>Huang, Jia Chang:</t>
        </r>
        <r>
          <rPr>
            <sz val="9"/>
            <color indexed="81"/>
            <rFont val="Tahoma"/>
            <family val="2"/>
          </rPr>
          <t xml:space="preserve">
Standard size</t>
        </r>
      </text>
    </comment>
    <comment ref="D22" authorId="0">
      <text>
        <r>
          <rPr>
            <b/>
            <sz val="9"/>
            <color indexed="81"/>
            <rFont val="Tahoma"/>
            <family val="2"/>
          </rPr>
          <t>Huang, Jia Chang:</t>
        </r>
        <r>
          <rPr>
            <sz val="9"/>
            <color indexed="81"/>
            <rFont val="Tahoma"/>
            <family val="2"/>
          </rPr>
          <t xml:space="preserve">
Compact size</t>
        </r>
      </text>
    </comment>
  </commentList>
</comments>
</file>

<file path=xl/sharedStrings.xml><?xml version="1.0" encoding="utf-8"?>
<sst xmlns="http://schemas.openxmlformats.org/spreadsheetml/2006/main" count="1346" uniqueCount="335">
  <si>
    <t>Product Type</t>
  </si>
  <si>
    <t>Size</t>
  </si>
  <si>
    <t>Voltage (V)</t>
  </si>
  <si>
    <t>Minimum Combined Energy Factor (lbs/kWh)</t>
  </si>
  <si>
    <t>Any</t>
  </si>
  <si>
    <t>Ventless or Vented Electric</t>
  </si>
  <si>
    <t>Standard*</t>
  </si>
  <si>
    <t>Compact**</t>
  </si>
  <si>
    <t>Vented Electric</t>
  </si>
  <si>
    <t>Ventless Electric</t>
  </si>
  <si>
    <t>Conventional Clothes Dryers</t>
  </si>
  <si>
    <t>* Standard is 4.4 cu-ft or greater</t>
  </si>
  <si>
    <t>** Compact is less than 4.4 cu-ft</t>
  </si>
  <si>
    <t>where</t>
  </si>
  <si>
    <t xml:space="preserve">pounds of laundry dried per cycle = </t>
  </si>
  <si>
    <t>UEC (kWh/yr)</t>
  </si>
  <si>
    <t>unit energy consumption in kWh</t>
  </si>
  <si>
    <t xml:space="preserve">CEF = </t>
  </si>
  <si>
    <t>combined energy factor</t>
  </si>
  <si>
    <t>Energy Savings</t>
  </si>
  <si>
    <t>Non-Qualified UEC (kWh/yr)</t>
  </si>
  <si>
    <t>UES (kWh/yr)</t>
  </si>
  <si>
    <t>Conventional Clothes Dryers - Converted to D2 Protocol Equivalents</t>
  </si>
  <si>
    <t>Energy Savings with Interactive Effects</t>
  </si>
  <si>
    <t>UEC =</t>
  </si>
  <si>
    <t>Hours of Operation</t>
  </si>
  <si>
    <t>Active</t>
  </si>
  <si>
    <t>Idle</t>
  </si>
  <si>
    <t>Sleep</t>
  </si>
  <si>
    <t>Total</t>
  </si>
  <si>
    <t>Off</t>
  </si>
  <si>
    <t>Power Consumption (W)</t>
  </si>
  <si>
    <t>HOU Assumptions</t>
  </si>
  <si>
    <t>Base Case UEC</t>
  </si>
  <si>
    <t xml:space="preserve"> (kWh/yr)</t>
  </si>
  <si>
    <t>ENERGY STAR UEC</t>
  </si>
  <si>
    <t>Base Case Power Draw Assumptions</t>
  </si>
  <si>
    <t>ENERGY STAR Power Draw Assumptions</t>
  </si>
  <si>
    <t xml:space="preserve"> (therms/yr)</t>
  </si>
  <si>
    <t>(kWh/yr.)</t>
  </si>
  <si>
    <t>ENERGY STAR +50% Power Draw Assumptions</t>
  </si>
  <si>
    <t>ENERGY STAR +50% UEC</t>
  </si>
  <si>
    <t>Vented Gas</t>
  </si>
  <si>
    <t>UES (therms/yr)</t>
  </si>
  <si>
    <t>per year according to the DOE TSD</t>
  </si>
  <si>
    <r>
      <t>cycles</t>
    </r>
    <r>
      <rPr>
        <vertAlign val="subscript"/>
        <sz val="12"/>
        <color theme="1"/>
        <rFont val="Calibri"/>
        <family val="2"/>
        <scheme val="minor"/>
      </rPr>
      <t>gas</t>
    </r>
    <r>
      <rPr>
        <sz val="12"/>
        <color theme="1"/>
        <rFont val="Calibri"/>
        <family val="2"/>
        <scheme val="minor"/>
      </rPr>
      <t xml:space="preserve"> = </t>
    </r>
  </si>
  <si>
    <t>NA</t>
  </si>
  <si>
    <t xml:space="preserve">UES = </t>
  </si>
  <si>
    <t>unit energy savings in kWh/year</t>
  </si>
  <si>
    <r>
      <t>C</t>
    </r>
    <r>
      <rPr>
        <vertAlign val="subscript"/>
        <sz val="12"/>
        <color theme="1"/>
        <rFont val="Calibri"/>
        <family val="2"/>
        <scheme val="minor"/>
      </rPr>
      <t>standard</t>
    </r>
    <r>
      <rPr>
        <sz val="12"/>
        <color theme="1"/>
        <rFont val="Calibri"/>
        <family val="2"/>
        <scheme val="minor"/>
      </rPr>
      <t xml:space="preserve"> = </t>
    </r>
  </si>
  <si>
    <r>
      <t>C</t>
    </r>
    <r>
      <rPr>
        <vertAlign val="subscript"/>
        <sz val="12"/>
        <color theme="1"/>
        <rFont val="Calibri"/>
        <family val="2"/>
        <scheme val="minor"/>
      </rPr>
      <t>compact</t>
    </r>
    <r>
      <rPr>
        <sz val="12"/>
        <color theme="1"/>
        <rFont val="Calibri"/>
        <family val="2"/>
        <scheme val="minor"/>
      </rPr>
      <t xml:space="preserve"> = </t>
    </r>
  </si>
  <si>
    <t xml:space="preserve">CDF = </t>
  </si>
  <si>
    <t>IOU: PGE, SCE, SDGE</t>
  </si>
  <si>
    <t>Building Vintage: Existing</t>
  </si>
  <si>
    <t>Climate Zone: IOU Territory</t>
  </si>
  <si>
    <t>Lighting Type: CFL</t>
  </si>
  <si>
    <t>Building Type: Res</t>
  </si>
  <si>
    <t>HVAC Interactive Effects Factors</t>
  </si>
  <si>
    <t>kWh/kWh</t>
  </si>
  <si>
    <t>kW/kW</t>
  </si>
  <si>
    <t>therm/kWh</t>
  </si>
  <si>
    <t>PG&amp;E</t>
  </si>
  <si>
    <t>SCE</t>
  </si>
  <si>
    <t>SCG</t>
  </si>
  <si>
    <t>SDG&amp;E</t>
  </si>
  <si>
    <t>Utility</t>
  </si>
  <si>
    <t>PGE</t>
  </si>
  <si>
    <t>SDGE</t>
  </si>
  <si>
    <t>Without Interactive Effects</t>
  </si>
  <si>
    <t>Gas increase (therms/yr)</t>
  </si>
  <si>
    <t>With Interactive Effects</t>
  </si>
  <si>
    <t>UES</t>
  </si>
  <si>
    <t>kWh/year</t>
  </si>
  <si>
    <t>kW/year</t>
  </si>
  <si>
    <t>Clothes Dryer Calculations</t>
  </si>
  <si>
    <t>Air Cleaner Calculations</t>
  </si>
  <si>
    <t>Efficiency (CADR/W)</t>
  </si>
  <si>
    <t>Idle Power Draw (W)</t>
  </si>
  <si>
    <t>Active Power Draw (W)</t>
  </si>
  <si>
    <t>(W)</t>
  </si>
  <si>
    <t>Room Air Conditioner Calculations</t>
  </si>
  <si>
    <t>Product Class</t>
  </si>
  <si>
    <t>Louvered Sides?</t>
  </si>
  <si>
    <t>Yes</t>
  </si>
  <si>
    <t>Size Bin (Btu/h)</t>
  </si>
  <si>
    <t>Room Air Conditioner</t>
  </si>
  <si>
    <t>8000 - 13999</t>
  </si>
  <si>
    <t>(kW/year)</t>
  </si>
  <si>
    <t>Savings</t>
  </si>
  <si>
    <t>Size Bin (CADR)</t>
  </si>
  <si>
    <t>Sales-weighted average size (CADR)</t>
  </si>
  <si>
    <t>&lt; 100</t>
  </si>
  <si>
    <t>100 - 150</t>
  </si>
  <si>
    <t>&gt; 150</t>
  </si>
  <si>
    <t>Electric Vented</t>
  </si>
  <si>
    <t>DOE</t>
  </si>
  <si>
    <t>PNNL</t>
  </si>
  <si>
    <t>ORNL</t>
  </si>
  <si>
    <t>Source</t>
  </si>
  <si>
    <t>Appendix D1 CEF (lbs/kWh)</t>
  </si>
  <si>
    <t>Appendix D2 CEF (lbs/kWh)</t>
  </si>
  <si>
    <t>D1 vs. D2 Test Protocol Data</t>
  </si>
  <si>
    <t>Electric Ventless</t>
  </si>
  <si>
    <r>
      <t>D2/D1 conversion</t>
    </r>
    <r>
      <rPr>
        <vertAlign val="subscript"/>
        <sz val="12"/>
        <color theme="1"/>
        <rFont val="Calibri"/>
        <family val="2"/>
        <scheme val="minor"/>
      </rPr>
      <t>Standard Electric</t>
    </r>
    <r>
      <rPr>
        <sz val="12"/>
        <color theme="1"/>
        <rFont val="Calibri"/>
        <family val="2"/>
        <scheme val="minor"/>
      </rPr>
      <t xml:space="preserve"> =</t>
    </r>
  </si>
  <si>
    <r>
      <t>D2/D1 conversion</t>
    </r>
    <r>
      <rPr>
        <vertAlign val="subscript"/>
        <sz val="12"/>
        <color theme="1"/>
        <rFont val="Calibri"/>
        <family val="2"/>
        <scheme val="minor"/>
      </rPr>
      <t>Compact Electric</t>
    </r>
    <r>
      <rPr>
        <sz val="12"/>
        <color theme="1"/>
        <rFont val="Calibri"/>
        <family val="2"/>
        <scheme val="minor"/>
      </rPr>
      <t xml:space="preserve"> =</t>
    </r>
  </si>
  <si>
    <t>AVG</t>
  </si>
  <si>
    <r>
      <t>D2/D1 conversion</t>
    </r>
    <r>
      <rPr>
        <vertAlign val="subscript"/>
        <sz val="12"/>
        <color theme="1"/>
        <rFont val="Calibri"/>
        <family val="2"/>
        <scheme val="minor"/>
      </rPr>
      <t>Gas</t>
    </r>
    <r>
      <rPr>
        <sz val="12"/>
        <color theme="1"/>
        <rFont val="Calibri"/>
        <family val="2"/>
        <scheme val="minor"/>
      </rPr>
      <t xml:space="preserve"> =</t>
    </r>
  </si>
  <si>
    <t>--</t>
  </si>
  <si>
    <t>Soundbar Calculations</t>
  </si>
  <si>
    <r>
      <t>cycles</t>
    </r>
    <r>
      <rPr>
        <vertAlign val="subscript"/>
        <sz val="12"/>
        <color theme="1"/>
        <rFont val="Calibri"/>
        <family val="2"/>
        <scheme val="minor"/>
      </rPr>
      <t>electric standard</t>
    </r>
    <r>
      <rPr>
        <sz val="12"/>
        <color theme="1"/>
        <rFont val="Calibri"/>
        <family val="2"/>
        <scheme val="minor"/>
      </rPr>
      <t xml:space="preserve"> = </t>
    </r>
  </si>
  <si>
    <r>
      <t>cycles</t>
    </r>
    <r>
      <rPr>
        <vertAlign val="subscript"/>
        <sz val="12"/>
        <color theme="1"/>
        <rFont val="Calibri"/>
        <family val="2"/>
        <scheme val="minor"/>
      </rPr>
      <t>electric compact</t>
    </r>
    <r>
      <rPr>
        <sz val="12"/>
        <color theme="1"/>
        <rFont val="Calibri"/>
        <family val="2"/>
        <scheme val="minor"/>
      </rPr>
      <t xml:space="preserve"> = </t>
    </r>
  </si>
  <si>
    <t>Equations for Maximum Energy Use (kWh/yr)</t>
  </si>
  <si>
    <t>Based on AV (cu. ft.)</t>
  </si>
  <si>
    <t>8. Upright freezers with manual defrost.</t>
  </si>
  <si>
    <t>5.57AV + 193.7</t>
  </si>
  <si>
    <t xml:space="preserve">9. Upright freezers with automatic defrost without an automatic icemaker. </t>
  </si>
  <si>
    <t>8.62AV + 228.3</t>
  </si>
  <si>
    <t xml:space="preserve">9I. Upright freezers with automatic defrost with an automatic icemaker. </t>
  </si>
  <si>
    <t>8.62AV + 312.3</t>
  </si>
  <si>
    <t>9-BI. Built-In Upright freezers with automatic defrost without an automatic icemaker.</t>
  </si>
  <si>
    <t>9.86AV + 260.9</t>
  </si>
  <si>
    <t>9I-BI. Built-in upright freezers with automatic defrost with an automatic icemaker.</t>
  </si>
  <si>
    <t>9.86AV + 344.9</t>
  </si>
  <si>
    <t>10. Chest freezers and all other freezers except compact freezers.</t>
  </si>
  <si>
    <t>7.29AV + 107.8</t>
  </si>
  <si>
    <t>10A. Chest freezers with automatic defrost.</t>
  </si>
  <si>
    <t>10.24AV + 148.1</t>
  </si>
  <si>
    <t>Freezer Calculations</t>
  </si>
  <si>
    <t>Average Sizes Based on ENERGY STAR QPL</t>
  </si>
  <si>
    <t xml:space="preserve">5.01AV + 174.3 </t>
  </si>
  <si>
    <t xml:space="preserve">7.76AV + 205.5 </t>
  </si>
  <si>
    <t xml:space="preserve">7.76AV + 289.5 </t>
  </si>
  <si>
    <t xml:space="preserve">8.87AV + 234.8 </t>
  </si>
  <si>
    <t xml:space="preserve">8.87AV + 318.8 </t>
  </si>
  <si>
    <t xml:space="preserve">6.56AV + 97.0 </t>
  </si>
  <si>
    <t xml:space="preserve">9.22AV + 133.3 </t>
  </si>
  <si>
    <t>AV (cu. ft.)</t>
  </si>
  <si>
    <t>No qualifying models</t>
  </si>
  <si>
    <t>(kWh/year)</t>
  </si>
  <si>
    <t>13 - 16</t>
  </si>
  <si>
    <t>&lt; 13</t>
  </si>
  <si>
    <t>&gt; 16</t>
  </si>
  <si>
    <t>UEC for Average Size on QPL (kWh/year)</t>
  </si>
  <si>
    <t>UEC for Representative Size (kWh/year)</t>
  </si>
  <si>
    <t>Difference from DEER</t>
  </si>
  <si>
    <t>UESs</t>
  </si>
  <si>
    <t>ENERGY STAR + 50%</t>
  </si>
  <si>
    <t xml:space="preserve"> kWh/yr</t>
  </si>
  <si>
    <t xml:space="preserve"> therms/yr</t>
  </si>
  <si>
    <t>UEC by Mode</t>
  </si>
  <si>
    <t>ENERGY STAR UES</t>
  </si>
  <si>
    <t>ENERGY STAR +10% UES</t>
  </si>
  <si>
    <t>UEC for Average Size on QPL 
(kWh/year)</t>
  </si>
  <si>
    <t>Base Case (Federal Standard Maximum)</t>
  </si>
  <si>
    <t>Basic Tier Measure Case (ENERGY STAR Maximum)</t>
  </si>
  <si>
    <t xml:space="preserve">4.76AV + 165.6 </t>
  </si>
  <si>
    <t>7.37AV + 195.2</t>
  </si>
  <si>
    <t>Advanced Tier Measure Case (ENERGY STAR Maximum -5%)</t>
  </si>
  <si>
    <t xml:space="preserve">6.23AV + 92.2 </t>
  </si>
  <si>
    <t xml:space="preserve">8.76AV + 126.6 </t>
  </si>
  <si>
    <t xml:space="preserve">Basic Tier UES for Average Size on QPL   </t>
  </si>
  <si>
    <t xml:space="preserve">Basic Tier UES for Representative Size  </t>
  </si>
  <si>
    <t xml:space="preserve">Advanced Tier UES for Representative Size  </t>
  </si>
  <si>
    <t>ENERGY STAR +30% UEC</t>
  </si>
  <si>
    <t>Bin Representative Size from DEER 
(AV in cu. ft.)</t>
  </si>
  <si>
    <t>(therm/year)</t>
  </si>
  <si>
    <t xml:space="preserve">Basic Tier UES from DEER </t>
  </si>
  <si>
    <t xml:space="preserve">Advanced Tier UES Scaled from DEER </t>
  </si>
  <si>
    <t>(cu. ft.)</t>
  </si>
  <si>
    <t xml:space="preserve">Size Bin </t>
  </si>
  <si>
    <t>(kW)</t>
  </si>
  <si>
    <t>ENERGY STAR +15% Power Draw Assumptions</t>
  </si>
  <si>
    <t>ENERGY STAR +15% UEC</t>
  </si>
  <si>
    <t>ENERGY STAR + 15%</t>
  </si>
  <si>
    <t>ENERGY STAR</t>
  </si>
  <si>
    <t>ENERGY STAR +75% Power Draw Assumptions</t>
  </si>
  <si>
    <t>ENERGY STAR +75% UEC</t>
  </si>
  <si>
    <t>ENERGY STAR + 75%</t>
  </si>
  <si>
    <t>kW</t>
  </si>
  <si>
    <t>Basic Tier UEC (kWh/yr)</t>
  </si>
  <si>
    <t>Basic Tier UES (kWh/yr)</t>
  </si>
  <si>
    <t xml:space="preserve">Basic Tier kW reduction </t>
  </si>
  <si>
    <t>Basic Tier (ENERGY STAR) Clothes Dryers</t>
  </si>
  <si>
    <t>Advanced Tier UEC (kWh/yr)</t>
  </si>
  <si>
    <t>Advanced Tier UES (kWh/yr)</t>
  </si>
  <si>
    <t>Basic Tier UES (therms/yr)</t>
  </si>
  <si>
    <t>Advanced Tier UES (therms/yr)</t>
  </si>
  <si>
    <t>Basic Tier</t>
  </si>
  <si>
    <t>Advanced Tier</t>
  </si>
  <si>
    <t xml:space="preserve">kW reduction </t>
  </si>
  <si>
    <t>kW reduction</t>
  </si>
  <si>
    <t xml:space="preserve">Advanced Tier kW reduction </t>
  </si>
  <si>
    <t>Climate Zone</t>
  </si>
  <si>
    <t>Sources</t>
  </si>
  <si>
    <t>Estimated Annual Energy Savings (kWh/unit)</t>
  </si>
  <si>
    <t>Estimated Energy Peak Demand Reduction (kW/unit)</t>
  </si>
  <si>
    <t>Residential Retrofit HIM evaluation Report</t>
  </si>
  <si>
    <t>RASS EUC scaling factor</t>
  </si>
  <si>
    <t>Savings Values from SCE Workpaper</t>
  </si>
  <si>
    <t>Weight</t>
  </si>
  <si>
    <t>Weighted Savings Values for Basic Tier (ENERGY STAR)</t>
  </si>
  <si>
    <t>Savings Values Using Engineering Algorithm &amp; Split AC EFLH</t>
  </si>
  <si>
    <t>% Difference</t>
  </si>
  <si>
    <t>% Higher Than Basic Tier</t>
  </si>
  <si>
    <r>
      <t>EER</t>
    </r>
    <r>
      <rPr>
        <vertAlign val="subscript"/>
        <sz val="12"/>
        <color theme="1"/>
        <rFont val="Calibri (Body)"/>
      </rPr>
      <t xml:space="preserve">ENERGY STAR </t>
    </r>
    <r>
      <rPr>
        <sz val="12"/>
        <color theme="1"/>
        <rFont val="Calibri"/>
        <family val="2"/>
        <scheme val="minor"/>
      </rPr>
      <t xml:space="preserve">= </t>
    </r>
  </si>
  <si>
    <r>
      <t>EER</t>
    </r>
    <r>
      <rPr>
        <vertAlign val="subscript"/>
        <sz val="12"/>
        <color theme="1"/>
        <rFont val="Calibri (Body)"/>
      </rPr>
      <t>Baseline</t>
    </r>
    <r>
      <rPr>
        <sz val="12"/>
        <color theme="1"/>
        <rFont val="Calibri"/>
        <family val="2"/>
        <scheme val="minor"/>
      </rPr>
      <t xml:space="preserve"> = </t>
    </r>
  </si>
  <si>
    <t xml:space="preserve">Cap = </t>
  </si>
  <si>
    <t>Btu/h</t>
  </si>
  <si>
    <t>SCE Workpaper Assumptions</t>
  </si>
  <si>
    <t>CEER (Btu/Wh)</t>
  </si>
  <si>
    <t xml:space="preserve">DEER Climate Zone Weights </t>
  </si>
  <si>
    <t>DEER Full Load Cooling Hours for Split Acs</t>
  </si>
  <si>
    <t>DEER kW/kWh</t>
  </si>
  <si>
    <t>Savings using DEER Split AC FLHc</t>
  </si>
  <si>
    <t>Estimated Peak Demand Reduction (kW/unit)</t>
  </si>
  <si>
    <t>coincident demand factor for clothes dryers from Building America Analysis spreadsheet</t>
  </si>
  <si>
    <t>ENERGY STAR Qualifying Criteria</t>
  </si>
  <si>
    <t>ENERGY STAR +10% Qualifying Criteria</t>
  </si>
  <si>
    <t>Base Case (Federal minimum)</t>
  </si>
  <si>
    <t>RMC of clothes prior to drying prescribed by DOE appendix D2 test procedure</t>
  </si>
  <si>
    <t>final moisture content of dryer load per the DOE appendix D2 test procedure</t>
  </si>
  <si>
    <t>from DEER</t>
  </si>
  <si>
    <r>
      <t>RMC</t>
    </r>
    <r>
      <rPr>
        <vertAlign val="subscript"/>
        <sz val="12"/>
        <color theme="1"/>
        <rFont val="Calibri (Body)"/>
      </rPr>
      <t>red</t>
    </r>
    <r>
      <rPr>
        <sz val="12"/>
        <color theme="1"/>
        <rFont val="Calibri"/>
        <family val="2"/>
        <scheme val="minor"/>
      </rPr>
      <t xml:space="preserve"> = </t>
    </r>
  </si>
  <si>
    <t>a factor accounting for the lower remaining moisture content (RMC) of clothes washed in ENERGY STAR washers</t>
  </si>
  <si>
    <r>
      <t>RMC</t>
    </r>
    <r>
      <rPr>
        <vertAlign val="subscript"/>
        <sz val="12"/>
        <color theme="1"/>
        <rFont val="Calibri (Body)"/>
      </rPr>
      <t>w,D2</t>
    </r>
    <r>
      <rPr>
        <sz val="12"/>
        <color theme="1"/>
        <rFont val="Calibri"/>
        <family val="2"/>
        <scheme val="minor"/>
      </rPr>
      <t xml:space="preserve"> = </t>
    </r>
  </si>
  <si>
    <r>
      <t>RMC</t>
    </r>
    <r>
      <rPr>
        <vertAlign val="subscript"/>
        <sz val="12"/>
        <color theme="1"/>
        <rFont val="Calibri (Body)"/>
      </rPr>
      <t>w,ENERGY STAR</t>
    </r>
    <r>
      <rPr>
        <sz val="12"/>
        <color theme="1"/>
        <rFont val="Calibri"/>
        <family val="2"/>
        <scheme val="minor"/>
      </rPr>
      <t xml:space="preserve"> = </t>
    </r>
  </si>
  <si>
    <r>
      <t>RMC</t>
    </r>
    <r>
      <rPr>
        <vertAlign val="subscript"/>
        <sz val="12"/>
        <color theme="1"/>
        <rFont val="Calibri (Body)"/>
      </rPr>
      <t>d,D2</t>
    </r>
    <r>
      <rPr>
        <sz val="12"/>
        <color theme="1"/>
        <rFont val="Calibri"/>
        <family val="2"/>
        <scheme val="minor"/>
      </rPr>
      <t xml:space="preserve"> = </t>
    </r>
  </si>
  <si>
    <t xml:space="preserve">Vented electric dryer internal heat gain fraction = </t>
  </si>
  <si>
    <t xml:space="preserve">Unit Type = </t>
  </si>
  <si>
    <t>room air conditioner with louvered sides</t>
  </si>
  <si>
    <t>Size (Btu/h)</t>
  </si>
  <si>
    <t>N/A</t>
  </si>
  <si>
    <t>Refrigerator Calculations</t>
  </si>
  <si>
    <t>RE-RefgFrz-Wtd-Tier1</t>
  </si>
  <si>
    <t>exante database tables: EnImpact</t>
  </si>
  <si>
    <t>This file created on 12/21/2016 6:20:40 PM while connected to AmazonWS-RDS as sptviewer.</t>
  </si>
  <si>
    <t>Program/Database Description: READI v.2.4.7 (Current Ex Ante data) options: include Non-DEER data; 1/1/2013 - 12/31/2025</t>
  </si>
  <si>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</si>
  <si>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</si>
  <si>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</si>
  <si>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</si>
  <si>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</si>
  <si>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</si>
  <si>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</si>
  <si>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</si>
  <si>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</si>
  <si>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</si>
  <si>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</si>
  <si>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</si>
  <si>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</si>
  <si>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</si>
  <si>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</si>
  <si>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</si>
  <si>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</si>
  <si>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</si>
  <si>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</si>
  <si>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AStdEUkWh</t>
  </si>
  <si>
    <t>AStdEUkW</t>
  </si>
  <si>
    <t>AStdEUtherm</t>
  </si>
  <si>
    <t>AStdWBkWh</t>
  </si>
  <si>
    <t>AStdWBkW</t>
  </si>
  <si>
    <t>AStdWBtherm</t>
  </si>
  <si>
    <t>ElecImpactProfileID</t>
  </si>
  <si>
    <t>GasImpactProfileID</t>
  </si>
  <si>
    <t>Flag</t>
  </si>
  <si>
    <t>BldgType_desc</t>
  </si>
  <si>
    <t>BldgVint_desc</t>
  </si>
  <si>
    <t>BldgLoc_desc</t>
  </si>
  <si>
    <t>IOUname</t>
  </si>
  <si>
    <t>Res-Frzr-dKWH-Cond</t>
  </si>
  <si>
    <t>DEER2017</t>
  </si>
  <si>
    <t>D17 v1</t>
  </si>
  <si>
    <t>SDG</t>
  </si>
  <si>
    <t>Res</t>
  </si>
  <si>
    <t>Ex</t>
  </si>
  <si>
    <t>rWtd</t>
  </si>
  <si>
    <t>IOU</t>
  </si>
  <si>
    <t>Household</t>
  </si>
  <si>
    <t>None</t>
  </si>
  <si>
    <t>DEER:Res:RefgFrzr_HighEff</t>
  </si>
  <si>
    <t>Annual</t>
  </si>
  <si>
    <t>Residential</t>
  </si>
  <si>
    <t>Existing</t>
  </si>
  <si>
    <t>IOU Territory</t>
  </si>
  <si>
    <t>RPP Measure</t>
  </si>
  <si>
    <t>Measure ID</t>
  </si>
  <si>
    <t>Refrigerators - weighted (ESME)</t>
  </si>
  <si>
    <t>DEER 2017 Residential HVAC Interactive Effects Factors</t>
  </si>
  <si>
    <t>DEER Version: 2017</t>
  </si>
  <si>
    <t>PLF Assumptions</t>
  </si>
  <si>
    <t>Low</t>
  </si>
  <si>
    <t>Medium</t>
  </si>
  <si>
    <t>High</t>
  </si>
  <si>
    <t>Usage Frequency</t>
  </si>
  <si>
    <t>Relative Power Draw</t>
  </si>
  <si>
    <t>PLF</t>
  </si>
  <si>
    <t>RMC of clothes washed in ENERGY STAR compliant clothes washers (standard 35% and compact 38%), per 2012 DOE Clothes Washers TSD</t>
  </si>
  <si>
    <t>percentage of dryers in unconditioned space</t>
  </si>
  <si>
    <t>percentage of dryers in conditioned space</t>
  </si>
  <si>
    <t>percentage of compact dryers paired with compact washers</t>
  </si>
  <si>
    <t>percentage of compact dryers paired with standard washers</t>
  </si>
  <si>
    <t>Application of interactive factors (Source: PG&amp;E Customer Voice Panel Research)</t>
  </si>
  <si>
    <t>Compact Dryers (Source: PG&amp;E Customer Voice Panel Research)</t>
  </si>
  <si>
    <t>AP024, AP043</t>
  </si>
  <si>
    <t>AP025, AP044</t>
  </si>
  <si>
    <t>AP026, AP045</t>
  </si>
  <si>
    <t>AP027, AP046</t>
  </si>
  <si>
    <t>AP028, AP047</t>
  </si>
  <si>
    <t>AP029, AP048</t>
  </si>
  <si>
    <t>AP030, AP049</t>
  </si>
  <si>
    <t>ENERGY STAR +30% Power Draw Assumptions</t>
  </si>
  <si>
    <t>ENERGY STAR + 50% Power Draw Assumptions</t>
  </si>
  <si>
    <t>Basic Tier (ENERGY STAR +30%)</t>
  </si>
  <si>
    <t>Advanced Tier (ENERGY STAR +50%)</t>
  </si>
  <si>
    <t>Advanced Tier (ENERGY STAR Most Efficient 2017) Clothes Dryers</t>
  </si>
  <si>
    <t>.</t>
  </si>
  <si>
    <t>RB-Appl-EffCW-med-Tier3-Front</t>
  </si>
  <si>
    <t>rDXGF</t>
  </si>
  <si>
    <t>D17 v3</t>
  </si>
  <si>
    <t>This file created on 11/6/2017 1:15:19 PM while connected to AmazonWS-RDS as sptviewer.</t>
  </si>
  <si>
    <t>DEER:Res:ClothesDishWasher</t>
  </si>
  <si>
    <t>This file created on 11/6/2017 1:15:27 PM while connected to AmazonWS-RDS as sptviewer.</t>
  </si>
  <si>
    <t>RB-Appl-EffCW-med-Tier3-Top</t>
  </si>
  <si>
    <t>Description</t>
  </si>
  <si>
    <t>Clothes washer, Front loading, Weighted Fuel Type, Tier3, IMEF &gt;= 2.92, IWF &lt;= 3.2</t>
  </si>
  <si>
    <t>Clothes washer, Top loading, Weighted Fuel Type, Tier3, IMEF &gt;= 2.76, IWF &lt;= 3.2</t>
  </si>
  <si>
    <t>Front-Loading Clothes Washers</t>
  </si>
  <si>
    <t>Top-Loading Clothes Washers</t>
  </si>
  <si>
    <t>Measure Code</t>
  </si>
  <si>
    <t>AP053</t>
  </si>
  <si>
    <t>AP054</t>
  </si>
  <si>
    <t>Not Available</t>
  </si>
  <si>
    <t>Clothes washer, Top loading, Weighted Fuel Type, CEE Tier 3, IMEF &gt;= 2.92, IWF &lt;= 3.2</t>
  </si>
  <si>
    <t>ExAnte2017</t>
  </si>
  <si>
    <t>IOU workpaper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</si>
</sst>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0000"/>
    <numFmt numFmtId="166" formatCode="0.0000"/>
    <numFmt numFmtId="167" formatCode="0.000"/>
    <numFmt numFmtId="168" formatCode="0.0%"/>
    <numFmt numFmtId="169" formatCode="[$-409]mmmm\-yy;@"/>
  </numFmts>
  <fonts count="79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rgb="FF000000"/>
      <name val="Helv"/>
    </font>
    <font>
      <sz val="9"/>
      <color rgb="FF000000"/>
      <name val="Helv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indexed="23"/>
      <name val="Calibri"/>
      <family val="2"/>
    </font>
    <font>
      <sz val="11"/>
      <name val="Calibri"/>
      <family val="2"/>
    </font>
    <font>
      <sz val="9"/>
      <color rgb="FF000000"/>
      <name val="Helvetica"/>
    </font>
    <font>
      <sz val="9"/>
      <name val="Helv"/>
    </font>
    <font>
      <sz val="12"/>
      <name val="Calibri"/>
      <family val="2"/>
      <scheme val="minor"/>
    </font>
    <font>
      <b/>
      <sz val="9"/>
      <color rgb="FF000000"/>
      <name val="Helvetica"/>
    </font>
    <font>
      <b/>
      <sz val="9"/>
      <name val="Helvetica"/>
    </font>
    <font>
      <b/>
      <sz val="10"/>
      <color theme="1"/>
      <name val="Arial"/>
      <family val="2"/>
    </font>
    <font>
      <vertAlign val="subscript"/>
      <sz val="12"/>
      <color theme="1"/>
      <name val="Calibri (Body)"/>
    </font>
    <font>
      <sz val="9"/>
      <color theme="1"/>
      <name val="Helvetica"/>
    </font>
    <font>
      <sz val="8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9"/>
      <color theme="1"/>
      <name val="Helv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sz val="11"/>
      <name val="돋움"/>
      <family val="3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rgb="FFE4E5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9F9F8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9F9F8"/>
        <bgColor rgb="FF000000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7">
    <border>
      <left/>
      <right/>
      <top/>
      <bottom/>
      <diagonal/>
    </border>
    <border>
      <left/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/>
      <right style="medium">
        <color rgb="FFD9D9D9"/>
      </right>
      <top/>
      <bottom style="medium">
        <color rgb="FFD9D9D9"/>
      </bottom>
      <diagonal/>
    </border>
    <border>
      <left/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/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/>
      <top/>
      <bottom/>
      <diagonal/>
    </border>
    <border>
      <left style="medium">
        <color rgb="FFD9D9D9"/>
      </left>
      <right style="medium">
        <color rgb="FFD9D9D9"/>
      </right>
      <top/>
      <bottom style="medium">
        <color rgb="FFD9D9D9"/>
      </bottom>
      <diagonal/>
    </border>
    <border>
      <left style="medium">
        <color rgb="FFD9D9D9"/>
      </left>
      <right/>
      <top style="medium">
        <color rgb="FFD9D9D9"/>
      </top>
      <bottom/>
      <diagonal/>
    </border>
    <border>
      <left/>
      <right/>
      <top/>
      <bottom style="medium">
        <color rgb="FFD9D9D9"/>
      </bottom>
      <diagonal/>
    </border>
    <border>
      <left/>
      <right/>
      <top style="medium">
        <color rgb="FFD9D9D9"/>
      </top>
      <bottom/>
      <diagonal/>
    </border>
    <border>
      <left/>
      <right/>
      <top style="medium">
        <color rgb="FFD9D9D9"/>
      </top>
      <bottom style="medium">
        <color rgb="FFD9D9D9"/>
      </bottom>
      <diagonal/>
    </border>
    <border>
      <left/>
      <right style="medium">
        <color rgb="FFD9D9D9"/>
      </right>
      <top/>
      <bottom/>
      <diagonal/>
    </border>
    <border>
      <left style="medium">
        <color rgb="FFD9D9D9"/>
      </left>
      <right style="medium">
        <color rgb="FFD9D9D9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D9D9D9"/>
      </left>
      <right/>
      <top/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auto="1"/>
      </top>
      <bottom/>
      <diagonal/>
    </border>
    <border>
      <left style="medium">
        <color rgb="FFD9D9D9"/>
      </left>
      <right/>
      <top style="medium">
        <color auto="1"/>
      </top>
      <bottom style="medium">
        <color rgb="FFD9D9D9"/>
      </bottom>
      <diagonal/>
    </border>
    <border>
      <left/>
      <right style="medium">
        <color rgb="FFD9D9D9"/>
      </right>
      <top style="medium">
        <color auto="1"/>
      </top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 style="medium">
        <color auto="1"/>
      </top>
      <bottom style="medium">
        <color rgb="FFD9D9D9"/>
      </bottom>
      <diagonal/>
    </border>
    <border>
      <left style="medium">
        <color rgb="FFD9D9D9"/>
      </left>
      <right style="medium">
        <color auto="1"/>
      </right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/>
      <bottom/>
      <diagonal/>
    </border>
    <border>
      <left style="medium">
        <color rgb="FFD9D9D9"/>
      </left>
      <right style="medium">
        <color auto="1"/>
      </right>
      <top style="medium">
        <color rgb="FFD9D9D9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/>
      <bottom style="medium">
        <color auto="1"/>
      </bottom>
      <diagonal/>
    </border>
    <border>
      <left style="medium">
        <color rgb="FFD9D9D9"/>
      </left>
      <right/>
      <top style="medium">
        <color rgb="FFD9D9D9"/>
      </top>
      <bottom style="medium">
        <color auto="1"/>
      </bottom>
      <diagonal/>
    </border>
    <border>
      <left/>
      <right style="medium">
        <color rgb="FFD9D9D9"/>
      </right>
      <top style="medium">
        <color rgb="FFD9D9D9"/>
      </top>
      <bottom style="medium">
        <color auto="1"/>
      </bottom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auto="1"/>
      </bottom>
      <diagonal/>
    </border>
    <border>
      <left style="medium">
        <color rgb="FFD9D9D9"/>
      </left>
      <right style="medium">
        <color auto="1"/>
      </right>
      <top style="medium">
        <color rgb="FFD9D9D9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D9D9D9"/>
      </left>
      <right/>
      <top/>
      <bottom style="medium">
        <color auto="1"/>
      </bottom>
      <diagonal/>
    </border>
    <border>
      <left/>
      <right style="medium">
        <color rgb="FFD9D9D9"/>
      </right>
      <top/>
      <bottom style="medium">
        <color auto="1"/>
      </bottom>
      <diagonal/>
    </border>
    <border>
      <left style="medium">
        <color rgb="FFD9D9D9"/>
      </left>
      <right style="medium">
        <color rgb="FFD9D9D9"/>
      </right>
      <top/>
      <bottom style="medium">
        <color auto="1"/>
      </bottom>
      <diagonal/>
    </border>
    <border>
      <left style="medium">
        <color auto="1"/>
      </left>
      <right style="medium">
        <color rgb="FFD9D9D9"/>
      </right>
      <top style="medium">
        <color auto="1"/>
      </top>
      <bottom style="medium">
        <color auto="1"/>
      </bottom>
      <diagonal/>
    </border>
    <border>
      <left style="medium">
        <color rgb="FFD9D9D9"/>
      </left>
      <right/>
      <top style="medium">
        <color auto="1"/>
      </top>
      <bottom style="medium">
        <color auto="1"/>
      </bottom>
      <diagonal/>
    </border>
    <border>
      <left style="medium">
        <color rgb="FFD9D9D9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D9D9D9"/>
      </left>
      <right style="thin">
        <color rgb="FFD9D9D9"/>
      </right>
      <top style="medium">
        <color auto="1"/>
      </top>
      <bottom style="medium">
        <color auto="1"/>
      </bottom>
      <diagonal/>
    </border>
    <border>
      <left style="thin">
        <color rgb="FFD9D9D9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rgb="FFD9D9D9"/>
      </top>
      <bottom style="medium">
        <color auto="1"/>
      </bottom>
      <diagonal/>
    </border>
    <border>
      <left style="thin">
        <color rgb="FFD9D9D9"/>
      </left>
      <right/>
      <top style="medium">
        <color auto="1"/>
      </top>
      <bottom style="medium">
        <color auto="1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rgb="FFD9D9D9"/>
      </bottom>
      <diagonal/>
    </border>
    <border>
      <left style="medium">
        <color auto="1"/>
      </left>
      <right/>
      <top style="medium">
        <color rgb="FFD9D9D9"/>
      </top>
      <bottom style="medium">
        <color rgb="FFD9D9D9"/>
      </bottom>
      <diagonal/>
    </border>
    <border>
      <left style="medium">
        <color auto="1"/>
      </left>
      <right/>
      <top style="medium">
        <color rgb="FFD9D9D9"/>
      </top>
      <bottom style="medium">
        <color auto="1"/>
      </bottom>
      <diagonal/>
    </border>
    <border>
      <left style="medium">
        <color auto="1"/>
      </left>
      <right style="thin">
        <color rgb="FFD9D9D9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rgb="FFD9D9D9"/>
      </bottom>
      <diagonal/>
    </border>
    <border>
      <left/>
      <right style="medium">
        <color auto="1"/>
      </right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theme="1"/>
      </bottom>
      <diagonal/>
    </border>
    <border>
      <left style="medium">
        <color rgb="FFD9D9D9"/>
      </left>
      <right style="medium">
        <color auto="1"/>
      </right>
      <top/>
      <bottom style="medium">
        <color rgb="FFD9D9D9"/>
      </bottom>
      <diagonal/>
    </border>
    <border>
      <left style="medium">
        <color rgb="FFD9D9D9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rgb="FFD9D9D9"/>
      </right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/>
      <bottom style="medium">
        <color rgb="FFD9D9D9"/>
      </bottom>
      <diagonal/>
    </border>
    <border>
      <left style="medium">
        <color auto="1"/>
      </left>
      <right style="medium">
        <color theme="0" tint="-0.24994659260841701"/>
      </right>
      <top style="medium">
        <color auto="1"/>
      </top>
      <bottom style="medium">
        <color rgb="FFD9D9D9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theme="0" tint="-0.24994659260841701"/>
      </right>
      <top/>
      <bottom style="medium">
        <color rgb="FFD9D9D9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rgb="FFD9D9D9"/>
      </bottom>
      <diagonal/>
    </border>
    <border>
      <left style="medium">
        <color auto="1"/>
      </left>
      <right style="medium">
        <color theme="0" tint="-0.24994659260841701"/>
      </right>
      <top/>
      <bottom style="medium">
        <color auto="1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auto="1"/>
      </bottom>
      <diagonal/>
    </border>
    <border>
      <left style="medium">
        <color rgb="FFD9D9D9"/>
      </left>
      <right style="medium">
        <color auto="1"/>
      </right>
      <top style="medium">
        <color rgb="FFD9D9D9"/>
      </top>
      <bottom style="medium">
        <color theme="1"/>
      </bottom>
      <diagonal/>
    </border>
    <border>
      <left/>
      <right style="medium">
        <color auto="1"/>
      </right>
      <top/>
      <bottom/>
      <diagonal/>
    </border>
    <border>
      <left style="medium">
        <color rgb="FFD9D9D9"/>
      </left>
      <right style="medium">
        <color rgb="FFD9D9D9"/>
      </right>
      <top style="medium">
        <color theme="1"/>
      </top>
      <bottom style="medium">
        <color rgb="FFD9D9D9"/>
      </bottom>
      <diagonal/>
    </border>
    <border>
      <left/>
      <right/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medium">
        <color auto="1"/>
      </left>
      <right/>
      <top style="medium">
        <color rgb="FFD9D9D9"/>
      </top>
      <bottom/>
      <diagonal/>
    </border>
    <border>
      <left style="medium">
        <color auto="1"/>
      </left>
      <right/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rgb="FFD9D9D9"/>
      </top>
      <bottom style="medium">
        <color theme="1"/>
      </bottom>
      <diagonal/>
    </border>
    <border>
      <left style="medium">
        <color auto="1"/>
      </left>
      <right/>
      <top style="medium">
        <color theme="1"/>
      </top>
      <bottom style="medium">
        <color rgb="FFD9D9D9"/>
      </bottom>
      <diagonal/>
    </border>
    <border>
      <left style="medium">
        <color rgb="FFD9D9D9"/>
      </left>
      <right style="medium">
        <color auto="1"/>
      </right>
      <top style="medium">
        <color theme="1"/>
      </top>
      <bottom style="medium">
        <color rgb="FFD9D9D9"/>
      </bottom>
      <diagonal/>
    </border>
    <border>
      <left/>
      <right style="medium">
        <color auto="1"/>
      </right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auto="1"/>
      </right>
      <top style="medium">
        <color rgb="FFD9D9D9"/>
      </top>
      <bottom/>
      <diagonal/>
    </border>
    <border>
      <left style="medium">
        <color auto="1"/>
      </left>
      <right style="medium">
        <color rgb="FFD9D9D9"/>
      </right>
      <top style="medium">
        <color rgb="FFD9D9D9"/>
      </top>
      <bottom style="medium">
        <color auto="1"/>
      </bottom>
      <diagonal/>
    </border>
    <border>
      <left style="medium">
        <color auto="1"/>
      </left>
      <right style="medium">
        <color theme="0" tint="-0.14996795556505021"/>
      </right>
      <top style="medium">
        <color auto="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medium">
        <color auto="1"/>
      </right>
      <top style="medium">
        <color auto="1"/>
      </top>
      <bottom style="medium">
        <color theme="0" tint="-0.14996795556505021"/>
      </bottom>
      <diagonal/>
    </border>
    <border>
      <left style="medium">
        <color auto="1"/>
      </left>
      <right style="medium">
        <color theme="0" tint="-0.14996795556505021"/>
      </right>
      <top style="medium">
        <color theme="0" tint="-0.14996795556505021"/>
      </top>
      <bottom style="medium">
        <color auto="1"/>
      </bottom>
      <diagonal/>
    </border>
    <border>
      <left style="medium">
        <color theme="0" tint="-0.14996795556505021"/>
      </left>
      <right style="medium">
        <color auto="1"/>
      </right>
      <top style="medium">
        <color theme="0" tint="-0.14996795556505021"/>
      </top>
      <bottom style="medium">
        <color auto="1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auto="1"/>
      </top>
      <bottom style="medium">
        <color theme="0" tint="-0.14996795556505021"/>
      </bottom>
      <diagonal/>
    </border>
    <border>
      <left style="medium">
        <color auto="1"/>
      </left>
      <right style="medium">
        <color theme="0" tint="-0.14996795556505021"/>
      </right>
      <top style="medium">
        <color auto="1"/>
      </top>
      <bottom/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auto="1"/>
      </top>
      <bottom/>
      <diagonal/>
    </border>
    <border>
      <left style="medium">
        <color theme="0" tint="-0.1499679555650502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medium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rgb="FFD9D9D9"/>
      </left>
      <right style="medium">
        <color rgb="FFD9D9D9"/>
      </right>
      <top style="medium">
        <color auto="1"/>
      </top>
      <bottom/>
      <diagonal/>
    </border>
    <border>
      <left/>
      <right style="medium">
        <color rgb="FFD9D9D9"/>
      </right>
      <top style="medium">
        <color auto="1"/>
      </top>
      <bottom/>
      <diagonal/>
    </border>
    <border>
      <left style="medium">
        <color theme="0" tint="-0.14996795556505021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/>
      <right style="medium">
        <color rgb="FFD9D9D9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0" tint="-0.14996795556505021"/>
      </left>
      <right style="medium">
        <color rgb="FFD9D9D9"/>
      </right>
      <top style="medium">
        <color auto="1"/>
      </top>
      <bottom style="medium">
        <color theme="0" tint="-0.14996795556505021"/>
      </bottom>
      <diagonal/>
    </border>
    <border>
      <left style="medium">
        <color theme="0" tint="-0.14993743705557422"/>
      </left>
      <right style="medium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3743705557422"/>
      </left>
      <right style="medium">
        <color rgb="FFD9D9D9"/>
      </right>
      <top style="medium">
        <color theme="0" tint="-0.14996795556505021"/>
      </top>
      <bottom style="medium">
        <color auto="1"/>
      </bottom>
      <diagonal/>
    </border>
    <border>
      <left style="medium">
        <color theme="0" tint="-0.14993743705557422"/>
      </left>
      <right style="medium">
        <color auto="1"/>
      </right>
      <top style="medium">
        <color theme="0" tint="-0.14996795556505021"/>
      </top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rgb="FFD9D9D9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50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17" applyNumberFormat="0" applyFill="0" applyAlignment="0" applyProtection="0"/>
    <xf numFmtId="0" fontId="27" fillId="0" borderId="118" applyNumberFormat="0" applyFill="0" applyAlignment="0" applyProtection="0"/>
    <xf numFmtId="0" fontId="28" fillId="0" borderId="119" applyNumberFormat="0" applyFill="0" applyAlignment="0" applyProtection="0"/>
    <xf numFmtId="0" fontId="28" fillId="0" borderId="0" applyNumberFormat="0" applyFill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1" fillId="13" borderId="0" applyNumberFormat="0" applyBorder="0" applyAlignment="0" applyProtection="0"/>
    <xf numFmtId="0" fontId="32" fillId="14" borderId="120" applyNumberFormat="0" applyAlignment="0" applyProtection="0"/>
    <xf numFmtId="0" fontId="33" fillId="15" borderId="121" applyNumberFormat="0" applyAlignment="0" applyProtection="0"/>
    <xf numFmtId="0" fontId="34" fillId="15" borderId="120" applyNumberFormat="0" applyAlignment="0" applyProtection="0"/>
    <xf numFmtId="0" fontId="35" fillId="0" borderId="122" applyNumberFormat="0" applyFill="0" applyAlignment="0" applyProtection="0"/>
    <xf numFmtId="0" fontId="36" fillId="16" borderId="123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25" applyNumberFormat="0" applyFill="0" applyAlignment="0" applyProtection="0"/>
    <xf numFmtId="0" fontId="40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40" fillId="41" borderId="0" applyNumberFormat="0" applyBorder="0" applyAlignment="0" applyProtection="0"/>
    <xf numFmtId="0" fontId="2" fillId="0" borderId="0"/>
    <xf numFmtId="0" fontId="41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2" fillId="17" borderId="124" applyNumberFormat="0" applyFont="0" applyAlignment="0" applyProtection="0"/>
    <xf numFmtId="0" fontId="1" fillId="0" borderId="0"/>
    <xf numFmtId="0" fontId="1" fillId="17" borderId="124" applyNumberFormat="0" applyFont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7" fillId="0" borderId="0"/>
    <xf numFmtId="0" fontId="45" fillId="0" borderId="0"/>
    <xf numFmtId="9" fontId="45" fillId="0" borderId="0" applyFont="0" applyFill="0" applyBorder="0" applyAlignment="0" applyProtection="0"/>
    <xf numFmtId="0" fontId="45" fillId="0" borderId="0"/>
    <xf numFmtId="0" fontId="45" fillId="0" borderId="0" applyNumberFormat="0" applyFill="0" applyBorder="0" applyAlignment="0" applyProtection="0"/>
    <xf numFmtId="0" fontId="47" fillId="0" borderId="0"/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5" fillId="0" borderId="0"/>
    <xf numFmtId="0" fontId="48" fillId="0" borderId="0">
      <alignment vertical="center"/>
    </xf>
    <xf numFmtId="0" fontId="45" fillId="0" borderId="0"/>
    <xf numFmtId="0" fontId="49" fillId="0" borderId="0" applyNumberFormat="0" applyFill="0" applyBorder="0" applyAlignment="0" applyProtection="0">
      <alignment vertical="top"/>
      <protection locked="0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7" fillId="0" borderId="0"/>
    <xf numFmtId="0" fontId="45" fillId="0" borderId="0" applyNumberFormat="0" applyFill="0" applyBorder="0" applyAlignment="0" applyProtection="0"/>
    <xf numFmtId="0" fontId="48" fillId="0" borderId="0">
      <alignment vertical="center"/>
    </xf>
    <xf numFmtId="0" fontId="1" fillId="0" borderId="0"/>
    <xf numFmtId="0" fontId="50" fillId="42" borderId="0" applyNumberFormat="0" applyBorder="0" applyAlignment="0" applyProtection="0"/>
    <xf numFmtId="0" fontId="50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8" borderId="0" applyNumberFormat="0" applyBorder="0" applyAlignment="0" applyProtection="0"/>
    <xf numFmtId="0" fontId="50" fillId="51" borderId="0" applyNumberFormat="0" applyBorder="0" applyAlignment="0" applyProtection="0"/>
    <xf numFmtId="0" fontId="51" fillId="52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53" borderId="0" applyNumberFormat="0" applyBorder="0" applyAlignment="0" applyProtection="0"/>
    <xf numFmtId="0" fontId="51" fillId="54" borderId="0" applyNumberFormat="0" applyBorder="0" applyAlignment="0" applyProtection="0"/>
    <xf numFmtId="0" fontId="51" fillId="55" borderId="0" applyNumberFormat="0" applyBorder="0" applyAlignment="0" applyProtection="0"/>
    <xf numFmtId="0" fontId="51" fillId="56" borderId="0" applyNumberFormat="0" applyBorder="0" applyAlignment="0" applyProtection="0"/>
    <xf numFmtId="0" fontId="51" fillId="57" borderId="0" applyNumberFormat="0" applyBorder="0" applyAlignment="0" applyProtection="0"/>
    <xf numFmtId="0" fontId="51" fillId="58" borderId="0" applyNumberFormat="0" applyBorder="0" applyAlignment="0" applyProtection="0"/>
    <xf numFmtId="0" fontId="51" fillId="53" borderId="0" applyNumberFormat="0" applyBorder="0" applyAlignment="0" applyProtection="0"/>
    <xf numFmtId="0" fontId="51" fillId="54" borderId="0" applyNumberFormat="0" applyBorder="0" applyAlignment="0" applyProtection="0"/>
    <xf numFmtId="0" fontId="51" fillId="59" borderId="0" applyNumberFormat="0" applyBorder="0" applyAlignment="0" applyProtection="0"/>
    <xf numFmtId="0" fontId="52" fillId="43" borderId="0" applyNumberFormat="0" applyBorder="0" applyAlignment="0" applyProtection="0"/>
    <xf numFmtId="0" fontId="53" fillId="60" borderId="128" applyNumberFormat="0" applyAlignment="0" applyProtection="0"/>
    <xf numFmtId="0" fontId="54" fillId="61" borderId="129" applyNumberFormat="0" applyAlignment="0" applyProtection="0"/>
    <xf numFmtId="44" fontId="45" fillId="0" borderId="0" applyFont="0" applyFill="0" applyBorder="0" applyAlignment="0" applyProtection="0"/>
    <xf numFmtId="0" fontId="55" fillId="44" borderId="0" applyNumberFormat="0" applyBorder="0" applyAlignment="0" applyProtection="0"/>
    <xf numFmtId="0" fontId="56" fillId="0" borderId="130" applyNumberFormat="0" applyFill="0" applyAlignment="0" applyProtection="0"/>
    <xf numFmtId="0" fontId="57" fillId="0" borderId="131" applyNumberFormat="0" applyFill="0" applyAlignment="0" applyProtection="0"/>
    <xf numFmtId="0" fontId="58" fillId="0" borderId="132" applyNumberFormat="0" applyFill="0" applyAlignment="0" applyProtection="0"/>
    <xf numFmtId="0" fontId="58" fillId="0" borderId="0" applyNumberFormat="0" applyFill="0" applyBorder="0" applyAlignment="0" applyProtection="0"/>
    <xf numFmtId="0" fontId="59" fillId="47" borderId="128" applyNumberFormat="0" applyAlignment="0" applyProtection="0"/>
    <xf numFmtId="0" fontId="60" fillId="0" borderId="133" applyNumberFormat="0" applyFill="0" applyAlignment="0" applyProtection="0"/>
    <xf numFmtId="0" fontId="61" fillId="62" borderId="0" applyNumberFormat="0" applyBorder="0" applyAlignment="0" applyProtection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0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0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63" borderId="134" applyNumberFormat="0" applyFont="0" applyAlignment="0" applyProtection="0"/>
    <xf numFmtId="0" fontId="62" fillId="60" borderId="135" applyNumberFormat="0" applyAlignment="0" applyProtection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136" applyNumberFormat="0" applyFill="0" applyAlignment="0" applyProtection="0"/>
    <xf numFmtId="0" fontId="65" fillId="0" borderId="0" applyNumberFormat="0" applyFill="0" applyBorder="0" applyAlignment="0" applyProtection="0"/>
    <xf numFmtId="0" fontId="1" fillId="0" borderId="0"/>
    <xf numFmtId="0" fontId="45" fillId="0" borderId="0"/>
    <xf numFmtId="44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2" fontId="45" fillId="0" borderId="0" applyFont="0" applyFill="0" applyBorder="0" applyAlignment="0" applyProtection="0"/>
    <xf numFmtId="0" fontId="45" fillId="0" borderId="0"/>
    <xf numFmtId="44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0" fontId="45" fillId="0" borderId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6" fillId="0" borderId="117" applyNumberFormat="0" applyFill="0" applyAlignment="0" applyProtection="0"/>
    <xf numFmtId="0" fontId="67" fillId="0" borderId="118" applyNumberFormat="0" applyFill="0" applyAlignment="0" applyProtection="0"/>
    <xf numFmtId="0" fontId="68" fillId="0" borderId="119" applyNumberFormat="0" applyFill="0" applyAlignment="0" applyProtection="0"/>
    <xf numFmtId="0" fontId="68" fillId="0" borderId="0" applyNumberFormat="0" applyFill="0" applyBorder="0" applyAlignment="0" applyProtection="0"/>
    <xf numFmtId="0" fontId="69" fillId="11" borderId="0" applyNumberFormat="0" applyBorder="0" applyAlignment="0" applyProtection="0"/>
    <xf numFmtId="0" fontId="70" fillId="12" borderId="0" applyNumberFormat="0" applyBorder="0" applyAlignment="0" applyProtection="0"/>
    <xf numFmtId="0" fontId="71" fillId="13" borderId="0" applyNumberFormat="0" applyBorder="0" applyAlignment="0" applyProtection="0"/>
    <xf numFmtId="0" fontId="72" fillId="14" borderId="120" applyNumberFormat="0" applyAlignment="0" applyProtection="0"/>
    <xf numFmtId="0" fontId="73" fillId="15" borderId="121" applyNumberFormat="0" applyAlignment="0" applyProtection="0"/>
    <xf numFmtId="0" fontId="74" fillId="15" borderId="120" applyNumberFormat="0" applyAlignment="0" applyProtection="0"/>
    <xf numFmtId="0" fontId="75" fillId="0" borderId="122" applyNumberFormat="0" applyFill="0" applyAlignment="0" applyProtection="0"/>
    <xf numFmtId="0" fontId="76" fillId="16" borderId="123" applyNumberFormat="0" applyAlignment="0" applyProtection="0"/>
    <xf numFmtId="0" fontId="46" fillId="0" borderId="0" applyNumberFormat="0" applyFill="0" applyBorder="0" applyAlignment="0" applyProtection="0"/>
    <xf numFmtId="0" fontId="7" fillId="17" borderId="124" applyNumberFormat="0" applyFont="0" applyAlignment="0" applyProtection="0"/>
    <xf numFmtId="0" fontId="77" fillId="0" borderId="0" applyNumberFormat="0" applyFill="0" applyBorder="0" applyAlignment="0" applyProtection="0"/>
    <xf numFmtId="0" fontId="21" fillId="0" borderId="125" applyNumberFormat="0" applyFill="0" applyAlignment="0" applyProtection="0"/>
    <xf numFmtId="0" fontId="78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8" fillId="21" borderId="0" applyNumberFormat="0" applyBorder="0" applyAlignment="0" applyProtection="0"/>
    <xf numFmtId="0" fontId="78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8" fillId="25" borderId="0" applyNumberFormat="0" applyBorder="0" applyAlignment="0" applyProtection="0"/>
    <xf numFmtId="0" fontId="78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8" fillId="29" borderId="0" applyNumberFormat="0" applyBorder="0" applyAlignment="0" applyProtection="0"/>
    <xf numFmtId="0" fontId="78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8" fillId="33" borderId="0" applyNumberFormat="0" applyBorder="0" applyAlignment="0" applyProtection="0"/>
    <xf numFmtId="0" fontId="78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8" fillId="37" borderId="0" applyNumberFormat="0" applyBorder="0" applyAlignment="0" applyProtection="0"/>
    <xf numFmtId="0" fontId="78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8" fillId="41" borderId="0" applyNumberFormat="0" applyBorder="0" applyAlignment="0" applyProtection="0"/>
    <xf numFmtId="0" fontId="1" fillId="0" borderId="0"/>
    <xf numFmtId="44" fontId="50" fillId="0" borderId="0" applyFont="0" applyFill="0" applyBorder="0" applyAlignment="0" applyProtection="0"/>
    <xf numFmtId="0" fontId="50" fillId="0" borderId="0"/>
    <xf numFmtId="0" fontId="1" fillId="0" borderId="0"/>
    <xf numFmtId="0" fontId="1" fillId="0" borderId="0"/>
    <xf numFmtId="169" fontId="45" fillId="0" borderId="0"/>
    <xf numFmtId="169" fontId="50" fillId="43" borderId="0" applyNumberFormat="0" applyBorder="0" applyAlignment="0" applyProtection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50" fillId="45" borderId="0" applyNumberFormat="0" applyBorder="0" applyAlignment="0" applyProtection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50" fillId="46" borderId="0" applyNumberFormat="0" applyBorder="0" applyAlignment="0" applyProtection="0"/>
    <xf numFmtId="169" fontId="45" fillId="0" borderId="0"/>
    <xf numFmtId="169" fontId="50" fillId="42" borderId="0" applyNumberFormat="0" applyBorder="0" applyAlignment="0" applyProtection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50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50" fillId="46" borderId="0" applyNumberFormat="0" applyBorder="0" applyAlignment="0" applyProtection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50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61" fillId="62" borderId="0" applyNumberFormat="0" applyBorder="0" applyAlignment="0" applyProtection="0"/>
    <xf numFmtId="169" fontId="61" fillId="62" borderId="0" applyNumberFormat="0" applyBorder="0" applyAlignment="0" applyProtection="0"/>
    <xf numFmtId="169" fontId="60" fillId="0" borderId="133" applyNumberFormat="0" applyFill="0" applyAlignment="0" applyProtection="0"/>
    <xf numFmtId="169" fontId="60" fillId="0" borderId="133" applyNumberFormat="0" applyFill="0" applyAlignment="0" applyProtection="0"/>
    <xf numFmtId="169" fontId="59" fillId="47" borderId="128" applyNumberFormat="0" applyAlignment="0" applyProtection="0"/>
    <xf numFmtId="169" fontId="59" fillId="47" borderId="128" applyNumberFormat="0" applyAlignment="0" applyProtection="0"/>
    <xf numFmtId="169" fontId="58" fillId="0" borderId="0" applyNumberFormat="0" applyFill="0" applyBorder="0" applyAlignment="0" applyProtection="0"/>
    <xf numFmtId="169" fontId="58" fillId="0" borderId="0" applyNumberFormat="0" applyFill="0" applyBorder="0" applyAlignment="0" applyProtection="0"/>
    <xf numFmtId="169" fontId="58" fillId="0" borderId="132" applyNumberFormat="0" applyFill="0" applyAlignment="0" applyProtection="0"/>
    <xf numFmtId="169" fontId="58" fillId="0" borderId="132" applyNumberFormat="0" applyFill="0" applyAlignment="0" applyProtection="0"/>
    <xf numFmtId="169" fontId="57" fillId="0" borderId="131" applyNumberFormat="0" applyFill="0" applyAlignment="0" applyProtection="0"/>
    <xf numFmtId="169" fontId="57" fillId="0" borderId="131" applyNumberFormat="0" applyFill="0" applyAlignment="0" applyProtection="0"/>
    <xf numFmtId="169" fontId="56" fillId="0" borderId="130" applyNumberFormat="0" applyFill="0" applyAlignment="0" applyProtection="0"/>
    <xf numFmtId="169" fontId="56" fillId="0" borderId="130" applyNumberFormat="0" applyFill="0" applyAlignment="0" applyProtection="0"/>
    <xf numFmtId="169" fontId="55" fillId="44" borderId="0" applyNumberFormat="0" applyBorder="0" applyAlignment="0" applyProtection="0"/>
    <xf numFmtId="169" fontId="55" fillId="44" borderId="0" applyNumberFormat="0" applyBorder="0" applyAlignment="0" applyProtection="0"/>
    <xf numFmtId="169" fontId="14" fillId="0" borderId="0" applyNumberFormat="0" applyFill="0" applyBorder="0" applyAlignment="0" applyProtection="0"/>
    <xf numFmtId="169" fontId="14" fillId="0" borderId="0" applyNumberFormat="0" applyFill="0" applyBorder="0" applyAlignment="0" applyProtection="0"/>
    <xf numFmtId="44" fontId="45" fillId="0" borderId="0" applyFont="0" applyFill="0" applyBorder="0" applyAlignment="0" applyProtection="0"/>
    <xf numFmtId="169" fontId="54" fillId="61" borderId="129" applyNumberFormat="0" applyAlignment="0" applyProtection="0"/>
    <xf numFmtId="169" fontId="54" fillId="61" borderId="129" applyNumberFormat="0" applyAlignment="0" applyProtection="0"/>
    <xf numFmtId="169" fontId="53" fillId="60" borderId="128" applyNumberFormat="0" applyAlignment="0" applyProtection="0"/>
    <xf numFmtId="169" fontId="53" fillId="60" borderId="128" applyNumberFormat="0" applyAlignment="0" applyProtection="0"/>
    <xf numFmtId="169" fontId="52" fillId="43" borderId="0" applyNumberFormat="0" applyBorder="0" applyAlignment="0" applyProtection="0"/>
    <xf numFmtId="169" fontId="52" fillId="43" borderId="0" applyNumberFormat="0" applyBorder="0" applyAlignment="0" applyProtection="0"/>
    <xf numFmtId="169" fontId="51" fillId="59" borderId="0" applyNumberFormat="0" applyBorder="0" applyAlignment="0" applyProtection="0"/>
    <xf numFmtId="169" fontId="51" fillId="59" borderId="0" applyNumberFormat="0" applyBorder="0" applyAlignment="0" applyProtection="0"/>
    <xf numFmtId="169" fontId="51" fillId="54" borderId="0" applyNumberFormat="0" applyBorder="0" applyAlignment="0" applyProtection="0"/>
    <xf numFmtId="169" fontId="51" fillId="54" borderId="0" applyNumberFormat="0" applyBorder="0" applyAlignment="0" applyProtection="0"/>
    <xf numFmtId="169" fontId="51" fillId="53" borderId="0" applyNumberFormat="0" applyBorder="0" applyAlignment="0" applyProtection="0"/>
    <xf numFmtId="169" fontId="51" fillId="53" borderId="0" applyNumberFormat="0" applyBorder="0" applyAlignment="0" applyProtection="0"/>
    <xf numFmtId="169" fontId="51" fillId="58" borderId="0" applyNumberFormat="0" applyBorder="0" applyAlignment="0" applyProtection="0"/>
    <xf numFmtId="169" fontId="51" fillId="58" borderId="0" applyNumberFormat="0" applyBorder="0" applyAlignment="0" applyProtection="0"/>
    <xf numFmtId="169" fontId="51" fillId="57" borderId="0" applyNumberFormat="0" applyBorder="0" applyAlignment="0" applyProtection="0"/>
    <xf numFmtId="169" fontId="51" fillId="57" borderId="0" applyNumberFormat="0" applyBorder="0" applyAlignment="0" applyProtection="0"/>
    <xf numFmtId="169" fontId="51" fillId="56" borderId="0" applyNumberFormat="0" applyBorder="0" applyAlignment="0" applyProtection="0"/>
    <xf numFmtId="169" fontId="51" fillId="56" borderId="0" applyNumberFormat="0" applyBorder="0" applyAlignment="0" applyProtection="0"/>
    <xf numFmtId="169" fontId="51" fillId="55" borderId="0" applyNumberFormat="0" applyBorder="0" applyAlignment="0" applyProtection="0"/>
    <xf numFmtId="169" fontId="51" fillId="55" borderId="0" applyNumberFormat="0" applyBorder="0" applyAlignment="0" applyProtection="0"/>
    <xf numFmtId="169" fontId="51" fillId="54" borderId="0" applyNumberFormat="0" applyBorder="0" applyAlignment="0" applyProtection="0"/>
    <xf numFmtId="169" fontId="51" fillId="54" borderId="0" applyNumberFormat="0" applyBorder="0" applyAlignment="0" applyProtection="0"/>
    <xf numFmtId="169" fontId="51" fillId="53" borderId="0" applyNumberFormat="0" applyBorder="0" applyAlignment="0" applyProtection="0"/>
    <xf numFmtId="169" fontId="51" fillId="53" borderId="0" applyNumberFormat="0" applyBorder="0" applyAlignment="0" applyProtection="0"/>
    <xf numFmtId="169" fontId="51" fillId="50" borderId="0" applyNumberFormat="0" applyBorder="0" applyAlignment="0" applyProtection="0"/>
    <xf numFmtId="169" fontId="51" fillId="50" borderId="0" applyNumberFormat="0" applyBorder="0" applyAlignment="0" applyProtection="0"/>
    <xf numFmtId="169" fontId="51" fillId="49" borderId="0" applyNumberFormat="0" applyBorder="0" applyAlignment="0" applyProtection="0"/>
    <xf numFmtId="169" fontId="51" fillId="49" borderId="0" applyNumberFormat="0" applyBorder="0" applyAlignment="0" applyProtection="0"/>
    <xf numFmtId="169" fontId="51" fillId="52" borderId="0" applyNumberFormat="0" applyBorder="0" applyAlignment="0" applyProtection="0"/>
    <xf numFmtId="169" fontId="51" fillId="52" borderId="0" applyNumberFormat="0" applyBorder="0" applyAlignment="0" applyProtection="0"/>
    <xf numFmtId="169" fontId="50" fillId="51" borderId="0" applyNumberFormat="0" applyBorder="0" applyAlignment="0" applyProtection="0"/>
    <xf numFmtId="169" fontId="50" fillId="51" borderId="0" applyNumberFormat="0" applyBorder="0" applyAlignment="0" applyProtection="0"/>
    <xf numFmtId="169" fontId="50" fillId="48" borderId="0" applyNumberFormat="0" applyBorder="0" applyAlignment="0" applyProtection="0"/>
    <xf numFmtId="169" fontId="50" fillId="48" borderId="0" applyNumberFormat="0" applyBorder="0" applyAlignment="0" applyProtection="0"/>
    <xf numFmtId="169" fontId="50" fillId="45" borderId="0" applyNumberFormat="0" applyBorder="0" applyAlignment="0" applyProtection="0"/>
    <xf numFmtId="169" fontId="50" fillId="45" borderId="0" applyNumberFormat="0" applyBorder="0" applyAlignment="0" applyProtection="0"/>
    <xf numFmtId="169" fontId="50" fillId="50" borderId="0" applyNumberFormat="0" applyBorder="0" applyAlignment="0" applyProtection="0"/>
    <xf numFmtId="169" fontId="50" fillId="50" borderId="0" applyNumberFormat="0" applyBorder="0" applyAlignment="0" applyProtection="0"/>
    <xf numFmtId="169" fontId="50" fillId="49" borderId="0" applyNumberFormat="0" applyBorder="0" applyAlignment="0" applyProtection="0"/>
    <xf numFmtId="169" fontId="50" fillId="49" borderId="0" applyNumberFormat="0" applyBorder="0" applyAlignment="0" applyProtection="0"/>
    <xf numFmtId="169" fontId="50" fillId="48" borderId="0" applyNumberFormat="0" applyBorder="0" applyAlignment="0" applyProtection="0"/>
    <xf numFmtId="169" fontId="50" fillId="48" borderId="0" applyNumberFormat="0" applyBorder="0" applyAlignment="0" applyProtection="0"/>
    <xf numFmtId="169" fontId="50" fillId="47" borderId="0" applyNumberFormat="0" applyBorder="0" applyAlignment="0" applyProtection="0"/>
    <xf numFmtId="169" fontId="50" fillId="47" borderId="0" applyNumberFormat="0" applyBorder="0" applyAlignment="0" applyProtection="0"/>
    <xf numFmtId="169" fontId="50" fillId="45" borderId="0" applyNumberFormat="0" applyBorder="0" applyAlignment="0" applyProtection="0"/>
    <xf numFmtId="169" fontId="50" fillId="44" borderId="0" applyNumberFormat="0" applyBorder="0" applyAlignment="0" applyProtection="0"/>
    <xf numFmtId="169" fontId="50" fillId="44" borderId="0" applyNumberFormat="0" applyBorder="0" applyAlignment="0" applyProtection="0"/>
    <xf numFmtId="169" fontId="50" fillId="43" borderId="0" applyNumberFormat="0" applyBorder="0" applyAlignment="0" applyProtection="0"/>
    <xf numFmtId="169" fontId="50" fillId="42" borderId="0" applyNumberFormat="0" applyBorder="0" applyAlignment="0" applyProtection="0"/>
    <xf numFmtId="169" fontId="7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50" fillId="0" borderId="0"/>
    <xf numFmtId="169" fontId="50" fillId="0" borderId="0"/>
    <xf numFmtId="169" fontId="50" fillId="0" borderId="0"/>
    <xf numFmtId="169" fontId="50" fillId="0" borderId="0"/>
    <xf numFmtId="169" fontId="50" fillId="0" borderId="0"/>
    <xf numFmtId="169" fontId="50" fillId="0" borderId="0"/>
    <xf numFmtId="169" fontId="45" fillId="0" borderId="0"/>
    <xf numFmtId="169" fontId="50" fillId="63" borderId="134" applyNumberFormat="0" applyFont="0" applyAlignment="0" applyProtection="0"/>
    <xf numFmtId="169" fontId="45" fillId="63" borderId="134" applyNumberFormat="0" applyFont="0" applyAlignment="0" applyProtection="0"/>
    <xf numFmtId="169" fontId="62" fillId="60" borderId="135" applyNumberFormat="0" applyAlignment="0" applyProtection="0"/>
    <xf numFmtId="169" fontId="62" fillId="60" borderId="135" applyNumberFormat="0" applyAlignment="0" applyProtection="0"/>
    <xf numFmtId="169" fontId="63" fillId="0" borderId="0" applyNumberFormat="0" applyFill="0" applyBorder="0" applyAlignment="0" applyProtection="0"/>
    <xf numFmtId="169" fontId="63" fillId="0" borderId="0" applyNumberFormat="0" applyFill="0" applyBorder="0" applyAlignment="0" applyProtection="0"/>
    <xf numFmtId="169" fontId="64" fillId="0" borderId="136" applyNumberFormat="0" applyFill="0" applyAlignment="0" applyProtection="0"/>
    <xf numFmtId="169" fontId="64" fillId="0" borderId="136" applyNumberFormat="0" applyFill="0" applyAlignment="0" applyProtection="0"/>
    <xf numFmtId="169" fontId="65" fillId="0" borderId="0" applyNumberFormat="0" applyFill="0" applyBorder="0" applyAlignment="0" applyProtection="0"/>
    <xf numFmtId="169" fontId="65" fillId="0" borderId="0" applyNumberFormat="0" applyFill="0" applyBorder="0" applyAlignment="0" applyProtection="0"/>
    <xf numFmtId="169" fontId="7" fillId="0" borderId="0"/>
    <xf numFmtId="169" fontId="1" fillId="0" borderId="0"/>
    <xf numFmtId="43" fontId="1" fillId="0" borderId="0" applyFont="0" applyFill="0" applyBorder="0" applyAlignment="0" applyProtection="0"/>
    <xf numFmtId="169" fontId="38" fillId="0" borderId="0" applyNumberFormat="0" applyFill="0" applyBorder="0" applyAlignment="0" applyProtection="0"/>
    <xf numFmtId="169" fontId="50" fillId="0" borderId="0"/>
    <xf numFmtId="169" fontId="50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9" fontId="1" fillId="0" borderId="0" applyFont="0" applyFill="0" applyBorder="0" applyAlignment="0" applyProtection="0"/>
    <xf numFmtId="169" fontId="45" fillId="0" borderId="0"/>
    <xf numFmtId="44" fontId="45" fillId="0" borderId="0" applyFont="0" applyFill="0" applyBorder="0" applyAlignment="0" applyProtection="0"/>
    <xf numFmtId="169" fontId="50" fillId="0" borderId="0"/>
    <xf numFmtId="169" fontId="50" fillId="0" borderId="0"/>
    <xf numFmtId="169" fontId="50" fillId="0" borderId="0"/>
    <xf numFmtId="169" fontId="50" fillId="0" borderId="0"/>
    <xf numFmtId="169" fontId="50" fillId="0" borderId="0"/>
    <xf numFmtId="169" fontId="50" fillId="63" borderId="134" applyNumberFormat="0" applyFont="0" applyAlignment="0" applyProtection="0"/>
    <xf numFmtId="169" fontId="7" fillId="0" borderId="0"/>
    <xf numFmtId="169" fontId="45" fillId="0" borderId="0"/>
    <xf numFmtId="169" fontId="7" fillId="0" borderId="0"/>
    <xf numFmtId="0" fontId="7" fillId="0" borderId="0"/>
    <xf numFmtId="0" fontId="7" fillId="0" borderId="0"/>
    <xf numFmtId="0" fontId="7" fillId="0" borderId="0"/>
    <xf numFmtId="169" fontId="7" fillId="0" borderId="0"/>
    <xf numFmtId="169" fontId="7" fillId="0" borderId="0"/>
    <xf numFmtId="0" fontId="7" fillId="0" borderId="0"/>
    <xf numFmtId="0" fontId="1" fillId="0" borderId="0"/>
    <xf numFmtId="0" fontId="1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9" fontId="50" fillId="63" borderId="134" applyNumberFormat="0" applyFont="0" applyAlignment="0" applyProtection="0"/>
    <xf numFmtId="169" fontId="45" fillId="63" borderId="134" applyNumberFormat="0" applyFont="0" applyAlignment="0" applyProtection="0"/>
    <xf numFmtId="0" fontId="53" fillId="60" borderId="128" applyNumberFormat="0" applyAlignment="0" applyProtection="0"/>
    <xf numFmtId="0" fontId="59" fillId="47" borderId="128" applyNumberFormat="0" applyAlignment="0" applyProtection="0"/>
    <xf numFmtId="169" fontId="59" fillId="47" borderId="128" applyNumberFormat="0" applyAlignment="0" applyProtection="0"/>
    <xf numFmtId="0" fontId="62" fillId="60" borderId="135" applyNumberFormat="0" applyAlignment="0" applyProtection="0"/>
    <xf numFmtId="169" fontId="64" fillId="0" borderId="136" applyNumberFormat="0" applyFill="0" applyAlignment="0" applyProtection="0"/>
    <xf numFmtId="169" fontId="62" fillId="60" borderId="135" applyNumberFormat="0" applyAlignment="0" applyProtection="0"/>
    <xf numFmtId="169" fontId="64" fillId="0" borderId="136" applyNumberFormat="0" applyFill="0" applyAlignment="0" applyProtection="0"/>
    <xf numFmtId="169" fontId="45" fillId="63" borderId="134" applyNumberFormat="0" applyFont="0" applyAlignment="0" applyProtection="0"/>
    <xf numFmtId="0" fontId="64" fillId="0" borderId="136" applyNumberFormat="0" applyFill="0" applyAlignment="0" applyProtection="0"/>
    <xf numFmtId="0" fontId="62" fillId="60" borderId="135" applyNumberFormat="0" applyAlignment="0" applyProtection="0"/>
    <xf numFmtId="0" fontId="45" fillId="63" borderId="134" applyNumberFormat="0" applyFont="0" applyAlignment="0" applyProtection="0"/>
    <xf numFmtId="0" fontId="59" fillId="47" borderId="128" applyNumberFormat="0" applyAlignment="0" applyProtection="0"/>
    <xf numFmtId="0" fontId="45" fillId="63" borderId="134" applyNumberFormat="0" applyFont="0" applyAlignment="0" applyProtection="0"/>
    <xf numFmtId="0" fontId="59" fillId="47" borderId="128" applyNumberFormat="0" applyAlignment="0" applyProtection="0"/>
    <xf numFmtId="0" fontId="45" fillId="63" borderId="134" applyNumberFormat="0" applyFont="0" applyAlignment="0" applyProtection="0"/>
    <xf numFmtId="169" fontId="62" fillId="60" borderId="135" applyNumberFormat="0" applyAlignment="0" applyProtection="0"/>
    <xf numFmtId="169" fontId="64" fillId="0" borderId="136" applyNumberFormat="0" applyFill="0" applyAlignment="0" applyProtection="0"/>
    <xf numFmtId="169" fontId="50" fillId="63" borderId="134" applyNumberFormat="0" applyFont="0" applyAlignment="0" applyProtection="0"/>
    <xf numFmtId="0" fontId="59" fillId="47" borderId="128" applyNumberFormat="0" applyAlignment="0" applyProtection="0"/>
    <xf numFmtId="0" fontId="45" fillId="63" borderId="134" applyNumberFormat="0" applyFont="0" applyAlignment="0" applyProtection="0"/>
    <xf numFmtId="0" fontId="62" fillId="60" borderId="135" applyNumberFormat="0" applyAlignment="0" applyProtection="0"/>
    <xf numFmtId="0" fontId="64" fillId="0" borderId="136" applyNumberFormat="0" applyFill="0" applyAlignment="0" applyProtection="0"/>
    <xf numFmtId="169" fontId="50" fillId="63" borderId="134" applyNumberFormat="0" applyFont="0" applyAlignment="0" applyProtection="0"/>
    <xf numFmtId="169" fontId="50" fillId="63" borderId="134" applyNumberFormat="0" applyFont="0" applyAlignment="0" applyProtection="0"/>
    <xf numFmtId="0" fontId="64" fillId="0" borderId="136" applyNumberFormat="0" applyFill="0" applyAlignment="0" applyProtection="0"/>
    <xf numFmtId="0" fontId="64" fillId="0" borderId="136" applyNumberFormat="0" applyFill="0" applyAlignment="0" applyProtection="0"/>
    <xf numFmtId="169" fontId="45" fillId="63" borderId="134" applyNumberFormat="0" applyFont="0" applyAlignment="0" applyProtection="0"/>
    <xf numFmtId="169" fontId="53" fillId="60" borderId="128" applyNumberFormat="0" applyAlignment="0" applyProtection="0"/>
    <xf numFmtId="169" fontId="64" fillId="0" borderId="136" applyNumberFormat="0" applyFill="0" applyAlignment="0" applyProtection="0"/>
    <xf numFmtId="169" fontId="59" fillId="47" borderId="128" applyNumberFormat="0" applyAlignment="0" applyProtection="0"/>
    <xf numFmtId="169" fontId="62" fillId="60" borderId="135" applyNumberFormat="0" applyAlignment="0" applyProtection="0"/>
    <xf numFmtId="169" fontId="64" fillId="0" borderId="136" applyNumberFormat="0" applyFill="0" applyAlignment="0" applyProtection="0"/>
    <xf numFmtId="0" fontId="62" fillId="60" borderId="135" applyNumberFormat="0" applyAlignment="0" applyProtection="0"/>
    <xf numFmtId="169" fontId="50" fillId="63" borderId="134" applyNumberFormat="0" applyFont="0" applyAlignment="0" applyProtection="0"/>
    <xf numFmtId="169" fontId="53" fillId="60" borderId="128" applyNumberFormat="0" applyAlignment="0" applyProtection="0"/>
    <xf numFmtId="169" fontId="53" fillId="60" borderId="128" applyNumberFormat="0" applyAlignment="0" applyProtection="0"/>
    <xf numFmtId="169" fontId="59" fillId="47" borderId="128" applyNumberFormat="0" applyAlignment="0" applyProtection="0"/>
    <xf numFmtId="169" fontId="59" fillId="47" borderId="128" applyNumberFormat="0" applyAlignment="0" applyProtection="0"/>
    <xf numFmtId="169" fontId="59" fillId="47" borderId="128" applyNumberFormat="0" applyAlignment="0" applyProtection="0"/>
    <xf numFmtId="169" fontId="59" fillId="47" borderId="128" applyNumberFormat="0" applyAlignment="0" applyProtection="0"/>
    <xf numFmtId="169" fontId="53" fillId="60" borderId="128" applyNumberFormat="0" applyAlignment="0" applyProtection="0"/>
    <xf numFmtId="169" fontId="53" fillId="60" borderId="128" applyNumberFormat="0" applyAlignment="0" applyProtection="0"/>
    <xf numFmtId="169" fontId="62" fillId="60" borderId="135" applyNumberFormat="0" applyAlignment="0" applyProtection="0"/>
    <xf numFmtId="169" fontId="53" fillId="60" borderId="128" applyNumberFormat="0" applyAlignment="0" applyProtection="0"/>
    <xf numFmtId="169" fontId="62" fillId="60" borderId="135" applyNumberFormat="0" applyAlignment="0" applyProtection="0"/>
    <xf numFmtId="169" fontId="53" fillId="60" borderId="128" applyNumberFormat="0" applyAlignment="0" applyProtection="0"/>
    <xf numFmtId="169" fontId="53" fillId="60" borderId="128" applyNumberFormat="0" applyAlignment="0" applyProtection="0"/>
    <xf numFmtId="169" fontId="50" fillId="63" borderId="134" applyNumberFormat="0" applyFont="0" applyAlignment="0" applyProtection="0"/>
    <xf numFmtId="169" fontId="62" fillId="60" borderId="135" applyNumberFormat="0" applyAlignment="0" applyProtection="0"/>
    <xf numFmtId="169" fontId="64" fillId="0" borderId="136" applyNumberFormat="0" applyFill="0" applyAlignment="0" applyProtection="0"/>
    <xf numFmtId="169" fontId="50" fillId="63" borderId="134" applyNumberFormat="0" applyFont="0" applyAlignment="0" applyProtection="0"/>
    <xf numFmtId="169" fontId="45" fillId="63" borderId="134" applyNumberFormat="0" applyFont="0" applyAlignment="0" applyProtection="0"/>
    <xf numFmtId="169" fontId="62" fillId="60" borderId="135" applyNumberFormat="0" applyAlignment="0" applyProtection="0"/>
    <xf numFmtId="169" fontId="62" fillId="60" borderId="135" applyNumberFormat="0" applyAlignment="0" applyProtection="0"/>
    <xf numFmtId="169" fontId="64" fillId="0" borderId="136" applyNumberFormat="0" applyFill="0" applyAlignment="0" applyProtection="0"/>
    <xf numFmtId="169" fontId="64" fillId="0" borderId="136" applyNumberFormat="0" applyFill="0" applyAlignment="0" applyProtection="0"/>
    <xf numFmtId="169" fontId="50" fillId="63" borderId="134" applyNumberFormat="0" applyFont="0" applyAlignment="0" applyProtection="0"/>
    <xf numFmtId="169" fontId="59" fillId="47" borderId="128" applyNumberFormat="0" applyAlignment="0" applyProtection="0"/>
    <xf numFmtId="0" fontId="53" fillId="60" borderId="128" applyNumberFormat="0" applyAlignment="0" applyProtection="0"/>
    <xf numFmtId="169" fontId="59" fillId="47" borderId="128" applyNumberFormat="0" applyAlignment="0" applyProtection="0"/>
    <xf numFmtId="0" fontId="53" fillId="60" borderId="128" applyNumberFormat="0" applyAlignment="0" applyProtection="0"/>
    <xf numFmtId="0" fontId="53" fillId="60" borderId="128" applyNumberFormat="0" applyAlignment="0" applyProtection="0"/>
  </cellStyleXfs>
  <cellXfs count="557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" fontId="6" fillId="3" borderId="5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" fontId="6" fillId="4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8" fillId="0" borderId="0" xfId="0" applyFont="1" applyAlignment="1"/>
    <xf numFmtId="0" fontId="5" fillId="5" borderId="2" xfId="0" applyFont="1" applyFill="1" applyBorder="1" applyAlignment="1">
      <alignment horizontal="center" vertical="center"/>
    </xf>
    <xf numFmtId="3" fontId="6" fillId="4" borderId="2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164" fontId="6" fillId="4" borderId="5" xfId="0" applyNumberFormat="1" applyFont="1" applyFill="1" applyBorder="1" applyAlignment="1">
      <alignment horizontal="center" vertical="center"/>
    </xf>
    <xf numFmtId="3" fontId="6" fillId="4" borderId="8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3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9" fillId="0" borderId="0" xfId="0" applyFont="1" applyBorder="1" applyAlignment="1"/>
    <xf numFmtId="1" fontId="6" fillId="4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quotePrefix="1"/>
    <xf numFmtId="2" fontId="6" fillId="4" borderId="5" xfId="0" applyNumberFormat="1" applyFont="1" applyFill="1" applyBorder="1" applyAlignment="1">
      <alignment horizontal="center" vertical="center" wrapText="1"/>
    </xf>
    <xf numFmtId="0" fontId="13" fillId="0" borderId="0" xfId="33"/>
    <xf numFmtId="0" fontId="14" fillId="0" borderId="0" xfId="34" applyAlignment="1">
      <alignment horizontal="left"/>
    </xf>
    <xf numFmtId="0" fontId="15" fillId="0" borderId="0" xfId="34" applyFont="1" applyAlignment="1">
      <alignment horizontal="left"/>
    </xf>
    <xf numFmtId="0" fontId="0" fillId="0" borderId="15" xfId="0" applyBorder="1"/>
    <xf numFmtId="0" fontId="9" fillId="0" borderId="15" xfId="0" applyFont="1" applyBorder="1"/>
    <xf numFmtId="2" fontId="13" fillId="0" borderId="15" xfId="33" applyNumberFormat="1" applyBorder="1" applyAlignment="1">
      <alignment horizontal="center"/>
    </xf>
    <xf numFmtId="0" fontId="6" fillId="3" borderId="6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4" borderId="6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7" borderId="16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horizontal="center" vertical="center" wrapText="1"/>
    </xf>
    <xf numFmtId="2" fontId="6" fillId="3" borderId="21" xfId="0" applyNumberFormat="1" applyFont="1" applyFill="1" applyBorder="1" applyAlignment="1">
      <alignment horizontal="center" vertical="center" wrapText="1"/>
    </xf>
    <xf numFmtId="2" fontId="6" fillId="4" borderId="23" xfId="0" applyNumberFormat="1" applyFont="1" applyFill="1" applyBorder="1" applyAlignment="1">
      <alignment horizontal="center" vertical="center" wrapText="1"/>
    </xf>
    <xf numFmtId="2" fontId="6" fillId="3" borderId="23" xfId="0" applyNumberFormat="1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vertical="center" wrapText="1"/>
    </xf>
    <xf numFmtId="0" fontId="6" fillId="3" borderId="26" xfId="0" applyFont="1" applyFill="1" applyBorder="1" applyAlignment="1">
      <alignment vertical="center" wrapText="1"/>
    </xf>
    <xf numFmtId="0" fontId="6" fillId="3" borderId="27" xfId="0" applyFont="1" applyFill="1" applyBorder="1" applyAlignment="1">
      <alignment horizontal="center" vertical="center" wrapText="1"/>
    </xf>
    <xf numFmtId="2" fontId="6" fillId="3" borderId="27" xfId="0" applyNumberFormat="1" applyFont="1" applyFill="1" applyBorder="1" applyAlignment="1">
      <alignment horizontal="center" vertical="center" wrapText="1"/>
    </xf>
    <xf numFmtId="2" fontId="6" fillId="3" borderId="28" xfId="0" applyNumberFormat="1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vertical="center" wrapText="1"/>
    </xf>
    <xf numFmtId="0" fontId="6" fillId="6" borderId="19" xfId="0" applyFont="1" applyFill="1" applyBorder="1" applyAlignment="1">
      <alignment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6" fillId="6" borderId="30" xfId="0" applyFont="1" applyFill="1" applyBorder="1" applyAlignment="1">
      <alignment vertical="center" wrapText="1"/>
    </xf>
    <xf numFmtId="0" fontId="6" fillId="6" borderId="31" xfId="0" applyFont="1" applyFill="1" applyBorder="1" applyAlignment="1">
      <alignment vertical="center" wrapText="1"/>
    </xf>
    <xf numFmtId="0" fontId="6" fillId="6" borderId="3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left" vertical="center" wrapText="1"/>
    </xf>
    <xf numFmtId="0" fontId="5" fillId="2" borderId="33" xfId="0" applyFont="1" applyFill="1" applyBorder="1" applyAlignment="1">
      <alignment horizontal="left" vertical="center" wrapText="1"/>
    </xf>
    <xf numFmtId="164" fontId="6" fillId="3" borderId="36" xfId="0" applyNumberFormat="1" applyFont="1" applyFill="1" applyBorder="1" applyAlignment="1">
      <alignment horizontal="center" vertical="center"/>
    </xf>
    <xf numFmtId="164" fontId="6" fillId="3" borderId="37" xfId="0" applyNumberFormat="1" applyFont="1" applyFill="1" applyBorder="1" applyAlignment="1">
      <alignment horizontal="center" vertical="center"/>
    </xf>
    <xf numFmtId="164" fontId="6" fillId="4" borderId="34" xfId="0" applyNumberFormat="1" applyFont="1" applyFill="1" applyBorder="1" applyAlignment="1">
      <alignment horizontal="center" vertical="center"/>
    </xf>
    <xf numFmtId="164" fontId="6" fillId="4" borderId="3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1" fontId="6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/>
    </xf>
    <xf numFmtId="0" fontId="0" fillId="0" borderId="0" xfId="0" applyBorder="1"/>
    <xf numFmtId="166" fontId="16" fillId="3" borderId="8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2" fontId="6" fillId="0" borderId="2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8" fillId="0" borderId="0" xfId="0" applyFont="1" applyFill="1" applyBorder="1"/>
    <xf numFmtId="0" fontId="6" fillId="0" borderId="1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horizontal="center" vertical="center" wrapText="1"/>
    </xf>
    <xf numFmtId="2" fontId="6" fillId="0" borderId="21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horizontal="center" vertical="center" wrapText="1"/>
    </xf>
    <xf numFmtId="2" fontId="17" fillId="0" borderId="23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6" fillId="0" borderId="25" xfId="0" applyFont="1" applyFill="1" applyBorder="1" applyAlignment="1">
      <alignment vertical="center" wrapText="1"/>
    </xf>
    <xf numFmtId="0" fontId="6" fillId="0" borderId="26" xfId="0" applyFont="1" applyFill="1" applyBorder="1" applyAlignment="1">
      <alignment vertical="center" wrapText="1"/>
    </xf>
    <xf numFmtId="0" fontId="6" fillId="0" borderId="27" xfId="0" applyFont="1" applyFill="1" applyBorder="1" applyAlignment="1">
      <alignment horizontal="center" vertical="center" wrapText="1"/>
    </xf>
    <xf numFmtId="2" fontId="6" fillId="0" borderId="27" xfId="0" applyNumberFormat="1" applyFont="1" applyFill="1" applyBorder="1" applyAlignment="1">
      <alignment horizontal="center" vertical="center" wrapText="1"/>
    </xf>
    <xf numFmtId="2" fontId="6" fillId="0" borderId="28" xfId="0" applyNumberFormat="1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0" fillId="0" borderId="0" xfId="0" applyBorder="1" applyAlignment="1"/>
    <xf numFmtId="164" fontId="6" fillId="4" borderId="8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6" fillId="3" borderId="2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2" fontId="20" fillId="4" borderId="1" xfId="0" applyNumberFormat="1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2" fontId="19" fillId="4" borderId="2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0" xfId="0" applyAlignment="1"/>
    <xf numFmtId="2" fontId="19" fillId="4" borderId="2" xfId="0" applyNumberFormat="1" applyFont="1" applyFill="1" applyBorder="1" applyAlignment="1">
      <alignment horizontal="center" vertical="center" wrapText="1"/>
    </xf>
    <xf numFmtId="0" fontId="16" fillId="4" borderId="5" xfId="0" quotePrefix="1" applyFont="1" applyFill="1" applyBorder="1" applyAlignment="1">
      <alignment horizontal="center" vertical="center" wrapText="1"/>
    </xf>
    <xf numFmtId="0" fontId="16" fillId="4" borderId="2" xfId="0" quotePrefix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5" borderId="2" xfId="0" applyFont="1" applyFill="1" applyBorder="1" applyAlignment="1">
      <alignment horizontal="center" vertical="center"/>
    </xf>
    <xf numFmtId="0" fontId="21" fillId="8" borderId="39" xfId="0" applyFont="1" applyFill="1" applyBorder="1" applyAlignment="1">
      <alignment horizontal="center" vertical="center" wrapText="1"/>
    </xf>
    <xf numFmtId="164" fontId="7" fillId="0" borderId="39" xfId="0" applyNumberFormat="1" applyFont="1" applyBorder="1" applyAlignment="1">
      <alignment horizontal="center" vertical="center" wrapText="1"/>
    </xf>
    <xf numFmtId="0" fontId="7" fillId="8" borderId="40" xfId="0" applyFont="1" applyFill="1" applyBorder="1" applyAlignment="1">
      <alignment horizontal="center" vertical="center" wrapText="1"/>
    </xf>
    <xf numFmtId="164" fontId="7" fillId="0" borderId="41" xfId="0" applyNumberFormat="1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0" fontId="0" fillId="0" borderId="39" xfId="0" applyBorder="1"/>
    <xf numFmtId="0" fontId="7" fillId="0" borderId="39" xfId="0" applyFont="1" applyBorder="1" applyAlignment="1">
      <alignment horizontal="center" vertical="center" wrapText="1"/>
    </xf>
    <xf numFmtId="164" fontId="7" fillId="0" borderId="49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164" fontId="7" fillId="0" borderId="50" xfId="0" applyNumberFormat="1" applyFont="1" applyBorder="1" applyAlignment="1">
      <alignment horizontal="center" vertical="center" wrapText="1"/>
    </xf>
    <xf numFmtId="165" fontId="6" fillId="3" borderId="52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9" fontId="0" fillId="0" borderId="0" xfId="555" applyFont="1" applyFill="1" applyBorder="1"/>
    <xf numFmtId="9" fontId="0" fillId="0" borderId="0" xfId="555" applyFont="1"/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" fontId="6" fillId="0" borderId="18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165" fontId="6" fillId="4" borderId="34" xfId="0" applyNumberFormat="1" applyFont="1" applyFill="1" applyBorder="1" applyAlignment="1">
      <alignment horizontal="center" vertical="center"/>
    </xf>
    <xf numFmtId="165" fontId="6" fillId="3" borderId="36" xfId="0" applyNumberFormat="1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51" xfId="0" applyFont="1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/>
    </xf>
    <xf numFmtId="0" fontId="5" fillId="5" borderId="16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 wrapText="1"/>
    </xf>
    <xf numFmtId="0" fontId="0" fillId="0" borderId="39" xfId="0" applyFill="1" applyBorder="1"/>
    <xf numFmtId="164" fontId="7" fillId="0" borderId="54" xfId="0" applyNumberFormat="1" applyFont="1" applyBorder="1" applyAlignment="1">
      <alignment horizontal="center" vertical="center" wrapText="1"/>
    </xf>
    <xf numFmtId="0" fontId="0" fillId="0" borderId="55" xfId="0" applyBorder="1"/>
    <xf numFmtId="9" fontId="7" fillId="0" borderId="41" xfId="555" applyFont="1" applyBorder="1" applyAlignment="1">
      <alignment horizontal="center" vertical="center" wrapText="1"/>
    </xf>
    <xf numFmtId="9" fontId="0" fillId="0" borderId="39" xfId="555" applyFont="1" applyBorder="1"/>
    <xf numFmtId="167" fontId="7" fillId="0" borderId="39" xfId="0" applyNumberFormat="1" applyFont="1" applyBorder="1" applyAlignment="1">
      <alignment horizontal="center" vertical="center" wrapText="1"/>
    </xf>
    <xf numFmtId="167" fontId="0" fillId="0" borderId="39" xfId="0" applyNumberFormat="1" applyBorder="1"/>
    <xf numFmtId="9" fontId="7" fillId="0" borderId="0" xfId="555" applyFont="1" applyBorder="1" applyAlignment="1">
      <alignment horizontal="center" vertical="center" wrapText="1"/>
    </xf>
    <xf numFmtId="9" fontId="0" fillId="0" borderId="0" xfId="555" applyFont="1" applyBorder="1"/>
    <xf numFmtId="167" fontId="7" fillId="0" borderId="54" xfId="0" applyNumberFormat="1" applyFont="1" applyBorder="1" applyAlignment="1">
      <alignment horizontal="center" vertical="center" wrapText="1"/>
    </xf>
    <xf numFmtId="167" fontId="0" fillId="0" borderId="55" xfId="0" applyNumberFormat="1" applyBorder="1"/>
    <xf numFmtId="0" fontId="7" fillId="0" borderId="49" xfId="0" applyFont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0" fillId="0" borderId="59" xfId="0" applyBorder="1"/>
    <xf numFmtId="9" fontId="7" fillId="0" borderId="49" xfId="555" applyFont="1" applyBorder="1" applyAlignment="1">
      <alignment horizontal="center" vertical="center" wrapText="1"/>
    </xf>
    <xf numFmtId="167" fontId="7" fillId="0" borderId="49" xfId="0" applyNumberFormat="1" applyFont="1" applyBorder="1" applyAlignment="1">
      <alignment horizontal="center" vertical="center" wrapText="1"/>
    </xf>
    <xf numFmtId="9" fontId="7" fillId="0" borderId="59" xfId="555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9" fontId="7" fillId="0" borderId="15" xfId="555" applyFont="1" applyBorder="1" applyAlignment="1">
      <alignment horizontal="center" vertical="center" wrapText="1"/>
    </xf>
    <xf numFmtId="167" fontId="7" fillId="0" borderId="15" xfId="0" applyNumberFormat="1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center" vertical="center" wrapText="1"/>
    </xf>
    <xf numFmtId="9" fontId="7" fillId="0" borderId="50" xfId="555" applyFont="1" applyBorder="1" applyAlignment="1">
      <alignment horizontal="center" vertical="center" wrapText="1"/>
    </xf>
    <xf numFmtId="167" fontId="7" fillId="0" borderId="50" xfId="0" applyNumberFormat="1" applyFont="1" applyBorder="1" applyAlignment="1">
      <alignment horizontal="center" vertical="center" wrapText="1"/>
    </xf>
    <xf numFmtId="167" fontId="7" fillId="0" borderId="48" xfId="0" applyNumberFormat="1" applyFont="1" applyBorder="1" applyAlignment="1">
      <alignment horizontal="center" vertical="center" wrapText="1"/>
    </xf>
    <xf numFmtId="0" fontId="0" fillId="0" borderId="60" xfId="0" applyBorder="1"/>
    <xf numFmtId="9" fontId="7" fillId="0" borderId="60" xfId="555" applyFont="1" applyBorder="1" applyAlignment="1">
      <alignment horizontal="center" vertical="center" wrapText="1"/>
    </xf>
    <xf numFmtId="0" fontId="0" fillId="0" borderId="61" xfId="0" applyBorder="1"/>
    <xf numFmtId="9" fontId="7" fillId="0" borderId="61" xfId="555" applyFont="1" applyBorder="1" applyAlignment="1">
      <alignment horizontal="center" vertical="center" wrapText="1"/>
    </xf>
    <xf numFmtId="164" fontId="7" fillId="0" borderId="49" xfId="0" applyNumberFormat="1" applyFont="1" applyFill="1" applyBorder="1" applyAlignment="1">
      <alignment horizontal="center" vertical="center" wrapText="1"/>
    </xf>
    <xf numFmtId="164" fontId="7" fillId="0" borderId="15" xfId="0" applyNumberFormat="1" applyFont="1" applyFill="1" applyBorder="1" applyAlignment="1">
      <alignment horizontal="center" vertical="center" wrapText="1"/>
    </xf>
    <xf numFmtId="164" fontId="7" fillId="0" borderId="50" xfId="0" applyNumberFormat="1" applyFont="1" applyFill="1" applyBorder="1" applyAlignment="1">
      <alignment horizontal="center" vertical="center" wrapText="1"/>
    </xf>
    <xf numFmtId="165" fontId="7" fillId="0" borderId="49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165" fontId="7" fillId="0" borderId="50" xfId="0" applyNumberFormat="1" applyFont="1" applyBorder="1" applyAlignment="1">
      <alignment horizontal="center" vertical="center" wrapText="1"/>
    </xf>
    <xf numFmtId="165" fontId="7" fillId="0" borderId="39" xfId="0" applyNumberFormat="1" applyFont="1" applyBorder="1" applyAlignment="1">
      <alignment horizontal="center" vertical="center" wrapText="1"/>
    </xf>
    <xf numFmtId="165" fontId="0" fillId="0" borderId="39" xfId="0" applyNumberFormat="1" applyBorder="1"/>
    <xf numFmtId="3" fontId="6" fillId="4" borderId="0" xfId="0" applyNumberFormat="1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5" fillId="2" borderId="67" xfId="0" applyFont="1" applyFill="1" applyBorder="1" applyAlignment="1">
      <alignment horizontal="center" vertical="center"/>
    </xf>
    <xf numFmtId="164" fontId="6" fillId="3" borderId="68" xfId="0" applyNumberFormat="1" applyFont="1" applyFill="1" applyBorder="1" applyAlignment="1">
      <alignment horizontal="center" vertical="center"/>
    </xf>
    <xf numFmtId="164" fontId="6" fillId="4" borderId="55" xfId="0" applyNumberFormat="1" applyFont="1" applyFill="1" applyBorder="1" applyAlignment="1">
      <alignment horizontal="center" vertical="center"/>
    </xf>
    <xf numFmtId="164" fontId="6" fillId="9" borderId="36" xfId="0" applyNumberFormat="1" applyFont="1" applyFill="1" applyBorder="1" applyAlignment="1">
      <alignment horizontal="center" vertical="center"/>
    </xf>
    <xf numFmtId="164" fontId="6" fillId="3" borderId="52" xfId="0" applyNumberFormat="1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0" fillId="10" borderId="0" xfId="0" applyFill="1"/>
    <xf numFmtId="0" fontId="0" fillId="10" borderId="0" xfId="0" quotePrefix="1" applyFill="1"/>
    <xf numFmtId="0" fontId="0" fillId="10" borderId="0" xfId="0" applyFill="1" applyBorder="1"/>
    <xf numFmtId="0" fontId="0" fillId="10" borderId="0" xfId="0" applyFill="1" applyBorder="1" applyAlignment="1">
      <alignment horizontal="center"/>
    </xf>
    <xf numFmtId="9" fontId="0" fillId="10" borderId="0" xfId="0" applyNumberFormat="1" applyFill="1" applyBorder="1" applyAlignment="1">
      <alignment horizontal="center"/>
    </xf>
    <xf numFmtId="164" fontId="6" fillId="0" borderId="36" xfId="0" applyNumberFormat="1" applyFont="1" applyFill="1" applyBorder="1" applyAlignment="1">
      <alignment horizontal="center" vertical="center"/>
    </xf>
    <xf numFmtId="0" fontId="5" fillId="2" borderId="72" xfId="0" applyFont="1" applyFill="1" applyBorder="1" applyAlignment="1">
      <alignment horizontal="center" vertical="center" wrapText="1"/>
    </xf>
    <xf numFmtId="2" fontId="6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9" fontId="0" fillId="0" borderId="0" xfId="0" applyNumberFormat="1"/>
    <xf numFmtId="0" fontId="5" fillId="5" borderId="14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9" fontId="16" fillId="3" borderId="21" xfId="555" applyFont="1" applyFill="1" applyBorder="1" applyAlignment="1">
      <alignment horizontal="center" vertical="center" wrapText="1"/>
    </xf>
    <xf numFmtId="9" fontId="16" fillId="3" borderId="73" xfId="555" applyFont="1" applyFill="1" applyBorder="1" applyAlignment="1">
      <alignment horizontal="center" vertical="center" wrapText="1"/>
    </xf>
    <xf numFmtId="0" fontId="16" fillId="3" borderId="32" xfId="0" applyFont="1" applyFill="1" applyBorder="1" applyAlignment="1">
      <alignment horizontal="center" vertical="center" wrapText="1"/>
    </xf>
    <xf numFmtId="9" fontId="16" fillId="3" borderId="74" xfId="555" applyFont="1" applyFill="1" applyBorder="1" applyAlignment="1">
      <alignment horizontal="center" vertical="center" wrapText="1"/>
    </xf>
    <xf numFmtId="164" fontId="16" fillId="3" borderId="8" xfId="0" applyNumberFormat="1" applyFont="1" applyFill="1" applyBorder="1" applyAlignment="1">
      <alignment horizontal="center" vertical="center" wrapText="1"/>
    </xf>
    <xf numFmtId="0" fontId="16" fillId="3" borderId="75" xfId="0" applyFont="1" applyFill="1" applyBorder="1" applyAlignment="1">
      <alignment horizontal="center" vertical="center" wrapText="1"/>
    </xf>
    <xf numFmtId="164" fontId="16" fillId="3" borderId="20" xfId="0" applyNumberFormat="1" applyFont="1" applyFill="1" applyBorder="1" applyAlignment="1">
      <alignment horizontal="center" vertical="center" wrapText="1"/>
    </xf>
    <xf numFmtId="0" fontId="16" fillId="3" borderId="76" xfId="0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 wrapText="1"/>
    </xf>
    <xf numFmtId="164" fontId="16" fillId="3" borderId="32" xfId="0" applyNumberFormat="1" applyFont="1" applyFill="1" applyBorder="1" applyAlignment="1">
      <alignment horizontal="center" vertical="center" wrapText="1"/>
    </xf>
    <xf numFmtId="0" fontId="16" fillId="3" borderId="75" xfId="0" applyFont="1" applyFill="1" applyBorder="1" applyAlignment="1">
      <alignment horizontal="left" vertical="center" wrapText="1"/>
    </xf>
    <xf numFmtId="2" fontId="16" fillId="3" borderId="21" xfId="0" applyNumberFormat="1" applyFont="1" applyFill="1" applyBorder="1" applyAlignment="1">
      <alignment horizontal="center" vertical="center" wrapText="1"/>
    </xf>
    <xf numFmtId="0" fontId="16" fillId="3" borderId="76" xfId="0" applyFont="1" applyFill="1" applyBorder="1" applyAlignment="1">
      <alignment horizontal="left" vertical="center" wrapText="1"/>
    </xf>
    <xf numFmtId="2" fontId="16" fillId="3" borderId="73" xfId="0" applyNumberFormat="1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left" vertical="center" wrapText="1"/>
    </xf>
    <xf numFmtId="2" fontId="16" fillId="3" borderId="74" xfId="0" applyNumberFormat="1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164" fontId="16" fillId="3" borderId="16" xfId="0" applyNumberFormat="1" applyFont="1" applyFill="1" applyBorder="1" applyAlignment="1">
      <alignment horizontal="center" vertical="center" wrapText="1"/>
    </xf>
    <xf numFmtId="0" fontId="16" fillId="3" borderId="77" xfId="0" applyFont="1" applyFill="1" applyBorder="1" applyAlignment="1">
      <alignment horizontal="left" vertical="center" wrapText="1"/>
    </xf>
    <xf numFmtId="164" fontId="16" fillId="3" borderId="78" xfId="0" applyNumberFormat="1" applyFont="1" applyFill="1" applyBorder="1" applyAlignment="1">
      <alignment horizontal="center" vertical="center" wrapText="1"/>
    </xf>
    <xf numFmtId="9" fontId="16" fillId="3" borderId="78" xfId="555" applyFont="1" applyFill="1" applyBorder="1" applyAlignment="1">
      <alignment horizontal="center" vertical="center" wrapText="1"/>
    </xf>
    <xf numFmtId="2" fontId="16" fillId="3" borderId="78" xfId="0" applyNumberFormat="1" applyFont="1" applyFill="1" applyBorder="1" applyAlignment="1">
      <alignment horizontal="center" vertical="center" wrapText="1"/>
    </xf>
    <xf numFmtId="0" fontId="16" fillId="3" borderId="79" xfId="0" applyFont="1" applyFill="1" applyBorder="1" applyAlignment="1">
      <alignment horizontal="left" vertical="center" wrapText="1"/>
    </xf>
    <xf numFmtId="164" fontId="16" fillId="3" borderId="80" xfId="0" applyNumberFormat="1" applyFont="1" applyFill="1" applyBorder="1" applyAlignment="1">
      <alignment horizontal="center" vertical="center" wrapText="1"/>
    </xf>
    <xf numFmtId="9" fontId="16" fillId="3" borderId="80" xfId="555" applyFont="1" applyFill="1" applyBorder="1" applyAlignment="1">
      <alignment horizontal="center" vertical="center" wrapText="1"/>
    </xf>
    <xf numFmtId="2" fontId="16" fillId="3" borderId="80" xfId="0" applyNumberFormat="1" applyFont="1" applyFill="1" applyBorder="1" applyAlignment="1">
      <alignment horizontal="center" vertical="center" wrapText="1"/>
    </xf>
    <xf numFmtId="0" fontId="16" fillId="3" borderId="81" xfId="0" applyFont="1" applyFill="1" applyBorder="1" applyAlignment="1">
      <alignment horizontal="left" vertical="center" wrapText="1"/>
    </xf>
    <xf numFmtId="164" fontId="16" fillId="3" borderId="82" xfId="0" applyNumberFormat="1" applyFont="1" applyFill="1" applyBorder="1" applyAlignment="1">
      <alignment horizontal="center" vertical="center" wrapText="1"/>
    </xf>
    <xf numFmtId="9" fontId="16" fillId="3" borderId="82" xfId="555" applyFont="1" applyFill="1" applyBorder="1" applyAlignment="1">
      <alignment horizontal="center" vertical="center" wrapText="1"/>
    </xf>
    <xf numFmtId="2" fontId="16" fillId="3" borderId="82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5" fillId="5" borderId="7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5" fillId="5" borderId="16" xfId="0" applyFont="1" applyFill="1" applyBorder="1" applyAlignment="1">
      <alignment vertical="center"/>
    </xf>
    <xf numFmtId="0" fontId="16" fillId="3" borderId="6" xfId="0" applyFont="1" applyFill="1" applyBorder="1" applyAlignment="1">
      <alignment horizontal="center" vertical="center" wrapText="1"/>
    </xf>
    <xf numFmtId="9" fontId="24" fillId="4" borderId="8" xfId="555" applyFont="1" applyFill="1" applyBorder="1" applyAlignment="1">
      <alignment horizontal="center" vertical="center" wrapText="1"/>
    </xf>
    <xf numFmtId="0" fontId="16" fillId="0" borderId="76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7" fontId="16" fillId="0" borderId="0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 wrapText="1"/>
    </xf>
    <xf numFmtId="9" fontId="16" fillId="0" borderId="0" xfId="555" applyFont="1" applyFill="1" applyBorder="1" applyAlignment="1">
      <alignment horizontal="center" vertical="center" wrapText="1"/>
    </xf>
    <xf numFmtId="9" fontId="0" fillId="0" borderId="0" xfId="0" applyNumberFormat="1" applyFill="1" applyBorder="1"/>
    <xf numFmtId="164" fontId="16" fillId="0" borderId="16" xfId="0" applyNumberFormat="1" applyFont="1" applyFill="1" applyBorder="1" applyAlignment="1">
      <alignment horizontal="center" vertical="center" wrapText="1"/>
    </xf>
    <xf numFmtId="0" fontId="6" fillId="0" borderId="8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6" borderId="86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29" xfId="0" applyFont="1" applyFill="1" applyBorder="1" applyAlignment="1">
      <alignment horizontal="center" vertical="center" wrapText="1"/>
    </xf>
    <xf numFmtId="0" fontId="5" fillId="2" borderId="84" xfId="0" applyFont="1" applyFill="1" applyBorder="1" applyAlignment="1">
      <alignment horizontal="center" vertical="center" wrapText="1"/>
    </xf>
    <xf numFmtId="0" fontId="5" fillId="2" borderId="90" xfId="0" applyFont="1" applyFill="1" applyBorder="1" applyAlignment="1">
      <alignment horizontal="center" vertical="center" wrapText="1"/>
    </xf>
    <xf numFmtId="0" fontId="5" fillId="2" borderId="83" xfId="0" applyFont="1" applyFill="1" applyBorder="1" applyAlignment="1">
      <alignment horizontal="center" vertical="center" wrapText="1"/>
    </xf>
    <xf numFmtId="1" fontId="6" fillId="0" borderId="91" xfId="0" applyNumberFormat="1" applyFont="1" applyFill="1" applyBorder="1" applyAlignment="1">
      <alignment horizontal="center" vertical="center" wrapText="1"/>
    </xf>
    <xf numFmtId="2" fontId="6" fillId="0" borderId="92" xfId="0" applyNumberFormat="1" applyFont="1" applyFill="1" applyBorder="1" applyAlignment="1">
      <alignment horizontal="center" vertical="center" wrapText="1"/>
    </xf>
    <xf numFmtId="1" fontId="6" fillId="0" borderId="66" xfId="0" applyNumberFormat="1" applyFont="1" applyFill="1" applyBorder="1" applyAlignment="1">
      <alignment horizontal="center" vertical="center" wrapText="1"/>
    </xf>
    <xf numFmtId="1" fontId="17" fillId="0" borderId="66" xfId="0" applyNumberFormat="1" applyFont="1" applyFill="1" applyBorder="1" applyAlignment="1">
      <alignment horizontal="center" vertical="center" wrapText="1"/>
    </xf>
    <xf numFmtId="1" fontId="6" fillId="0" borderId="67" xfId="0" applyNumberFormat="1" applyFont="1" applyFill="1" applyBorder="1" applyAlignment="1">
      <alignment horizontal="center" vertical="center" wrapText="1"/>
    </xf>
    <xf numFmtId="1" fontId="6" fillId="0" borderId="89" xfId="0" applyNumberFormat="1" applyFont="1" applyFill="1" applyBorder="1" applyAlignment="1">
      <alignment horizontal="center" vertical="center" wrapText="1"/>
    </xf>
    <xf numFmtId="1" fontId="6" fillId="4" borderId="87" xfId="0" applyNumberFormat="1" applyFont="1" applyFill="1" applyBorder="1" applyAlignment="1">
      <alignment horizontal="center" vertical="center" wrapText="1"/>
    </xf>
    <xf numFmtId="1" fontId="6" fillId="3" borderId="87" xfId="0" applyNumberFormat="1" applyFont="1" applyFill="1" applyBorder="1" applyAlignment="1">
      <alignment horizontal="center" vertical="center" wrapText="1"/>
    </xf>
    <xf numFmtId="1" fontId="6" fillId="0" borderId="21" xfId="0" applyNumberFormat="1" applyFont="1" applyFill="1" applyBorder="1" applyAlignment="1">
      <alignment horizontal="center" vertical="center" wrapText="1"/>
    </xf>
    <xf numFmtId="1" fontId="6" fillId="4" borderId="23" xfId="0" applyNumberFormat="1" applyFont="1" applyFill="1" applyBorder="1" applyAlignment="1">
      <alignment horizontal="center" vertical="center" wrapText="1"/>
    </xf>
    <xf numFmtId="0" fontId="5" fillId="2" borderId="94" xfId="0" applyFont="1" applyFill="1" applyBorder="1" applyAlignment="1">
      <alignment horizontal="center" vertical="center" wrapText="1"/>
    </xf>
    <xf numFmtId="0" fontId="5" fillId="2" borderId="95" xfId="0" applyFont="1" applyFill="1" applyBorder="1" applyAlignment="1">
      <alignment horizontal="center" vertical="center" wrapText="1"/>
    </xf>
    <xf numFmtId="164" fontId="6" fillId="0" borderId="75" xfId="0" applyNumberFormat="1" applyFont="1" applyFill="1" applyBorder="1" applyAlignment="1">
      <alignment horizontal="center" vertical="center" wrapText="1"/>
    </xf>
    <xf numFmtId="164" fontId="6" fillId="0" borderId="87" xfId="0" applyNumberFormat="1" applyFont="1" applyFill="1" applyBorder="1" applyAlignment="1">
      <alignment horizontal="center" vertical="center" wrapText="1"/>
    </xf>
    <xf numFmtId="164" fontId="17" fillId="0" borderId="87" xfId="0" applyNumberFormat="1" applyFont="1" applyFill="1" applyBorder="1" applyAlignment="1">
      <alignment horizontal="center" vertical="center" wrapText="1"/>
    </xf>
    <xf numFmtId="164" fontId="6" fillId="0" borderId="96" xfId="0" applyNumberFormat="1" applyFont="1" applyFill="1" applyBorder="1" applyAlignment="1">
      <alignment horizontal="center" vertical="center" wrapText="1"/>
    </xf>
    <xf numFmtId="0" fontId="5" fillId="2" borderId="99" xfId="0" applyFont="1" applyFill="1" applyBorder="1" applyAlignment="1">
      <alignment horizontal="center" vertical="center"/>
    </xf>
    <xf numFmtId="0" fontId="5" fillId="2" borderId="100" xfId="0" applyFont="1" applyFill="1" applyBorder="1" applyAlignment="1">
      <alignment horizontal="center" vertical="center"/>
    </xf>
    <xf numFmtId="164" fontId="6" fillId="4" borderId="75" xfId="0" applyNumberFormat="1" applyFont="1" applyFill="1" applyBorder="1" applyAlignment="1">
      <alignment horizontal="center" vertical="center"/>
    </xf>
    <xf numFmtId="164" fontId="6" fillId="4" borderId="76" xfId="0" applyNumberFormat="1" applyFont="1" applyFill="1" applyBorder="1" applyAlignment="1">
      <alignment horizontal="center" vertical="center"/>
    </xf>
    <xf numFmtId="164" fontId="6" fillId="4" borderId="24" xfId="0" applyNumberFormat="1" applyFont="1" applyFill="1" applyBorder="1" applyAlignment="1">
      <alignment horizontal="center" vertical="center"/>
    </xf>
    <xf numFmtId="164" fontId="6" fillId="4" borderId="87" xfId="0" applyNumberFormat="1" applyFont="1" applyFill="1" applyBorder="1" applyAlignment="1">
      <alignment horizontal="center" vertical="center"/>
    </xf>
    <xf numFmtId="164" fontId="6" fillId="4" borderId="96" xfId="0" applyNumberFormat="1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73" xfId="0" applyFont="1" applyFill="1" applyBorder="1" applyAlignment="1">
      <alignment horizontal="center" vertical="center"/>
    </xf>
    <xf numFmtId="0" fontId="6" fillId="4" borderId="74" xfId="0" applyFont="1" applyFill="1" applyBorder="1" applyAlignment="1">
      <alignment horizontal="center" vertical="center"/>
    </xf>
    <xf numFmtId="49" fontId="0" fillId="0" borderId="0" xfId="0" applyNumberFormat="1"/>
    <xf numFmtId="168" fontId="0" fillId="0" borderId="0" xfId="0" applyNumberFormat="1"/>
    <xf numFmtId="167" fontId="0" fillId="0" borderId="0" xfId="0" applyNumberFormat="1"/>
    <xf numFmtId="0" fontId="6" fillId="4" borderId="108" xfId="0" applyFont="1" applyFill="1" applyBorder="1" applyAlignment="1">
      <alignment horizontal="center" vertical="center"/>
    </xf>
    <xf numFmtId="0" fontId="6" fillId="4" borderId="109" xfId="0" applyFont="1" applyFill="1" applyBorder="1" applyAlignment="1">
      <alignment horizontal="center" vertical="center"/>
    </xf>
    <xf numFmtId="0" fontId="6" fillId="4" borderId="107" xfId="0" applyFont="1" applyFill="1" applyBorder="1" applyAlignment="1">
      <alignment horizontal="center" vertical="center"/>
    </xf>
    <xf numFmtId="0" fontId="6" fillId="4" borderId="38" xfId="0" applyFont="1" applyFill="1" applyBorder="1" applyAlignment="1">
      <alignment horizontal="center" vertical="center"/>
    </xf>
    <xf numFmtId="0" fontId="6" fillId="4" borderId="110" xfId="0" applyFont="1" applyFill="1" applyBorder="1" applyAlignment="1">
      <alignment horizontal="center" vertical="center"/>
    </xf>
    <xf numFmtId="165" fontId="7" fillId="0" borderId="62" xfId="0" applyNumberFormat="1" applyFont="1" applyBorder="1" applyAlignment="1">
      <alignment horizontal="center" vertical="center" wrapText="1"/>
    </xf>
    <xf numFmtId="165" fontId="7" fillId="0" borderId="63" xfId="0" applyNumberFormat="1" applyFont="1" applyBorder="1" applyAlignment="1">
      <alignment horizontal="center" vertical="center" wrapText="1"/>
    </xf>
    <xf numFmtId="165" fontId="7" fillId="0" borderId="64" xfId="0" applyNumberFormat="1" applyFont="1" applyBorder="1" applyAlignment="1">
      <alignment horizontal="center" vertical="center" wrapText="1"/>
    </xf>
    <xf numFmtId="165" fontId="7" fillId="0" borderId="62" xfId="0" applyNumberFormat="1" applyFont="1" applyFill="1" applyBorder="1" applyAlignment="1">
      <alignment horizontal="center" vertical="center" wrapText="1"/>
    </xf>
    <xf numFmtId="165" fontId="7" fillId="0" borderId="63" xfId="0" applyNumberFormat="1" applyFont="1" applyFill="1" applyBorder="1" applyAlignment="1">
      <alignment horizontal="center" vertical="center" wrapText="1"/>
    </xf>
    <xf numFmtId="165" fontId="7" fillId="0" borderId="64" xfId="0" applyNumberFormat="1" applyFont="1" applyFill="1" applyBorder="1" applyAlignment="1">
      <alignment horizontal="center" vertical="center" wrapText="1"/>
    </xf>
    <xf numFmtId="167" fontId="7" fillId="0" borderId="44" xfId="0" applyNumberFormat="1" applyFont="1" applyBorder="1" applyAlignment="1">
      <alignment horizontal="center" vertical="center" wrapText="1"/>
    </xf>
    <xf numFmtId="167" fontId="7" fillId="0" borderId="46" xfId="0" applyNumberFormat="1" applyFont="1" applyBorder="1" applyAlignment="1">
      <alignment horizontal="center" vertical="center" wrapText="1"/>
    </xf>
    <xf numFmtId="167" fontId="7" fillId="0" borderId="44" xfId="0" applyNumberFormat="1" applyFont="1" applyFill="1" applyBorder="1" applyAlignment="1">
      <alignment horizontal="center" vertical="center" wrapText="1"/>
    </xf>
    <xf numFmtId="167" fontId="7" fillId="0" borderId="46" xfId="0" applyNumberFormat="1" applyFont="1" applyFill="1" applyBorder="1" applyAlignment="1">
      <alignment horizontal="center" vertical="center" wrapText="1"/>
    </xf>
    <xf numFmtId="167" fontId="7" fillId="0" borderId="48" xfId="0" applyNumberFormat="1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/>
    <xf numFmtId="164" fontId="6" fillId="0" borderId="8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" fontId="6" fillId="4" borderId="5" xfId="0" applyNumberFormat="1" applyFont="1" applyFill="1" applyBorder="1" applyAlignment="1">
      <alignment horizontal="center" vertical="center" wrapText="1"/>
    </xf>
    <xf numFmtId="164" fontId="6" fillId="0" borderId="87" xfId="0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5" fillId="5" borderId="13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/>
    </xf>
    <xf numFmtId="0" fontId="6" fillId="4" borderId="111" xfId="0" applyFont="1" applyFill="1" applyBorder="1" applyAlignment="1">
      <alignment horizontal="center" vertical="center"/>
    </xf>
    <xf numFmtId="0" fontId="6" fillId="4" borderId="112" xfId="0" applyFont="1" applyFill="1" applyBorder="1" applyAlignment="1">
      <alignment horizontal="center" vertical="center"/>
    </xf>
    <xf numFmtId="164" fontId="6" fillId="4" borderId="112" xfId="0" applyNumberFormat="1" applyFont="1" applyFill="1" applyBorder="1" applyAlignment="1">
      <alignment horizontal="center" vertical="center"/>
    </xf>
    <xf numFmtId="164" fontId="6" fillId="4" borderId="110" xfId="0" applyNumberFormat="1" applyFont="1" applyFill="1" applyBorder="1" applyAlignment="1">
      <alignment horizontal="center" vertical="center"/>
    </xf>
    <xf numFmtId="164" fontId="6" fillId="4" borderId="113" xfId="0" applyNumberFormat="1" applyFont="1" applyFill="1" applyBorder="1" applyAlignment="1">
      <alignment horizontal="center" vertical="center"/>
    </xf>
    <xf numFmtId="0" fontId="5" fillId="2" borderId="105" xfId="0" applyFont="1" applyFill="1" applyBorder="1" applyAlignment="1">
      <alignment horizontal="left" vertical="center" wrapText="1"/>
    </xf>
    <xf numFmtId="0" fontId="6" fillId="4" borderId="32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29" xfId="0" applyFont="1" applyFill="1" applyBorder="1" applyAlignment="1">
      <alignment horizontal="center" vertical="center"/>
    </xf>
    <xf numFmtId="164" fontId="6" fillId="4" borderId="115" xfId="0" applyNumberFormat="1" applyFont="1" applyFill="1" applyBorder="1" applyAlignment="1">
      <alignment horizontal="center" vertical="center"/>
    </xf>
    <xf numFmtId="166" fontId="6" fillId="4" borderId="58" xfId="0" applyNumberFormat="1" applyFont="1" applyFill="1" applyBorder="1" applyAlignment="1">
      <alignment horizontal="center" vertical="center"/>
    </xf>
    <xf numFmtId="166" fontId="6" fillId="4" borderId="114" xfId="0" applyNumberFormat="1" applyFont="1" applyFill="1" applyBorder="1" applyAlignment="1">
      <alignment horizontal="center" vertical="center"/>
    </xf>
    <xf numFmtId="166" fontId="6" fillId="4" borderId="106" xfId="0" applyNumberFormat="1" applyFont="1" applyFill="1" applyBorder="1" applyAlignment="1">
      <alignment horizontal="center" vertical="center"/>
    </xf>
    <xf numFmtId="166" fontId="6" fillId="4" borderId="116" xfId="0" applyNumberFormat="1" applyFont="1" applyFill="1" applyBorder="1" applyAlignment="1">
      <alignment horizontal="center" vertical="center"/>
    </xf>
    <xf numFmtId="166" fontId="6" fillId="4" borderId="98" xfId="0" applyNumberFormat="1" applyFont="1" applyFill="1" applyBorder="1" applyAlignment="1">
      <alignment horizontal="center" vertical="center"/>
    </xf>
    <xf numFmtId="166" fontId="16" fillId="3" borderId="21" xfId="0" applyNumberFormat="1" applyFont="1" applyFill="1" applyBorder="1" applyAlignment="1">
      <alignment horizontal="center" vertical="center" wrapText="1"/>
    </xf>
    <xf numFmtId="166" fontId="16" fillId="3" borderId="73" xfId="0" applyNumberFormat="1" applyFont="1" applyFill="1" applyBorder="1" applyAlignment="1">
      <alignment horizontal="center" vertical="center" wrapText="1"/>
    </xf>
    <xf numFmtId="166" fontId="16" fillId="3" borderId="74" xfId="0" applyNumberFormat="1" applyFont="1" applyFill="1" applyBorder="1" applyAlignment="1">
      <alignment horizontal="center" vertical="center" wrapText="1"/>
    </xf>
    <xf numFmtId="166" fontId="6" fillId="4" borderId="21" xfId="0" applyNumberFormat="1" applyFont="1" applyFill="1" applyBorder="1" applyAlignment="1">
      <alignment horizontal="center" vertical="center"/>
    </xf>
    <xf numFmtId="166" fontId="6" fillId="4" borderId="23" xfId="0" applyNumberFormat="1" applyFont="1" applyFill="1" applyBorder="1" applyAlignment="1">
      <alignment horizontal="center" vertical="center"/>
    </xf>
    <xf numFmtId="166" fontId="6" fillId="4" borderId="28" xfId="0" applyNumberFormat="1" applyFont="1" applyFill="1" applyBorder="1" applyAlignment="1">
      <alignment horizontal="center" vertical="center"/>
    </xf>
    <xf numFmtId="166" fontId="6" fillId="4" borderId="20" xfId="0" applyNumberFormat="1" applyFont="1" applyFill="1" applyBorder="1" applyAlignment="1">
      <alignment horizontal="center" vertical="center"/>
    </xf>
    <xf numFmtId="166" fontId="6" fillId="4" borderId="5" xfId="0" applyNumberFormat="1" applyFont="1" applyFill="1" applyBorder="1" applyAlignment="1">
      <alignment horizontal="center" vertical="center"/>
    </xf>
    <xf numFmtId="166" fontId="6" fillId="4" borderId="27" xfId="0" applyNumberFormat="1" applyFont="1" applyFill="1" applyBorder="1" applyAlignment="1">
      <alignment horizontal="center" vertical="center"/>
    </xf>
    <xf numFmtId="2" fontId="6" fillId="4" borderId="21" xfId="0" applyNumberFormat="1" applyFont="1" applyFill="1" applyBorder="1" applyAlignment="1">
      <alignment horizontal="center" vertical="center"/>
    </xf>
    <xf numFmtId="2" fontId="6" fillId="4" borderId="23" xfId="0" applyNumberFormat="1" applyFont="1" applyFill="1" applyBorder="1" applyAlignment="1">
      <alignment horizontal="center" vertical="center"/>
    </xf>
    <xf numFmtId="2" fontId="6" fillId="4" borderId="28" xfId="0" applyNumberFormat="1" applyFont="1" applyFill="1" applyBorder="1" applyAlignment="1">
      <alignment horizontal="center" vertical="center"/>
    </xf>
    <xf numFmtId="2" fontId="6" fillId="3" borderId="37" xfId="0" applyNumberFormat="1" applyFont="1" applyFill="1" applyBorder="1" applyAlignment="1">
      <alignment horizontal="center" vertical="center"/>
    </xf>
    <xf numFmtId="2" fontId="6" fillId="4" borderId="35" xfId="0" applyNumberFormat="1" applyFont="1" applyFill="1" applyBorder="1" applyAlignment="1">
      <alignment horizontal="center" vertical="center"/>
    </xf>
    <xf numFmtId="0" fontId="9" fillId="0" borderId="0" xfId="0" applyFont="1"/>
    <xf numFmtId="0" fontId="2" fillId="0" borderId="0" xfId="673" applyFill="1"/>
    <xf numFmtId="0" fontId="2" fillId="0" borderId="0" xfId="33" applyFont="1"/>
    <xf numFmtId="0" fontId="2" fillId="0" borderId="0" xfId="673"/>
    <xf numFmtId="22" fontId="2" fillId="0" borderId="0" xfId="673" applyNumberFormat="1"/>
    <xf numFmtId="0" fontId="5" fillId="5" borderId="39" xfId="0" applyFont="1" applyFill="1" applyBorder="1" applyAlignment="1">
      <alignment horizontal="center" vertical="center"/>
    </xf>
    <xf numFmtId="2" fontId="6" fillId="4" borderId="39" xfId="0" applyNumberFormat="1" applyFont="1" applyFill="1" applyBorder="1" applyAlignment="1">
      <alignment horizontal="center" vertical="center"/>
    </xf>
    <xf numFmtId="2" fontId="42" fillId="0" borderId="39" xfId="0" applyNumberFormat="1" applyFont="1" applyBorder="1" applyAlignment="1">
      <alignment horizontal="center"/>
    </xf>
    <xf numFmtId="0" fontId="0" fillId="0" borderId="126" xfId="0" applyBorder="1" applyAlignment="1">
      <alignment horizontal="center"/>
    </xf>
    <xf numFmtId="2" fontId="6" fillId="0" borderId="18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2" fontId="17" fillId="0" borderId="6" xfId="0" applyNumberFormat="1" applyFont="1" applyFill="1" applyBorder="1" applyAlignment="1">
      <alignment horizontal="center" vertical="center" wrapText="1"/>
    </xf>
    <xf numFmtId="166" fontId="6" fillId="0" borderId="93" xfId="0" applyNumberFormat="1" applyFont="1" applyFill="1" applyBorder="1" applyAlignment="1">
      <alignment horizontal="center" vertical="center" wrapText="1"/>
    </xf>
    <xf numFmtId="166" fontId="6" fillId="0" borderId="71" xfId="0" applyNumberFormat="1" applyFont="1" applyFill="1" applyBorder="1" applyAlignment="1">
      <alignment horizontal="center" vertical="center" wrapText="1"/>
    </xf>
    <xf numFmtId="166" fontId="17" fillId="0" borderId="71" xfId="0" applyNumberFormat="1" applyFont="1" applyFill="1" applyBorder="1" applyAlignment="1">
      <alignment horizontal="center" vertical="center" wrapText="1"/>
    </xf>
    <xf numFmtId="166" fontId="6" fillId="0" borderId="127" xfId="0" applyNumberFormat="1" applyFont="1" applyFill="1" applyBorder="1" applyAlignment="1">
      <alignment horizontal="center" vertical="center" wrapText="1"/>
    </xf>
    <xf numFmtId="166" fontId="6" fillId="0" borderId="19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166" fontId="6" fillId="0" borderId="26" xfId="0" applyNumberFormat="1" applyFont="1" applyFill="1" applyBorder="1" applyAlignment="1">
      <alignment horizontal="center" vertical="center" wrapText="1"/>
    </xf>
    <xf numFmtId="164" fontId="1" fillId="9" borderId="0" xfId="4856" applyNumberFormat="1" applyFill="1"/>
    <xf numFmtId="166" fontId="1" fillId="9" borderId="0" xfId="4856" applyNumberFormat="1" applyFill="1"/>
    <xf numFmtId="0" fontId="1" fillId="9" borderId="0" xfId="4856" applyFill="1"/>
    <xf numFmtId="0" fontId="0" fillId="9" borderId="0" xfId="0" applyFill="1"/>
    <xf numFmtId="1" fontId="1" fillId="9" borderId="0" xfId="4856" applyNumberFormat="1" applyFill="1"/>
    <xf numFmtId="22" fontId="1" fillId="9" borderId="0" xfId="4856" applyNumberFormat="1" applyFill="1"/>
    <xf numFmtId="0" fontId="39" fillId="0" borderId="0" xfId="4856" applyFont="1" applyFill="1"/>
    <xf numFmtId="0" fontId="1" fillId="0" borderId="0" xfId="4856"/>
    <xf numFmtId="22" fontId="1" fillId="0" borderId="0" xfId="4856" applyNumberFormat="1"/>
    <xf numFmtId="0" fontId="1" fillId="0" borderId="0" xfId="4856"/>
    <xf numFmtId="22" fontId="1" fillId="0" borderId="0" xfId="4856" applyNumberFormat="1"/>
    <xf numFmtId="0" fontId="9" fillId="0" borderId="0" xfId="0" applyFont="1" applyBorder="1" applyAlignment="1">
      <alignment horizontal="center"/>
    </xf>
    <xf numFmtId="0" fontId="6" fillId="4" borderId="5" xfId="0" applyFont="1" applyFill="1" applyBorder="1" applyAlignment="1">
      <alignment horizontal="left" vertical="center" wrapText="1"/>
    </xf>
    <xf numFmtId="164" fontId="6" fillId="4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1" fontId="6" fillId="3" borderId="6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5" fillId="2" borderId="57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5" fillId="2" borderId="58" xfId="0" applyFont="1" applyFill="1" applyBorder="1" applyAlignment="1">
      <alignment horizontal="center" vertical="center" wrapText="1"/>
    </xf>
    <xf numFmtId="0" fontId="5" fillId="2" borderId="89" xfId="0" applyFont="1" applyFill="1" applyBorder="1" applyAlignment="1">
      <alignment horizontal="center" vertical="center" wrapText="1"/>
    </xf>
    <xf numFmtId="0" fontId="5" fillId="2" borderId="86" xfId="0" applyFont="1" applyFill="1" applyBorder="1" applyAlignment="1">
      <alignment horizontal="center" vertical="center" wrapText="1"/>
    </xf>
    <xf numFmtId="0" fontId="5" fillId="2" borderId="9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1" fontId="6" fillId="0" borderId="66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5" fillId="2" borderId="8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" fontId="6" fillId="0" borderId="89" xfId="0" applyNumberFormat="1" applyFont="1" applyFill="1" applyBorder="1" applyAlignment="1">
      <alignment horizontal="center" vertical="center" wrapText="1"/>
    </xf>
    <xf numFmtId="1" fontId="6" fillId="0" borderId="19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1" fontId="17" fillId="0" borderId="66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1" fontId="6" fillId="0" borderId="67" xfId="0" applyNumberFormat="1" applyFont="1" applyFill="1" applyBorder="1" applyAlignment="1">
      <alignment horizontal="center" vertical="center" wrapText="1"/>
    </xf>
    <xf numFmtId="1" fontId="6" fillId="0" borderId="26" xfId="0" applyNumberFormat="1" applyFont="1" applyFill="1" applyBorder="1" applyAlignment="1">
      <alignment horizontal="center" vertical="center" wrapText="1"/>
    </xf>
    <xf numFmtId="1" fontId="6" fillId="4" borderId="66" xfId="0" applyNumberFormat="1" applyFont="1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1" fontId="6" fillId="3" borderId="65" xfId="0" applyNumberFormat="1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>
      <alignment horizontal="center" vertical="center" wrapText="1"/>
    </xf>
    <xf numFmtId="1" fontId="6" fillId="3" borderId="67" xfId="0" applyNumberFormat="1" applyFont="1" applyFill="1" applyBorder="1" applyAlignment="1">
      <alignment horizontal="center" vertical="center" wrapText="1"/>
    </xf>
    <xf numFmtId="1" fontId="6" fillId="3" borderId="26" xfId="0" applyNumberFormat="1" applyFont="1" applyFill="1" applyBorder="1" applyAlignment="1">
      <alignment horizontal="center" vertical="center" wrapText="1"/>
    </xf>
    <xf numFmtId="1" fontId="6" fillId="3" borderId="89" xfId="0" applyNumberFormat="1" applyFont="1" applyFill="1" applyBorder="1" applyAlignment="1">
      <alignment horizontal="center" vertical="center" wrapText="1"/>
    </xf>
    <xf numFmtId="1" fontId="6" fillId="3" borderId="19" xfId="0" applyNumberFormat="1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/>
    </xf>
    <xf numFmtId="0" fontId="16" fillId="3" borderId="14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16" fillId="4" borderId="4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2" borderId="6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71" xfId="0" applyFont="1" applyFill="1" applyBorder="1" applyAlignment="1">
      <alignment horizontal="center" vertical="center"/>
    </xf>
    <xf numFmtId="0" fontId="5" fillId="2" borderId="65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7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69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9" fontId="0" fillId="0" borderId="0" xfId="0" applyNumberFormat="1" applyFill="1" applyBorder="1" applyAlignment="1">
      <alignment horizontal="center"/>
    </xf>
    <xf numFmtId="0" fontId="5" fillId="5" borderId="39" xfId="0" applyFont="1" applyFill="1" applyBorder="1" applyAlignment="1">
      <alignment horizontal="center" vertical="center"/>
    </xf>
    <xf numFmtId="0" fontId="5" fillId="2" borderId="97" xfId="0" applyFont="1" applyFill="1" applyBorder="1" applyAlignment="1">
      <alignment horizontal="center" vertical="center"/>
    </xf>
    <xf numFmtId="0" fontId="5" fillId="2" borderId="98" xfId="0" applyFont="1" applyFill="1" applyBorder="1" applyAlignment="1">
      <alignment horizontal="center" vertical="center"/>
    </xf>
    <xf numFmtId="0" fontId="5" fillId="2" borderId="101" xfId="0" applyFont="1" applyFill="1" applyBorder="1" applyAlignment="1">
      <alignment horizontal="center" vertical="center"/>
    </xf>
    <xf numFmtId="0" fontId="5" fillId="2" borderId="102" xfId="0" applyFont="1" applyFill="1" applyBorder="1" applyAlignment="1">
      <alignment horizontal="center" vertical="center"/>
    </xf>
    <xf numFmtId="0" fontId="5" fillId="2" borderId="103" xfId="0" applyFont="1" applyFill="1" applyBorder="1" applyAlignment="1">
      <alignment horizontal="center" vertical="center"/>
    </xf>
    <xf numFmtId="0" fontId="5" fillId="2" borderId="104" xfId="0" applyFont="1" applyFill="1" applyBorder="1" applyAlignment="1">
      <alignment horizontal="center" vertical="center"/>
    </xf>
    <xf numFmtId="0" fontId="5" fillId="2" borderId="97" xfId="0" applyFont="1" applyFill="1" applyBorder="1" applyAlignment="1">
      <alignment horizontal="center" vertical="center" wrapText="1"/>
    </xf>
    <xf numFmtId="0" fontId="5" fillId="2" borderId="105" xfId="0" applyFont="1" applyFill="1" applyBorder="1" applyAlignment="1">
      <alignment horizontal="center" vertical="center" wrapText="1"/>
    </xf>
    <xf numFmtId="0" fontId="5" fillId="2" borderId="99" xfId="0" applyFont="1" applyFill="1" applyBorder="1" applyAlignment="1">
      <alignment horizontal="center" vertical="center" wrapText="1"/>
    </xf>
    <xf numFmtId="0" fontId="5" fillId="2" borderId="98" xfId="0" applyFont="1" applyFill="1" applyBorder="1" applyAlignment="1">
      <alignment horizontal="center" vertical="center" wrapText="1"/>
    </xf>
    <xf numFmtId="0" fontId="5" fillId="2" borderId="106" xfId="0" applyFont="1" applyFill="1" applyBorder="1" applyAlignment="1">
      <alignment horizontal="center" vertical="center" wrapText="1"/>
    </xf>
    <xf numFmtId="0" fontId="5" fillId="2" borderId="100" xfId="0" applyFont="1" applyFill="1" applyBorder="1" applyAlignment="1">
      <alignment horizontal="center" vertical="center" wrapText="1"/>
    </xf>
    <xf numFmtId="3" fontId="6" fillId="4" borderId="39" xfId="0" applyNumberFormat="1" applyFont="1" applyFill="1" applyBorder="1" applyAlignment="1">
      <alignment horizontal="center" vertical="center"/>
    </xf>
    <xf numFmtId="0" fontId="42" fillId="0" borderId="39" xfId="0" applyFont="1" applyBorder="1" applyAlignment="1">
      <alignment horizontal="center"/>
    </xf>
    <xf numFmtId="0" fontId="5" fillId="2" borderId="17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23" fillId="0" borderId="17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7" fillId="0" borderId="43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left" vertical="center" wrapText="1"/>
    </xf>
    <xf numFmtId="0" fontId="7" fillId="0" borderId="47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42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/>
    </xf>
    <xf numFmtId="0" fontId="21" fillId="8" borderId="40" xfId="0" applyFont="1" applyFill="1" applyBorder="1" applyAlignment="1">
      <alignment horizontal="center" vertical="center" wrapText="1"/>
    </xf>
    <xf numFmtId="0" fontId="21" fillId="8" borderId="4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0" fillId="0" borderId="40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21" fillId="8" borderId="41" xfId="0" applyFont="1" applyFill="1" applyBorder="1" applyAlignment="1">
      <alignment horizontal="center" vertical="center" wrapText="1"/>
    </xf>
    <xf numFmtId="0" fontId="21" fillId="8" borderId="39" xfId="0" applyFont="1" applyFill="1" applyBorder="1" applyAlignment="1">
      <alignment horizontal="center" vertical="center" wrapText="1"/>
    </xf>
    <xf numFmtId="0" fontId="21" fillId="8" borderId="57" xfId="0" applyFont="1" applyFill="1" applyBorder="1" applyAlignment="1">
      <alignment horizontal="center" vertical="center" wrapText="1"/>
    </xf>
    <xf numFmtId="0" fontId="21" fillId="8" borderId="38" xfId="0" applyFont="1" applyFill="1" applyBorder="1" applyAlignment="1">
      <alignment horizontal="center" vertical="center" wrapText="1"/>
    </xf>
    <xf numFmtId="0" fontId="21" fillId="8" borderId="58" xfId="0" applyFont="1" applyFill="1" applyBorder="1" applyAlignment="1">
      <alignment horizontal="center" vertical="center" wrapText="1"/>
    </xf>
    <xf numFmtId="0" fontId="21" fillId="8" borderId="54" xfId="0" applyFont="1" applyFill="1" applyBorder="1" applyAlignment="1">
      <alignment horizontal="center" vertical="center" wrapText="1"/>
    </xf>
    <xf numFmtId="0" fontId="21" fillId="8" borderId="29" xfId="0" applyFont="1" applyFill="1" applyBorder="1" applyAlignment="1">
      <alignment horizontal="center" vertical="center" wrapText="1"/>
    </xf>
    <xf numFmtId="0" fontId="21" fillId="8" borderId="56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/>
    </xf>
  </cellXfs>
  <cellStyles count="4950">
    <cellStyle name="20% - Accent1" xfId="650" builtinId="30" customBuiltin="1"/>
    <cellStyle name="20% - Accent1 2" xfId="717"/>
    <cellStyle name="20% - Accent1 2 2" xfId="2822"/>
    <cellStyle name="20% - Accent1 3" xfId="2777"/>
    <cellStyle name="20% - Accent1 3 2" xfId="4786"/>
    <cellStyle name="20% - Accent1 4" xfId="679"/>
    <cellStyle name="20% - Accent2" xfId="654" builtinId="34" customBuiltin="1"/>
    <cellStyle name="20% - Accent2 2" xfId="718"/>
    <cellStyle name="20% - Accent2 2 2" xfId="2806"/>
    <cellStyle name="20% - Accent2 3" xfId="2781"/>
    <cellStyle name="20% - Accent2 3 2" xfId="4785"/>
    <cellStyle name="20% - Accent2 4" xfId="681"/>
    <cellStyle name="20% - Accent3" xfId="658" builtinId="38" customBuiltin="1"/>
    <cellStyle name="20% - Accent3 2" xfId="719"/>
    <cellStyle name="20% - Accent3 2 2" xfId="4783"/>
    <cellStyle name="20% - Accent3 3" xfId="2785"/>
    <cellStyle name="20% - Accent3 3 2" xfId="4784"/>
    <cellStyle name="20% - Accent3 4" xfId="683"/>
    <cellStyle name="20% - Accent4" xfId="662" builtinId="42" customBuiltin="1"/>
    <cellStyle name="20% - Accent4 2" xfId="720"/>
    <cellStyle name="20% - Accent4 2 2" xfId="4782"/>
    <cellStyle name="20% - Accent4 3" xfId="2789"/>
    <cellStyle name="20% - Accent4 3 2" xfId="2815"/>
    <cellStyle name="20% - Accent4 4" xfId="685"/>
    <cellStyle name="20% - Accent5" xfId="666" builtinId="46" customBuiltin="1"/>
    <cellStyle name="20% - Accent5 2" xfId="721"/>
    <cellStyle name="20% - Accent5 2 2" xfId="2847"/>
    <cellStyle name="20% - Accent5 3" xfId="2793"/>
    <cellStyle name="20% - Accent5 3 2" xfId="2820"/>
    <cellStyle name="20% - Accent5 4" xfId="687"/>
    <cellStyle name="20% - Accent6" xfId="670" builtinId="50" customBuiltin="1"/>
    <cellStyle name="20% - Accent6 2" xfId="722"/>
    <cellStyle name="20% - Accent6 2 2" xfId="4780"/>
    <cellStyle name="20% - Accent6 3" xfId="2797"/>
    <cellStyle name="20% - Accent6 3 2" xfId="4781"/>
    <cellStyle name="20% - Accent6 4" xfId="689"/>
    <cellStyle name="40% - Accent1" xfId="651" builtinId="31" customBuiltin="1"/>
    <cellStyle name="40% - Accent1 2" xfId="723"/>
    <cellStyle name="40% - Accent1 2 2" xfId="4778"/>
    <cellStyle name="40% - Accent1 3" xfId="2778"/>
    <cellStyle name="40% - Accent1 3 2" xfId="4779"/>
    <cellStyle name="40% - Accent1 4" xfId="680"/>
    <cellStyle name="40% - Accent2" xfId="655" builtinId="35" customBuiltin="1"/>
    <cellStyle name="40% - Accent2 2" xfId="724"/>
    <cellStyle name="40% - Accent2 2 2" xfId="4776"/>
    <cellStyle name="40% - Accent2 3" xfId="2782"/>
    <cellStyle name="40% - Accent2 3 2" xfId="4777"/>
    <cellStyle name="40% - Accent2 4" xfId="682"/>
    <cellStyle name="40% - Accent3" xfId="659" builtinId="39" customBuiltin="1"/>
    <cellStyle name="40% - Accent3 2" xfId="725"/>
    <cellStyle name="40% - Accent3 2 2" xfId="4774"/>
    <cellStyle name="40% - Accent3 3" xfId="2786"/>
    <cellStyle name="40% - Accent3 3 2" xfId="4775"/>
    <cellStyle name="40% - Accent3 4" xfId="684"/>
    <cellStyle name="40% - Accent4" xfId="663" builtinId="43" customBuiltin="1"/>
    <cellStyle name="40% - Accent4 2" xfId="726"/>
    <cellStyle name="40% - Accent4 2 2" xfId="4772"/>
    <cellStyle name="40% - Accent4 3" xfId="2790"/>
    <cellStyle name="40% - Accent4 3 2" xfId="4773"/>
    <cellStyle name="40% - Accent4 4" xfId="686"/>
    <cellStyle name="40% - Accent5" xfId="667" builtinId="47" customBuiltin="1"/>
    <cellStyle name="40% - Accent5 2" xfId="727"/>
    <cellStyle name="40% - Accent5 2 2" xfId="4770"/>
    <cellStyle name="40% - Accent5 3" xfId="2794"/>
    <cellStyle name="40% - Accent5 3 2" xfId="4771"/>
    <cellStyle name="40% - Accent5 4" xfId="688"/>
    <cellStyle name="40% - Accent6" xfId="671" builtinId="51" customBuiltin="1"/>
    <cellStyle name="40% - Accent6 2" xfId="728"/>
    <cellStyle name="40% - Accent6 2 2" xfId="4768"/>
    <cellStyle name="40% - Accent6 3" xfId="2798"/>
    <cellStyle name="40% - Accent6 3 2" xfId="4769"/>
    <cellStyle name="40% - Accent6 4" xfId="690"/>
    <cellStyle name="60% - Accent1" xfId="652" builtinId="32" customBuiltin="1"/>
    <cellStyle name="60% - Accent1 2" xfId="729"/>
    <cellStyle name="60% - Accent1 2 2" xfId="4766"/>
    <cellStyle name="60% - Accent1 3" xfId="2779"/>
    <cellStyle name="60% - Accent1 3 2" xfId="4767"/>
    <cellStyle name="60% - Accent2" xfId="656" builtinId="36" customBuiltin="1"/>
    <cellStyle name="60% - Accent2 2" xfId="730"/>
    <cellStyle name="60% - Accent2 2 2" xfId="4764"/>
    <cellStyle name="60% - Accent2 3" xfId="2783"/>
    <cellStyle name="60% - Accent2 3 2" xfId="4765"/>
    <cellStyle name="60% - Accent3" xfId="660" builtinId="40" customBuiltin="1"/>
    <cellStyle name="60% - Accent3 2" xfId="731"/>
    <cellStyle name="60% - Accent3 2 2" xfId="4762"/>
    <cellStyle name="60% - Accent3 3" xfId="2787"/>
    <cellStyle name="60% - Accent3 3 2" xfId="4763"/>
    <cellStyle name="60% - Accent4" xfId="664" builtinId="44" customBuiltin="1"/>
    <cellStyle name="60% - Accent4 2" xfId="732"/>
    <cellStyle name="60% - Accent4 2 2" xfId="4760"/>
    <cellStyle name="60% - Accent4 3" xfId="2791"/>
    <cellStyle name="60% - Accent4 3 2" xfId="4761"/>
    <cellStyle name="60% - Accent5" xfId="668" builtinId="48" customBuiltin="1"/>
    <cellStyle name="60% - Accent5 2" xfId="733"/>
    <cellStyle name="60% - Accent5 2 2" xfId="4758"/>
    <cellStyle name="60% - Accent5 3" xfId="2795"/>
    <cellStyle name="60% - Accent5 3 2" xfId="4759"/>
    <cellStyle name="60% - Accent6" xfId="672" builtinId="52" customBuiltin="1"/>
    <cellStyle name="60% - Accent6 2" xfId="734"/>
    <cellStyle name="60% - Accent6 2 2" xfId="4756"/>
    <cellStyle name="60% - Accent6 3" xfId="2799"/>
    <cellStyle name="60% - Accent6 3 2" xfId="4757"/>
    <cellStyle name="Accent1" xfId="649" builtinId="29" customBuiltin="1"/>
    <cellStyle name="Accent1 2" xfId="735"/>
    <cellStyle name="Accent1 2 2" xfId="4754"/>
    <cellStyle name="Accent1 3" xfId="2776"/>
    <cellStyle name="Accent1 3 2" xfId="4755"/>
    <cellStyle name="Accent2" xfId="653" builtinId="33" customBuiltin="1"/>
    <cellStyle name="Accent2 2" xfId="736"/>
    <cellStyle name="Accent2 2 2" xfId="4752"/>
    <cellStyle name="Accent2 3" xfId="2780"/>
    <cellStyle name="Accent2 3 2" xfId="4753"/>
    <cellStyle name="Accent3" xfId="657" builtinId="37" customBuiltin="1"/>
    <cellStyle name="Accent3 2" xfId="737"/>
    <cellStyle name="Accent3 2 2" xfId="4750"/>
    <cellStyle name="Accent3 3" xfId="2784"/>
    <cellStyle name="Accent3 3 2" xfId="4751"/>
    <cellStyle name="Accent4" xfId="661" builtinId="41" customBuiltin="1"/>
    <cellStyle name="Accent4 2" xfId="738"/>
    <cellStyle name="Accent4 2 2" xfId="4748"/>
    <cellStyle name="Accent4 3" xfId="2788"/>
    <cellStyle name="Accent4 3 2" xfId="4749"/>
    <cellStyle name="Accent5" xfId="665" builtinId="45" customBuiltin="1"/>
    <cellStyle name="Accent5 2" xfId="739"/>
    <cellStyle name="Accent5 2 2" xfId="4746"/>
    <cellStyle name="Accent5 3" xfId="2792"/>
    <cellStyle name="Accent5 3 2" xfId="4747"/>
    <cellStyle name="Accent6" xfId="669" builtinId="49" customBuiltin="1"/>
    <cellStyle name="Accent6 2" xfId="740"/>
    <cellStyle name="Accent6 2 2" xfId="4744"/>
    <cellStyle name="Accent6 3" xfId="2796"/>
    <cellStyle name="Accent6 3 2" xfId="4745"/>
    <cellStyle name="Bad" xfId="639" builtinId="27" customBuiltin="1"/>
    <cellStyle name="Bad 2" xfId="741"/>
    <cellStyle name="Bad 2 2" xfId="4742"/>
    <cellStyle name="Bad 3" xfId="2765"/>
    <cellStyle name="Bad 3 2" xfId="4743"/>
    <cellStyle name="Calculation" xfId="643" builtinId="22" customBuiltin="1"/>
    <cellStyle name="Calculation 2" xfId="742"/>
    <cellStyle name="Calculation 2 2" xfId="4740"/>
    <cellStyle name="Calculation 2 2 2" xfId="4933"/>
    <cellStyle name="Calculation 2 2 3" xfId="4931"/>
    <cellStyle name="Calculation 2 2 4" xfId="4929"/>
    <cellStyle name="Calculation 2 2 5" xfId="4928"/>
    <cellStyle name="Calculation 2 3" xfId="4888"/>
    <cellStyle name="Calculation 2 4" xfId="4946"/>
    <cellStyle name="Calculation 2 5" xfId="4948"/>
    <cellStyle name="Calculation 2 6" xfId="4949"/>
    <cellStyle name="Calculation 3" xfId="2769"/>
    <cellStyle name="Calculation 3 2" xfId="4741"/>
    <cellStyle name="Calculation 3 2 2" xfId="4934"/>
    <cellStyle name="Calculation 3 2 3" xfId="4915"/>
    <cellStyle name="Calculation 3 2 4" xfId="4922"/>
    <cellStyle name="Calculation 3 2 5" xfId="4923"/>
    <cellStyle name="Check Cell" xfId="645" builtinId="23" customBuiltin="1"/>
    <cellStyle name="Check Cell 2" xfId="743"/>
    <cellStyle name="Check Cell 2 2" xfId="4738"/>
    <cellStyle name="Check Cell 3" xfId="2771"/>
    <cellStyle name="Check Cell 3 2" xfId="4739"/>
    <cellStyle name="Comma [0] 2" xfId="2706"/>
    <cellStyle name="Comma 2" xfId="2705"/>
    <cellStyle name="Comma 2 2" xfId="4828"/>
    <cellStyle name="Comma 3" xfId="2707"/>
    <cellStyle name="Comma 4" xfId="2711"/>
    <cellStyle name="Currency [0] 2" xfId="2708"/>
    <cellStyle name="Currency 2" xfId="2704"/>
    <cellStyle name="Currency 2 2" xfId="744"/>
    <cellStyle name="Currency 3" xfId="2710"/>
    <cellStyle name="Currency 3 2" xfId="4839"/>
    <cellStyle name="Currency 3 3" xfId="2801"/>
    <cellStyle name="Currency 4" xfId="4737"/>
    <cellStyle name="Explanatory Text" xfId="647" builtinId="53" customBuiltin="1"/>
    <cellStyle name="Explanatory Text 2" xfId="34"/>
    <cellStyle name="Explanatory Text 2 2" xfId="4735"/>
    <cellStyle name="Explanatory Text 3" xfId="2774"/>
    <cellStyle name="Explanatory Text 3 2" xfId="4829"/>
    <cellStyle name="Explanatory Text 4" xfId="4736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Good" xfId="638" builtinId="26" customBuiltin="1"/>
    <cellStyle name="Good 2" xfId="745"/>
    <cellStyle name="Good 2 2" xfId="4733"/>
    <cellStyle name="Good 3" xfId="2764"/>
    <cellStyle name="Good 3 2" xfId="4734"/>
    <cellStyle name="Heading 1" xfId="634" builtinId="16" customBuiltin="1"/>
    <cellStyle name="Heading 1 2" xfId="746"/>
    <cellStyle name="Heading 1 2 2" xfId="4731"/>
    <cellStyle name="Heading 1 3" xfId="2760"/>
    <cellStyle name="Heading 1 3 2" xfId="4732"/>
    <cellStyle name="Heading 2" xfId="635" builtinId="17" customBuiltin="1"/>
    <cellStyle name="Heading 2 2" xfId="747"/>
    <cellStyle name="Heading 2 2 2" xfId="4729"/>
    <cellStyle name="Heading 2 3" xfId="2761"/>
    <cellStyle name="Heading 2 3 2" xfId="4730"/>
    <cellStyle name="Heading 3" xfId="636" builtinId="18" customBuiltin="1"/>
    <cellStyle name="Heading 3 2" xfId="748"/>
    <cellStyle name="Heading 3 2 2" xfId="4727"/>
    <cellStyle name="Heading 3 3" xfId="2762"/>
    <cellStyle name="Heading 3 3 2" xfId="4728"/>
    <cellStyle name="Heading 4" xfId="637" builtinId="19" customBuiltin="1"/>
    <cellStyle name="Heading 4 2" xfId="749"/>
    <cellStyle name="Heading 4 2 2" xfId="4725"/>
    <cellStyle name="Heading 4 3" xfId="2763"/>
    <cellStyle name="Heading 4 3 2" xfId="4726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 2" xfId="706"/>
    <cellStyle name="Input" xfId="641" builtinId="20" customBuiltin="1"/>
    <cellStyle name="Input 2" xfId="750"/>
    <cellStyle name="Input 2 2" xfId="4723"/>
    <cellStyle name="Input 2 2 2" xfId="4926"/>
    <cellStyle name="Input 2 2 3" xfId="4924"/>
    <cellStyle name="Input 2 2 4" xfId="4925"/>
    <cellStyle name="Input 2 2 5" xfId="4917"/>
    <cellStyle name="Input 2 3" xfId="4889"/>
    <cellStyle name="Input 2 4" xfId="4906"/>
    <cellStyle name="Input 2 5" xfId="4899"/>
    <cellStyle name="Input 2 6" xfId="4901"/>
    <cellStyle name="Input 3" xfId="2767"/>
    <cellStyle name="Input 3 2" xfId="4724"/>
    <cellStyle name="Input 3 2 2" xfId="4927"/>
    <cellStyle name="Input 3 2 3" xfId="4890"/>
    <cellStyle name="Input 3 2 4" xfId="4945"/>
    <cellStyle name="Input 3 2 5" xfId="4947"/>
    <cellStyle name="Linked Cell" xfId="644" builtinId="24" customBuiltin="1"/>
    <cellStyle name="Linked Cell 2" xfId="751"/>
    <cellStyle name="Linked Cell 2 2" xfId="4721"/>
    <cellStyle name="Linked Cell 3" xfId="2770"/>
    <cellStyle name="Linked Cell 3 2" xfId="4722"/>
    <cellStyle name="Neutral" xfId="640" builtinId="28" customBuiltin="1"/>
    <cellStyle name="Neutral 2" xfId="752"/>
    <cellStyle name="Neutral 2 2" xfId="4719"/>
    <cellStyle name="Neutral 3" xfId="2766"/>
    <cellStyle name="Neutral 3 2" xfId="4720"/>
    <cellStyle name="Normal" xfId="0" builtinId="0"/>
    <cellStyle name="Normal 10" xfId="700"/>
    <cellStyle name="Normal 10 2" xfId="753"/>
    <cellStyle name="Normal 10 2 2" xfId="4856"/>
    <cellStyle name="Normal 10 3" xfId="4718"/>
    <cellStyle name="Normal 10 4" xfId="2804"/>
    <cellStyle name="Normal 11" xfId="707"/>
    <cellStyle name="Normal 11 2" xfId="754"/>
    <cellStyle name="Normal 11 2 2" xfId="4717"/>
    <cellStyle name="Normal 12" xfId="699"/>
    <cellStyle name="Normal 12 2" xfId="755"/>
    <cellStyle name="Normal 12 2 2" xfId="4716"/>
    <cellStyle name="Normal 12 3" xfId="2759"/>
    <cellStyle name="Normal 13" xfId="698"/>
    <cellStyle name="Normal 13 2" xfId="756"/>
    <cellStyle name="Normal 13 3" xfId="4715"/>
    <cellStyle name="Normal 14" xfId="697"/>
    <cellStyle name="Normal 14 2" xfId="757"/>
    <cellStyle name="Normal 14 3" xfId="4714"/>
    <cellStyle name="Normal 15" xfId="708"/>
    <cellStyle name="Normal 15 2" xfId="758"/>
    <cellStyle name="Normal 15 3" xfId="4713"/>
    <cellStyle name="Normal 16" xfId="33"/>
    <cellStyle name="Normal 16 2" xfId="620"/>
    <cellStyle name="Normal 16 2 2" xfId="4827"/>
    <cellStyle name="Normal 16 3" xfId="709"/>
    <cellStyle name="Normal 17" xfId="710"/>
    <cellStyle name="Normal 17 2" xfId="759"/>
    <cellStyle name="Normal 17 3" xfId="4712"/>
    <cellStyle name="Normal 18" xfId="711"/>
    <cellStyle name="Normal 18 2" xfId="760"/>
    <cellStyle name="Normal 18 3" xfId="4711"/>
    <cellStyle name="Normal 19" xfId="712"/>
    <cellStyle name="Normal 19 2" xfId="761"/>
    <cellStyle name="Normal 19 3" xfId="4710"/>
    <cellStyle name="Normal 2" xfId="673"/>
    <cellStyle name="Normal 2 10" xfId="762"/>
    <cellStyle name="Normal 2 10 10" xfId="763"/>
    <cellStyle name="Normal 2 10 10 2" xfId="4707"/>
    <cellStyle name="Normal 2 10 11" xfId="764"/>
    <cellStyle name="Normal 2 10 11 2" xfId="4706"/>
    <cellStyle name="Normal 2 10 12" xfId="765"/>
    <cellStyle name="Normal 2 10 12 2" xfId="4705"/>
    <cellStyle name="Normal 2 10 13" xfId="766"/>
    <cellStyle name="Normal 2 10 13 2" xfId="4704"/>
    <cellStyle name="Normal 2 10 14" xfId="767"/>
    <cellStyle name="Normal 2 10 14 2" xfId="4703"/>
    <cellStyle name="Normal 2 10 15" xfId="768"/>
    <cellStyle name="Normal 2 10 15 2" xfId="4702"/>
    <cellStyle name="Normal 2 10 16" xfId="769"/>
    <cellStyle name="Normal 2 10 16 2" xfId="4701"/>
    <cellStyle name="Normal 2 10 17" xfId="770"/>
    <cellStyle name="Normal 2 10 17 2" xfId="4700"/>
    <cellStyle name="Normal 2 10 18" xfId="771"/>
    <cellStyle name="Normal 2 10 18 2" xfId="4699"/>
    <cellStyle name="Normal 2 10 19" xfId="772"/>
    <cellStyle name="Normal 2 10 19 2" xfId="4698"/>
    <cellStyle name="Normal 2 10 2" xfId="773"/>
    <cellStyle name="Normal 2 10 2 2" xfId="4697"/>
    <cellStyle name="Normal 2 10 20" xfId="774"/>
    <cellStyle name="Normal 2 10 20 2" xfId="4696"/>
    <cellStyle name="Normal 2 10 21" xfId="775"/>
    <cellStyle name="Normal 2 10 21 2" xfId="4695"/>
    <cellStyle name="Normal 2 10 22" xfId="776"/>
    <cellStyle name="Normal 2 10 22 2" xfId="4694"/>
    <cellStyle name="Normal 2 10 23" xfId="777"/>
    <cellStyle name="Normal 2 10 23 2" xfId="4693"/>
    <cellStyle name="Normal 2 10 24" xfId="4708"/>
    <cellStyle name="Normal 2 10 3" xfId="778"/>
    <cellStyle name="Normal 2 10 3 2" xfId="4692"/>
    <cellStyle name="Normal 2 10 4" xfId="779"/>
    <cellStyle name="Normal 2 10 4 2" xfId="4691"/>
    <cellStyle name="Normal 2 10 5" xfId="780"/>
    <cellStyle name="Normal 2 10 5 2" xfId="4690"/>
    <cellStyle name="Normal 2 10 6" xfId="781"/>
    <cellStyle name="Normal 2 10 6 2" xfId="4689"/>
    <cellStyle name="Normal 2 10 7" xfId="782"/>
    <cellStyle name="Normal 2 10 7 2" xfId="4688"/>
    <cellStyle name="Normal 2 10 8" xfId="783"/>
    <cellStyle name="Normal 2 10 8 2" xfId="4687"/>
    <cellStyle name="Normal 2 10 9" xfId="784"/>
    <cellStyle name="Normal 2 10 9 2" xfId="4686"/>
    <cellStyle name="Normal 2 100" xfId="785"/>
    <cellStyle name="Normal 2 100 2" xfId="4685"/>
    <cellStyle name="Normal 2 101" xfId="786"/>
    <cellStyle name="Normal 2 101 2" xfId="4684"/>
    <cellStyle name="Normal 2 102" xfId="787"/>
    <cellStyle name="Normal 2 102 2" xfId="4683"/>
    <cellStyle name="Normal 2 103" xfId="788"/>
    <cellStyle name="Normal 2 103 2" xfId="4682"/>
    <cellStyle name="Normal 2 104" xfId="4709"/>
    <cellStyle name="Normal 2 105" xfId="692"/>
    <cellStyle name="Normal 2 11" xfId="789"/>
    <cellStyle name="Normal 2 11 10" xfId="790"/>
    <cellStyle name="Normal 2 11 10 2" xfId="4680"/>
    <cellStyle name="Normal 2 11 11" xfId="791"/>
    <cellStyle name="Normal 2 11 11 2" xfId="4679"/>
    <cellStyle name="Normal 2 11 12" xfId="792"/>
    <cellStyle name="Normal 2 11 12 2" xfId="4678"/>
    <cellStyle name="Normal 2 11 13" xfId="793"/>
    <cellStyle name="Normal 2 11 13 2" xfId="4677"/>
    <cellStyle name="Normal 2 11 14" xfId="794"/>
    <cellStyle name="Normal 2 11 14 2" xfId="4676"/>
    <cellStyle name="Normal 2 11 15" xfId="795"/>
    <cellStyle name="Normal 2 11 15 2" xfId="4675"/>
    <cellStyle name="Normal 2 11 16" xfId="796"/>
    <cellStyle name="Normal 2 11 16 2" xfId="4674"/>
    <cellStyle name="Normal 2 11 17" xfId="797"/>
    <cellStyle name="Normal 2 11 17 2" xfId="4673"/>
    <cellStyle name="Normal 2 11 18" xfId="798"/>
    <cellStyle name="Normal 2 11 18 2" xfId="4672"/>
    <cellStyle name="Normal 2 11 19" xfId="799"/>
    <cellStyle name="Normal 2 11 19 2" xfId="4671"/>
    <cellStyle name="Normal 2 11 2" xfId="800"/>
    <cellStyle name="Normal 2 11 2 2" xfId="4670"/>
    <cellStyle name="Normal 2 11 20" xfId="801"/>
    <cellStyle name="Normal 2 11 20 2" xfId="4669"/>
    <cellStyle name="Normal 2 11 21" xfId="802"/>
    <cellStyle name="Normal 2 11 21 2" xfId="4668"/>
    <cellStyle name="Normal 2 11 22" xfId="803"/>
    <cellStyle name="Normal 2 11 22 2" xfId="4667"/>
    <cellStyle name="Normal 2 11 23" xfId="804"/>
    <cellStyle name="Normal 2 11 23 2" xfId="4666"/>
    <cellStyle name="Normal 2 11 24" xfId="4681"/>
    <cellStyle name="Normal 2 11 3" xfId="805"/>
    <cellStyle name="Normal 2 11 3 2" xfId="4665"/>
    <cellStyle name="Normal 2 11 4" xfId="806"/>
    <cellStyle name="Normal 2 11 4 2" xfId="4664"/>
    <cellStyle name="Normal 2 11 5" xfId="807"/>
    <cellStyle name="Normal 2 11 5 2" xfId="4663"/>
    <cellStyle name="Normal 2 11 6" xfId="808"/>
    <cellStyle name="Normal 2 11 6 2" xfId="4662"/>
    <cellStyle name="Normal 2 11 7" xfId="809"/>
    <cellStyle name="Normal 2 11 7 2" xfId="4661"/>
    <cellStyle name="Normal 2 11 8" xfId="810"/>
    <cellStyle name="Normal 2 11 8 2" xfId="4660"/>
    <cellStyle name="Normal 2 11 9" xfId="811"/>
    <cellStyle name="Normal 2 11 9 2" xfId="4659"/>
    <cellStyle name="Normal 2 12" xfId="812"/>
    <cellStyle name="Normal 2 12 10" xfId="813"/>
    <cellStyle name="Normal 2 12 10 2" xfId="4657"/>
    <cellStyle name="Normal 2 12 11" xfId="814"/>
    <cellStyle name="Normal 2 12 11 2" xfId="4656"/>
    <cellStyle name="Normal 2 12 12" xfId="815"/>
    <cellStyle name="Normal 2 12 12 2" xfId="4655"/>
    <cellStyle name="Normal 2 12 13" xfId="816"/>
    <cellStyle name="Normal 2 12 13 2" xfId="4654"/>
    <cellStyle name="Normal 2 12 14" xfId="817"/>
    <cellStyle name="Normal 2 12 14 2" xfId="4653"/>
    <cellStyle name="Normal 2 12 15" xfId="818"/>
    <cellStyle name="Normal 2 12 15 2" xfId="4652"/>
    <cellStyle name="Normal 2 12 16" xfId="819"/>
    <cellStyle name="Normal 2 12 16 2" xfId="4651"/>
    <cellStyle name="Normal 2 12 17" xfId="820"/>
    <cellStyle name="Normal 2 12 17 2" xfId="4650"/>
    <cellStyle name="Normal 2 12 18" xfId="821"/>
    <cellStyle name="Normal 2 12 18 2" xfId="4649"/>
    <cellStyle name="Normal 2 12 19" xfId="822"/>
    <cellStyle name="Normal 2 12 19 2" xfId="4648"/>
    <cellStyle name="Normal 2 12 2" xfId="823"/>
    <cellStyle name="Normal 2 12 2 2" xfId="4647"/>
    <cellStyle name="Normal 2 12 20" xfId="824"/>
    <cellStyle name="Normal 2 12 20 2" xfId="4646"/>
    <cellStyle name="Normal 2 12 21" xfId="825"/>
    <cellStyle name="Normal 2 12 21 2" xfId="4645"/>
    <cellStyle name="Normal 2 12 22" xfId="826"/>
    <cellStyle name="Normal 2 12 22 2" xfId="4644"/>
    <cellStyle name="Normal 2 12 23" xfId="827"/>
    <cellStyle name="Normal 2 12 23 2" xfId="4643"/>
    <cellStyle name="Normal 2 12 24" xfId="4658"/>
    <cellStyle name="Normal 2 12 3" xfId="828"/>
    <cellStyle name="Normal 2 12 3 2" xfId="4642"/>
    <cellStyle name="Normal 2 12 4" xfId="829"/>
    <cellStyle name="Normal 2 12 4 2" xfId="4641"/>
    <cellStyle name="Normal 2 12 5" xfId="830"/>
    <cellStyle name="Normal 2 12 5 2" xfId="4640"/>
    <cellStyle name="Normal 2 12 6" xfId="831"/>
    <cellStyle name="Normal 2 12 6 2" xfId="4639"/>
    <cellStyle name="Normal 2 12 7" xfId="832"/>
    <cellStyle name="Normal 2 12 7 2" xfId="4638"/>
    <cellStyle name="Normal 2 12 8" xfId="833"/>
    <cellStyle name="Normal 2 12 8 2" xfId="4637"/>
    <cellStyle name="Normal 2 12 9" xfId="834"/>
    <cellStyle name="Normal 2 12 9 2" xfId="4636"/>
    <cellStyle name="Normal 2 13" xfId="835"/>
    <cellStyle name="Normal 2 13 10" xfId="836"/>
    <cellStyle name="Normal 2 13 10 2" xfId="4634"/>
    <cellStyle name="Normal 2 13 11" xfId="837"/>
    <cellStyle name="Normal 2 13 11 2" xfId="4633"/>
    <cellStyle name="Normal 2 13 12" xfId="838"/>
    <cellStyle name="Normal 2 13 12 2" xfId="4632"/>
    <cellStyle name="Normal 2 13 13" xfId="839"/>
    <cellStyle name="Normal 2 13 13 2" xfId="4631"/>
    <cellStyle name="Normal 2 13 14" xfId="840"/>
    <cellStyle name="Normal 2 13 14 2" xfId="4630"/>
    <cellStyle name="Normal 2 13 15" xfId="841"/>
    <cellStyle name="Normal 2 13 15 2" xfId="4629"/>
    <cellStyle name="Normal 2 13 16" xfId="842"/>
    <cellStyle name="Normal 2 13 16 2" xfId="4628"/>
    <cellStyle name="Normal 2 13 17" xfId="843"/>
    <cellStyle name="Normal 2 13 17 2" xfId="4627"/>
    <cellStyle name="Normal 2 13 18" xfId="844"/>
    <cellStyle name="Normal 2 13 18 2" xfId="4626"/>
    <cellStyle name="Normal 2 13 19" xfId="845"/>
    <cellStyle name="Normal 2 13 19 2" xfId="4625"/>
    <cellStyle name="Normal 2 13 2" xfId="846"/>
    <cellStyle name="Normal 2 13 2 2" xfId="4624"/>
    <cellStyle name="Normal 2 13 20" xfId="847"/>
    <cellStyle name="Normal 2 13 20 2" xfId="4623"/>
    <cellStyle name="Normal 2 13 21" xfId="848"/>
    <cellStyle name="Normal 2 13 21 2" xfId="4622"/>
    <cellStyle name="Normal 2 13 22" xfId="849"/>
    <cellStyle name="Normal 2 13 22 2" xfId="4621"/>
    <cellStyle name="Normal 2 13 23" xfId="850"/>
    <cellStyle name="Normal 2 13 23 2" xfId="4620"/>
    <cellStyle name="Normal 2 13 24" xfId="4635"/>
    <cellStyle name="Normal 2 13 3" xfId="851"/>
    <cellStyle name="Normal 2 13 3 2" xfId="4619"/>
    <cellStyle name="Normal 2 13 4" xfId="852"/>
    <cellStyle name="Normal 2 13 4 2" xfId="4618"/>
    <cellStyle name="Normal 2 13 5" xfId="853"/>
    <cellStyle name="Normal 2 13 5 2" xfId="4617"/>
    <cellStyle name="Normal 2 13 6" xfId="854"/>
    <cellStyle name="Normal 2 13 6 2" xfId="4616"/>
    <cellStyle name="Normal 2 13 7" xfId="855"/>
    <cellStyle name="Normal 2 13 7 2" xfId="4615"/>
    <cellStyle name="Normal 2 13 8" xfId="856"/>
    <cellStyle name="Normal 2 13 8 2" xfId="4614"/>
    <cellStyle name="Normal 2 13 9" xfId="857"/>
    <cellStyle name="Normal 2 13 9 2" xfId="4613"/>
    <cellStyle name="Normal 2 14" xfId="858"/>
    <cellStyle name="Normal 2 14 10" xfId="859"/>
    <cellStyle name="Normal 2 14 10 2" xfId="4611"/>
    <cellStyle name="Normal 2 14 11" xfId="860"/>
    <cellStyle name="Normal 2 14 11 2" xfId="4610"/>
    <cellStyle name="Normal 2 14 12" xfId="861"/>
    <cellStyle name="Normal 2 14 12 2" xfId="4609"/>
    <cellStyle name="Normal 2 14 13" xfId="862"/>
    <cellStyle name="Normal 2 14 13 2" xfId="4608"/>
    <cellStyle name="Normal 2 14 14" xfId="863"/>
    <cellStyle name="Normal 2 14 14 2" xfId="4607"/>
    <cellStyle name="Normal 2 14 15" xfId="864"/>
    <cellStyle name="Normal 2 14 15 2" xfId="4606"/>
    <cellStyle name="Normal 2 14 16" xfId="865"/>
    <cellStyle name="Normal 2 14 16 2" xfId="4605"/>
    <cellStyle name="Normal 2 14 17" xfId="866"/>
    <cellStyle name="Normal 2 14 17 2" xfId="4604"/>
    <cellStyle name="Normal 2 14 18" xfId="867"/>
    <cellStyle name="Normal 2 14 18 2" xfId="4603"/>
    <cellStyle name="Normal 2 14 19" xfId="868"/>
    <cellStyle name="Normal 2 14 19 2" xfId="4602"/>
    <cellStyle name="Normal 2 14 2" xfId="869"/>
    <cellStyle name="Normal 2 14 2 2" xfId="4601"/>
    <cellStyle name="Normal 2 14 20" xfId="870"/>
    <cellStyle name="Normal 2 14 20 2" xfId="4600"/>
    <cellStyle name="Normal 2 14 21" xfId="871"/>
    <cellStyle name="Normal 2 14 21 2" xfId="4599"/>
    <cellStyle name="Normal 2 14 22" xfId="872"/>
    <cellStyle name="Normal 2 14 22 2" xfId="4598"/>
    <cellStyle name="Normal 2 14 23" xfId="873"/>
    <cellStyle name="Normal 2 14 23 2" xfId="4597"/>
    <cellStyle name="Normal 2 14 24" xfId="4612"/>
    <cellStyle name="Normal 2 14 3" xfId="874"/>
    <cellStyle name="Normal 2 14 3 2" xfId="4596"/>
    <cellStyle name="Normal 2 14 4" xfId="875"/>
    <cellStyle name="Normal 2 14 4 2" xfId="4595"/>
    <cellStyle name="Normal 2 14 5" xfId="876"/>
    <cellStyle name="Normal 2 14 5 2" xfId="4594"/>
    <cellStyle name="Normal 2 14 6" xfId="877"/>
    <cellStyle name="Normal 2 14 6 2" xfId="4593"/>
    <cellStyle name="Normal 2 14 7" xfId="878"/>
    <cellStyle name="Normal 2 14 7 2" xfId="4592"/>
    <cellStyle name="Normal 2 14 8" xfId="879"/>
    <cellStyle name="Normal 2 14 8 2" xfId="4591"/>
    <cellStyle name="Normal 2 14 9" xfId="880"/>
    <cellStyle name="Normal 2 14 9 2" xfId="4590"/>
    <cellStyle name="Normal 2 15" xfId="881"/>
    <cellStyle name="Normal 2 15 10" xfId="882"/>
    <cellStyle name="Normal 2 15 10 2" xfId="4588"/>
    <cellStyle name="Normal 2 15 11" xfId="883"/>
    <cellStyle name="Normal 2 15 11 2" xfId="4587"/>
    <cellStyle name="Normal 2 15 12" xfId="884"/>
    <cellStyle name="Normal 2 15 12 2" xfId="4586"/>
    <cellStyle name="Normal 2 15 13" xfId="885"/>
    <cellStyle name="Normal 2 15 13 2" xfId="4585"/>
    <cellStyle name="Normal 2 15 14" xfId="886"/>
    <cellStyle name="Normal 2 15 14 2" xfId="4584"/>
    <cellStyle name="Normal 2 15 15" xfId="887"/>
    <cellStyle name="Normal 2 15 15 2" xfId="4583"/>
    <cellStyle name="Normal 2 15 16" xfId="888"/>
    <cellStyle name="Normal 2 15 16 2" xfId="4582"/>
    <cellStyle name="Normal 2 15 17" xfId="889"/>
    <cellStyle name="Normal 2 15 17 2" xfId="4581"/>
    <cellStyle name="Normal 2 15 18" xfId="890"/>
    <cellStyle name="Normal 2 15 18 2" xfId="4580"/>
    <cellStyle name="Normal 2 15 19" xfId="891"/>
    <cellStyle name="Normal 2 15 19 2" xfId="4579"/>
    <cellStyle name="Normal 2 15 2" xfId="892"/>
    <cellStyle name="Normal 2 15 2 2" xfId="4578"/>
    <cellStyle name="Normal 2 15 20" xfId="893"/>
    <cellStyle name="Normal 2 15 20 2" xfId="4577"/>
    <cellStyle name="Normal 2 15 21" xfId="894"/>
    <cellStyle name="Normal 2 15 21 2" xfId="4576"/>
    <cellStyle name="Normal 2 15 22" xfId="895"/>
    <cellStyle name="Normal 2 15 22 2" xfId="4575"/>
    <cellStyle name="Normal 2 15 23" xfId="896"/>
    <cellStyle name="Normal 2 15 23 2" xfId="4574"/>
    <cellStyle name="Normal 2 15 24" xfId="4589"/>
    <cellStyle name="Normal 2 15 3" xfId="897"/>
    <cellStyle name="Normal 2 15 3 2" xfId="4573"/>
    <cellStyle name="Normal 2 15 4" xfId="898"/>
    <cellStyle name="Normal 2 15 4 2" xfId="4572"/>
    <cellStyle name="Normal 2 15 5" xfId="899"/>
    <cellStyle name="Normal 2 15 5 2" xfId="4571"/>
    <cellStyle name="Normal 2 15 6" xfId="900"/>
    <cellStyle name="Normal 2 15 6 2" xfId="4570"/>
    <cellStyle name="Normal 2 15 7" xfId="901"/>
    <cellStyle name="Normal 2 15 7 2" xfId="4569"/>
    <cellStyle name="Normal 2 15 8" xfId="902"/>
    <cellStyle name="Normal 2 15 8 2" xfId="4568"/>
    <cellStyle name="Normal 2 15 9" xfId="903"/>
    <cellStyle name="Normal 2 15 9 2" xfId="4567"/>
    <cellStyle name="Normal 2 16" xfId="904"/>
    <cellStyle name="Normal 2 16 10" xfId="905"/>
    <cellStyle name="Normal 2 16 10 2" xfId="4565"/>
    <cellStyle name="Normal 2 16 11" xfId="906"/>
    <cellStyle name="Normal 2 16 11 2" xfId="4564"/>
    <cellStyle name="Normal 2 16 12" xfId="907"/>
    <cellStyle name="Normal 2 16 12 2" xfId="4563"/>
    <cellStyle name="Normal 2 16 13" xfId="908"/>
    <cellStyle name="Normal 2 16 13 2" xfId="4562"/>
    <cellStyle name="Normal 2 16 14" xfId="909"/>
    <cellStyle name="Normal 2 16 14 2" xfId="4561"/>
    <cellStyle name="Normal 2 16 15" xfId="910"/>
    <cellStyle name="Normal 2 16 15 2" xfId="4560"/>
    <cellStyle name="Normal 2 16 16" xfId="911"/>
    <cellStyle name="Normal 2 16 16 2" xfId="4559"/>
    <cellStyle name="Normal 2 16 17" xfId="912"/>
    <cellStyle name="Normal 2 16 17 2" xfId="4558"/>
    <cellStyle name="Normal 2 16 18" xfId="913"/>
    <cellStyle name="Normal 2 16 18 2" xfId="4557"/>
    <cellStyle name="Normal 2 16 19" xfId="914"/>
    <cellStyle name="Normal 2 16 19 2" xfId="4556"/>
    <cellStyle name="Normal 2 16 2" xfId="915"/>
    <cellStyle name="Normal 2 16 2 2" xfId="4555"/>
    <cellStyle name="Normal 2 16 20" xfId="916"/>
    <cellStyle name="Normal 2 16 20 2" xfId="4554"/>
    <cellStyle name="Normal 2 16 21" xfId="917"/>
    <cellStyle name="Normal 2 16 21 2" xfId="4553"/>
    <cellStyle name="Normal 2 16 22" xfId="918"/>
    <cellStyle name="Normal 2 16 22 2" xfId="4552"/>
    <cellStyle name="Normal 2 16 23" xfId="919"/>
    <cellStyle name="Normal 2 16 23 2" xfId="4551"/>
    <cellStyle name="Normal 2 16 24" xfId="4566"/>
    <cellStyle name="Normal 2 16 3" xfId="920"/>
    <cellStyle name="Normal 2 16 3 2" xfId="4550"/>
    <cellStyle name="Normal 2 16 4" xfId="921"/>
    <cellStyle name="Normal 2 16 4 2" xfId="4549"/>
    <cellStyle name="Normal 2 16 5" xfId="922"/>
    <cellStyle name="Normal 2 16 5 2" xfId="4548"/>
    <cellStyle name="Normal 2 16 6" xfId="923"/>
    <cellStyle name="Normal 2 16 6 2" xfId="4547"/>
    <cellStyle name="Normal 2 16 7" xfId="924"/>
    <cellStyle name="Normal 2 16 7 2" xfId="4546"/>
    <cellStyle name="Normal 2 16 8" xfId="925"/>
    <cellStyle name="Normal 2 16 8 2" xfId="4545"/>
    <cellStyle name="Normal 2 16 9" xfId="926"/>
    <cellStyle name="Normal 2 16 9 2" xfId="4544"/>
    <cellStyle name="Normal 2 17" xfId="927"/>
    <cellStyle name="Normal 2 17 10" xfId="928"/>
    <cellStyle name="Normal 2 17 10 2" xfId="4542"/>
    <cellStyle name="Normal 2 17 11" xfId="929"/>
    <cellStyle name="Normal 2 17 11 2" xfId="4541"/>
    <cellStyle name="Normal 2 17 12" xfId="930"/>
    <cellStyle name="Normal 2 17 12 2" xfId="4540"/>
    <cellStyle name="Normal 2 17 13" xfId="931"/>
    <cellStyle name="Normal 2 17 13 2" xfId="4539"/>
    <cellStyle name="Normal 2 17 14" xfId="932"/>
    <cellStyle name="Normal 2 17 14 2" xfId="4538"/>
    <cellStyle name="Normal 2 17 15" xfId="933"/>
    <cellStyle name="Normal 2 17 15 2" xfId="4537"/>
    <cellStyle name="Normal 2 17 16" xfId="934"/>
    <cellStyle name="Normal 2 17 16 2" xfId="4536"/>
    <cellStyle name="Normal 2 17 17" xfId="935"/>
    <cellStyle name="Normal 2 17 17 2" xfId="4535"/>
    <cellStyle name="Normal 2 17 18" xfId="936"/>
    <cellStyle name="Normal 2 17 18 2" xfId="4534"/>
    <cellStyle name="Normal 2 17 19" xfId="937"/>
    <cellStyle name="Normal 2 17 19 2" xfId="4533"/>
    <cellStyle name="Normal 2 17 2" xfId="938"/>
    <cellStyle name="Normal 2 17 2 2" xfId="4532"/>
    <cellStyle name="Normal 2 17 20" xfId="939"/>
    <cellStyle name="Normal 2 17 20 2" xfId="4531"/>
    <cellStyle name="Normal 2 17 21" xfId="940"/>
    <cellStyle name="Normal 2 17 21 2" xfId="4530"/>
    <cellStyle name="Normal 2 17 22" xfId="941"/>
    <cellStyle name="Normal 2 17 22 2" xfId="4529"/>
    <cellStyle name="Normal 2 17 23" xfId="942"/>
    <cellStyle name="Normal 2 17 23 2" xfId="4528"/>
    <cellStyle name="Normal 2 17 24" xfId="4543"/>
    <cellStyle name="Normal 2 17 3" xfId="943"/>
    <cellStyle name="Normal 2 17 3 2" xfId="4527"/>
    <cellStyle name="Normal 2 17 4" xfId="944"/>
    <cellStyle name="Normal 2 17 4 2" xfId="4526"/>
    <cellStyle name="Normal 2 17 5" xfId="945"/>
    <cellStyle name="Normal 2 17 5 2" xfId="4525"/>
    <cellStyle name="Normal 2 17 6" xfId="946"/>
    <cellStyle name="Normal 2 17 6 2" xfId="4524"/>
    <cellStyle name="Normal 2 17 7" xfId="947"/>
    <cellStyle name="Normal 2 17 7 2" xfId="4523"/>
    <cellStyle name="Normal 2 17 8" xfId="948"/>
    <cellStyle name="Normal 2 17 8 2" xfId="4522"/>
    <cellStyle name="Normal 2 17 9" xfId="949"/>
    <cellStyle name="Normal 2 17 9 2" xfId="4521"/>
    <cellStyle name="Normal 2 18" xfId="950"/>
    <cellStyle name="Normal 2 18 10" xfId="951"/>
    <cellStyle name="Normal 2 18 10 2" xfId="4519"/>
    <cellStyle name="Normal 2 18 11" xfId="952"/>
    <cellStyle name="Normal 2 18 11 2" xfId="4518"/>
    <cellStyle name="Normal 2 18 12" xfId="953"/>
    <cellStyle name="Normal 2 18 12 2" xfId="4517"/>
    <cellStyle name="Normal 2 18 13" xfId="954"/>
    <cellStyle name="Normal 2 18 13 2" xfId="4516"/>
    <cellStyle name="Normal 2 18 14" xfId="955"/>
    <cellStyle name="Normal 2 18 14 2" xfId="4515"/>
    <cellStyle name="Normal 2 18 15" xfId="956"/>
    <cellStyle name="Normal 2 18 15 2" xfId="4514"/>
    <cellStyle name="Normal 2 18 16" xfId="957"/>
    <cellStyle name="Normal 2 18 16 2" xfId="4513"/>
    <cellStyle name="Normal 2 18 17" xfId="958"/>
    <cellStyle name="Normal 2 18 17 2" xfId="4512"/>
    <cellStyle name="Normal 2 18 18" xfId="959"/>
    <cellStyle name="Normal 2 18 18 2" xfId="4511"/>
    <cellStyle name="Normal 2 18 19" xfId="960"/>
    <cellStyle name="Normal 2 18 19 2" xfId="4510"/>
    <cellStyle name="Normal 2 18 2" xfId="961"/>
    <cellStyle name="Normal 2 18 2 2" xfId="4509"/>
    <cellStyle name="Normal 2 18 20" xfId="962"/>
    <cellStyle name="Normal 2 18 20 2" xfId="4508"/>
    <cellStyle name="Normal 2 18 21" xfId="963"/>
    <cellStyle name="Normal 2 18 21 2" xfId="4507"/>
    <cellStyle name="Normal 2 18 22" xfId="964"/>
    <cellStyle name="Normal 2 18 22 2" xfId="4506"/>
    <cellStyle name="Normal 2 18 23" xfId="965"/>
    <cellStyle name="Normal 2 18 23 2" xfId="4505"/>
    <cellStyle name="Normal 2 18 24" xfId="4520"/>
    <cellStyle name="Normal 2 18 3" xfId="966"/>
    <cellStyle name="Normal 2 18 3 2" xfId="4504"/>
    <cellStyle name="Normal 2 18 4" xfId="967"/>
    <cellStyle name="Normal 2 18 4 2" xfId="4503"/>
    <cellStyle name="Normal 2 18 5" xfId="968"/>
    <cellStyle name="Normal 2 18 5 2" xfId="4502"/>
    <cellStyle name="Normal 2 18 6" xfId="969"/>
    <cellStyle name="Normal 2 18 6 2" xfId="4501"/>
    <cellStyle name="Normal 2 18 7" xfId="970"/>
    <cellStyle name="Normal 2 18 7 2" xfId="4500"/>
    <cellStyle name="Normal 2 18 8" xfId="971"/>
    <cellStyle name="Normal 2 18 8 2" xfId="4499"/>
    <cellStyle name="Normal 2 18 9" xfId="972"/>
    <cellStyle name="Normal 2 18 9 2" xfId="4498"/>
    <cellStyle name="Normal 2 19" xfId="973"/>
    <cellStyle name="Normal 2 19 10" xfId="974"/>
    <cellStyle name="Normal 2 19 10 2" xfId="4496"/>
    <cellStyle name="Normal 2 19 11" xfId="975"/>
    <cellStyle name="Normal 2 19 11 2" xfId="4495"/>
    <cellStyle name="Normal 2 19 12" xfId="976"/>
    <cellStyle name="Normal 2 19 12 2" xfId="4494"/>
    <cellStyle name="Normal 2 19 13" xfId="977"/>
    <cellStyle name="Normal 2 19 13 2" xfId="4493"/>
    <cellStyle name="Normal 2 19 14" xfId="978"/>
    <cellStyle name="Normal 2 19 14 2" xfId="4492"/>
    <cellStyle name="Normal 2 19 15" xfId="979"/>
    <cellStyle name="Normal 2 19 15 2" xfId="4491"/>
    <cellStyle name="Normal 2 19 16" xfId="980"/>
    <cellStyle name="Normal 2 19 16 2" xfId="4490"/>
    <cellStyle name="Normal 2 19 17" xfId="981"/>
    <cellStyle name="Normal 2 19 17 2" xfId="4489"/>
    <cellStyle name="Normal 2 19 18" xfId="982"/>
    <cellStyle name="Normal 2 19 18 2" xfId="4488"/>
    <cellStyle name="Normal 2 19 19" xfId="983"/>
    <cellStyle name="Normal 2 19 19 2" xfId="4487"/>
    <cellStyle name="Normal 2 19 2" xfId="984"/>
    <cellStyle name="Normal 2 19 2 2" xfId="4486"/>
    <cellStyle name="Normal 2 19 20" xfId="985"/>
    <cellStyle name="Normal 2 19 20 2" xfId="4485"/>
    <cellStyle name="Normal 2 19 21" xfId="986"/>
    <cellStyle name="Normal 2 19 21 2" xfId="4484"/>
    <cellStyle name="Normal 2 19 22" xfId="987"/>
    <cellStyle name="Normal 2 19 22 2" xfId="4483"/>
    <cellStyle name="Normal 2 19 23" xfId="988"/>
    <cellStyle name="Normal 2 19 23 2" xfId="4482"/>
    <cellStyle name="Normal 2 19 24" xfId="4497"/>
    <cellStyle name="Normal 2 19 3" xfId="989"/>
    <cellStyle name="Normal 2 19 3 2" xfId="4481"/>
    <cellStyle name="Normal 2 19 4" xfId="990"/>
    <cellStyle name="Normal 2 19 4 2" xfId="4480"/>
    <cellStyle name="Normal 2 19 5" xfId="991"/>
    <cellStyle name="Normal 2 19 5 2" xfId="4479"/>
    <cellStyle name="Normal 2 19 6" xfId="992"/>
    <cellStyle name="Normal 2 19 6 2" xfId="4478"/>
    <cellStyle name="Normal 2 19 7" xfId="993"/>
    <cellStyle name="Normal 2 19 7 2" xfId="4477"/>
    <cellStyle name="Normal 2 19 8" xfId="994"/>
    <cellStyle name="Normal 2 19 8 2" xfId="4476"/>
    <cellStyle name="Normal 2 19 9" xfId="995"/>
    <cellStyle name="Normal 2 19 9 2" xfId="4475"/>
    <cellStyle name="Normal 2 2" xfId="696"/>
    <cellStyle name="Normal 2 2 2" xfId="996"/>
    <cellStyle name="Normal 2 2 2 2" xfId="4474"/>
    <cellStyle name="Normal 2 20" xfId="997"/>
    <cellStyle name="Normal 2 20 10" xfId="998"/>
    <cellStyle name="Normal 2 20 10 2" xfId="4472"/>
    <cellStyle name="Normal 2 20 11" xfId="999"/>
    <cellStyle name="Normal 2 20 11 2" xfId="4471"/>
    <cellStyle name="Normal 2 20 12" xfId="1000"/>
    <cellStyle name="Normal 2 20 12 2" xfId="4470"/>
    <cellStyle name="Normal 2 20 13" xfId="1001"/>
    <cellStyle name="Normal 2 20 13 2" xfId="4469"/>
    <cellStyle name="Normal 2 20 14" xfId="1002"/>
    <cellStyle name="Normal 2 20 14 2" xfId="4468"/>
    <cellStyle name="Normal 2 20 15" xfId="1003"/>
    <cellStyle name="Normal 2 20 15 2" xfId="4467"/>
    <cellStyle name="Normal 2 20 16" xfId="1004"/>
    <cellStyle name="Normal 2 20 16 2" xfId="4466"/>
    <cellStyle name="Normal 2 20 17" xfId="1005"/>
    <cellStyle name="Normal 2 20 17 2" xfId="4465"/>
    <cellStyle name="Normal 2 20 18" xfId="1006"/>
    <cellStyle name="Normal 2 20 18 2" xfId="4464"/>
    <cellStyle name="Normal 2 20 19" xfId="1007"/>
    <cellStyle name="Normal 2 20 19 2" xfId="4463"/>
    <cellStyle name="Normal 2 20 2" xfId="1008"/>
    <cellStyle name="Normal 2 20 2 2" xfId="4462"/>
    <cellStyle name="Normal 2 20 20" xfId="1009"/>
    <cellStyle name="Normal 2 20 20 2" xfId="4461"/>
    <cellStyle name="Normal 2 20 21" xfId="1010"/>
    <cellStyle name="Normal 2 20 21 2" xfId="4460"/>
    <cellStyle name="Normal 2 20 22" xfId="1011"/>
    <cellStyle name="Normal 2 20 22 2" xfId="4459"/>
    <cellStyle name="Normal 2 20 23" xfId="1012"/>
    <cellStyle name="Normal 2 20 23 2" xfId="4458"/>
    <cellStyle name="Normal 2 20 24" xfId="4473"/>
    <cellStyle name="Normal 2 20 3" xfId="1013"/>
    <cellStyle name="Normal 2 20 3 2" xfId="4457"/>
    <cellStyle name="Normal 2 20 4" xfId="1014"/>
    <cellStyle name="Normal 2 20 4 2" xfId="4456"/>
    <cellStyle name="Normal 2 20 5" xfId="1015"/>
    <cellStyle name="Normal 2 20 5 2" xfId="4455"/>
    <cellStyle name="Normal 2 20 6" xfId="1016"/>
    <cellStyle name="Normal 2 20 6 2" xfId="4454"/>
    <cellStyle name="Normal 2 20 7" xfId="1017"/>
    <cellStyle name="Normal 2 20 7 2" xfId="4453"/>
    <cellStyle name="Normal 2 20 8" xfId="1018"/>
    <cellStyle name="Normal 2 20 8 2" xfId="4452"/>
    <cellStyle name="Normal 2 20 9" xfId="1019"/>
    <cellStyle name="Normal 2 20 9 2" xfId="4451"/>
    <cellStyle name="Normal 2 21" xfId="1020"/>
    <cellStyle name="Normal 2 21 10" xfId="1021"/>
    <cellStyle name="Normal 2 21 10 2" xfId="4449"/>
    <cellStyle name="Normal 2 21 11" xfId="1022"/>
    <cellStyle name="Normal 2 21 11 2" xfId="4448"/>
    <cellStyle name="Normal 2 21 12" xfId="1023"/>
    <cellStyle name="Normal 2 21 12 2" xfId="4447"/>
    <cellStyle name="Normal 2 21 13" xfId="1024"/>
    <cellStyle name="Normal 2 21 13 2" xfId="4446"/>
    <cellStyle name="Normal 2 21 14" xfId="1025"/>
    <cellStyle name="Normal 2 21 14 2" xfId="4445"/>
    <cellStyle name="Normal 2 21 15" xfId="1026"/>
    <cellStyle name="Normal 2 21 15 2" xfId="4444"/>
    <cellStyle name="Normal 2 21 16" xfId="1027"/>
    <cellStyle name="Normal 2 21 16 2" xfId="4443"/>
    <cellStyle name="Normal 2 21 17" xfId="1028"/>
    <cellStyle name="Normal 2 21 17 2" xfId="4442"/>
    <cellStyle name="Normal 2 21 18" xfId="1029"/>
    <cellStyle name="Normal 2 21 18 2" xfId="4441"/>
    <cellStyle name="Normal 2 21 19" xfId="1030"/>
    <cellStyle name="Normal 2 21 19 2" xfId="4440"/>
    <cellStyle name="Normal 2 21 2" xfId="1031"/>
    <cellStyle name="Normal 2 21 2 2" xfId="4439"/>
    <cellStyle name="Normal 2 21 20" xfId="1032"/>
    <cellStyle name="Normal 2 21 20 2" xfId="4438"/>
    <cellStyle name="Normal 2 21 21" xfId="1033"/>
    <cellStyle name="Normal 2 21 21 2" xfId="4437"/>
    <cellStyle name="Normal 2 21 22" xfId="1034"/>
    <cellStyle name="Normal 2 21 22 2" xfId="4436"/>
    <cellStyle name="Normal 2 21 23" xfId="1035"/>
    <cellStyle name="Normal 2 21 23 2" xfId="4435"/>
    <cellStyle name="Normal 2 21 24" xfId="4450"/>
    <cellStyle name="Normal 2 21 3" xfId="1036"/>
    <cellStyle name="Normal 2 21 3 2" xfId="4434"/>
    <cellStyle name="Normal 2 21 4" xfId="1037"/>
    <cellStyle name="Normal 2 21 4 2" xfId="4433"/>
    <cellStyle name="Normal 2 21 5" xfId="1038"/>
    <cellStyle name="Normal 2 21 5 2" xfId="4432"/>
    <cellStyle name="Normal 2 21 6" xfId="1039"/>
    <cellStyle name="Normal 2 21 6 2" xfId="4431"/>
    <cellStyle name="Normal 2 21 7" xfId="1040"/>
    <cellStyle name="Normal 2 21 7 2" xfId="4430"/>
    <cellStyle name="Normal 2 21 8" xfId="1041"/>
    <cellStyle name="Normal 2 21 8 2" xfId="4429"/>
    <cellStyle name="Normal 2 21 9" xfId="1042"/>
    <cellStyle name="Normal 2 21 9 2" xfId="4428"/>
    <cellStyle name="Normal 2 22" xfId="1043"/>
    <cellStyle name="Normal 2 22 10" xfId="1044"/>
    <cellStyle name="Normal 2 22 10 2" xfId="4426"/>
    <cellStyle name="Normal 2 22 11" xfId="1045"/>
    <cellStyle name="Normal 2 22 11 2" xfId="4425"/>
    <cellStyle name="Normal 2 22 12" xfId="1046"/>
    <cellStyle name="Normal 2 22 12 2" xfId="4424"/>
    <cellStyle name="Normal 2 22 13" xfId="1047"/>
    <cellStyle name="Normal 2 22 13 2" xfId="4423"/>
    <cellStyle name="Normal 2 22 14" xfId="1048"/>
    <cellStyle name="Normal 2 22 14 2" xfId="4422"/>
    <cellStyle name="Normal 2 22 15" xfId="1049"/>
    <cellStyle name="Normal 2 22 15 2" xfId="4421"/>
    <cellStyle name="Normal 2 22 16" xfId="1050"/>
    <cellStyle name="Normal 2 22 16 2" xfId="4420"/>
    <cellStyle name="Normal 2 22 17" xfId="1051"/>
    <cellStyle name="Normal 2 22 17 2" xfId="4419"/>
    <cellStyle name="Normal 2 22 18" xfId="1052"/>
    <cellStyle name="Normal 2 22 18 2" xfId="4418"/>
    <cellStyle name="Normal 2 22 19" xfId="1053"/>
    <cellStyle name="Normal 2 22 19 2" xfId="4417"/>
    <cellStyle name="Normal 2 22 2" xfId="1054"/>
    <cellStyle name="Normal 2 22 2 2" xfId="4416"/>
    <cellStyle name="Normal 2 22 20" xfId="1055"/>
    <cellStyle name="Normal 2 22 20 2" xfId="4415"/>
    <cellStyle name="Normal 2 22 21" xfId="1056"/>
    <cellStyle name="Normal 2 22 21 2" xfId="4414"/>
    <cellStyle name="Normal 2 22 22" xfId="1057"/>
    <cellStyle name="Normal 2 22 22 2" xfId="4413"/>
    <cellStyle name="Normal 2 22 23" xfId="1058"/>
    <cellStyle name="Normal 2 22 23 2" xfId="4412"/>
    <cellStyle name="Normal 2 22 24" xfId="4427"/>
    <cellStyle name="Normal 2 22 3" xfId="1059"/>
    <cellStyle name="Normal 2 22 3 2" xfId="4411"/>
    <cellStyle name="Normal 2 22 4" xfId="1060"/>
    <cellStyle name="Normal 2 22 4 2" xfId="4410"/>
    <cellStyle name="Normal 2 22 5" xfId="1061"/>
    <cellStyle name="Normal 2 22 5 2" xfId="4409"/>
    <cellStyle name="Normal 2 22 6" xfId="1062"/>
    <cellStyle name="Normal 2 22 6 2" xfId="4408"/>
    <cellStyle name="Normal 2 22 7" xfId="1063"/>
    <cellStyle name="Normal 2 22 7 2" xfId="4407"/>
    <cellStyle name="Normal 2 22 8" xfId="1064"/>
    <cellStyle name="Normal 2 22 8 2" xfId="4406"/>
    <cellStyle name="Normal 2 22 9" xfId="1065"/>
    <cellStyle name="Normal 2 22 9 2" xfId="4405"/>
    <cellStyle name="Normal 2 23" xfId="1066"/>
    <cellStyle name="Normal 2 23 10" xfId="1067"/>
    <cellStyle name="Normal 2 23 10 2" xfId="4403"/>
    <cellStyle name="Normal 2 23 11" xfId="1068"/>
    <cellStyle name="Normal 2 23 11 2" xfId="4402"/>
    <cellStyle name="Normal 2 23 12" xfId="1069"/>
    <cellStyle name="Normal 2 23 12 2" xfId="4401"/>
    <cellStyle name="Normal 2 23 13" xfId="1070"/>
    <cellStyle name="Normal 2 23 13 2" xfId="4400"/>
    <cellStyle name="Normal 2 23 14" xfId="1071"/>
    <cellStyle name="Normal 2 23 14 2" xfId="4399"/>
    <cellStyle name="Normal 2 23 15" xfId="1072"/>
    <cellStyle name="Normal 2 23 15 2" xfId="4398"/>
    <cellStyle name="Normal 2 23 16" xfId="1073"/>
    <cellStyle name="Normal 2 23 16 2" xfId="4397"/>
    <cellStyle name="Normal 2 23 17" xfId="1074"/>
    <cellStyle name="Normal 2 23 17 2" xfId="4396"/>
    <cellStyle name="Normal 2 23 18" xfId="1075"/>
    <cellStyle name="Normal 2 23 18 2" xfId="4395"/>
    <cellStyle name="Normal 2 23 19" xfId="1076"/>
    <cellStyle name="Normal 2 23 19 2" xfId="4394"/>
    <cellStyle name="Normal 2 23 2" xfId="1077"/>
    <cellStyle name="Normal 2 23 2 2" xfId="4393"/>
    <cellStyle name="Normal 2 23 20" xfId="1078"/>
    <cellStyle name="Normal 2 23 20 2" xfId="4392"/>
    <cellStyle name="Normal 2 23 21" xfId="1079"/>
    <cellStyle name="Normal 2 23 21 2" xfId="4391"/>
    <cellStyle name="Normal 2 23 22" xfId="1080"/>
    <cellStyle name="Normal 2 23 22 2" xfId="4390"/>
    <cellStyle name="Normal 2 23 23" xfId="1081"/>
    <cellStyle name="Normal 2 23 23 2" xfId="4389"/>
    <cellStyle name="Normal 2 23 24" xfId="4404"/>
    <cellStyle name="Normal 2 23 3" xfId="1082"/>
    <cellStyle name="Normal 2 23 3 2" xfId="4388"/>
    <cellStyle name="Normal 2 23 4" xfId="1083"/>
    <cellStyle name="Normal 2 23 4 2" xfId="4387"/>
    <cellStyle name="Normal 2 23 5" xfId="1084"/>
    <cellStyle name="Normal 2 23 5 2" xfId="4386"/>
    <cellStyle name="Normal 2 23 6" xfId="1085"/>
    <cellStyle name="Normal 2 23 6 2" xfId="4385"/>
    <cellStyle name="Normal 2 23 7" xfId="1086"/>
    <cellStyle name="Normal 2 23 7 2" xfId="4384"/>
    <cellStyle name="Normal 2 23 8" xfId="1087"/>
    <cellStyle name="Normal 2 23 8 2" xfId="4383"/>
    <cellStyle name="Normal 2 23 9" xfId="1088"/>
    <cellStyle name="Normal 2 23 9 2" xfId="4382"/>
    <cellStyle name="Normal 2 24" xfId="1089"/>
    <cellStyle name="Normal 2 24 10" xfId="1090"/>
    <cellStyle name="Normal 2 24 10 2" xfId="4380"/>
    <cellStyle name="Normal 2 24 11" xfId="1091"/>
    <cellStyle name="Normal 2 24 11 2" xfId="4379"/>
    <cellStyle name="Normal 2 24 12" xfId="1092"/>
    <cellStyle name="Normal 2 24 12 2" xfId="4378"/>
    <cellStyle name="Normal 2 24 13" xfId="1093"/>
    <cellStyle name="Normal 2 24 13 2" xfId="4377"/>
    <cellStyle name="Normal 2 24 14" xfId="1094"/>
    <cellStyle name="Normal 2 24 14 2" xfId="4376"/>
    <cellStyle name="Normal 2 24 15" xfId="1095"/>
    <cellStyle name="Normal 2 24 15 2" xfId="4375"/>
    <cellStyle name="Normal 2 24 16" xfId="1096"/>
    <cellStyle name="Normal 2 24 16 2" xfId="4374"/>
    <cellStyle name="Normal 2 24 17" xfId="1097"/>
    <cellStyle name="Normal 2 24 17 2" xfId="4373"/>
    <cellStyle name="Normal 2 24 18" xfId="1098"/>
    <cellStyle name="Normal 2 24 18 2" xfId="4372"/>
    <cellStyle name="Normal 2 24 19" xfId="1099"/>
    <cellStyle name="Normal 2 24 19 2" xfId="4371"/>
    <cellStyle name="Normal 2 24 2" xfId="1100"/>
    <cellStyle name="Normal 2 24 2 2" xfId="4370"/>
    <cellStyle name="Normal 2 24 20" xfId="1101"/>
    <cellStyle name="Normal 2 24 20 2" xfId="4369"/>
    <cellStyle name="Normal 2 24 21" xfId="1102"/>
    <cellStyle name="Normal 2 24 21 2" xfId="4368"/>
    <cellStyle name="Normal 2 24 22" xfId="1103"/>
    <cellStyle name="Normal 2 24 22 2" xfId="4367"/>
    <cellStyle name="Normal 2 24 23" xfId="1104"/>
    <cellStyle name="Normal 2 24 23 2" xfId="4366"/>
    <cellStyle name="Normal 2 24 24" xfId="4381"/>
    <cellStyle name="Normal 2 24 3" xfId="1105"/>
    <cellStyle name="Normal 2 24 3 2" xfId="4365"/>
    <cellStyle name="Normal 2 24 4" xfId="1106"/>
    <cellStyle name="Normal 2 24 4 2" xfId="4364"/>
    <cellStyle name="Normal 2 24 5" xfId="1107"/>
    <cellStyle name="Normal 2 24 5 2" xfId="4363"/>
    <cellStyle name="Normal 2 24 6" xfId="1108"/>
    <cellStyle name="Normal 2 24 6 2" xfId="4362"/>
    <cellStyle name="Normal 2 24 7" xfId="1109"/>
    <cellStyle name="Normal 2 24 7 2" xfId="4361"/>
    <cellStyle name="Normal 2 24 8" xfId="1110"/>
    <cellStyle name="Normal 2 24 8 2" xfId="4360"/>
    <cellStyle name="Normal 2 24 9" xfId="1111"/>
    <cellStyle name="Normal 2 24 9 2" xfId="4359"/>
    <cellStyle name="Normal 2 25" xfId="1112"/>
    <cellStyle name="Normal 2 25 10" xfId="1113"/>
    <cellStyle name="Normal 2 25 10 2" xfId="4357"/>
    <cellStyle name="Normal 2 25 11" xfId="1114"/>
    <cellStyle name="Normal 2 25 11 2" xfId="4356"/>
    <cellStyle name="Normal 2 25 12" xfId="1115"/>
    <cellStyle name="Normal 2 25 12 2" xfId="4355"/>
    <cellStyle name="Normal 2 25 13" xfId="1116"/>
    <cellStyle name="Normal 2 25 13 2" xfId="4354"/>
    <cellStyle name="Normal 2 25 14" xfId="1117"/>
    <cellStyle name="Normal 2 25 14 2" xfId="4353"/>
    <cellStyle name="Normal 2 25 15" xfId="1118"/>
    <cellStyle name="Normal 2 25 15 2" xfId="4352"/>
    <cellStyle name="Normal 2 25 16" xfId="1119"/>
    <cellStyle name="Normal 2 25 16 2" xfId="4351"/>
    <cellStyle name="Normal 2 25 17" xfId="1120"/>
    <cellStyle name="Normal 2 25 17 2" xfId="4350"/>
    <cellStyle name="Normal 2 25 18" xfId="1121"/>
    <cellStyle name="Normal 2 25 18 2" xfId="4349"/>
    <cellStyle name="Normal 2 25 19" xfId="1122"/>
    <cellStyle name="Normal 2 25 19 2" xfId="4348"/>
    <cellStyle name="Normal 2 25 2" xfId="1123"/>
    <cellStyle name="Normal 2 25 2 2" xfId="4347"/>
    <cellStyle name="Normal 2 25 20" xfId="1124"/>
    <cellStyle name="Normal 2 25 20 2" xfId="4346"/>
    <cellStyle name="Normal 2 25 21" xfId="1125"/>
    <cellStyle name="Normal 2 25 21 2" xfId="4345"/>
    <cellStyle name="Normal 2 25 22" xfId="1126"/>
    <cellStyle name="Normal 2 25 22 2" xfId="4344"/>
    <cellStyle name="Normal 2 25 23" xfId="1127"/>
    <cellStyle name="Normal 2 25 23 2" xfId="4343"/>
    <cellStyle name="Normal 2 25 24" xfId="4358"/>
    <cellStyle name="Normal 2 25 3" xfId="1128"/>
    <cellStyle name="Normal 2 25 3 2" xfId="4342"/>
    <cellStyle name="Normal 2 25 4" xfId="1129"/>
    <cellStyle name="Normal 2 25 4 2" xfId="4341"/>
    <cellStyle name="Normal 2 25 5" xfId="1130"/>
    <cellStyle name="Normal 2 25 5 2" xfId="4340"/>
    <cellStyle name="Normal 2 25 6" xfId="1131"/>
    <cellStyle name="Normal 2 25 6 2" xfId="4339"/>
    <cellStyle name="Normal 2 25 7" xfId="1132"/>
    <cellStyle name="Normal 2 25 7 2" xfId="4338"/>
    <cellStyle name="Normal 2 25 8" xfId="1133"/>
    <cellStyle name="Normal 2 25 8 2" xfId="4337"/>
    <cellStyle name="Normal 2 25 9" xfId="1134"/>
    <cellStyle name="Normal 2 25 9 2" xfId="4336"/>
    <cellStyle name="Normal 2 26" xfId="1135"/>
    <cellStyle name="Normal 2 26 10" xfId="1136"/>
    <cellStyle name="Normal 2 26 10 2" xfId="4334"/>
    <cellStyle name="Normal 2 26 11" xfId="1137"/>
    <cellStyle name="Normal 2 26 11 2" xfId="4333"/>
    <cellStyle name="Normal 2 26 12" xfId="1138"/>
    <cellStyle name="Normal 2 26 12 2" xfId="4332"/>
    <cellStyle name="Normal 2 26 13" xfId="1139"/>
    <cellStyle name="Normal 2 26 13 2" xfId="4331"/>
    <cellStyle name="Normal 2 26 14" xfId="1140"/>
    <cellStyle name="Normal 2 26 14 2" xfId="4330"/>
    <cellStyle name="Normal 2 26 15" xfId="1141"/>
    <cellStyle name="Normal 2 26 15 2" xfId="4329"/>
    <cellStyle name="Normal 2 26 16" xfId="1142"/>
    <cellStyle name="Normal 2 26 16 2" xfId="4328"/>
    <cellStyle name="Normal 2 26 17" xfId="1143"/>
    <cellStyle name="Normal 2 26 17 2" xfId="4327"/>
    <cellStyle name="Normal 2 26 18" xfId="1144"/>
    <cellStyle name="Normal 2 26 18 2" xfId="4326"/>
    <cellStyle name="Normal 2 26 19" xfId="1145"/>
    <cellStyle name="Normal 2 26 19 2" xfId="4325"/>
    <cellStyle name="Normal 2 26 2" xfId="1146"/>
    <cellStyle name="Normal 2 26 2 2" xfId="4324"/>
    <cellStyle name="Normal 2 26 20" xfId="1147"/>
    <cellStyle name="Normal 2 26 20 2" xfId="4323"/>
    <cellStyle name="Normal 2 26 21" xfId="1148"/>
    <cellStyle name="Normal 2 26 21 2" xfId="4322"/>
    <cellStyle name="Normal 2 26 22" xfId="1149"/>
    <cellStyle name="Normal 2 26 22 2" xfId="4321"/>
    <cellStyle name="Normal 2 26 23" xfId="1150"/>
    <cellStyle name="Normal 2 26 23 2" xfId="4320"/>
    <cellStyle name="Normal 2 26 24" xfId="4335"/>
    <cellStyle name="Normal 2 26 3" xfId="1151"/>
    <cellStyle name="Normal 2 26 3 2" xfId="4319"/>
    <cellStyle name="Normal 2 26 4" xfId="1152"/>
    <cellStyle name="Normal 2 26 4 2" xfId="4318"/>
    <cellStyle name="Normal 2 26 5" xfId="1153"/>
    <cellStyle name="Normal 2 26 5 2" xfId="4317"/>
    <cellStyle name="Normal 2 26 6" xfId="1154"/>
    <cellStyle name="Normal 2 26 6 2" xfId="4316"/>
    <cellStyle name="Normal 2 26 7" xfId="1155"/>
    <cellStyle name="Normal 2 26 7 2" xfId="4315"/>
    <cellStyle name="Normal 2 26 8" xfId="1156"/>
    <cellStyle name="Normal 2 26 8 2" xfId="4314"/>
    <cellStyle name="Normal 2 26 9" xfId="1157"/>
    <cellStyle name="Normal 2 26 9 2" xfId="4313"/>
    <cellStyle name="Normal 2 27" xfId="1158"/>
    <cellStyle name="Normal 2 27 10" xfId="1159"/>
    <cellStyle name="Normal 2 27 10 2" xfId="4311"/>
    <cellStyle name="Normal 2 27 11" xfId="1160"/>
    <cellStyle name="Normal 2 27 11 2" xfId="4310"/>
    <cellStyle name="Normal 2 27 12" xfId="1161"/>
    <cellStyle name="Normal 2 27 12 2" xfId="4309"/>
    <cellStyle name="Normal 2 27 13" xfId="1162"/>
    <cellStyle name="Normal 2 27 13 2" xfId="4308"/>
    <cellStyle name="Normal 2 27 14" xfId="1163"/>
    <cellStyle name="Normal 2 27 14 2" xfId="4307"/>
    <cellStyle name="Normal 2 27 15" xfId="1164"/>
    <cellStyle name="Normal 2 27 15 2" xfId="4306"/>
    <cellStyle name="Normal 2 27 16" xfId="1165"/>
    <cellStyle name="Normal 2 27 16 2" xfId="4305"/>
    <cellStyle name="Normal 2 27 17" xfId="1166"/>
    <cellStyle name="Normal 2 27 17 2" xfId="4304"/>
    <cellStyle name="Normal 2 27 18" xfId="1167"/>
    <cellStyle name="Normal 2 27 18 2" xfId="4303"/>
    <cellStyle name="Normal 2 27 19" xfId="1168"/>
    <cellStyle name="Normal 2 27 19 2" xfId="4302"/>
    <cellStyle name="Normal 2 27 2" xfId="1169"/>
    <cellStyle name="Normal 2 27 2 2" xfId="4301"/>
    <cellStyle name="Normal 2 27 20" xfId="1170"/>
    <cellStyle name="Normal 2 27 20 2" xfId="4300"/>
    <cellStyle name="Normal 2 27 21" xfId="1171"/>
    <cellStyle name="Normal 2 27 21 2" xfId="4299"/>
    <cellStyle name="Normal 2 27 22" xfId="1172"/>
    <cellStyle name="Normal 2 27 22 2" xfId="4298"/>
    <cellStyle name="Normal 2 27 23" xfId="1173"/>
    <cellStyle name="Normal 2 27 23 2" xfId="4297"/>
    <cellStyle name="Normal 2 27 24" xfId="4312"/>
    <cellStyle name="Normal 2 27 3" xfId="1174"/>
    <cellStyle name="Normal 2 27 3 2" xfId="4296"/>
    <cellStyle name="Normal 2 27 4" xfId="1175"/>
    <cellStyle name="Normal 2 27 4 2" xfId="4295"/>
    <cellStyle name="Normal 2 27 5" xfId="1176"/>
    <cellStyle name="Normal 2 27 5 2" xfId="4294"/>
    <cellStyle name="Normal 2 27 6" xfId="1177"/>
    <cellStyle name="Normal 2 27 6 2" xfId="4293"/>
    <cellStyle name="Normal 2 27 7" xfId="1178"/>
    <cellStyle name="Normal 2 27 7 2" xfId="4292"/>
    <cellStyle name="Normal 2 27 8" xfId="1179"/>
    <cellStyle name="Normal 2 27 8 2" xfId="4291"/>
    <cellStyle name="Normal 2 27 9" xfId="1180"/>
    <cellStyle name="Normal 2 27 9 2" xfId="4290"/>
    <cellStyle name="Normal 2 28" xfId="1181"/>
    <cellStyle name="Normal 2 28 10" xfId="1182"/>
    <cellStyle name="Normal 2 28 10 2" xfId="4288"/>
    <cellStyle name="Normal 2 28 11" xfId="1183"/>
    <cellStyle name="Normal 2 28 11 2" xfId="4287"/>
    <cellStyle name="Normal 2 28 12" xfId="1184"/>
    <cellStyle name="Normal 2 28 12 2" xfId="4286"/>
    <cellStyle name="Normal 2 28 13" xfId="1185"/>
    <cellStyle name="Normal 2 28 13 2" xfId="4285"/>
    <cellStyle name="Normal 2 28 14" xfId="1186"/>
    <cellStyle name="Normal 2 28 14 2" xfId="4284"/>
    <cellStyle name="Normal 2 28 15" xfId="1187"/>
    <cellStyle name="Normal 2 28 15 2" xfId="4283"/>
    <cellStyle name="Normal 2 28 16" xfId="1188"/>
    <cellStyle name="Normal 2 28 16 2" xfId="4282"/>
    <cellStyle name="Normal 2 28 17" xfId="1189"/>
    <cellStyle name="Normal 2 28 17 2" xfId="4281"/>
    <cellStyle name="Normal 2 28 18" xfId="1190"/>
    <cellStyle name="Normal 2 28 18 2" xfId="4280"/>
    <cellStyle name="Normal 2 28 19" xfId="1191"/>
    <cellStyle name="Normal 2 28 19 2" xfId="4279"/>
    <cellStyle name="Normal 2 28 2" xfId="1192"/>
    <cellStyle name="Normal 2 28 2 2" xfId="4278"/>
    <cellStyle name="Normal 2 28 20" xfId="1193"/>
    <cellStyle name="Normal 2 28 20 2" xfId="4277"/>
    <cellStyle name="Normal 2 28 21" xfId="1194"/>
    <cellStyle name="Normal 2 28 21 2" xfId="4276"/>
    <cellStyle name="Normal 2 28 22" xfId="1195"/>
    <cellStyle name="Normal 2 28 22 2" xfId="4275"/>
    <cellStyle name="Normal 2 28 23" xfId="1196"/>
    <cellStyle name="Normal 2 28 23 2" xfId="4274"/>
    <cellStyle name="Normal 2 28 24" xfId="4289"/>
    <cellStyle name="Normal 2 28 3" xfId="1197"/>
    <cellStyle name="Normal 2 28 3 2" xfId="4273"/>
    <cellStyle name="Normal 2 28 4" xfId="1198"/>
    <cellStyle name="Normal 2 28 4 2" xfId="4272"/>
    <cellStyle name="Normal 2 28 5" xfId="1199"/>
    <cellStyle name="Normal 2 28 5 2" xfId="4271"/>
    <cellStyle name="Normal 2 28 6" xfId="1200"/>
    <cellStyle name="Normal 2 28 6 2" xfId="4270"/>
    <cellStyle name="Normal 2 28 7" xfId="1201"/>
    <cellStyle name="Normal 2 28 7 2" xfId="4269"/>
    <cellStyle name="Normal 2 28 8" xfId="1202"/>
    <cellStyle name="Normal 2 28 8 2" xfId="4268"/>
    <cellStyle name="Normal 2 28 9" xfId="1203"/>
    <cellStyle name="Normal 2 28 9 2" xfId="4267"/>
    <cellStyle name="Normal 2 29" xfId="1204"/>
    <cellStyle name="Normal 2 29 10" xfId="1205"/>
    <cellStyle name="Normal 2 29 10 2" xfId="4265"/>
    <cellStyle name="Normal 2 29 11" xfId="1206"/>
    <cellStyle name="Normal 2 29 11 2" xfId="4264"/>
    <cellStyle name="Normal 2 29 12" xfId="1207"/>
    <cellStyle name="Normal 2 29 12 2" xfId="4263"/>
    <cellStyle name="Normal 2 29 13" xfId="1208"/>
    <cellStyle name="Normal 2 29 13 2" xfId="4262"/>
    <cellStyle name="Normal 2 29 14" xfId="1209"/>
    <cellStyle name="Normal 2 29 14 2" xfId="4261"/>
    <cellStyle name="Normal 2 29 15" xfId="1210"/>
    <cellStyle name="Normal 2 29 15 2" xfId="4260"/>
    <cellStyle name="Normal 2 29 16" xfId="1211"/>
    <cellStyle name="Normal 2 29 16 2" xfId="4259"/>
    <cellStyle name="Normal 2 29 17" xfId="1212"/>
    <cellStyle name="Normal 2 29 17 2" xfId="4258"/>
    <cellStyle name="Normal 2 29 18" xfId="1213"/>
    <cellStyle name="Normal 2 29 18 2" xfId="4257"/>
    <cellStyle name="Normal 2 29 19" xfId="1214"/>
    <cellStyle name="Normal 2 29 19 2" xfId="4256"/>
    <cellStyle name="Normal 2 29 2" xfId="1215"/>
    <cellStyle name="Normal 2 29 2 2" xfId="4255"/>
    <cellStyle name="Normal 2 29 20" xfId="1216"/>
    <cellStyle name="Normal 2 29 20 2" xfId="4254"/>
    <cellStyle name="Normal 2 29 21" xfId="1217"/>
    <cellStyle name="Normal 2 29 21 2" xfId="4253"/>
    <cellStyle name="Normal 2 29 22" xfId="1218"/>
    <cellStyle name="Normal 2 29 22 2" xfId="4252"/>
    <cellStyle name="Normal 2 29 23" xfId="1219"/>
    <cellStyle name="Normal 2 29 23 2" xfId="4251"/>
    <cellStyle name="Normal 2 29 24" xfId="4266"/>
    <cellStyle name="Normal 2 29 3" xfId="1220"/>
    <cellStyle name="Normal 2 29 3 2" xfId="4250"/>
    <cellStyle name="Normal 2 29 4" xfId="1221"/>
    <cellStyle name="Normal 2 29 4 2" xfId="4249"/>
    <cellStyle name="Normal 2 29 5" xfId="1222"/>
    <cellStyle name="Normal 2 29 5 2" xfId="4248"/>
    <cellStyle name="Normal 2 29 6" xfId="1223"/>
    <cellStyle name="Normal 2 29 6 2" xfId="4247"/>
    <cellStyle name="Normal 2 29 7" xfId="1224"/>
    <cellStyle name="Normal 2 29 7 2" xfId="4246"/>
    <cellStyle name="Normal 2 29 8" xfId="1225"/>
    <cellStyle name="Normal 2 29 8 2" xfId="4245"/>
    <cellStyle name="Normal 2 29 9" xfId="1226"/>
    <cellStyle name="Normal 2 29 9 2" xfId="4244"/>
    <cellStyle name="Normal 2 3" xfId="1227"/>
    <cellStyle name="Normal 2 3 2" xfId="4243"/>
    <cellStyle name="Normal 2 30" xfId="1228"/>
    <cellStyle name="Normal 2 30 10" xfId="1229"/>
    <cellStyle name="Normal 2 30 10 2" xfId="4241"/>
    <cellStyle name="Normal 2 30 11" xfId="1230"/>
    <cellStyle name="Normal 2 30 11 2" xfId="4240"/>
    <cellStyle name="Normal 2 30 12" xfId="1231"/>
    <cellStyle name="Normal 2 30 12 2" xfId="4239"/>
    <cellStyle name="Normal 2 30 13" xfId="1232"/>
    <cellStyle name="Normal 2 30 13 2" xfId="4238"/>
    <cellStyle name="Normal 2 30 14" xfId="1233"/>
    <cellStyle name="Normal 2 30 14 2" xfId="4237"/>
    <cellStyle name="Normal 2 30 15" xfId="1234"/>
    <cellStyle name="Normal 2 30 15 2" xfId="4236"/>
    <cellStyle name="Normal 2 30 16" xfId="1235"/>
    <cellStyle name="Normal 2 30 16 2" xfId="4235"/>
    <cellStyle name="Normal 2 30 17" xfId="1236"/>
    <cellStyle name="Normal 2 30 17 2" xfId="4234"/>
    <cellStyle name="Normal 2 30 18" xfId="1237"/>
    <cellStyle name="Normal 2 30 18 2" xfId="4233"/>
    <cellStyle name="Normal 2 30 19" xfId="1238"/>
    <cellStyle name="Normal 2 30 19 2" xfId="4232"/>
    <cellStyle name="Normal 2 30 2" xfId="1239"/>
    <cellStyle name="Normal 2 30 2 2" xfId="4231"/>
    <cellStyle name="Normal 2 30 20" xfId="1240"/>
    <cellStyle name="Normal 2 30 20 2" xfId="4230"/>
    <cellStyle name="Normal 2 30 21" xfId="1241"/>
    <cellStyle name="Normal 2 30 21 2" xfId="4229"/>
    <cellStyle name="Normal 2 30 22" xfId="1242"/>
    <cellStyle name="Normal 2 30 22 2" xfId="4228"/>
    <cellStyle name="Normal 2 30 23" xfId="1243"/>
    <cellStyle name="Normal 2 30 23 2" xfId="4227"/>
    <cellStyle name="Normal 2 30 24" xfId="4242"/>
    <cellStyle name="Normal 2 30 3" xfId="1244"/>
    <cellStyle name="Normal 2 30 3 2" xfId="4226"/>
    <cellStyle name="Normal 2 30 4" xfId="1245"/>
    <cellStyle name="Normal 2 30 4 2" xfId="4225"/>
    <cellStyle name="Normal 2 30 5" xfId="1246"/>
    <cellStyle name="Normal 2 30 5 2" xfId="4224"/>
    <cellStyle name="Normal 2 30 6" xfId="1247"/>
    <cellStyle name="Normal 2 30 6 2" xfId="4223"/>
    <cellStyle name="Normal 2 30 7" xfId="1248"/>
    <cellStyle name="Normal 2 30 7 2" xfId="4222"/>
    <cellStyle name="Normal 2 30 8" xfId="1249"/>
    <cellStyle name="Normal 2 30 8 2" xfId="4221"/>
    <cellStyle name="Normal 2 30 9" xfId="1250"/>
    <cellStyle name="Normal 2 30 9 2" xfId="4220"/>
    <cellStyle name="Normal 2 31" xfId="1251"/>
    <cellStyle name="Normal 2 31 10" xfId="1252"/>
    <cellStyle name="Normal 2 31 10 2" xfId="4218"/>
    <cellStyle name="Normal 2 31 11" xfId="1253"/>
    <cellStyle name="Normal 2 31 11 2" xfId="4217"/>
    <cellStyle name="Normal 2 31 12" xfId="1254"/>
    <cellStyle name="Normal 2 31 12 2" xfId="4216"/>
    <cellStyle name="Normal 2 31 13" xfId="1255"/>
    <cellStyle name="Normal 2 31 13 2" xfId="4215"/>
    <cellStyle name="Normal 2 31 14" xfId="1256"/>
    <cellStyle name="Normal 2 31 14 2" xfId="4214"/>
    <cellStyle name="Normal 2 31 15" xfId="1257"/>
    <cellStyle name="Normal 2 31 15 2" xfId="4213"/>
    <cellStyle name="Normal 2 31 16" xfId="1258"/>
    <cellStyle name="Normal 2 31 16 2" xfId="4212"/>
    <cellStyle name="Normal 2 31 17" xfId="1259"/>
    <cellStyle name="Normal 2 31 17 2" xfId="4211"/>
    <cellStyle name="Normal 2 31 18" xfId="1260"/>
    <cellStyle name="Normal 2 31 18 2" xfId="4210"/>
    <cellStyle name="Normal 2 31 19" xfId="1261"/>
    <cellStyle name="Normal 2 31 19 2" xfId="4209"/>
    <cellStyle name="Normal 2 31 2" xfId="1262"/>
    <cellStyle name="Normal 2 31 2 2" xfId="4208"/>
    <cellStyle name="Normal 2 31 20" xfId="1263"/>
    <cellStyle name="Normal 2 31 20 2" xfId="4207"/>
    <cellStyle name="Normal 2 31 21" xfId="1264"/>
    <cellStyle name="Normal 2 31 21 2" xfId="4206"/>
    <cellStyle name="Normal 2 31 22" xfId="1265"/>
    <cellStyle name="Normal 2 31 22 2" xfId="4205"/>
    <cellStyle name="Normal 2 31 23" xfId="1266"/>
    <cellStyle name="Normal 2 31 23 2" xfId="4204"/>
    <cellStyle name="Normal 2 31 24" xfId="4219"/>
    <cellStyle name="Normal 2 31 3" xfId="1267"/>
    <cellStyle name="Normal 2 31 3 2" xfId="4203"/>
    <cellStyle name="Normal 2 31 4" xfId="1268"/>
    <cellStyle name="Normal 2 31 4 2" xfId="4202"/>
    <cellStyle name="Normal 2 31 5" xfId="1269"/>
    <cellStyle name="Normal 2 31 5 2" xfId="4201"/>
    <cellStyle name="Normal 2 31 6" xfId="1270"/>
    <cellStyle name="Normal 2 31 6 2" xfId="4200"/>
    <cellStyle name="Normal 2 31 7" xfId="1271"/>
    <cellStyle name="Normal 2 31 7 2" xfId="4199"/>
    <cellStyle name="Normal 2 31 8" xfId="1272"/>
    <cellStyle name="Normal 2 31 8 2" xfId="4198"/>
    <cellStyle name="Normal 2 31 9" xfId="1273"/>
    <cellStyle name="Normal 2 31 9 2" xfId="4197"/>
    <cellStyle name="Normal 2 32" xfId="1274"/>
    <cellStyle name="Normal 2 32 10" xfId="1275"/>
    <cellStyle name="Normal 2 32 10 2" xfId="4195"/>
    <cellStyle name="Normal 2 32 11" xfId="1276"/>
    <cellStyle name="Normal 2 32 11 2" xfId="4194"/>
    <cellStyle name="Normal 2 32 12" xfId="1277"/>
    <cellStyle name="Normal 2 32 12 2" xfId="4193"/>
    <cellStyle name="Normal 2 32 13" xfId="1278"/>
    <cellStyle name="Normal 2 32 13 2" xfId="4192"/>
    <cellStyle name="Normal 2 32 14" xfId="1279"/>
    <cellStyle name="Normal 2 32 14 2" xfId="4191"/>
    <cellStyle name="Normal 2 32 15" xfId="1280"/>
    <cellStyle name="Normal 2 32 15 2" xfId="4190"/>
    <cellStyle name="Normal 2 32 16" xfId="1281"/>
    <cellStyle name="Normal 2 32 16 2" xfId="4189"/>
    <cellStyle name="Normal 2 32 17" xfId="1282"/>
    <cellStyle name="Normal 2 32 17 2" xfId="4188"/>
    <cellStyle name="Normal 2 32 18" xfId="1283"/>
    <cellStyle name="Normal 2 32 18 2" xfId="4187"/>
    <cellStyle name="Normal 2 32 19" xfId="1284"/>
    <cellStyle name="Normal 2 32 19 2" xfId="4186"/>
    <cellStyle name="Normal 2 32 2" xfId="1285"/>
    <cellStyle name="Normal 2 32 2 2" xfId="4185"/>
    <cellStyle name="Normal 2 32 20" xfId="1286"/>
    <cellStyle name="Normal 2 32 20 2" xfId="4184"/>
    <cellStyle name="Normal 2 32 21" xfId="1287"/>
    <cellStyle name="Normal 2 32 21 2" xfId="4183"/>
    <cellStyle name="Normal 2 32 22" xfId="1288"/>
    <cellStyle name="Normal 2 32 22 2" xfId="4182"/>
    <cellStyle name="Normal 2 32 23" xfId="1289"/>
    <cellStyle name="Normal 2 32 23 2" xfId="4181"/>
    <cellStyle name="Normal 2 32 24" xfId="4196"/>
    <cellStyle name="Normal 2 32 3" xfId="1290"/>
    <cellStyle name="Normal 2 32 3 2" xfId="4180"/>
    <cellStyle name="Normal 2 32 4" xfId="1291"/>
    <cellStyle name="Normal 2 32 4 2" xfId="4179"/>
    <cellStyle name="Normal 2 32 5" xfId="1292"/>
    <cellStyle name="Normal 2 32 5 2" xfId="4178"/>
    <cellStyle name="Normal 2 32 6" xfId="1293"/>
    <cellStyle name="Normal 2 32 6 2" xfId="4177"/>
    <cellStyle name="Normal 2 32 7" xfId="1294"/>
    <cellStyle name="Normal 2 32 7 2" xfId="4176"/>
    <cellStyle name="Normal 2 32 8" xfId="1295"/>
    <cellStyle name="Normal 2 32 8 2" xfId="4175"/>
    <cellStyle name="Normal 2 32 9" xfId="1296"/>
    <cellStyle name="Normal 2 32 9 2" xfId="4174"/>
    <cellStyle name="Normal 2 33" xfId="1297"/>
    <cellStyle name="Normal 2 33 10" xfId="1298"/>
    <cellStyle name="Normal 2 33 10 2" xfId="4172"/>
    <cellStyle name="Normal 2 33 11" xfId="1299"/>
    <cellStyle name="Normal 2 33 11 2" xfId="4171"/>
    <cellStyle name="Normal 2 33 12" xfId="1300"/>
    <cellStyle name="Normal 2 33 12 2" xfId="4170"/>
    <cellStyle name="Normal 2 33 13" xfId="1301"/>
    <cellStyle name="Normal 2 33 13 2" xfId="4169"/>
    <cellStyle name="Normal 2 33 14" xfId="1302"/>
    <cellStyle name="Normal 2 33 14 2" xfId="4168"/>
    <cellStyle name="Normal 2 33 15" xfId="1303"/>
    <cellStyle name="Normal 2 33 15 2" xfId="4167"/>
    <cellStyle name="Normal 2 33 16" xfId="1304"/>
    <cellStyle name="Normal 2 33 16 2" xfId="4166"/>
    <cellStyle name="Normal 2 33 17" xfId="1305"/>
    <cellStyle name="Normal 2 33 17 2" xfId="4165"/>
    <cellStyle name="Normal 2 33 18" xfId="1306"/>
    <cellStyle name="Normal 2 33 18 2" xfId="4164"/>
    <cellStyle name="Normal 2 33 19" xfId="1307"/>
    <cellStyle name="Normal 2 33 19 2" xfId="4163"/>
    <cellStyle name="Normal 2 33 2" xfId="1308"/>
    <cellStyle name="Normal 2 33 2 2" xfId="4162"/>
    <cellStyle name="Normal 2 33 20" xfId="1309"/>
    <cellStyle name="Normal 2 33 20 2" xfId="4161"/>
    <cellStyle name="Normal 2 33 21" xfId="1310"/>
    <cellStyle name="Normal 2 33 21 2" xfId="4160"/>
    <cellStyle name="Normal 2 33 22" xfId="1311"/>
    <cellStyle name="Normal 2 33 22 2" xfId="4159"/>
    <cellStyle name="Normal 2 33 23" xfId="1312"/>
    <cellStyle name="Normal 2 33 23 2" xfId="4158"/>
    <cellStyle name="Normal 2 33 24" xfId="4173"/>
    <cellStyle name="Normal 2 33 3" xfId="1313"/>
    <cellStyle name="Normal 2 33 3 2" xfId="4157"/>
    <cellStyle name="Normal 2 33 4" xfId="1314"/>
    <cellStyle name="Normal 2 33 4 2" xfId="4156"/>
    <cellStyle name="Normal 2 33 5" xfId="1315"/>
    <cellStyle name="Normal 2 33 5 2" xfId="4155"/>
    <cellStyle name="Normal 2 33 6" xfId="1316"/>
    <cellStyle name="Normal 2 33 6 2" xfId="4154"/>
    <cellStyle name="Normal 2 33 7" xfId="1317"/>
    <cellStyle name="Normal 2 33 7 2" xfId="4153"/>
    <cellStyle name="Normal 2 33 8" xfId="1318"/>
    <cellStyle name="Normal 2 33 8 2" xfId="4152"/>
    <cellStyle name="Normal 2 33 9" xfId="1319"/>
    <cellStyle name="Normal 2 33 9 2" xfId="4151"/>
    <cellStyle name="Normal 2 34" xfId="1320"/>
    <cellStyle name="Normal 2 34 10" xfId="1321"/>
    <cellStyle name="Normal 2 34 10 2" xfId="4149"/>
    <cellStyle name="Normal 2 34 11" xfId="1322"/>
    <cellStyle name="Normal 2 34 11 2" xfId="4148"/>
    <cellStyle name="Normal 2 34 12" xfId="1323"/>
    <cellStyle name="Normal 2 34 12 2" xfId="4147"/>
    <cellStyle name="Normal 2 34 13" xfId="1324"/>
    <cellStyle name="Normal 2 34 13 2" xfId="4146"/>
    <cellStyle name="Normal 2 34 14" xfId="1325"/>
    <cellStyle name="Normal 2 34 14 2" xfId="4145"/>
    <cellStyle name="Normal 2 34 15" xfId="1326"/>
    <cellStyle name="Normal 2 34 15 2" xfId="4144"/>
    <cellStyle name="Normal 2 34 16" xfId="1327"/>
    <cellStyle name="Normal 2 34 16 2" xfId="4143"/>
    <cellStyle name="Normal 2 34 17" xfId="1328"/>
    <cellStyle name="Normal 2 34 17 2" xfId="4142"/>
    <cellStyle name="Normal 2 34 18" xfId="1329"/>
    <cellStyle name="Normal 2 34 18 2" xfId="4141"/>
    <cellStyle name="Normal 2 34 19" xfId="1330"/>
    <cellStyle name="Normal 2 34 19 2" xfId="4140"/>
    <cellStyle name="Normal 2 34 2" xfId="1331"/>
    <cellStyle name="Normal 2 34 2 2" xfId="4139"/>
    <cellStyle name="Normal 2 34 20" xfId="1332"/>
    <cellStyle name="Normal 2 34 20 2" xfId="4138"/>
    <cellStyle name="Normal 2 34 21" xfId="1333"/>
    <cellStyle name="Normal 2 34 21 2" xfId="4137"/>
    <cellStyle name="Normal 2 34 22" xfId="1334"/>
    <cellStyle name="Normal 2 34 22 2" xfId="4136"/>
    <cellStyle name="Normal 2 34 23" xfId="1335"/>
    <cellStyle name="Normal 2 34 23 2" xfId="4135"/>
    <cellStyle name="Normal 2 34 24" xfId="4150"/>
    <cellStyle name="Normal 2 34 3" xfId="1336"/>
    <cellStyle name="Normal 2 34 3 2" xfId="4134"/>
    <cellStyle name="Normal 2 34 4" xfId="1337"/>
    <cellStyle name="Normal 2 34 4 2" xfId="4133"/>
    <cellStyle name="Normal 2 34 5" xfId="1338"/>
    <cellStyle name="Normal 2 34 5 2" xfId="4132"/>
    <cellStyle name="Normal 2 34 6" xfId="1339"/>
    <cellStyle name="Normal 2 34 6 2" xfId="4131"/>
    <cellStyle name="Normal 2 34 7" xfId="1340"/>
    <cellStyle name="Normal 2 34 7 2" xfId="4130"/>
    <cellStyle name="Normal 2 34 8" xfId="1341"/>
    <cellStyle name="Normal 2 34 8 2" xfId="4129"/>
    <cellStyle name="Normal 2 34 9" xfId="1342"/>
    <cellStyle name="Normal 2 34 9 2" xfId="4128"/>
    <cellStyle name="Normal 2 35" xfId="1343"/>
    <cellStyle name="Normal 2 35 10" xfId="1344"/>
    <cellStyle name="Normal 2 35 10 2" xfId="4126"/>
    <cellStyle name="Normal 2 35 11" xfId="1345"/>
    <cellStyle name="Normal 2 35 11 2" xfId="4125"/>
    <cellStyle name="Normal 2 35 12" xfId="1346"/>
    <cellStyle name="Normal 2 35 12 2" xfId="4124"/>
    <cellStyle name="Normal 2 35 13" xfId="1347"/>
    <cellStyle name="Normal 2 35 13 2" xfId="4123"/>
    <cellStyle name="Normal 2 35 14" xfId="1348"/>
    <cellStyle name="Normal 2 35 14 2" xfId="4122"/>
    <cellStyle name="Normal 2 35 15" xfId="1349"/>
    <cellStyle name="Normal 2 35 15 2" xfId="4121"/>
    <cellStyle name="Normal 2 35 16" xfId="1350"/>
    <cellStyle name="Normal 2 35 16 2" xfId="4120"/>
    <cellStyle name="Normal 2 35 17" xfId="1351"/>
    <cellStyle name="Normal 2 35 17 2" xfId="4119"/>
    <cellStyle name="Normal 2 35 18" xfId="1352"/>
    <cellStyle name="Normal 2 35 18 2" xfId="4118"/>
    <cellStyle name="Normal 2 35 19" xfId="1353"/>
    <cellStyle name="Normal 2 35 19 2" xfId="4117"/>
    <cellStyle name="Normal 2 35 2" xfId="1354"/>
    <cellStyle name="Normal 2 35 2 2" xfId="4116"/>
    <cellStyle name="Normal 2 35 20" xfId="1355"/>
    <cellStyle name="Normal 2 35 20 2" xfId="4115"/>
    <cellStyle name="Normal 2 35 21" xfId="1356"/>
    <cellStyle name="Normal 2 35 21 2" xfId="4114"/>
    <cellStyle name="Normal 2 35 22" xfId="1357"/>
    <cellStyle name="Normal 2 35 22 2" xfId="4113"/>
    <cellStyle name="Normal 2 35 23" xfId="1358"/>
    <cellStyle name="Normal 2 35 23 2" xfId="4112"/>
    <cellStyle name="Normal 2 35 24" xfId="4127"/>
    <cellStyle name="Normal 2 35 3" xfId="1359"/>
    <cellStyle name="Normal 2 35 3 2" xfId="4111"/>
    <cellStyle name="Normal 2 35 4" xfId="1360"/>
    <cellStyle name="Normal 2 35 4 2" xfId="4110"/>
    <cellStyle name="Normal 2 35 5" xfId="1361"/>
    <cellStyle name="Normal 2 35 5 2" xfId="4109"/>
    <cellStyle name="Normal 2 35 6" xfId="1362"/>
    <cellStyle name="Normal 2 35 6 2" xfId="4108"/>
    <cellStyle name="Normal 2 35 7" xfId="1363"/>
    <cellStyle name="Normal 2 35 7 2" xfId="4107"/>
    <cellStyle name="Normal 2 35 8" xfId="1364"/>
    <cellStyle name="Normal 2 35 8 2" xfId="4106"/>
    <cellStyle name="Normal 2 35 9" xfId="1365"/>
    <cellStyle name="Normal 2 35 9 2" xfId="4105"/>
    <cellStyle name="Normal 2 36" xfId="1366"/>
    <cellStyle name="Normal 2 36 10" xfId="1367"/>
    <cellStyle name="Normal 2 36 10 2" xfId="4103"/>
    <cellStyle name="Normal 2 36 11" xfId="1368"/>
    <cellStyle name="Normal 2 36 11 2" xfId="4102"/>
    <cellStyle name="Normal 2 36 12" xfId="1369"/>
    <cellStyle name="Normal 2 36 12 2" xfId="4101"/>
    <cellStyle name="Normal 2 36 13" xfId="1370"/>
    <cellStyle name="Normal 2 36 13 2" xfId="4100"/>
    <cellStyle name="Normal 2 36 14" xfId="1371"/>
    <cellStyle name="Normal 2 36 14 2" xfId="4099"/>
    <cellStyle name="Normal 2 36 15" xfId="1372"/>
    <cellStyle name="Normal 2 36 15 2" xfId="4098"/>
    <cellStyle name="Normal 2 36 16" xfId="1373"/>
    <cellStyle name="Normal 2 36 16 2" xfId="4097"/>
    <cellStyle name="Normal 2 36 17" xfId="1374"/>
    <cellStyle name="Normal 2 36 17 2" xfId="4096"/>
    <cellStyle name="Normal 2 36 18" xfId="1375"/>
    <cellStyle name="Normal 2 36 18 2" xfId="4095"/>
    <cellStyle name="Normal 2 36 19" xfId="1376"/>
    <cellStyle name="Normal 2 36 19 2" xfId="4094"/>
    <cellStyle name="Normal 2 36 2" xfId="1377"/>
    <cellStyle name="Normal 2 36 2 2" xfId="4093"/>
    <cellStyle name="Normal 2 36 20" xfId="1378"/>
    <cellStyle name="Normal 2 36 20 2" xfId="4092"/>
    <cellStyle name="Normal 2 36 21" xfId="1379"/>
    <cellStyle name="Normal 2 36 21 2" xfId="4091"/>
    <cellStyle name="Normal 2 36 22" xfId="1380"/>
    <cellStyle name="Normal 2 36 22 2" xfId="4090"/>
    <cellStyle name="Normal 2 36 23" xfId="1381"/>
    <cellStyle name="Normal 2 36 23 2" xfId="4089"/>
    <cellStyle name="Normal 2 36 24" xfId="4104"/>
    <cellStyle name="Normal 2 36 3" xfId="1382"/>
    <cellStyle name="Normal 2 36 3 2" xfId="4088"/>
    <cellStyle name="Normal 2 36 4" xfId="1383"/>
    <cellStyle name="Normal 2 36 4 2" xfId="4087"/>
    <cellStyle name="Normal 2 36 5" xfId="1384"/>
    <cellStyle name="Normal 2 36 5 2" xfId="4086"/>
    <cellStyle name="Normal 2 36 6" xfId="1385"/>
    <cellStyle name="Normal 2 36 6 2" xfId="4085"/>
    <cellStyle name="Normal 2 36 7" xfId="1386"/>
    <cellStyle name="Normal 2 36 7 2" xfId="4084"/>
    <cellStyle name="Normal 2 36 8" xfId="1387"/>
    <cellStyle name="Normal 2 36 8 2" xfId="4083"/>
    <cellStyle name="Normal 2 36 9" xfId="1388"/>
    <cellStyle name="Normal 2 36 9 2" xfId="4082"/>
    <cellStyle name="Normal 2 37" xfId="1389"/>
    <cellStyle name="Normal 2 37 10" xfId="1390"/>
    <cellStyle name="Normal 2 37 10 2" xfId="4080"/>
    <cellStyle name="Normal 2 37 11" xfId="1391"/>
    <cellStyle name="Normal 2 37 11 2" xfId="4079"/>
    <cellStyle name="Normal 2 37 12" xfId="1392"/>
    <cellStyle name="Normal 2 37 12 2" xfId="4078"/>
    <cellStyle name="Normal 2 37 13" xfId="1393"/>
    <cellStyle name="Normal 2 37 13 2" xfId="4077"/>
    <cellStyle name="Normal 2 37 14" xfId="1394"/>
    <cellStyle name="Normal 2 37 14 2" xfId="4076"/>
    <cellStyle name="Normal 2 37 15" xfId="1395"/>
    <cellStyle name="Normal 2 37 15 2" xfId="4075"/>
    <cellStyle name="Normal 2 37 16" xfId="1396"/>
    <cellStyle name="Normal 2 37 16 2" xfId="4074"/>
    <cellStyle name="Normal 2 37 17" xfId="1397"/>
    <cellStyle name="Normal 2 37 17 2" xfId="4073"/>
    <cellStyle name="Normal 2 37 18" xfId="1398"/>
    <cellStyle name="Normal 2 37 18 2" xfId="4072"/>
    <cellStyle name="Normal 2 37 19" xfId="1399"/>
    <cellStyle name="Normal 2 37 19 2" xfId="4071"/>
    <cellStyle name="Normal 2 37 2" xfId="1400"/>
    <cellStyle name="Normal 2 37 2 2" xfId="4070"/>
    <cellStyle name="Normal 2 37 20" xfId="1401"/>
    <cellStyle name="Normal 2 37 20 2" xfId="4069"/>
    <cellStyle name="Normal 2 37 21" xfId="1402"/>
    <cellStyle name="Normal 2 37 21 2" xfId="4068"/>
    <cellStyle name="Normal 2 37 22" xfId="1403"/>
    <cellStyle name="Normal 2 37 22 2" xfId="4067"/>
    <cellStyle name="Normal 2 37 23" xfId="1404"/>
    <cellStyle name="Normal 2 37 23 2" xfId="4066"/>
    <cellStyle name="Normal 2 37 24" xfId="4081"/>
    <cellStyle name="Normal 2 37 3" xfId="1405"/>
    <cellStyle name="Normal 2 37 3 2" xfId="4065"/>
    <cellStyle name="Normal 2 37 4" xfId="1406"/>
    <cellStyle name="Normal 2 37 4 2" xfId="4064"/>
    <cellStyle name="Normal 2 37 5" xfId="1407"/>
    <cellStyle name="Normal 2 37 5 2" xfId="4063"/>
    <cellStyle name="Normal 2 37 6" xfId="1408"/>
    <cellStyle name="Normal 2 37 6 2" xfId="4062"/>
    <cellStyle name="Normal 2 37 7" xfId="1409"/>
    <cellStyle name="Normal 2 37 7 2" xfId="4061"/>
    <cellStyle name="Normal 2 37 8" xfId="1410"/>
    <cellStyle name="Normal 2 37 8 2" xfId="4060"/>
    <cellStyle name="Normal 2 37 9" xfId="1411"/>
    <cellStyle name="Normal 2 37 9 2" xfId="4059"/>
    <cellStyle name="Normal 2 38" xfId="1412"/>
    <cellStyle name="Normal 2 38 10" xfId="1413"/>
    <cellStyle name="Normal 2 38 10 2" xfId="4057"/>
    <cellStyle name="Normal 2 38 11" xfId="1414"/>
    <cellStyle name="Normal 2 38 11 2" xfId="4056"/>
    <cellStyle name="Normal 2 38 12" xfId="1415"/>
    <cellStyle name="Normal 2 38 12 2" xfId="4055"/>
    <cellStyle name="Normal 2 38 13" xfId="1416"/>
    <cellStyle name="Normal 2 38 13 2" xfId="4054"/>
    <cellStyle name="Normal 2 38 14" xfId="1417"/>
    <cellStyle name="Normal 2 38 14 2" xfId="4053"/>
    <cellStyle name="Normal 2 38 15" xfId="1418"/>
    <cellStyle name="Normal 2 38 15 2" xfId="4052"/>
    <cellStyle name="Normal 2 38 16" xfId="1419"/>
    <cellStyle name="Normal 2 38 16 2" xfId="4051"/>
    <cellStyle name="Normal 2 38 17" xfId="1420"/>
    <cellStyle name="Normal 2 38 17 2" xfId="4050"/>
    <cellStyle name="Normal 2 38 18" xfId="1421"/>
    <cellStyle name="Normal 2 38 18 2" xfId="4049"/>
    <cellStyle name="Normal 2 38 19" xfId="1422"/>
    <cellStyle name="Normal 2 38 19 2" xfId="4048"/>
    <cellStyle name="Normal 2 38 2" xfId="1423"/>
    <cellStyle name="Normal 2 38 2 2" xfId="4047"/>
    <cellStyle name="Normal 2 38 20" xfId="1424"/>
    <cellStyle name="Normal 2 38 20 2" xfId="4046"/>
    <cellStyle name="Normal 2 38 21" xfId="1425"/>
    <cellStyle name="Normal 2 38 21 2" xfId="4045"/>
    <cellStyle name="Normal 2 38 22" xfId="1426"/>
    <cellStyle name="Normal 2 38 22 2" xfId="4044"/>
    <cellStyle name="Normal 2 38 23" xfId="1427"/>
    <cellStyle name="Normal 2 38 23 2" xfId="4043"/>
    <cellStyle name="Normal 2 38 24" xfId="4058"/>
    <cellStyle name="Normal 2 38 3" xfId="1428"/>
    <cellStyle name="Normal 2 38 3 2" xfId="4042"/>
    <cellStyle name="Normal 2 38 4" xfId="1429"/>
    <cellStyle name="Normal 2 38 4 2" xfId="4041"/>
    <cellStyle name="Normal 2 38 5" xfId="1430"/>
    <cellStyle name="Normal 2 38 5 2" xfId="4040"/>
    <cellStyle name="Normal 2 38 6" xfId="1431"/>
    <cellStyle name="Normal 2 38 6 2" xfId="4039"/>
    <cellStyle name="Normal 2 38 7" xfId="1432"/>
    <cellStyle name="Normal 2 38 7 2" xfId="4038"/>
    <cellStyle name="Normal 2 38 8" xfId="1433"/>
    <cellStyle name="Normal 2 38 8 2" xfId="4037"/>
    <cellStyle name="Normal 2 38 9" xfId="1434"/>
    <cellStyle name="Normal 2 38 9 2" xfId="4036"/>
    <cellStyle name="Normal 2 39" xfId="1435"/>
    <cellStyle name="Normal 2 39 10" xfId="1436"/>
    <cellStyle name="Normal 2 39 10 2" xfId="4034"/>
    <cellStyle name="Normal 2 39 11" xfId="1437"/>
    <cellStyle name="Normal 2 39 11 2" xfId="4033"/>
    <cellStyle name="Normal 2 39 12" xfId="1438"/>
    <cellStyle name="Normal 2 39 12 2" xfId="4032"/>
    <cellStyle name="Normal 2 39 13" xfId="1439"/>
    <cellStyle name="Normal 2 39 13 2" xfId="4031"/>
    <cellStyle name="Normal 2 39 14" xfId="1440"/>
    <cellStyle name="Normal 2 39 14 2" xfId="4030"/>
    <cellStyle name="Normal 2 39 15" xfId="1441"/>
    <cellStyle name="Normal 2 39 15 2" xfId="4029"/>
    <cellStyle name="Normal 2 39 16" xfId="1442"/>
    <cellStyle name="Normal 2 39 16 2" xfId="4028"/>
    <cellStyle name="Normal 2 39 17" xfId="1443"/>
    <cellStyle name="Normal 2 39 17 2" xfId="4027"/>
    <cellStyle name="Normal 2 39 18" xfId="1444"/>
    <cellStyle name="Normal 2 39 18 2" xfId="4026"/>
    <cellStyle name="Normal 2 39 19" xfId="1445"/>
    <cellStyle name="Normal 2 39 19 2" xfId="4025"/>
    <cellStyle name="Normal 2 39 2" xfId="1446"/>
    <cellStyle name="Normal 2 39 2 2" xfId="4024"/>
    <cellStyle name="Normal 2 39 20" xfId="1447"/>
    <cellStyle name="Normal 2 39 20 2" xfId="4023"/>
    <cellStyle name="Normal 2 39 21" xfId="1448"/>
    <cellStyle name="Normal 2 39 21 2" xfId="4022"/>
    <cellStyle name="Normal 2 39 22" xfId="1449"/>
    <cellStyle name="Normal 2 39 22 2" xfId="4021"/>
    <cellStyle name="Normal 2 39 23" xfId="1450"/>
    <cellStyle name="Normal 2 39 23 2" xfId="4020"/>
    <cellStyle name="Normal 2 39 24" xfId="4035"/>
    <cellStyle name="Normal 2 39 3" xfId="1451"/>
    <cellStyle name="Normal 2 39 3 2" xfId="4019"/>
    <cellStyle name="Normal 2 39 4" xfId="1452"/>
    <cellStyle name="Normal 2 39 4 2" xfId="4018"/>
    <cellStyle name="Normal 2 39 5" xfId="1453"/>
    <cellStyle name="Normal 2 39 5 2" xfId="4017"/>
    <cellStyle name="Normal 2 39 6" xfId="1454"/>
    <cellStyle name="Normal 2 39 6 2" xfId="4016"/>
    <cellStyle name="Normal 2 39 7" xfId="1455"/>
    <cellStyle name="Normal 2 39 7 2" xfId="4015"/>
    <cellStyle name="Normal 2 39 8" xfId="1456"/>
    <cellStyle name="Normal 2 39 8 2" xfId="4014"/>
    <cellStyle name="Normal 2 39 9" xfId="1457"/>
    <cellStyle name="Normal 2 39 9 2" xfId="4013"/>
    <cellStyle name="Normal 2 4" xfId="713"/>
    <cellStyle name="Normal 2 4 2" xfId="1458"/>
    <cellStyle name="Normal 2 4 2 2" xfId="4012"/>
    <cellStyle name="Normal 2 40" xfId="1459"/>
    <cellStyle name="Normal 2 40 2" xfId="4011"/>
    <cellStyle name="Normal 2 41" xfId="1460"/>
    <cellStyle name="Normal 2 41 2" xfId="4010"/>
    <cellStyle name="Normal 2 42" xfId="1461"/>
    <cellStyle name="Normal 2 42 2" xfId="4009"/>
    <cellStyle name="Normal 2 43" xfId="1462"/>
    <cellStyle name="Normal 2 43 2" xfId="4008"/>
    <cellStyle name="Normal 2 44" xfId="1463"/>
    <cellStyle name="Normal 2 44 2" xfId="4007"/>
    <cellStyle name="Normal 2 45" xfId="1464"/>
    <cellStyle name="Normal 2 45 2" xfId="4006"/>
    <cellStyle name="Normal 2 46" xfId="1465"/>
    <cellStyle name="Normal 2 46 2" xfId="4005"/>
    <cellStyle name="Normal 2 47" xfId="1466"/>
    <cellStyle name="Normal 2 47 2" xfId="4004"/>
    <cellStyle name="Normal 2 48" xfId="1467"/>
    <cellStyle name="Normal 2 48 2" xfId="4003"/>
    <cellStyle name="Normal 2 49" xfId="1468"/>
    <cellStyle name="Normal 2 49 2" xfId="4002"/>
    <cellStyle name="Normal 2 5" xfId="1469"/>
    <cellStyle name="Normal 2 5 10" xfId="1470"/>
    <cellStyle name="Normal 2 5 10 2" xfId="4000"/>
    <cellStyle name="Normal 2 5 11" xfId="1471"/>
    <cellStyle name="Normal 2 5 11 2" xfId="3999"/>
    <cellStyle name="Normal 2 5 12" xfId="1472"/>
    <cellStyle name="Normal 2 5 12 2" xfId="3998"/>
    <cellStyle name="Normal 2 5 13" xfId="1473"/>
    <cellStyle name="Normal 2 5 13 2" xfId="3997"/>
    <cellStyle name="Normal 2 5 14" xfId="1474"/>
    <cellStyle name="Normal 2 5 14 2" xfId="3996"/>
    <cellStyle name="Normal 2 5 15" xfId="1475"/>
    <cellStyle name="Normal 2 5 15 2" xfId="3995"/>
    <cellStyle name="Normal 2 5 16" xfId="1476"/>
    <cellStyle name="Normal 2 5 16 2" xfId="3994"/>
    <cellStyle name="Normal 2 5 17" xfId="1477"/>
    <cellStyle name="Normal 2 5 17 2" xfId="3993"/>
    <cellStyle name="Normal 2 5 18" xfId="1478"/>
    <cellStyle name="Normal 2 5 18 2" xfId="3992"/>
    <cellStyle name="Normal 2 5 19" xfId="1479"/>
    <cellStyle name="Normal 2 5 19 2" xfId="3991"/>
    <cellStyle name="Normal 2 5 2" xfId="1480"/>
    <cellStyle name="Normal 2 5 2 10" xfId="1481"/>
    <cellStyle name="Normal 2 5 2 10 2" xfId="3989"/>
    <cellStyle name="Normal 2 5 2 11" xfId="1482"/>
    <cellStyle name="Normal 2 5 2 11 2" xfId="3988"/>
    <cellStyle name="Normal 2 5 2 12" xfId="1483"/>
    <cellStyle name="Normal 2 5 2 12 2" xfId="3987"/>
    <cellStyle name="Normal 2 5 2 13" xfId="1484"/>
    <cellStyle name="Normal 2 5 2 13 2" xfId="3986"/>
    <cellStyle name="Normal 2 5 2 14" xfId="1485"/>
    <cellStyle name="Normal 2 5 2 14 2" xfId="3985"/>
    <cellStyle name="Normal 2 5 2 15" xfId="1486"/>
    <cellStyle name="Normal 2 5 2 15 2" xfId="3984"/>
    <cellStyle name="Normal 2 5 2 16" xfId="1487"/>
    <cellStyle name="Normal 2 5 2 16 2" xfId="3983"/>
    <cellStyle name="Normal 2 5 2 17" xfId="1488"/>
    <cellStyle name="Normal 2 5 2 17 2" xfId="3982"/>
    <cellStyle name="Normal 2 5 2 18" xfId="1489"/>
    <cellStyle name="Normal 2 5 2 18 2" xfId="3981"/>
    <cellStyle name="Normal 2 5 2 19" xfId="1490"/>
    <cellStyle name="Normal 2 5 2 19 2" xfId="3980"/>
    <cellStyle name="Normal 2 5 2 2" xfId="1491"/>
    <cellStyle name="Normal 2 5 2 2 10" xfId="1492"/>
    <cellStyle name="Normal 2 5 2 2 10 2" xfId="3978"/>
    <cellStyle name="Normal 2 5 2 2 11" xfId="1493"/>
    <cellStyle name="Normal 2 5 2 2 11 2" xfId="3977"/>
    <cellStyle name="Normal 2 5 2 2 12" xfId="1494"/>
    <cellStyle name="Normal 2 5 2 2 12 2" xfId="3976"/>
    <cellStyle name="Normal 2 5 2 2 13" xfId="1495"/>
    <cellStyle name="Normal 2 5 2 2 13 2" xfId="3975"/>
    <cellStyle name="Normal 2 5 2 2 14" xfId="1496"/>
    <cellStyle name="Normal 2 5 2 2 14 2" xfId="3974"/>
    <cellStyle name="Normal 2 5 2 2 15" xfId="1497"/>
    <cellStyle name="Normal 2 5 2 2 15 2" xfId="3973"/>
    <cellStyle name="Normal 2 5 2 2 16" xfId="1498"/>
    <cellStyle name="Normal 2 5 2 2 16 2" xfId="3972"/>
    <cellStyle name="Normal 2 5 2 2 17" xfId="1499"/>
    <cellStyle name="Normal 2 5 2 2 17 2" xfId="3971"/>
    <cellStyle name="Normal 2 5 2 2 18" xfId="1500"/>
    <cellStyle name="Normal 2 5 2 2 18 2" xfId="3970"/>
    <cellStyle name="Normal 2 5 2 2 19" xfId="1501"/>
    <cellStyle name="Normal 2 5 2 2 19 2" xfId="3969"/>
    <cellStyle name="Normal 2 5 2 2 2" xfId="1502"/>
    <cellStyle name="Normal 2 5 2 2 2 2" xfId="3968"/>
    <cellStyle name="Normal 2 5 2 2 20" xfId="1503"/>
    <cellStyle name="Normal 2 5 2 2 20 2" xfId="3967"/>
    <cellStyle name="Normal 2 5 2 2 21" xfId="1504"/>
    <cellStyle name="Normal 2 5 2 2 21 2" xfId="3966"/>
    <cellStyle name="Normal 2 5 2 2 22" xfId="1505"/>
    <cellStyle name="Normal 2 5 2 2 22 2" xfId="3965"/>
    <cellStyle name="Normal 2 5 2 2 23" xfId="1506"/>
    <cellStyle name="Normal 2 5 2 2 23 2" xfId="3964"/>
    <cellStyle name="Normal 2 5 2 2 24" xfId="1507"/>
    <cellStyle name="Normal 2 5 2 2 24 2" xfId="3963"/>
    <cellStyle name="Normal 2 5 2 2 25" xfId="1508"/>
    <cellStyle name="Normal 2 5 2 2 25 2" xfId="3962"/>
    <cellStyle name="Normal 2 5 2 2 26" xfId="1509"/>
    <cellStyle name="Normal 2 5 2 2 26 2" xfId="3961"/>
    <cellStyle name="Normal 2 5 2 2 27" xfId="1510"/>
    <cellStyle name="Normal 2 5 2 2 27 2" xfId="3960"/>
    <cellStyle name="Normal 2 5 2 2 28" xfId="1511"/>
    <cellStyle name="Normal 2 5 2 2 28 2" xfId="3959"/>
    <cellStyle name="Normal 2 5 2 2 29" xfId="1512"/>
    <cellStyle name="Normal 2 5 2 2 29 2" xfId="3958"/>
    <cellStyle name="Normal 2 5 2 2 3" xfId="1513"/>
    <cellStyle name="Normal 2 5 2 2 3 2" xfId="3957"/>
    <cellStyle name="Normal 2 5 2 2 30" xfId="1514"/>
    <cellStyle name="Normal 2 5 2 2 30 2" xfId="3956"/>
    <cellStyle name="Normal 2 5 2 2 31" xfId="1515"/>
    <cellStyle name="Normal 2 5 2 2 31 2" xfId="3955"/>
    <cellStyle name="Normal 2 5 2 2 32" xfId="1516"/>
    <cellStyle name="Normal 2 5 2 2 32 2" xfId="3954"/>
    <cellStyle name="Normal 2 5 2 2 33" xfId="1517"/>
    <cellStyle name="Normal 2 5 2 2 33 2" xfId="3953"/>
    <cellStyle name="Normal 2 5 2 2 34" xfId="1518"/>
    <cellStyle name="Normal 2 5 2 2 34 2" xfId="3952"/>
    <cellStyle name="Normal 2 5 2 2 35" xfId="1519"/>
    <cellStyle name="Normal 2 5 2 2 35 2" xfId="3951"/>
    <cellStyle name="Normal 2 5 2 2 36" xfId="1520"/>
    <cellStyle name="Normal 2 5 2 2 36 2" xfId="3950"/>
    <cellStyle name="Normal 2 5 2 2 37" xfId="1521"/>
    <cellStyle name="Normal 2 5 2 2 37 2" xfId="3949"/>
    <cellStyle name="Normal 2 5 2 2 38" xfId="1522"/>
    <cellStyle name="Normal 2 5 2 2 38 2" xfId="3948"/>
    <cellStyle name="Normal 2 5 2 2 39" xfId="1523"/>
    <cellStyle name="Normal 2 5 2 2 39 2" xfId="3947"/>
    <cellStyle name="Normal 2 5 2 2 4" xfId="1524"/>
    <cellStyle name="Normal 2 5 2 2 4 2" xfId="3946"/>
    <cellStyle name="Normal 2 5 2 2 40" xfId="1525"/>
    <cellStyle name="Normal 2 5 2 2 40 2" xfId="3945"/>
    <cellStyle name="Normal 2 5 2 2 41" xfId="1526"/>
    <cellStyle name="Normal 2 5 2 2 41 2" xfId="3944"/>
    <cellStyle name="Normal 2 5 2 2 42" xfId="1527"/>
    <cellStyle name="Normal 2 5 2 2 42 2" xfId="3943"/>
    <cellStyle name="Normal 2 5 2 2 43" xfId="1528"/>
    <cellStyle name="Normal 2 5 2 2 43 2" xfId="3942"/>
    <cellStyle name="Normal 2 5 2 2 44" xfId="1529"/>
    <cellStyle name="Normal 2 5 2 2 44 2" xfId="3941"/>
    <cellStyle name="Normal 2 5 2 2 45" xfId="1530"/>
    <cellStyle name="Normal 2 5 2 2 45 2" xfId="3940"/>
    <cellStyle name="Normal 2 5 2 2 46" xfId="1531"/>
    <cellStyle name="Normal 2 5 2 2 46 2" xfId="3939"/>
    <cellStyle name="Normal 2 5 2 2 47" xfId="1532"/>
    <cellStyle name="Normal 2 5 2 2 47 2" xfId="3938"/>
    <cellStyle name="Normal 2 5 2 2 48" xfId="1533"/>
    <cellStyle name="Normal 2 5 2 2 48 2" xfId="3937"/>
    <cellStyle name="Normal 2 5 2 2 49" xfId="1534"/>
    <cellStyle name="Normal 2 5 2 2 49 2" xfId="3936"/>
    <cellStyle name="Normal 2 5 2 2 5" xfId="1535"/>
    <cellStyle name="Normal 2 5 2 2 5 2" xfId="3935"/>
    <cellStyle name="Normal 2 5 2 2 50" xfId="1536"/>
    <cellStyle name="Normal 2 5 2 2 50 2" xfId="3934"/>
    <cellStyle name="Normal 2 5 2 2 51" xfId="1537"/>
    <cellStyle name="Normal 2 5 2 2 51 2" xfId="3933"/>
    <cellStyle name="Normal 2 5 2 2 52" xfId="1538"/>
    <cellStyle name="Normal 2 5 2 2 52 2" xfId="3932"/>
    <cellStyle name="Normal 2 5 2 2 53" xfId="1539"/>
    <cellStyle name="Normal 2 5 2 2 53 2" xfId="3931"/>
    <cellStyle name="Normal 2 5 2 2 54" xfId="1540"/>
    <cellStyle name="Normal 2 5 2 2 54 2" xfId="3930"/>
    <cellStyle name="Normal 2 5 2 2 55" xfId="1541"/>
    <cellStyle name="Normal 2 5 2 2 55 2" xfId="3929"/>
    <cellStyle name="Normal 2 5 2 2 56" xfId="3979"/>
    <cellStyle name="Normal 2 5 2 2 6" xfId="1542"/>
    <cellStyle name="Normal 2 5 2 2 6 2" xfId="3928"/>
    <cellStyle name="Normal 2 5 2 2 7" xfId="1543"/>
    <cellStyle name="Normal 2 5 2 2 7 2" xfId="3927"/>
    <cellStyle name="Normal 2 5 2 2 8" xfId="1544"/>
    <cellStyle name="Normal 2 5 2 2 8 2" xfId="3926"/>
    <cellStyle name="Normal 2 5 2 2 9" xfId="1545"/>
    <cellStyle name="Normal 2 5 2 2 9 2" xfId="3925"/>
    <cellStyle name="Normal 2 5 2 20" xfId="1546"/>
    <cellStyle name="Normal 2 5 2 20 2" xfId="3924"/>
    <cellStyle name="Normal 2 5 2 21" xfId="1547"/>
    <cellStyle name="Normal 2 5 2 21 2" xfId="3923"/>
    <cellStyle name="Normal 2 5 2 22" xfId="1548"/>
    <cellStyle name="Normal 2 5 2 22 2" xfId="3922"/>
    <cellStyle name="Normal 2 5 2 23" xfId="1549"/>
    <cellStyle name="Normal 2 5 2 23 2" xfId="3921"/>
    <cellStyle name="Normal 2 5 2 24" xfId="1550"/>
    <cellStyle name="Normal 2 5 2 24 2" xfId="3920"/>
    <cellStyle name="Normal 2 5 2 25" xfId="1551"/>
    <cellStyle name="Normal 2 5 2 25 2" xfId="3919"/>
    <cellStyle name="Normal 2 5 2 26" xfId="1552"/>
    <cellStyle name="Normal 2 5 2 26 2" xfId="3918"/>
    <cellStyle name="Normal 2 5 2 27" xfId="1553"/>
    <cellStyle name="Normal 2 5 2 27 2" xfId="3917"/>
    <cellStyle name="Normal 2 5 2 28" xfId="1554"/>
    <cellStyle name="Normal 2 5 2 28 2" xfId="3916"/>
    <cellStyle name="Normal 2 5 2 29" xfId="1555"/>
    <cellStyle name="Normal 2 5 2 29 2" xfId="3915"/>
    <cellStyle name="Normal 2 5 2 3" xfId="1556"/>
    <cellStyle name="Normal 2 5 2 3 2" xfId="3914"/>
    <cellStyle name="Normal 2 5 2 30" xfId="1557"/>
    <cellStyle name="Normal 2 5 2 30 2" xfId="3913"/>
    <cellStyle name="Normal 2 5 2 31" xfId="1558"/>
    <cellStyle name="Normal 2 5 2 31 2" xfId="3912"/>
    <cellStyle name="Normal 2 5 2 32" xfId="1559"/>
    <cellStyle name="Normal 2 5 2 32 2" xfId="3911"/>
    <cellStyle name="Normal 2 5 2 33" xfId="1560"/>
    <cellStyle name="Normal 2 5 2 33 2" xfId="3910"/>
    <cellStyle name="Normal 2 5 2 34" xfId="3990"/>
    <cellStyle name="Normal 2 5 2 4" xfId="1561"/>
    <cellStyle name="Normal 2 5 2 4 2" xfId="3909"/>
    <cellStyle name="Normal 2 5 2 5" xfId="1562"/>
    <cellStyle name="Normal 2 5 2 5 2" xfId="3908"/>
    <cellStyle name="Normal 2 5 2 6" xfId="1563"/>
    <cellStyle name="Normal 2 5 2 6 2" xfId="3907"/>
    <cellStyle name="Normal 2 5 2 7" xfId="1564"/>
    <cellStyle name="Normal 2 5 2 7 2" xfId="3906"/>
    <cellStyle name="Normal 2 5 2 8" xfId="1565"/>
    <cellStyle name="Normal 2 5 2 8 2" xfId="3905"/>
    <cellStyle name="Normal 2 5 2 9" xfId="1566"/>
    <cellStyle name="Normal 2 5 2 9 2" xfId="3904"/>
    <cellStyle name="Normal 2 5 20" xfId="1567"/>
    <cellStyle name="Normal 2 5 20 2" xfId="3903"/>
    <cellStyle name="Normal 2 5 21" xfId="1568"/>
    <cellStyle name="Normal 2 5 21 2" xfId="3902"/>
    <cellStyle name="Normal 2 5 22" xfId="1569"/>
    <cellStyle name="Normal 2 5 22 2" xfId="3901"/>
    <cellStyle name="Normal 2 5 23" xfId="1570"/>
    <cellStyle name="Normal 2 5 23 2" xfId="3900"/>
    <cellStyle name="Normal 2 5 24" xfId="1571"/>
    <cellStyle name="Normal 2 5 24 2" xfId="3899"/>
    <cellStyle name="Normal 2 5 25" xfId="1572"/>
    <cellStyle name="Normal 2 5 25 2" xfId="3898"/>
    <cellStyle name="Normal 2 5 26" xfId="1573"/>
    <cellStyle name="Normal 2 5 26 2" xfId="3897"/>
    <cellStyle name="Normal 2 5 27" xfId="1574"/>
    <cellStyle name="Normal 2 5 27 2" xfId="3896"/>
    <cellStyle name="Normal 2 5 28" xfId="1575"/>
    <cellStyle name="Normal 2 5 28 2" xfId="3895"/>
    <cellStyle name="Normal 2 5 29" xfId="1576"/>
    <cellStyle name="Normal 2 5 29 2" xfId="3894"/>
    <cellStyle name="Normal 2 5 3" xfId="1577"/>
    <cellStyle name="Normal 2 5 3 2" xfId="3893"/>
    <cellStyle name="Normal 2 5 30" xfId="1578"/>
    <cellStyle name="Normal 2 5 30 2" xfId="3892"/>
    <cellStyle name="Normal 2 5 31" xfId="1579"/>
    <cellStyle name="Normal 2 5 31 2" xfId="3891"/>
    <cellStyle name="Normal 2 5 32" xfId="1580"/>
    <cellStyle name="Normal 2 5 32 2" xfId="3890"/>
    <cellStyle name="Normal 2 5 33" xfId="1581"/>
    <cellStyle name="Normal 2 5 33 2" xfId="3889"/>
    <cellStyle name="Normal 2 5 34" xfId="1582"/>
    <cellStyle name="Normal 2 5 34 2" xfId="3888"/>
    <cellStyle name="Normal 2 5 35" xfId="1583"/>
    <cellStyle name="Normal 2 5 35 2" xfId="3887"/>
    <cellStyle name="Normal 2 5 36" xfId="1584"/>
    <cellStyle name="Normal 2 5 36 2" xfId="3886"/>
    <cellStyle name="Normal 2 5 37" xfId="1585"/>
    <cellStyle name="Normal 2 5 37 2" xfId="3885"/>
    <cellStyle name="Normal 2 5 38" xfId="1586"/>
    <cellStyle name="Normal 2 5 38 2" xfId="3884"/>
    <cellStyle name="Normal 2 5 39" xfId="1587"/>
    <cellStyle name="Normal 2 5 39 2" xfId="3883"/>
    <cellStyle name="Normal 2 5 4" xfId="1588"/>
    <cellStyle name="Normal 2 5 4 2" xfId="3882"/>
    <cellStyle name="Normal 2 5 40" xfId="1589"/>
    <cellStyle name="Normal 2 5 40 2" xfId="3881"/>
    <cellStyle name="Normal 2 5 41" xfId="1590"/>
    <cellStyle name="Normal 2 5 41 2" xfId="3880"/>
    <cellStyle name="Normal 2 5 42" xfId="1591"/>
    <cellStyle name="Normal 2 5 42 2" xfId="3879"/>
    <cellStyle name="Normal 2 5 43" xfId="1592"/>
    <cellStyle name="Normal 2 5 43 2" xfId="3878"/>
    <cellStyle name="Normal 2 5 44" xfId="1593"/>
    <cellStyle name="Normal 2 5 44 2" xfId="3877"/>
    <cellStyle name="Normal 2 5 45" xfId="1594"/>
    <cellStyle name="Normal 2 5 45 2" xfId="3876"/>
    <cellStyle name="Normal 2 5 46" xfId="1595"/>
    <cellStyle name="Normal 2 5 46 2" xfId="3875"/>
    <cellStyle name="Normal 2 5 47" xfId="1596"/>
    <cellStyle name="Normal 2 5 47 2" xfId="3874"/>
    <cellStyle name="Normal 2 5 48" xfId="1597"/>
    <cellStyle name="Normal 2 5 48 2" xfId="3873"/>
    <cellStyle name="Normal 2 5 49" xfId="1598"/>
    <cellStyle name="Normal 2 5 49 2" xfId="3872"/>
    <cellStyle name="Normal 2 5 5" xfId="1599"/>
    <cellStyle name="Normal 2 5 5 2" xfId="3871"/>
    <cellStyle name="Normal 2 5 50" xfId="1600"/>
    <cellStyle name="Normal 2 5 50 2" xfId="3870"/>
    <cellStyle name="Normal 2 5 51" xfId="1601"/>
    <cellStyle name="Normal 2 5 51 2" xfId="3869"/>
    <cellStyle name="Normal 2 5 52" xfId="1602"/>
    <cellStyle name="Normal 2 5 52 2" xfId="3868"/>
    <cellStyle name="Normal 2 5 53" xfId="1603"/>
    <cellStyle name="Normal 2 5 53 2" xfId="3867"/>
    <cellStyle name="Normal 2 5 54" xfId="1604"/>
    <cellStyle name="Normal 2 5 54 2" xfId="3866"/>
    <cellStyle name="Normal 2 5 55" xfId="1605"/>
    <cellStyle name="Normal 2 5 55 2" xfId="3865"/>
    <cellStyle name="Normal 2 5 56" xfId="1606"/>
    <cellStyle name="Normal 2 5 56 2" xfId="3864"/>
    <cellStyle name="Normal 2 5 57" xfId="1607"/>
    <cellStyle name="Normal 2 5 57 2" xfId="3863"/>
    <cellStyle name="Normal 2 5 58" xfId="1608"/>
    <cellStyle name="Normal 2 5 58 2" xfId="3862"/>
    <cellStyle name="Normal 2 5 59" xfId="1609"/>
    <cellStyle name="Normal 2 5 59 2" xfId="3861"/>
    <cellStyle name="Normal 2 5 6" xfId="1610"/>
    <cellStyle name="Normal 2 5 6 2" xfId="3860"/>
    <cellStyle name="Normal 2 5 60" xfId="1611"/>
    <cellStyle name="Normal 2 5 60 2" xfId="3859"/>
    <cellStyle name="Normal 2 5 61" xfId="1612"/>
    <cellStyle name="Normal 2 5 61 2" xfId="3858"/>
    <cellStyle name="Normal 2 5 62" xfId="1613"/>
    <cellStyle name="Normal 2 5 62 2" xfId="3857"/>
    <cellStyle name="Normal 2 5 63" xfId="1614"/>
    <cellStyle name="Normal 2 5 63 2" xfId="3856"/>
    <cellStyle name="Normal 2 5 64" xfId="1615"/>
    <cellStyle name="Normal 2 5 64 2" xfId="3855"/>
    <cellStyle name="Normal 2 5 65" xfId="1616"/>
    <cellStyle name="Normal 2 5 65 2" xfId="3854"/>
    <cellStyle name="Normal 2 5 66" xfId="1617"/>
    <cellStyle name="Normal 2 5 66 2" xfId="3853"/>
    <cellStyle name="Normal 2 5 67" xfId="1618"/>
    <cellStyle name="Normal 2 5 67 2" xfId="3852"/>
    <cellStyle name="Normal 2 5 68" xfId="1619"/>
    <cellStyle name="Normal 2 5 68 2" xfId="3851"/>
    <cellStyle name="Normal 2 5 69" xfId="1620"/>
    <cellStyle name="Normal 2 5 69 2" xfId="3850"/>
    <cellStyle name="Normal 2 5 7" xfId="1621"/>
    <cellStyle name="Normal 2 5 7 2" xfId="3849"/>
    <cellStyle name="Normal 2 5 70" xfId="1622"/>
    <cellStyle name="Normal 2 5 70 2" xfId="3848"/>
    <cellStyle name="Normal 2 5 71" xfId="1623"/>
    <cellStyle name="Normal 2 5 71 2" xfId="3847"/>
    <cellStyle name="Normal 2 5 72" xfId="1624"/>
    <cellStyle name="Normal 2 5 72 2" xfId="3846"/>
    <cellStyle name="Normal 2 5 73" xfId="1625"/>
    <cellStyle name="Normal 2 5 73 2" xfId="3845"/>
    <cellStyle name="Normal 2 5 74" xfId="1626"/>
    <cellStyle name="Normal 2 5 74 2" xfId="3844"/>
    <cellStyle name="Normal 2 5 75" xfId="1627"/>
    <cellStyle name="Normal 2 5 75 2" xfId="3843"/>
    <cellStyle name="Normal 2 5 76" xfId="1628"/>
    <cellStyle name="Normal 2 5 76 2" xfId="3842"/>
    <cellStyle name="Normal 2 5 77" xfId="1629"/>
    <cellStyle name="Normal 2 5 77 2" xfId="3841"/>
    <cellStyle name="Normal 2 5 78" xfId="1630"/>
    <cellStyle name="Normal 2 5 78 2" xfId="3840"/>
    <cellStyle name="Normal 2 5 79" xfId="1631"/>
    <cellStyle name="Normal 2 5 79 2" xfId="3839"/>
    <cellStyle name="Normal 2 5 8" xfId="1632"/>
    <cellStyle name="Normal 2 5 8 2" xfId="3838"/>
    <cellStyle name="Normal 2 5 80" xfId="1633"/>
    <cellStyle name="Normal 2 5 80 2" xfId="3837"/>
    <cellStyle name="Normal 2 5 81" xfId="1634"/>
    <cellStyle name="Normal 2 5 81 2" xfId="3836"/>
    <cellStyle name="Normal 2 5 82" xfId="1635"/>
    <cellStyle name="Normal 2 5 82 2" xfId="3835"/>
    <cellStyle name="Normal 2 5 83" xfId="1636"/>
    <cellStyle name="Normal 2 5 83 2" xfId="3834"/>
    <cellStyle name="Normal 2 5 84" xfId="1637"/>
    <cellStyle name="Normal 2 5 84 2" xfId="3833"/>
    <cellStyle name="Normal 2 5 85" xfId="1638"/>
    <cellStyle name="Normal 2 5 85 2" xfId="3832"/>
    <cellStyle name="Normal 2 5 86" xfId="1639"/>
    <cellStyle name="Normal 2 5 86 2" xfId="3831"/>
    <cellStyle name="Normal 2 5 87" xfId="1640"/>
    <cellStyle name="Normal 2 5 87 2" xfId="3830"/>
    <cellStyle name="Normal 2 5 88" xfId="4001"/>
    <cellStyle name="Normal 2 5 9" xfId="1641"/>
    <cellStyle name="Normal 2 5 9 2" xfId="3829"/>
    <cellStyle name="Normal 2 5_DEER 032008 Cost Summary Delivery - Rev 4 (2)" xfId="1642"/>
    <cellStyle name="Normal 2 50" xfId="1643"/>
    <cellStyle name="Normal 2 50 2" xfId="3828"/>
    <cellStyle name="Normal 2 51" xfId="1644"/>
    <cellStyle name="Normal 2 51 2" xfId="3827"/>
    <cellStyle name="Normal 2 52" xfId="1645"/>
    <cellStyle name="Normal 2 52 2" xfId="3826"/>
    <cellStyle name="Normal 2 53" xfId="1646"/>
    <cellStyle name="Normal 2 53 2" xfId="3825"/>
    <cellStyle name="Normal 2 54" xfId="1647"/>
    <cellStyle name="Normal 2 54 2" xfId="3824"/>
    <cellStyle name="Normal 2 55" xfId="1648"/>
    <cellStyle name="Normal 2 55 2" xfId="3823"/>
    <cellStyle name="Normal 2 56" xfId="1649"/>
    <cellStyle name="Normal 2 56 2" xfId="3822"/>
    <cellStyle name="Normal 2 57" xfId="1650"/>
    <cellStyle name="Normal 2 57 2" xfId="3821"/>
    <cellStyle name="Normal 2 58" xfId="1651"/>
    <cellStyle name="Normal 2 58 2" xfId="3820"/>
    <cellStyle name="Normal 2 59" xfId="1652"/>
    <cellStyle name="Normal 2 59 2" xfId="3819"/>
    <cellStyle name="Normal 2 6" xfId="1653"/>
    <cellStyle name="Normal 2 6 2" xfId="3818"/>
    <cellStyle name="Normal 2 60" xfId="1654"/>
    <cellStyle name="Normal 2 60 2" xfId="3817"/>
    <cellStyle name="Normal 2 61" xfId="1655"/>
    <cellStyle name="Normal 2 61 2" xfId="3816"/>
    <cellStyle name="Normal 2 62" xfId="1656"/>
    <cellStyle name="Normal 2 62 2" xfId="3815"/>
    <cellStyle name="Normal 2 63" xfId="1657"/>
    <cellStyle name="Normal 2 63 2" xfId="3814"/>
    <cellStyle name="Normal 2 64" xfId="1658"/>
    <cellStyle name="Normal 2 64 2" xfId="3813"/>
    <cellStyle name="Normal 2 65" xfId="1659"/>
    <cellStyle name="Normal 2 65 2" xfId="3812"/>
    <cellStyle name="Normal 2 66" xfId="1660"/>
    <cellStyle name="Normal 2 66 2" xfId="3811"/>
    <cellStyle name="Normal 2 67" xfId="1661"/>
    <cellStyle name="Normal 2 67 2" xfId="3810"/>
    <cellStyle name="Normal 2 68" xfId="1662"/>
    <cellStyle name="Normal 2 68 2" xfId="3809"/>
    <cellStyle name="Normal 2 69" xfId="1663"/>
    <cellStyle name="Normal 2 69 2" xfId="3808"/>
    <cellStyle name="Normal 2 7" xfId="1664"/>
    <cellStyle name="Normal 2 7 2" xfId="3807"/>
    <cellStyle name="Normal 2 70" xfId="1665"/>
    <cellStyle name="Normal 2 70 2" xfId="3806"/>
    <cellStyle name="Normal 2 71" xfId="1666"/>
    <cellStyle name="Normal 2 71 2" xfId="3805"/>
    <cellStyle name="Normal 2 72" xfId="1667"/>
    <cellStyle name="Normal 2 72 2" xfId="3804"/>
    <cellStyle name="Normal 2 73" xfId="1668"/>
    <cellStyle name="Normal 2 73 2" xfId="3803"/>
    <cellStyle name="Normal 2 74" xfId="1669"/>
    <cellStyle name="Normal 2 74 2" xfId="3802"/>
    <cellStyle name="Normal 2 75" xfId="1670"/>
    <cellStyle name="Normal 2 75 2" xfId="3801"/>
    <cellStyle name="Normal 2 76" xfId="1671"/>
    <cellStyle name="Normal 2 76 2" xfId="3800"/>
    <cellStyle name="Normal 2 77" xfId="1672"/>
    <cellStyle name="Normal 2 77 2" xfId="3799"/>
    <cellStyle name="Normal 2 78" xfId="1673"/>
    <cellStyle name="Normal 2 78 2" xfId="3798"/>
    <cellStyle name="Normal 2 79" xfId="1674"/>
    <cellStyle name="Normal 2 79 2" xfId="3797"/>
    <cellStyle name="Normal 2 8" xfId="1675"/>
    <cellStyle name="Normal 2 8 10" xfId="1676"/>
    <cellStyle name="Normal 2 8 10 2" xfId="3795"/>
    <cellStyle name="Normal 2 8 11" xfId="1677"/>
    <cellStyle name="Normal 2 8 11 2" xfId="3794"/>
    <cellStyle name="Normal 2 8 12" xfId="1678"/>
    <cellStyle name="Normal 2 8 12 2" xfId="3793"/>
    <cellStyle name="Normal 2 8 13" xfId="1679"/>
    <cellStyle name="Normal 2 8 13 2" xfId="3792"/>
    <cellStyle name="Normal 2 8 14" xfId="1680"/>
    <cellStyle name="Normal 2 8 14 2" xfId="3791"/>
    <cellStyle name="Normal 2 8 15" xfId="1681"/>
    <cellStyle name="Normal 2 8 15 2" xfId="3790"/>
    <cellStyle name="Normal 2 8 16" xfId="1682"/>
    <cellStyle name="Normal 2 8 16 2" xfId="3789"/>
    <cellStyle name="Normal 2 8 17" xfId="1683"/>
    <cellStyle name="Normal 2 8 17 2" xfId="3788"/>
    <cellStyle name="Normal 2 8 18" xfId="1684"/>
    <cellStyle name="Normal 2 8 18 2" xfId="3787"/>
    <cellStyle name="Normal 2 8 19" xfId="1685"/>
    <cellStyle name="Normal 2 8 19 2" xfId="3786"/>
    <cellStyle name="Normal 2 8 2" xfId="1686"/>
    <cellStyle name="Normal 2 8 2 2" xfId="3785"/>
    <cellStyle name="Normal 2 8 20" xfId="1687"/>
    <cellStyle name="Normal 2 8 20 2" xfId="3784"/>
    <cellStyle name="Normal 2 8 21" xfId="1688"/>
    <cellStyle name="Normal 2 8 21 2" xfId="3783"/>
    <cellStyle name="Normal 2 8 22" xfId="1689"/>
    <cellStyle name="Normal 2 8 22 2" xfId="3782"/>
    <cellStyle name="Normal 2 8 23" xfId="1690"/>
    <cellStyle name="Normal 2 8 23 2" xfId="3781"/>
    <cellStyle name="Normal 2 8 24" xfId="3796"/>
    <cellStyle name="Normal 2 8 3" xfId="1691"/>
    <cellStyle name="Normal 2 8 3 2" xfId="3780"/>
    <cellStyle name="Normal 2 8 4" xfId="1692"/>
    <cellStyle name="Normal 2 8 4 2" xfId="3779"/>
    <cellStyle name="Normal 2 8 5" xfId="1693"/>
    <cellStyle name="Normal 2 8 5 2" xfId="3778"/>
    <cellStyle name="Normal 2 8 6" xfId="1694"/>
    <cellStyle name="Normal 2 8 6 2" xfId="3777"/>
    <cellStyle name="Normal 2 8 7" xfId="1695"/>
    <cellStyle name="Normal 2 8 7 2" xfId="3776"/>
    <cellStyle name="Normal 2 8 8" xfId="1696"/>
    <cellStyle name="Normal 2 8 8 2" xfId="3775"/>
    <cellStyle name="Normal 2 8 9" xfId="1697"/>
    <cellStyle name="Normal 2 8 9 2" xfId="3774"/>
    <cellStyle name="Normal 2 80" xfId="1698"/>
    <cellStyle name="Normal 2 80 2" xfId="3773"/>
    <cellStyle name="Normal 2 81" xfId="1699"/>
    <cellStyle name="Normal 2 81 2" xfId="3772"/>
    <cellStyle name="Normal 2 82" xfId="1700"/>
    <cellStyle name="Normal 2 82 2" xfId="3771"/>
    <cellStyle name="Normal 2 83" xfId="1701"/>
    <cellStyle name="Normal 2 83 2" xfId="3770"/>
    <cellStyle name="Normal 2 84" xfId="1702"/>
    <cellStyle name="Normal 2 84 2" xfId="3769"/>
    <cellStyle name="Normal 2 85" xfId="1703"/>
    <cellStyle name="Normal 2 85 2" xfId="3768"/>
    <cellStyle name="Normal 2 86" xfId="1704"/>
    <cellStyle name="Normal 2 86 2" xfId="3767"/>
    <cellStyle name="Normal 2 87" xfId="1705"/>
    <cellStyle name="Normal 2 87 2" xfId="3766"/>
    <cellStyle name="Normal 2 88" xfId="1706"/>
    <cellStyle name="Normal 2 88 2" xfId="3765"/>
    <cellStyle name="Normal 2 89" xfId="1707"/>
    <cellStyle name="Normal 2 89 2" xfId="3764"/>
    <cellStyle name="Normal 2 9" xfId="1708"/>
    <cellStyle name="Normal 2 9 10" xfId="1709"/>
    <cellStyle name="Normal 2 9 10 2" xfId="3762"/>
    <cellStyle name="Normal 2 9 11" xfId="1710"/>
    <cellStyle name="Normal 2 9 11 2" xfId="3761"/>
    <cellStyle name="Normal 2 9 12" xfId="1711"/>
    <cellStyle name="Normal 2 9 12 2" xfId="3760"/>
    <cellStyle name="Normal 2 9 13" xfId="1712"/>
    <cellStyle name="Normal 2 9 13 2" xfId="3759"/>
    <cellStyle name="Normal 2 9 14" xfId="1713"/>
    <cellStyle name="Normal 2 9 14 2" xfId="3758"/>
    <cellStyle name="Normal 2 9 15" xfId="1714"/>
    <cellStyle name="Normal 2 9 15 2" xfId="3757"/>
    <cellStyle name="Normal 2 9 16" xfId="1715"/>
    <cellStyle name="Normal 2 9 16 2" xfId="3756"/>
    <cellStyle name="Normal 2 9 17" xfId="1716"/>
    <cellStyle name="Normal 2 9 17 2" xfId="3755"/>
    <cellStyle name="Normal 2 9 18" xfId="1717"/>
    <cellStyle name="Normal 2 9 18 2" xfId="3754"/>
    <cellStyle name="Normal 2 9 19" xfId="1718"/>
    <cellStyle name="Normal 2 9 19 2" xfId="3753"/>
    <cellStyle name="Normal 2 9 2" xfId="1719"/>
    <cellStyle name="Normal 2 9 2 2" xfId="3752"/>
    <cellStyle name="Normal 2 9 20" xfId="1720"/>
    <cellStyle name="Normal 2 9 20 2" xfId="3751"/>
    <cellStyle name="Normal 2 9 21" xfId="1721"/>
    <cellStyle name="Normal 2 9 21 2" xfId="3750"/>
    <cellStyle name="Normal 2 9 22" xfId="1722"/>
    <cellStyle name="Normal 2 9 22 2" xfId="3749"/>
    <cellStyle name="Normal 2 9 23" xfId="1723"/>
    <cellStyle name="Normal 2 9 23 2" xfId="3748"/>
    <cellStyle name="Normal 2 9 24" xfId="3763"/>
    <cellStyle name="Normal 2 9 3" xfId="1724"/>
    <cellStyle name="Normal 2 9 3 2" xfId="3747"/>
    <cellStyle name="Normal 2 9 4" xfId="1725"/>
    <cellStyle name="Normal 2 9 4 2" xfId="3746"/>
    <cellStyle name="Normal 2 9 5" xfId="1726"/>
    <cellStyle name="Normal 2 9 5 2" xfId="3745"/>
    <cellStyle name="Normal 2 9 6" xfId="1727"/>
    <cellStyle name="Normal 2 9 6 2" xfId="3744"/>
    <cellStyle name="Normal 2 9 7" xfId="1728"/>
    <cellStyle name="Normal 2 9 7 2" xfId="3743"/>
    <cellStyle name="Normal 2 9 8" xfId="1729"/>
    <cellStyle name="Normal 2 9 8 2" xfId="3742"/>
    <cellStyle name="Normal 2 9 9" xfId="1730"/>
    <cellStyle name="Normal 2 9 9 2" xfId="3741"/>
    <cellStyle name="Normal 2 90" xfId="1731"/>
    <cellStyle name="Normal 2 90 2" xfId="3740"/>
    <cellStyle name="Normal 2 91" xfId="1732"/>
    <cellStyle name="Normal 2 91 2" xfId="3739"/>
    <cellStyle name="Normal 2 92" xfId="1733"/>
    <cellStyle name="Normal 2 92 2" xfId="3738"/>
    <cellStyle name="Normal 2 93" xfId="1734"/>
    <cellStyle name="Normal 2 93 2" xfId="3737"/>
    <cellStyle name="Normal 2 94" xfId="1735"/>
    <cellStyle name="Normal 2 94 2" xfId="3736"/>
    <cellStyle name="Normal 2 95" xfId="1736"/>
    <cellStyle name="Normal 2 95 2" xfId="3735"/>
    <cellStyle name="Normal 2 96" xfId="1737"/>
    <cellStyle name="Normal 2 96 2" xfId="3734"/>
    <cellStyle name="Normal 2 97" xfId="1738"/>
    <cellStyle name="Normal 2 97 2" xfId="3733"/>
    <cellStyle name="Normal 2 98" xfId="1739"/>
    <cellStyle name="Normal 2 98 2" xfId="3732"/>
    <cellStyle name="Normal 2 99" xfId="1740"/>
    <cellStyle name="Normal 2 99 2" xfId="3731"/>
    <cellStyle name="Normal 2_DEER 032008 Cost Summary Delivery - Rev 4 (2)" xfId="2802"/>
    <cellStyle name="Normal 20" xfId="714"/>
    <cellStyle name="Normal 20 2" xfId="1741"/>
    <cellStyle name="Normal 20 3" xfId="3730"/>
    <cellStyle name="Normal 21" xfId="716"/>
    <cellStyle name="Normal 21 2" xfId="2714"/>
    <cellStyle name="Normal 21 2 2" xfId="2736"/>
    <cellStyle name="Normal 21 3" xfId="2725"/>
    <cellStyle name="Normal 21 4" xfId="4838"/>
    <cellStyle name="Normal 21 5" xfId="4878"/>
    <cellStyle name="Normal 22" xfId="2702"/>
    <cellStyle name="Normal 22 2" xfId="2721"/>
    <cellStyle name="Normal 22 2 2" xfId="2743"/>
    <cellStyle name="Normal 22 2 3" xfId="4848"/>
    <cellStyle name="Normal 22 3" xfId="2735"/>
    <cellStyle name="Normal 22 4" xfId="4826"/>
    <cellStyle name="Normal 22 5" xfId="4885"/>
    <cellStyle name="Normal 23" xfId="2703"/>
    <cellStyle name="Normal 23 2" xfId="2722"/>
    <cellStyle name="Normal 23 3" xfId="4847"/>
    <cellStyle name="Normal 24" xfId="2709"/>
    <cellStyle name="Normal 24 2" xfId="2723"/>
    <cellStyle name="Normal 24 3" xfId="4846"/>
    <cellStyle name="Normal 25" xfId="2712"/>
    <cellStyle name="Normal 25 2" xfId="2724"/>
    <cellStyle name="Normal 25 3" xfId="2819"/>
    <cellStyle name="Normal 26" xfId="2726"/>
    <cellStyle name="Normal 26 2" xfId="4849"/>
    <cellStyle name="Normal 27" xfId="2728"/>
    <cellStyle name="Normal 27 2" xfId="4850"/>
    <cellStyle name="Normal 28" xfId="2727"/>
    <cellStyle name="Normal 28 2" xfId="4851"/>
    <cellStyle name="Normal 29" xfId="2744"/>
    <cellStyle name="Normal 29 2" xfId="4854"/>
    <cellStyle name="Normal 3" xfId="694"/>
    <cellStyle name="Normal 3 10" xfId="1743"/>
    <cellStyle name="Normal 3 10 10" xfId="1744"/>
    <cellStyle name="Normal 3 10 10 2" xfId="3727"/>
    <cellStyle name="Normal 3 10 11" xfId="1745"/>
    <cellStyle name="Normal 3 10 11 2" xfId="3726"/>
    <cellStyle name="Normal 3 10 12" xfId="1746"/>
    <cellStyle name="Normal 3 10 12 2" xfId="3725"/>
    <cellStyle name="Normal 3 10 13" xfId="1747"/>
    <cellStyle name="Normal 3 10 13 2" xfId="3724"/>
    <cellStyle name="Normal 3 10 14" xfId="1748"/>
    <cellStyle name="Normal 3 10 14 2" xfId="3723"/>
    <cellStyle name="Normal 3 10 15" xfId="1749"/>
    <cellStyle name="Normal 3 10 15 2" xfId="3722"/>
    <cellStyle name="Normal 3 10 16" xfId="1750"/>
    <cellStyle name="Normal 3 10 16 2" xfId="3721"/>
    <cellStyle name="Normal 3 10 17" xfId="1751"/>
    <cellStyle name="Normal 3 10 17 2" xfId="3720"/>
    <cellStyle name="Normal 3 10 18" xfId="1752"/>
    <cellStyle name="Normal 3 10 18 2" xfId="3719"/>
    <cellStyle name="Normal 3 10 19" xfId="1753"/>
    <cellStyle name="Normal 3 10 19 2" xfId="3718"/>
    <cellStyle name="Normal 3 10 2" xfId="1754"/>
    <cellStyle name="Normal 3 10 2 2" xfId="3717"/>
    <cellStyle name="Normal 3 10 20" xfId="1755"/>
    <cellStyle name="Normal 3 10 20 2" xfId="3716"/>
    <cellStyle name="Normal 3 10 21" xfId="1756"/>
    <cellStyle name="Normal 3 10 21 2" xfId="3715"/>
    <cellStyle name="Normal 3 10 22" xfId="1757"/>
    <cellStyle name="Normal 3 10 22 2" xfId="3714"/>
    <cellStyle name="Normal 3 10 23" xfId="1758"/>
    <cellStyle name="Normal 3 10 23 2" xfId="3713"/>
    <cellStyle name="Normal 3 10 24" xfId="3728"/>
    <cellStyle name="Normal 3 10 3" xfId="1759"/>
    <cellStyle name="Normal 3 10 3 2" xfId="3712"/>
    <cellStyle name="Normal 3 10 4" xfId="1760"/>
    <cellStyle name="Normal 3 10 4 2" xfId="3711"/>
    <cellStyle name="Normal 3 10 5" xfId="1761"/>
    <cellStyle name="Normal 3 10 5 2" xfId="3710"/>
    <cellStyle name="Normal 3 10 6" xfId="1762"/>
    <cellStyle name="Normal 3 10 6 2" xfId="3709"/>
    <cellStyle name="Normal 3 10 7" xfId="1763"/>
    <cellStyle name="Normal 3 10 7 2" xfId="3708"/>
    <cellStyle name="Normal 3 10 8" xfId="1764"/>
    <cellStyle name="Normal 3 10 8 2" xfId="3707"/>
    <cellStyle name="Normal 3 10 9" xfId="1765"/>
    <cellStyle name="Normal 3 10 9 2" xfId="3706"/>
    <cellStyle name="Normal 3 11" xfId="1766"/>
    <cellStyle name="Normal 3 11 10" xfId="1767"/>
    <cellStyle name="Normal 3 11 10 2" xfId="3704"/>
    <cellStyle name="Normal 3 11 11" xfId="1768"/>
    <cellStyle name="Normal 3 11 11 2" xfId="3703"/>
    <cellStyle name="Normal 3 11 12" xfId="1769"/>
    <cellStyle name="Normal 3 11 12 2" xfId="3702"/>
    <cellStyle name="Normal 3 11 13" xfId="1770"/>
    <cellStyle name="Normal 3 11 13 2" xfId="3701"/>
    <cellStyle name="Normal 3 11 14" xfId="1771"/>
    <cellStyle name="Normal 3 11 14 2" xfId="3700"/>
    <cellStyle name="Normal 3 11 15" xfId="1772"/>
    <cellStyle name="Normal 3 11 15 2" xfId="3699"/>
    <cellStyle name="Normal 3 11 16" xfId="1773"/>
    <cellStyle name="Normal 3 11 16 2" xfId="3698"/>
    <cellStyle name="Normal 3 11 17" xfId="1774"/>
    <cellStyle name="Normal 3 11 17 2" xfId="3697"/>
    <cellStyle name="Normal 3 11 18" xfId="1775"/>
    <cellStyle name="Normal 3 11 18 2" xfId="3696"/>
    <cellStyle name="Normal 3 11 19" xfId="1776"/>
    <cellStyle name="Normal 3 11 19 2" xfId="3695"/>
    <cellStyle name="Normal 3 11 2" xfId="1777"/>
    <cellStyle name="Normal 3 11 2 2" xfId="3694"/>
    <cellStyle name="Normal 3 11 20" xfId="1778"/>
    <cellStyle name="Normal 3 11 20 2" xfId="3693"/>
    <cellStyle name="Normal 3 11 21" xfId="1779"/>
    <cellStyle name="Normal 3 11 21 2" xfId="3692"/>
    <cellStyle name="Normal 3 11 22" xfId="1780"/>
    <cellStyle name="Normal 3 11 22 2" xfId="3691"/>
    <cellStyle name="Normal 3 11 23" xfId="1781"/>
    <cellStyle name="Normal 3 11 23 2" xfId="3690"/>
    <cellStyle name="Normal 3 11 24" xfId="3705"/>
    <cellStyle name="Normal 3 11 3" xfId="1782"/>
    <cellStyle name="Normal 3 11 3 2" xfId="3689"/>
    <cellStyle name="Normal 3 11 4" xfId="1783"/>
    <cellStyle name="Normal 3 11 4 2" xfId="3688"/>
    <cellStyle name="Normal 3 11 5" xfId="1784"/>
    <cellStyle name="Normal 3 11 5 2" xfId="3687"/>
    <cellStyle name="Normal 3 11 6" xfId="1785"/>
    <cellStyle name="Normal 3 11 6 2" xfId="3686"/>
    <cellStyle name="Normal 3 11 7" xfId="1786"/>
    <cellStyle name="Normal 3 11 7 2" xfId="3685"/>
    <cellStyle name="Normal 3 11 8" xfId="1787"/>
    <cellStyle name="Normal 3 11 8 2" xfId="3684"/>
    <cellStyle name="Normal 3 11 9" xfId="1788"/>
    <cellStyle name="Normal 3 11 9 2" xfId="3683"/>
    <cellStyle name="Normal 3 12" xfId="1789"/>
    <cellStyle name="Normal 3 12 10" xfId="1790"/>
    <cellStyle name="Normal 3 12 10 2" xfId="3681"/>
    <cellStyle name="Normal 3 12 11" xfId="1791"/>
    <cellStyle name="Normal 3 12 11 2" xfId="3680"/>
    <cellStyle name="Normal 3 12 12" xfId="1792"/>
    <cellStyle name="Normal 3 12 12 2" xfId="3679"/>
    <cellStyle name="Normal 3 12 13" xfId="1793"/>
    <cellStyle name="Normal 3 12 13 2" xfId="3678"/>
    <cellStyle name="Normal 3 12 14" xfId="1794"/>
    <cellStyle name="Normal 3 12 14 2" xfId="3677"/>
    <cellStyle name="Normal 3 12 15" xfId="1795"/>
    <cellStyle name="Normal 3 12 15 2" xfId="3676"/>
    <cellStyle name="Normal 3 12 16" xfId="1796"/>
    <cellStyle name="Normal 3 12 16 2" xfId="3675"/>
    <cellStyle name="Normal 3 12 17" xfId="1797"/>
    <cellStyle name="Normal 3 12 17 2" xfId="3674"/>
    <cellStyle name="Normal 3 12 18" xfId="1798"/>
    <cellStyle name="Normal 3 12 18 2" xfId="3673"/>
    <cellStyle name="Normal 3 12 19" xfId="1799"/>
    <cellStyle name="Normal 3 12 19 2" xfId="3672"/>
    <cellStyle name="Normal 3 12 2" xfId="1800"/>
    <cellStyle name="Normal 3 12 2 2" xfId="3671"/>
    <cellStyle name="Normal 3 12 20" xfId="1801"/>
    <cellStyle name="Normal 3 12 20 2" xfId="3670"/>
    <cellStyle name="Normal 3 12 21" xfId="1802"/>
    <cellStyle name="Normal 3 12 21 2" xfId="3669"/>
    <cellStyle name="Normal 3 12 22" xfId="1803"/>
    <cellStyle name="Normal 3 12 22 2" xfId="3668"/>
    <cellStyle name="Normal 3 12 23" xfId="1804"/>
    <cellStyle name="Normal 3 12 23 2" xfId="3667"/>
    <cellStyle name="Normal 3 12 24" xfId="3682"/>
    <cellStyle name="Normal 3 12 3" xfId="1805"/>
    <cellStyle name="Normal 3 12 3 2" xfId="3666"/>
    <cellStyle name="Normal 3 12 4" xfId="1806"/>
    <cellStyle name="Normal 3 12 4 2" xfId="3665"/>
    <cellStyle name="Normal 3 12 5" xfId="1807"/>
    <cellStyle name="Normal 3 12 5 2" xfId="3664"/>
    <cellStyle name="Normal 3 12 6" xfId="1808"/>
    <cellStyle name="Normal 3 12 6 2" xfId="3663"/>
    <cellStyle name="Normal 3 12 7" xfId="1809"/>
    <cellStyle name="Normal 3 12 7 2" xfId="3662"/>
    <cellStyle name="Normal 3 12 8" xfId="1810"/>
    <cellStyle name="Normal 3 12 8 2" xfId="3661"/>
    <cellStyle name="Normal 3 12 9" xfId="1811"/>
    <cellStyle name="Normal 3 12 9 2" xfId="3660"/>
    <cellStyle name="Normal 3 13" xfId="1812"/>
    <cellStyle name="Normal 3 13 10" xfId="1813"/>
    <cellStyle name="Normal 3 13 10 2" xfId="3658"/>
    <cellStyle name="Normal 3 13 11" xfId="1814"/>
    <cellStyle name="Normal 3 13 11 2" xfId="3657"/>
    <cellStyle name="Normal 3 13 12" xfId="1815"/>
    <cellStyle name="Normal 3 13 12 2" xfId="3656"/>
    <cellStyle name="Normal 3 13 13" xfId="1816"/>
    <cellStyle name="Normal 3 13 13 2" xfId="3655"/>
    <cellStyle name="Normal 3 13 14" xfId="1817"/>
    <cellStyle name="Normal 3 13 14 2" xfId="3654"/>
    <cellStyle name="Normal 3 13 15" xfId="1818"/>
    <cellStyle name="Normal 3 13 15 2" xfId="3653"/>
    <cellStyle name="Normal 3 13 16" xfId="1819"/>
    <cellStyle name="Normal 3 13 16 2" xfId="3652"/>
    <cellStyle name="Normal 3 13 17" xfId="1820"/>
    <cellStyle name="Normal 3 13 17 2" xfId="3651"/>
    <cellStyle name="Normal 3 13 18" xfId="1821"/>
    <cellStyle name="Normal 3 13 18 2" xfId="3650"/>
    <cellStyle name="Normal 3 13 19" xfId="1822"/>
    <cellStyle name="Normal 3 13 19 2" xfId="3649"/>
    <cellStyle name="Normal 3 13 2" xfId="1823"/>
    <cellStyle name="Normal 3 13 2 2" xfId="3648"/>
    <cellStyle name="Normal 3 13 20" xfId="1824"/>
    <cellStyle name="Normal 3 13 20 2" xfId="3647"/>
    <cellStyle name="Normal 3 13 21" xfId="1825"/>
    <cellStyle name="Normal 3 13 21 2" xfId="3646"/>
    <cellStyle name="Normal 3 13 22" xfId="1826"/>
    <cellStyle name="Normal 3 13 22 2" xfId="3645"/>
    <cellStyle name="Normal 3 13 23" xfId="1827"/>
    <cellStyle name="Normal 3 13 23 2" xfId="3644"/>
    <cellStyle name="Normal 3 13 24" xfId="3659"/>
    <cellStyle name="Normal 3 13 3" xfId="1828"/>
    <cellStyle name="Normal 3 13 3 2" xfId="3643"/>
    <cellStyle name="Normal 3 13 4" xfId="1829"/>
    <cellStyle name="Normal 3 13 4 2" xfId="3642"/>
    <cellStyle name="Normal 3 13 5" xfId="1830"/>
    <cellStyle name="Normal 3 13 5 2" xfId="3641"/>
    <cellStyle name="Normal 3 13 6" xfId="1831"/>
    <cellStyle name="Normal 3 13 6 2" xfId="3640"/>
    <cellStyle name="Normal 3 13 7" xfId="1832"/>
    <cellStyle name="Normal 3 13 7 2" xfId="3639"/>
    <cellStyle name="Normal 3 13 8" xfId="1833"/>
    <cellStyle name="Normal 3 13 8 2" xfId="3638"/>
    <cellStyle name="Normal 3 13 9" xfId="1834"/>
    <cellStyle name="Normal 3 13 9 2" xfId="3637"/>
    <cellStyle name="Normal 3 14" xfId="1835"/>
    <cellStyle name="Normal 3 14 10" xfId="1836"/>
    <cellStyle name="Normal 3 14 10 2" xfId="3635"/>
    <cellStyle name="Normal 3 14 11" xfId="1837"/>
    <cellStyle name="Normal 3 14 11 2" xfId="3634"/>
    <cellStyle name="Normal 3 14 12" xfId="1838"/>
    <cellStyle name="Normal 3 14 12 2" xfId="3633"/>
    <cellStyle name="Normal 3 14 13" xfId="1839"/>
    <cellStyle name="Normal 3 14 13 2" xfId="3632"/>
    <cellStyle name="Normal 3 14 14" xfId="1840"/>
    <cellStyle name="Normal 3 14 14 2" xfId="3631"/>
    <cellStyle name="Normal 3 14 15" xfId="1841"/>
    <cellStyle name="Normal 3 14 15 2" xfId="3630"/>
    <cellStyle name="Normal 3 14 16" xfId="1842"/>
    <cellStyle name="Normal 3 14 16 2" xfId="3629"/>
    <cellStyle name="Normal 3 14 17" xfId="1843"/>
    <cellStyle name="Normal 3 14 17 2" xfId="3628"/>
    <cellStyle name="Normal 3 14 18" xfId="1844"/>
    <cellStyle name="Normal 3 14 18 2" xfId="3627"/>
    <cellStyle name="Normal 3 14 19" xfId="1845"/>
    <cellStyle name="Normal 3 14 19 2" xfId="3626"/>
    <cellStyle name="Normal 3 14 2" xfId="1846"/>
    <cellStyle name="Normal 3 14 2 2" xfId="3625"/>
    <cellStyle name="Normal 3 14 20" xfId="1847"/>
    <cellStyle name="Normal 3 14 20 2" xfId="3624"/>
    <cellStyle name="Normal 3 14 21" xfId="1848"/>
    <cellStyle name="Normal 3 14 21 2" xfId="3623"/>
    <cellStyle name="Normal 3 14 22" xfId="1849"/>
    <cellStyle name="Normal 3 14 22 2" xfId="3622"/>
    <cellStyle name="Normal 3 14 23" xfId="1850"/>
    <cellStyle name="Normal 3 14 23 2" xfId="3621"/>
    <cellStyle name="Normal 3 14 24" xfId="3636"/>
    <cellStyle name="Normal 3 14 3" xfId="1851"/>
    <cellStyle name="Normal 3 14 3 2" xfId="3620"/>
    <cellStyle name="Normal 3 14 4" xfId="1852"/>
    <cellStyle name="Normal 3 14 4 2" xfId="3619"/>
    <cellStyle name="Normal 3 14 5" xfId="1853"/>
    <cellStyle name="Normal 3 14 5 2" xfId="3618"/>
    <cellStyle name="Normal 3 14 6" xfId="1854"/>
    <cellStyle name="Normal 3 14 6 2" xfId="3617"/>
    <cellStyle name="Normal 3 14 7" xfId="1855"/>
    <cellStyle name="Normal 3 14 7 2" xfId="3616"/>
    <cellStyle name="Normal 3 14 8" xfId="1856"/>
    <cellStyle name="Normal 3 14 8 2" xfId="3615"/>
    <cellStyle name="Normal 3 14 9" xfId="1857"/>
    <cellStyle name="Normal 3 14 9 2" xfId="3614"/>
    <cellStyle name="Normal 3 15" xfId="1858"/>
    <cellStyle name="Normal 3 15 10" xfId="1859"/>
    <cellStyle name="Normal 3 15 10 2" xfId="3612"/>
    <cellStyle name="Normal 3 15 11" xfId="1860"/>
    <cellStyle name="Normal 3 15 11 2" xfId="3611"/>
    <cellStyle name="Normal 3 15 12" xfId="1861"/>
    <cellStyle name="Normal 3 15 12 2" xfId="3610"/>
    <cellStyle name="Normal 3 15 13" xfId="1862"/>
    <cellStyle name="Normal 3 15 13 2" xfId="3609"/>
    <cellStyle name="Normal 3 15 14" xfId="1863"/>
    <cellStyle name="Normal 3 15 14 2" xfId="3608"/>
    <cellStyle name="Normal 3 15 15" xfId="1864"/>
    <cellStyle name="Normal 3 15 15 2" xfId="3607"/>
    <cellStyle name="Normal 3 15 16" xfId="1865"/>
    <cellStyle name="Normal 3 15 16 2" xfId="3606"/>
    <cellStyle name="Normal 3 15 17" xfId="1866"/>
    <cellStyle name="Normal 3 15 17 2" xfId="3605"/>
    <cellStyle name="Normal 3 15 18" xfId="1867"/>
    <cellStyle name="Normal 3 15 18 2" xfId="3604"/>
    <cellStyle name="Normal 3 15 19" xfId="1868"/>
    <cellStyle name="Normal 3 15 19 2" xfId="3603"/>
    <cellStyle name="Normal 3 15 2" xfId="1869"/>
    <cellStyle name="Normal 3 15 2 2" xfId="3602"/>
    <cellStyle name="Normal 3 15 20" xfId="1870"/>
    <cellStyle name="Normal 3 15 20 2" xfId="3601"/>
    <cellStyle name="Normal 3 15 21" xfId="1871"/>
    <cellStyle name="Normal 3 15 21 2" xfId="3600"/>
    <cellStyle name="Normal 3 15 22" xfId="1872"/>
    <cellStyle name="Normal 3 15 22 2" xfId="3599"/>
    <cellStyle name="Normal 3 15 23" xfId="1873"/>
    <cellStyle name="Normal 3 15 23 2" xfId="3598"/>
    <cellStyle name="Normal 3 15 24" xfId="3613"/>
    <cellStyle name="Normal 3 15 3" xfId="1874"/>
    <cellStyle name="Normal 3 15 3 2" xfId="3597"/>
    <cellStyle name="Normal 3 15 4" xfId="1875"/>
    <cellStyle name="Normal 3 15 4 2" xfId="3596"/>
    <cellStyle name="Normal 3 15 5" xfId="1876"/>
    <cellStyle name="Normal 3 15 5 2" xfId="3595"/>
    <cellStyle name="Normal 3 15 6" xfId="1877"/>
    <cellStyle name="Normal 3 15 6 2" xfId="3594"/>
    <cellStyle name="Normal 3 15 7" xfId="1878"/>
    <cellStyle name="Normal 3 15 7 2" xfId="3593"/>
    <cellStyle name="Normal 3 15 8" xfId="1879"/>
    <cellStyle name="Normal 3 15 8 2" xfId="3592"/>
    <cellStyle name="Normal 3 15 9" xfId="1880"/>
    <cellStyle name="Normal 3 15 9 2" xfId="3591"/>
    <cellStyle name="Normal 3 16" xfId="1881"/>
    <cellStyle name="Normal 3 16 10" xfId="1882"/>
    <cellStyle name="Normal 3 16 10 2" xfId="3589"/>
    <cellStyle name="Normal 3 16 11" xfId="1883"/>
    <cellStyle name="Normal 3 16 11 2" xfId="3588"/>
    <cellStyle name="Normal 3 16 12" xfId="1884"/>
    <cellStyle name="Normal 3 16 12 2" xfId="3587"/>
    <cellStyle name="Normal 3 16 13" xfId="1885"/>
    <cellStyle name="Normal 3 16 13 2" xfId="3586"/>
    <cellStyle name="Normal 3 16 14" xfId="1886"/>
    <cellStyle name="Normal 3 16 14 2" xfId="3585"/>
    <cellStyle name="Normal 3 16 15" xfId="1887"/>
    <cellStyle name="Normal 3 16 15 2" xfId="3584"/>
    <cellStyle name="Normal 3 16 16" xfId="1888"/>
    <cellStyle name="Normal 3 16 16 2" xfId="3583"/>
    <cellStyle name="Normal 3 16 17" xfId="1889"/>
    <cellStyle name="Normal 3 16 17 2" xfId="3582"/>
    <cellStyle name="Normal 3 16 18" xfId="1890"/>
    <cellStyle name="Normal 3 16 18 2" xfId="3581"/>
    <cellStyle name="Normal 3 16 19" xfId="1891"/>
    <cellStyle name="Normal 3 16 19 2" xfId="3580"/>
    <cellStyle name="Normal 3 16 2" xfId="1892"/>
    <cellStyle name="Normal 3 16 2 2" xfId="3579"/>
    <cellStyle name="Normal 3 16 20" xfId="1893"/>
    <cellStyle name="Normal 3 16 20 2" xfId="3578"/>
    <cellStyle name="Normal 3 16 21" xfId="1894"/>
    <cellStyle name="Normal 3 16 21 2" xfId="3577"/>
    <cellStyle name="Normal 3 16 22" xfId="1895"/>
    <cellStyle name="Normal 3 16 22 2" xfId="3576"/>
    <cellStyle name="Normal 3 16 23" xfId="1896"/>
    <cellStyle name="Normal 3 16 23 2" xfId="3575"/>
    <cellStyle name="Normal 3 16 24" xfId="3590"/>
    <cellStyle name="Normal 3 16 3" xfId="1897"/>
    <cellStyle name="Normal 3 16 3 2" xfId="3574"/>
    <cellStyle name="Normal 3 16 4" xfId="1898"/>
    <cellStyle name="Normal 3 16 4 2" xfId="3573"/>
    <cellStyle name="Normal 3 16 5" xfId="1899"/>
    <cellStyle name="Normal 3 16 5 2" xfId="3572"/>
    <cellStyle name="Normal 3 16 6" xfId="1900"/>
    <cellStyle name="Normal 3 16 6 2" xfId="3571"/>
    <cellStyle name="Normal 3 16 7" xfId="1901"/>
    <cellStyle name="Normal 3 16 7 2" xfId="3570"/>
    <cellStyle name="Normal 3 16 8" xfId="1902"/>
    <cellStyle name="Normal 3 16 8 2" xfId="3569"/>
    <cellStyle name="Normal 3 16 9" xfId="1903"/>
    <cellStyle name="Normal 3 16 9 2" xfId="3568"/>
    <cellStyle name="Normal 3 17" xfId="1904"/>
    <cellStyle name="Normal 3 17 10" xfId="1905"/>
    <cellStyle name="Normal 3 17 10 2" xfId="3566"/>
    <cellStyle name="Normal 3 17 11" xfId="1906"/>
    <cellStyle name="Normal 3 17 11 2" xfId="3565"/>
    <cellStyle name="Normal 3 17 12" xfId="1907"/>
    <cellStyle name="Normal 3 17 12 2" xfId="3564"/>
    <cellStyle name="Normal 3 17 13" xfId="1908"/>
    <cellStyle name="Normal 3 17 13 2" xfId="3563"/>
    <cellStyle name="Normal 3 17 14" xfId="1909"/>
    <cellStyle name="Normal 3 17 14 2" xfId="3562"/>
    <cellStyle name="Normal 3 17 15" xfId="1910"/>
    <cellStyle name="Normal 3 17 15 2" xfId="3561"/>
    <cellStyle name="Normal 3 17 16" xfId="1911"/>
    <cellStyle name="Normal 3 17 16 2" xfId="3560"/>
    <cellStyle name="Normal 3 17 17" xfId="1912"/>
    <cellStyle name="Normal 3 17 17 2" xfId="3559"/>
    <cellStyle name="Normal 3 17 18" xfId="1913"/>
    <cellStyle name="Normal 3 17 18 2" xfId="3558"/>
    <cellStyle name="Normal 3 17 19" xfId="1914"/>
    <cellStyle name="Normal 3 17 19 2" xfId="3557"/>
    <cellStyle name="Normal 3 17 2" xfId="1915"/>
    <cellStyle name="Normal 3 17 2 2" xfId="3556"/>
    <cellStyle name="Normal 3 17 20" xfId="1916"/>
    <cellStyle name="Normal 3 17 20 2" xfId="3555"/>
    <cellStyle name="Normal 3 17 21" xfId="1917"/>
    <cellStyle name="Normal 3 17 21 2" xfId="3554"/>
    <cellStyle name="Normal 3 17 22" xfId="1918"/>
    <cellStyle name="Normal 3 17 22 2" xfId="3553"/>
    <cellStyle name="Normal 3 17 23" xfId="1919"/>
    <cellStyle name="Normal 3 17 23 2" xfId="3552"/>
    <cellStyle name="Normal 3 17 24" xfId="3567"/>
    <cellStyle name="Normal 3 17 3" xfId="1920"/>
    <cellStyle name="Normal 3 17 3 2" xfId="3551"/>
    <cellStyle name="Normal 3 17 4" xfId="1921"/>
    <cellStyle name="Normal 3 17 4 2" xfId="3550"/>
    <cellStyle name="Normal 3 17 5" xfId="1922"/>
    <cellStyle name="Normal 3 17 5 2" xfId="3549"/>
    <cellStyle name="Normal 3 17 6" xfId="1923"/>
    <cellStyle name="Normal 3 17 6 2" xfId="3548"/>
    <cellStyle name="Normal 3 17 7" xfId="1924"/>
    <cellStyle name="Normal 3 17 7 2" xfId="3547"/>
    <cellStyle name="Normal 3 17 8" xfId="1925"/>
    <cellStyle name="Normal 3 17 8 2" xfId="3546"/>
    <cellStyle name="Normal 3 17 9" xfId="1926"/>
    <cellStyle name="Normal 3 17 9 2" xfId="3545"/>
    <cellStyle name="Normal 3 18" xfId="1927"/>
    <cellStyle name="Normal 3 18 10" xfId="1928"/>
    <cellStyle name="Normal 3 18 10 2" xfId="3543"/>
    <cellStyle name="Normal 3 18 11" xfId="1929"/>
    <cellStyle name="Normal 3 18 11 2" xfId="3542"/>
    <cellStyle name="Normal 3 18 12" xfId="1930"/>
    <cellStyle name="Normal 3 18 12 2" xfId="3541"/>
    <cellStyle name="Normal 3 18 13" xfId="1931"/>
    <cellStyle name="Normal 3 18 13 2" xfId="3540"/>
    <cellStyle name="Normal 3 18 14" xfId="1932"/>
    <cellStyle name="Normal 3 18 14 2" xfId="3539"/>
    <cellStyle name="Normal 3 18 15" xfId="1933"/>
    <cellStyle name="Normal 3 18 15 2" xfId="3538"/>
    <cellStyle name="Normal 3 18 16" xfId="1934"/>
    <cellStyle name="Normal 3 18 16 2" xfId="3537"/>
    <cellStyle name="Normal 3 18 17" xfId="1935"/>
    <cellStyle name="Normal 3 18 17 2" xfId="3536"/>
    <cellStyle name="Normal 3 18 18" xfId="1936"/>
    <cellStyle name="Normal 3 18 18 2" xfId="3535"/>
    <cellStyle name="Normal 3 18 19" xfId="1937"/>
    <cellStyle name="Normal 3 18 19 2" xfId="3534"/>
    <cellStyle name="Normal 3 18 2" xfId="1938"/>
    <cellStyle name="Normal 3 18 2 2" xfId="3533"/>
    <cellStyle name="Normal 3 18 20" xfId="1939"/>
    <cellStyle name="Normal 3 18 20 2" xfId="3532"/>
    <cellStyle name="Normal 3 18 21" xfId="1940"/>
    <cellStyle name="Normal 3 18 21 2" xfId="3531"/>
    <cellStyle name="Normal 3 18 22" xfId="1941"/>
    <cellStyle name="Normal 3 18 22 2" xfId="3530"/>
    <cellStyle name="Normal 3 18 23" xfId="1942"/>
    <cellStyle name="Normal 3 18 23 2" xfId="3529"/>
    <cellStyle name="Normal 3 18 24" xfId="3544"/>
    <cellStyle name="Normal 3 18 3" xfId="1943"/>
    <cellStyle name="Normal 3 18 3 2" xfId="3528"/>
    <cellStyle name="Normal 3 18 4" xfId="1944"/>
    <cellStyle name="Normal 3 18 4 2" xfId="3527"/>
    <cellStyle name="Normal 3 18 5" xfId="1945"/>
    <cellStyle name="Normal 3 18 5 2" xfId="3526"/>
    <cellStyle name="Normal 3 18 6" xfId="1946"/>
    <cellStyle name="Normal 3 18 6 2" xfId="3525"/>
    <cellStyle name="Normal 3 18 7" xfId="1947"/>
    <cellStyle name="Normal 3 18 7 2" xfId="3524"/>
    <cellStyle name="Normal 3 18 8" xfId="1948"/>
    <cellStyle name="Normal 3 18 8 2" xfId="3523"/>
    <cellStyle name="Normal 3 18 9" xfId="1949"/>
    <cellStyle name="Normal 3 18 9 2" xfId="3522"/>
    <cellStyle name="Normal 3 19" xfId="1950"/>
    <cellStyle name="Normal 3 19 10" xfId="1951"/>
    <cellStyle name="Normal 3 19 10 2" xfId="3520"/>
    <cellStyle name="Normal 3 19 11" xfId="1952"/>
    <cellStyle name="Normal 3 19 11 2" xfId="3519"/>
    <cellStyle name="Normal 3 19 12" xfId="1953"/>
    <cellStyle name="Normal 3 19 12 2" xfId="3518"/>
    <cellStyle name="Normal 3 19 13" xfId="1954"/>
    <cellStyle name="Normal 3 19 13 2" xfId="3517"/>
    <cellStyle name="Normal 3 19 14" xfId="1955"/>
    <cellStyle name="Normal 3 19 14 2" xfId="3516"/>
    <cellStyle name="Normal 3 19 15" xfId="1956"/>
    <cellStyle name="Normal 3 19 15 2" xfId="3515"/>
    <cellStyle name="Normal 3 19 16" xfId="1957"/>
    <cellStyle name="Normal 3 19 16 2" xfId="3514"/>
    <cellStyle name="Normal 3 19 17" xfId="1958"/>
    <cellStyle name="Normal 3 19 17 2" xfId="3513"/>
    <cellStyle name="Normal 3 19 18" xfId="1959"/>
    <cellStyle name="Normal 3 19 18 2" xfId="3512"/>
    <cellStyle name="Normal 3 19 19" xfId="1960"/>
    <cellStyle name="Normal 3 19 19 2" xfId="3511"/>
    <cellStyle name="Normal 3 19 2" xfId="1961"/>
    <cellStyle name="Normal 3 19 2 2" xfId="3510"/>
    <cellStyle name="Normal 3 19 20" xfId="1962"/>
    <cellStyle name="Normal 3 19 20 2" xfId="3509"/>
    <cellStyle name="Normal 3 19 21" xfId="1963"/>
    <cellStyle name="Normal 3 19 21 2" xfId="3508"/>
    <cellStyle name="Normal 3 19 22" xfId="1964"/>
    <cellStyle name="Normal 3 19 22 2" xfId="3507"/>
    <cellStyle name="Normal 3 19 23" xfId="1965"/>
    <cellStyle name="Normal 3 19 23 2" xfId="3506"/>
    <cellStyle name="Normal 3 19 24" xfId="3521"/>
    <cellStyle name="Normal 3 19 3" xfId="1966"/>
    <cellStyle name="Normal 3 19 3 2" xfId="3505"/>
    <cellStyle name="Normal 3 19 4" xfId="1967"/>
    <cellStyle name="Normal 3 19 4 2" xfId="3504"/>
    <cellStyle name="Normal 3 19 5" xfId="1968"/>
    <cellStyle name="Normal 3 19 5 2" xfId="3503"/>
    <cellStyle name="Normal 3 19 6" xfId="1969"/>
    <cellStyle name="Normal 3 19 6 2" xfId="3502"/>
    <cellStyle name="Normal 3 19 7" xfId="1970"/>
    <cellStyle name="Normal 3 19 7 2" xfId="3501"/>
    <cellStyle name="Normal 3 19 8" xfId="1971"/>
    <cellStyle name="Normal 3 19 8 2" xfId="3500"/>
    <cellStyle name="Normal 3 19 9" xfId="1972"/>
    <cellStyle name="Normal 3 19 9 2" xfId="3499"/>
    <cellStyle name="Normal 3 2" xfId="1973"/>
    <cellStyle name="Normal 3 2 10" xfId="1974"/>
    <cellStyle name="Normal 3 2 10 2" xfId="3497"/>
    <cellStyle name="Normal 3 2 11" xfId="1975"/>
    <cellStyle name="Normal 3 2 11 2" xfId="3496"/>
    <cellStyle name="Normal 3 2 12" xfId="1976"/>
    <cellStyle name="Normal 3 2 12 2" xfId="3495"/>
    <cellStyle name="Normal 3 2 13" xfId="1977"/>
    <cellStyle name="Normal 3 2 13 2" xfId="3494"/>
    <cellStyle name="Normal 3 2 14" xfId="1978"/>
    <cellStyle name="Normal 3 2 14 2" xfId="3493"/>
    <cellStyle name="Normal 3 2 15" xfId="1979"/>
    <cellStyle name="Normal 3 2 15 2" xfId="3492"/>
    <cellStyle name="Normal 3 2 16" xfId="1980"/>
    <cellStyle name="Normal 3 2 16 2" xfId="3491"/>
    <cellStyle name="Normal 3 2 17" xfId="1981"/>
    <cellStyle name="Normal 3 2 17 2" xfId="3490"/>
    <cellStyle name="Normal 3 2 18" xfId="1982"/>
    <cellStyle name="Normal 3 2 18 2" xfId="3489"/>
    <cellStyle name="Normal 3 2 19" xfId="1983"/>
    <cellStyle name="Normal 3 2 19 2" xfId="3488"/>
    <cellStyle name="Normal 3 2 2" xfId="1984"/>
    <cellStyle name="Normal 3 2 2 10" xfId="1985"/>
    <cellStyle name="Normal 3 2 2 10 2" xfId="3486"/>
    <cellStyle name="Normal 3 2 2 11" xfId="1986"/>
    <cellStyle name="Normal 3 2 2 11 2" xfId="3485"/>
    <cellStyle name="Normal 3 2 2 12" xfId="1987"/>
    <cellStyle name="Normal 3 2 2 12 2" xfId="3484"/>
    <cellStyle name="Normal 3 2 2 13" xfId="1988"/>
    <cellStyle name="Normal 3 2 2 13 2" xfId="3483"/>
    <cellStyle name="Normal 3 2 2 14" xfId="1989"/>
    <cellStyle name="Normal 3 2 2 14 2" xfId="3482"/>
    <cellStyle name="Normal 3 2 2 15" xfId="1990"/>
    <cellStyle name="Normal 3 2 2 15 2" xfId="3481"/>
    <cellStyle name="Normal 3 2 2 16" xfId="1991"/>
    <cellStyle name="Normal 3 2 2 16 2" xfId="3480"/>
    <cellStyle name="Normal 3 2 2 17" xfId="1992"/>
    <cellStyle name="Normal 3 2 2 17 2" xfId="3479"/>
    <cellStyle name="Normal 3 2 2 18" xfId="1993"/>
    <cellStyle name="Normal 3 2 2 18 2" xfId="3478"/>
    <cellStyle name="Normal 3 2 2 19" xfId="1994"/>
    <cellStyle name="Normal 3 2 2 19 2" xfId="3477"/>
    <cellStyle name="Normal 3 2 2 2" xfId="1995"/>
    <cellStyle name="Normal 3 2 2 2 2" xfId="3476"/>
    <cellStyle name="Normal 3 2 2 20" xfId="1996"/>
    <cellStyle name="Normal 3 2 2 20 2" xfId="3475"/>
    <cellStyle name="Normal 3 2 2 21" xfId="1997"/>
    <cellStyle name="Normal 3 2 2 21 2" xfId="3474"/>
    <cellStyle name="Normal 3 2 2 22" xfId="1998"/>
    <cellStyle name="Normal 3 2 2 22 2" xfId="3473"/>
    <cellStyle name="Normal 3 2 2 23" xfId="1999"/>
    <cellStyle name="Normal 3 2 2 23 2" xfId="3472"/>
    <cellStyle name="Normal 3 2 2 24" xfId="2000"/>
    <cellStyle name="Normal 3 2 2 24 2" xfId="3471"/>
    <cellStyle name="Normal 3 2 2 25" xfId="2001"/>
    <cellStyle name="Normal 3 2 2 25 2" xfId="3470"/>
    <cellStyle name="Normal 3 2 2 26" xfId="2002"/>
    <cellStyle name="Normal 3 2 2 26 2" xfId="3469"/>
    <cellStyle name="Normal 3 2 2 27" xfId="2003"/>
    <cellStyle name="Normal 3 2 2 27 2" xfId="3468"/>
    <cellStyle name="Normal 3 2 2 28" xfId="2004"/>
    <cellStyle name="Normal 3 2 2 28 2" xfId="3467"/>
    <cellStyle name="Normal 3 2 2 29" xfId="2005"/>
    <cellStyle name="Normal 3 2 2 29 2" xfId="3466"/>
    <cellStyle name="Normal 3 2 2 3" xfId="2006"/>
    <cellStyle name="Normal 3 2 2 3 2" xfId="3465"/>
    <cellStyle name="Normal 3 2 2 30" xfId="2007"/>
    <cellStyle name="Normal 3 2 2 30 2" xfId="3464"/>
    <cellStyle name="Normal 3 2 2 31" xfId="2008"/>
    <cellStyle name="Normal 3 2 2 31 2" xfId="3463"/>
    <cellStyle name="Normal 3 2 2 32" xfId="2009"/>
    <cellStyle name="Normal 3 2 2 32 2" xfId="3462"/>
    <cellStyle name="Normal 3 2 2 33" xfId="2010"/>
    <cellStyle name="Normal 3 2 2 33 2" xfId="3461"/>
    <cellStyle name="Normal 3 2 2 34" xfId="3487"/>
    <cellStyle name="Normal 3 2 2 4" xfId="2011"/>
    <cellStyle name="Normal 3 2 2 4 2" xfId="3460"/>
    <cellStyle name="Normal 3 2 2 5" xfId="2012"/>
    <cellStyle name="Normal 3 2 2 5 2" xfId="3459"/>
    <cellStyle name="Normal 3 2 2 6" xfId="2013"/>
    <cellStyle name="Normal 3 2 2 6 2" xfId="3458"/>
    <cellStyle name="Normal 3 2 2 7" xfId="2014"/>
    <cellStyle name="Normal 3 2 2 7 2" xfId="3457"/>
    <cellStyle name="Normal 3 2 2 8" xfId="2015"/>
    <cellStyle name="Normal 3 2 2 8 2" xfId="3456"/>
    <cellStyle name="Normal 3 2 2 9" xfId="2016"/>
    <cellStyle name="Normal 3 2 2 9 2" xfId="3455"/>
    <cellStyle name="Normal 3 2 20" xfId="2017"/>
    <cellStyle name="Normal 3 2 20 2" xfId="3454"/>
    <cellStyle name="Normal 3 2 21" xfId="2018"/>
    <cellStyle name="Normal 3 2 21 2" xfId="3453"/>
    <cellStyle name="Normal 3 2 22" xfId="2019"/>
    <cellStyle name="Normal 3 2 22 2" xfId="3452"/>
    <cellStyle name="Normal 3 2 23" xfId="2020"/>
    <cellStyle name="Normal 3 2 23 2" xfId="3451"/>
    <cellStyle name="Normal 3 2 24" xfId="2021"/>
    <cellStyle name="Normal 3 2 24 2" xfId="3450"/>
    <cellStyle name="Normal 3 2 25" xfId="2022"/>
    <cellStyle name="Normal 3 2 25 2" xfId="3449"/>
    <cellStyle name="Normal 3 2 26" xfId="2023"/>
    <cellStyle name="Normal 3 2 26 2" xfId="3448"/>
    <cellStyle name="Normal 3 2 27" xfId="2024"/>
    <cellStyle name="Normal 3 2 27 2" xfId="3447"/>
    <cellStyle name="Normal 3 2 28" xfId="2025"/>
    <cellStyle name="Normal 3 2 28 2" xfId="3446"/>
    <cellStyle name="Normal 3 2 29" xfId="2026"/>
    <cellStyle name="Normal 3 2 29 2" xfId="3445"/>
    <cellStyle name="Normal 3 2 3" xfId="2027"/>
    <cellStyle name="Normal 3 2 3 2" xfId="3444"/>
    <cellStyle name="Normal 3 2 30" xfId="2028"/>
    <cellStyle name="Normal 3 2 30 2" xfId="3443"/>
    <cellStyle name="Normal 3 2 31" xfId="2029"/>
    <cellStyle name="Normal 3 2 31 2" xfId="3442"/>
    <cellStyle name="Normal 3 2 32" xfId="2030"/>
    <cellStyle name="Normal 3 2 32 2" xfId="3441"/>
    <cellStyle name="Normal 3 2 33" xfId="2031"/>
    <cellStyle name="Normal 3 2 33 2" xfId="3440"/>
    <cellStyle name="Normal 3 2 34" xfId="2032"/>
    <cellStyle name="Normal 3 2 34 2" xfId="3439"/>
    <cellStyle name="Normal 3 2 35" xfId="2033"/>
    <cellStyle name="Normal 3 2 35 2" xfId="3438"/>
    <cellStyle name="Normal 3 2 36" xfId="2034"/>
    <cellStyle name="Normal 3 2 36 2" xfId="3437"/>
    <cellStyle name="Normal 3 2 37" xfId="2035"/>
    <cellStyle name="Normal 3 2 37 2" xfId="3436"/>
    <cellStyle name="Normal 3 2 38" xfId="2036"/>
    <cellStyle name="Normal 3 2 38 2" xfId="3435"/>
    <cellStyle name="Normal 3 2 39" xfId="2037"/>
    <cellStyle name="Normal 3 2 39 2" xfId="3434"/>
    <cellStyle name="Normal 3 2 4" xfId="2038"/>
    <cellStyle name="Normal 3 2 4 2" xfId="3433"/>
    <cellStyle name="Normal 3 2 40" xfId="2039"/>
    <cellStyle name="Normal 3 2 40 2" xfId="3432"/>
    <cellStyle name="Normal 3 2 41" xfId="2040"/>
    <cellStyle name="Normal 3 2 41 2" xfId="3431"/>
    <cellStyle name="Normal 3 2 42" xfId="2041"/>
    <cellStyle name="Normal 3 2 42 2" xfId="3430"/>
    <cellStyle name="Normal 3 2 43" xfId="2042"/>
    <cellStyle name="Normal 3 2 43 2" xfId="3429"/>
    <cellStyle name="Normal 3 2 44" xfId="2043"/>
    <cellStyle name="Normal 3 2 44 2" xfId="3428"/>
    <cellStyle name="Normal 3 2 45" xfId="2044"/>
    <cellStyle name="Normal 3 2 45 2" xfId="3427"/>
    <cellStyle name="Normal 3 2 46" xfId="2045"/>
    <cellStyle name="Normal 3 2 46 2" xfId="3426"/>
    <cellStyle name="Normal 3 2 47" xfId="2046"/>
    <cellStyle name="Normal 3 2 47 2" xfId="3425"/>
    <cellStyle name="Normal 3 2 48" xfId="2047"/>
    <cellStyle name="Normal 3 2 48 2" xfId="3424"/>
    <cellStyle name="Normal 3 2 49" xfId="2048"/>
    <cellStyle name="Normal 3 2 49 2" xfId="3423"/>
    <cellStyle name="Normal 3 2 5" xfId="2049"/>
    <cellStyle name="Normal 3 2 5 2" xfId="3422"/>
    <cellStyle name="Normal 3 2 50" xfId="2050"/>
    <cellStyle name="Normal 3 2 50 2" xfId="3421"/>
    <cellStyle name="Normal 3 2 51" xfId="2051"/>
    <cellStyle name="Normal 3 2 51 2" xfId="3420"/>
    <cellStyle name="Normal 3 2 52" xfId="2052"/>
    <cellStyle name="Normal 3 2 52 2" xfId="3419"/>
    <cellStyle name="Normal 3 2 53" xfId="2053"/>
    <cellStyle name="Normal 3 2 53 2" xfId="3418"/>
    <cellStyle name="Normal 3 2 54" xfId="2054"/>
    <cellStyle name="Normal 3 2 54 2" xfId="3417"/>
    <cellStyle name="Normal 3 2 55" xfId="2055"/>
    <cellStyle name="Normal 3 2 55 2" xfId="3416"/>
    <cellStyle name="Normal 3 2 56" xfId="3498"/>
    <cellStyle name="Normal 3 2 6" xfId="2056"/>
    <cellStyle name="Normal 3 2 6 2" xfId="3415"/>
    <cellStyle name="Normal 3 2 7" xfId="2057"/>
    <cellStyle name="Normal 3 2 7 2" xfId="3414"/>
    <cellStyle name="Normal 3 2 8" xfId="2058"/>
    <cellStyle name="Normal 3 2 8 2" xfId="3413"/>
    <cellStyle name="Normal 3 2 9" xfId="2059"/>
    <cellStyle name="Normal 3 2 9 2" xfId="3412"/>
    <cellStyle name="Normal 3 20" xfId="2060"/>
    <cellStyle name="Normal 3 20 10" xfId="2061"/>
    <cellStyle name="Normal 3 20 10 2" xfId="3410"/>
    <cellStyle name="Normal 3 20 11" xfId="2062"/>
    <cellStyle name="Normal 3 20 11 2" xfId="3409"/>
    <cellStyle name="Normal 3 20 12" xfId="2063"/>
    <cellStyle name="Normal 3 20 12 2" xfId="3408"/>
    <cellStyle name="Normal 3 20 13" xfId="2064"/>
    <cellStyle name="Normal 3 20 13 2" xfId="3407"/>
    <cellStyle name="Normal 3 20 14" xfId="2065"/>
    <cellStyle name="Normal 3 20 14 2" xfId="3406"/>
    <cellStyle name="Normal 3 20 15" xfId="2066"/>
    <cellStyle name="Normal 3 20 15 2" xfId="3405"/>
    <cellStyle name="Normal 3 20 16" xfId="2067"/>
    <cellStyle name="Normal 3 20 16 2" xfId="3404"/>
    <cellStyle name="Normal 3 20 17" xfId="2068"/>
    <cellStyle name="Normal 3 20 17 2" xfId="3403"/>
    <cellStyle name="Normal 3 20 18" xfId="2069"/>
    <cellStyle name="Normal 3 20 18 2" xfId="3402"/>
    <cellStyle name="Normal 3 20 19" xfId="2070"/>
    <cellStyle name="Normal 3 20 19 2" xfId="3401"/>
    <cellStyle name="Normal 3 20 2" xfId="2071"/>
    <cellStyle name="Normal 3 20 2 2" xfId="3400"/>
    <cellStyle name="Normal 3 20 20" xfId="2072"/>
    <cellStyle name="Normal 3 20 20 2" xfId="3399"/>
    <cellStyle name="Normal 3 20 21" xfId="2073"/>
    <cellStyle name="Normal 3 20 21 2" xfId="3398"/>
    <cellStyle name="Normal 3 20 22" xfId="2074"/>
    <cellStyle name="Normal 3 20 22 2" xfId="3397"/>
    <cellStyle name="Normal 3 20 23" xfId="2075"/>
    <cellStyle name="Normal 3 20 23 2" xfId="3396"/>
    <cellStyle name="Normal 3 20 24" xfId="3411"/>
    <cellStyle name="Normal 3 20 3" xfId="2076"/>
    <cellStyle name="Normal 3 20 3 2" xfId="3395"/>
    <cellStyle name="Normal 3 20 4" xfId="2077"/>
    <cellStyle name="Normal 3 20 4 2" xfId="3394"/>
    <cellStyle name="Normal 3 20 5" xfId="2078"/>
    <cellStyle name="Normal 3 20 5 2" xfId="3393"/>
    <cellStyle name="Normal 3 20 6" xfId="2079"/>
    <cellStyle name="Normal 3 20 6 2" xfId="3392"/>
    <cellStyle name="Normal 3 20 7" xfId="2080"/>
    <cellStyle name="Normal 3 20 7 2" xfId="3391"/>
    <cellStyle name="Normal 3 20 8" xfId="2081"/>
    <cellStyle name="Normal 3 20 8 2" xfId="3390"/>
    <cellStyle name="Normal 3 20 9" xfId="2082"/>
    <cellStyle name="Normal 3 20 9 2" xfId="3389"/>
    <cellStyle name="Normal 3 21" xfId="2083"/>
    <cellStyle name="Normal 3 21 10" xfId="2084"/>
    <cellStyle name="Normal 3 21 10 2" xfId="3387"/>
    <cellStyle name="Normal 3 21 11" xfId="2085"/>
    <cellStyle name="Normal 3 21 11 2" xfId="3386"/>
    <cellStyle name="Normal 3 21 12" xfId="2086"/>
    <cellStyle name="Normal 3 21 12 2" xfId="3385"/>
    <cellStyle name="Normal 3 21 13" xfId="2087"/>
    <cellStyle name="Normal 3 21 13 2" xfId="3384"/>
    <cellStyle name="Normal 3 21 14" xfId="2088"/>
    <cellStyle name="Normal 3 21 14 2" xfId="3383"/>
    <cellStyle name="Normal 3 21 15" xfId="2089"/>
    <cellStyle name="Normal 3 21 15 2" xfId="3382"/>
    <cellStyle name="Normal 3 21 16" xfId="2090"/>
    <cellStyle name="Normal 3 21 16 2" xfId="3381"/>
    <cellStyle name="Normal 3 21 17" xfId="2091"/>
    <cellStyle name="Normal 3 21 17 2" xfId="3380"/>
    <cellStyle name="Normal 3 21 18" xfId="2092"/>
    <cellStyle name="Normal 3 21 18 2" xfId="3379"/>
    <cellStyle name="Normal 3 21 19" xfId="2093"/>
    <cellStyle name="Normal 3 21 19 2" xfId="3378"/>
    <cellStyle name="Normal 3 21 2" xfId="2094"/>
    <cellStyle name="Normal 3 21 2 2" xfId="3377"/>
    <cellStyle name="Normal 3 21 20" xfId="2095"/>
    <cellStyle name="Normal 3 21 20 2" xfId="3376"/>
    <cellStyle name="Normal 3 21 21" xfId="2096"/>
    <cellStyle name="Normal 3 21 21 2" xfId="3375"/>
    <cellStyle name="Normal 3 21 22" xfId="2097"/>
    <cellStyle name="Normal 3 21 22 2" xfId="3374"/>
    <cellStyle name="Normal 3 21 23" xfId="2098"/>
    <cellStyle name="Normal 3 21 23 2" xfId="3373"/>
    <cellStyle name="Normal 3 21 24" xfId="3388"/>
    <cellStyle name="Normal 3 21 3" xfId="2099"/>
    <cellStyle name="Normal 3 21 3 2" xfId="3372"/>
    <cellStyle name="Normal 3 21 4" xfId="2100"/>
    <cellStyle name="Normal 3 21 4 2" xfId="3371"/>
    <cellStyle name="Normal 3 21 5" xfId="2101"/>
    <cellStyle name="Normal 3 21 5 2" xfId="3370"/>
    <cellStyle name="Normal 3 21 6" xfId="2102"/>
    <cellStyle name="Normal 3 21 6 2" xfId="3369"/>
    <cellStyle name="Normal 3 21 7" xfId="2103"/>
    <cellStyle name="Normal 3 21 7 2" xfId="3368"/>
    <cellStyle name="Normal 3 21 8" xfId="2104"/>
    <cellStyle name="Normal 3 21 8 2" xfId="3367"/>
    <cellStyle name="Normal 3 21 9" xfId="2105"/>
    <cellStyle name="Normal 3 21 9 2" xfId="3366"/>
    <cellStyle name="Normal 3 22" xfId="2106"/>
    <cellStyle name="Normal 3 22 10" xfId="2107"/>
    <cellStyle name="Normal 3 22 10 2" xfId="3364"/>
    <cellStyle name="Normal 3 22 11" xfId="2108"/>
    <cellStyle name="Normal 3 22 11 2" xfId="3363"/>
    <cellStyle name="Normal 3 22 12" xfId="2109"/>
    <cellStyle name="Normal 3 22 12 2" xfId="3362"/>
    <cellStyle name="Normal 3 22 13" xfId="2110"/>
    <cellStyle name="Normal 3 22 13 2" xfId="3361"/>
    <cellStyle name="Normal 3 22 14" xfId="2111"/>
    <cellStyle name="Normal 3 22 14 2" xfId="3360"/>
    <cellStyle name="Normal 3 22 15" xfId="2112"/>
    <cellStyle name="Normal 3 22 15 2" xfId="3359"/>
    <cellStyle name="Normal 3 22 16" xfId="2113"/>
    <cellStyle name="Normal 3 22 16 2" xfId="3358"/>
    <cellStyle name="Normal 3 22 17" xfId="2114"/>
    <cellStyle name="Normal 3 22 17 2" xfId="3357"/>
    <cellStyle name="Normal 3 22 18" xfId="2115"/>
    <cellStyle name="Normal 3 22 18 2" xfId="3356"/>
    <cellStyle name="Normal 3 22 19" xfId="2116"/>
    <cellStyle name="Normal 3 22 19 2" xfId="3355"/>
    <cellStyle name="Normal 3 22 2" xfId="2117"/>
    <cellStyle name="Normal 3 22 2 2" xfId="3354"/>
    <cellStyle name="Normal 3 22 20" xfId="2118"/>
    <cellStyle name="Normal 3 22 20 2" xfId="3353"/>
    <cellStyle name="Normal 3 22 21" xfId="2119"/>
    <cellStyle name="Normal 3 22 21 2" xfId="3352"/>
    <cellStyle name="Normal 3 22 22" xfId="2120"/>
    <cellStyle name="Normal 3 22 22 2" xfId="3351"/>
    <cellStyle name="Normal 3 22 23" xfId="2121"/>
    <cellStyle name="Normal 3 22 23 2" xfId="3350"/>
    <cellStyle name="Normal 3 22 24" xfId="3365"/>
    <cellStyle name="Normal 3 22 3" xfId="2122"/>
    <cellStyle name="Normal 3 22 3 2" xfId="3349"/>
    <cellStyle name="Normal 3 22 4" xfId="2123"/>
    <cellStyle name="Normal 3 22 4 2" xfId="3348"/>
    <cellStyle name="Normal 3 22 5" xfId="2124"/>
    <cellStyle name="Normal 3 22 5 2" xfId="3347"/>
    <cellStyle name="Normal 3 22 6" xfId="2125"/>
    <cellStyle name="Normal 3 22 6 2" xfId="3346"/>
    <cellStyle name="Normal 3 22 7" xfId="2126"/>
    <cellStyle name="Normal 3 22 7 2" xfId="3345"/>
    <cellStyle name="Normal 3 22 8" xfId="2127"/>
    <cellStyle name="Normal 3 22 8 2" xfId="3344"/>
    <cellStyle name="Normal 3 22 9" xfId="2128"/>
    <cellStyle name="Normal 3 22 9 2" xfId="3343"/>
    <cellStyle name="Normal 3 23" xfId="2129"/>
    <cellStyle name="Normal 3 23 10" xfId="2130"/>
    <cellStyle name="Normal 3 23 10 2" xfId="3341"/>
    <cellStyle name="Normal 3 23 11" xfId="2131"/>
    <cellStyle name="Normal 3 23 11 2" xfId="3340"/>
    <cellStyle name="Normal 3 23 12" xfId="2132"/>
    <cellStyle name="Normal 3 23 12 2" xfId="3339"/>
    <cellStyle name="Normal 3 23 13" xfId="2133"/>
    <cellStyle name="Normal 3 23 13 2" xfId="3338"/>
    <cellStyle name="Normal 3 23 14" xfId="2134"/>
    <cellStyle name="Normal 3 23 14 2" xfId="3337"/>
    <cellStyle name="Normal 3 23 15" xfId="2135"/>
    <cellStyle name="Normal 3 23 15 2" xfId="3336"/>
    <cellStyle name="Normal 3 23 16" xfId="2136"/>
    <cellStyle name="Normal 3 23 16 2" xfId="3335"/>
    <cellStyle name="Normal 3 23 17" xfId="2137"/>
    <cellStyle name="Normal 3 23 17 2" xfId="3334"/>
    <cellStyle name="Normal 3 23 18" xfId="2138"/>
    <cellStyle name="Normal 3 23 18 2" xfId="3333"/>
    <cellStyle name="Normal 3 23 19" xfId="2139"/>
    <cellStyle name="Normal 3 23 19 2" xfId="3332"/>
    <cellStyle name="Normal 3 23 2" xfId="2140"/>
    <cellStyle name="Normal 3 23 2 2" xfId="3331"/>
    <cellStyle name="Normal 3 23 20" xfId="2141"/>
    <cellStyle name="Normal 3 23 20 2" xfId="3330"/>
    <cellStyle name="Normal 3 23 21" xfId="2142"/>
    <cellStyle name="Normal 3 23 21 2" xfId="3329"/>
    <cellStyle name="Normal 3 23 22" xfId="2143"/>
    <cellStyle name="Normal 3 23 22 2" xfId="3328"/>
    <cellStyle name="Normal 3 23 23" xfId="2144"/>
    <cellStyle name="Normal 3 23 23 2" xfId="3327"/>
    <cellStyle name="Normal 3 23 24" xfId="3342"/>
    <cellStyle name="Normal 3 23 3" xfId="2145"/>
    <cellStyle name="Normal 3 23 3 2" xfId="3326"/>
    <cellStyle name="Normal 3 23 4" xfId="2146"/>
    <cellStyle name="Normal 3 23 4 2" xfId="3325"/>
    <cellStyle name="Normal 3 23 5" xfId="2147"/>
    <cellStyle name="Normal 3 23 5 2" xfId="3324"/>
    <cellStyle name="Normal 3 23 6" xfId="2148"/>
    <cellStyle name="Normal 3 23 6 2" xfId="3323"/>
    <cellStyle name="Normal 3 23 7" xfId="2149"/>
    <cellStyle name="Normal 3 23 7 2" xfId="3322"/>
    <cellStyle name="Normal 3 23 8" xfId="2150"/>
    <cellStyle name="Normal 3 23 8 2" xfId="3321"/>
    <cellStyle name="Normal 3 23 9" xfId="2151"/>
    <cellStyle name="Normal 3 23 9 2" xfId="3320"/>
    <cellStyle name="Normal 3 24" xfId="2152"/>
    <cellStyle name="Normal 3 24 10" xfId="2153"/>
    <cellStyle name="Normal 3 24 10 2" xfId="3318"/>
    <cellStyle name="Normal 3 24 11" xfId="2154"/>
    <cellStyle name="Normal 3 24 11 2" xfId="3317"/>
    <cellStyle name="Normal 3 24 12" xfId="2155"/>
    <cellStyle name="Normal 3 24 12 2" xfId="3316"/>
    <cellStyle name="Normal 3 24 13" xfId="2156"/>
    <cellStyle name="Normal 3 24 13 2" xfId="3315"/>
    <cellStyle name="Normal 3 24 14" xfId="2157"/>
    <cellStyle name="Normal 3 24 14 2" xfId="3314"/>
    <cellStyle name="Normal 3 24 15" xfId="2158"/>
    <cellStyle name="Normal 3 24 15 2" xfId="3313"/>
    <cellStyle name="Normal 3 24 16" xfId="2159"/>
    <cellStyle name="Normal 3 24 16 2" xfId="3312"/>
    <cellStyle name="Normal 3 24 17" xfId="2160"/>
    <cellStyle name="Normal 3 24 17 2" xfId="3311"/>
    <cellStyle name="Normal 3 24 18" xfId="2161"/>
    <cellStyle name="Normal 3 24 18 2" xfId="3310"/>
    <cellStyle name="Normal 3 24 19" xfId="2162"/>
    <cellStyle name="Normal 3 24 19 2" xfId="3309"/>
    <cellStyle name="Normal 3 24 2" xfId="2163"/>
    <cellStyle name="Normal 3 24 2 2" xfId="3308"/>
    <cellStyle name="Normal 3 24 20" xfId="2164"/>
    <cellStyle name="Normal 3 24 20 2" xfId="3307"/>
    <cellStyle name="Normal 3 24 21" xfId="2165"/>
    <cellStyle name="Normal 3 24 21 2" xfId="3306"/>
    <cellStyle name="Normal 3 24 22" xfId="2166"/>
    <cellStyle name="Normal 3 24 22 2" xfId="3305"/>
    <cellStyle name="Normal 3 24 23" xfId="2167"/>
    <cellStyle name="Normal 3 24 23 2" xfId="3304"/>
    <cellStyle name="Normal 3 24 24" xfId="3319"/>
    <cellStyle name="Normal 3 24 3" xfId="2168"/>
    <cellStyle name="Normal 3 24 3 2" xfId="3303"/>
    <cellStyle name="Normal 3 24 4" xfId="2169"/>
    <cellStyle name="Normal 3 24 4 2" xfId="3302"/>
    <cellStyle name="Normal 3 24 5" xfId="2170"/>
    <cellStyle name="Normal 3 24 5 2" xfId="3301"/>
    <cellStyle name="Normal 3 24 6" xfId="2171"/>
    <cellStyle name="Normal 3 24 6 2" xfId="3300"/>
    <cellStyle name="Normal 3 24 7" xfId="2172"/>
    <cellStyle name="Normal 3 24 7 2" xfId="3299"/>
    <cellStyle name="Normal 3 24 8" xfId="2173"/>
    <cellStyle name="Normal 3 24 8 2" xfId="3298"/>
    <cellStyle name="Normal 3 24 9" xfId="2174"/>
    <cellStyle name="Normal 3 24 9 2" xfId="3297"/>
    <cellStyle name="Normal 3 25" xfId="2175"/>
    <cellStyle name="Normal 3 25 10" xfId="2176"/>
    <cellStyle name="Normal 3 25 10 2" xfId="3295"/>
    <cellStyle name="Normal 3 25 11" xfId="2177"/>
    <cellStyle name="Normal 3 25 11 2" xfId="3294"/>
    <cellStyle name="Normal 3 25 12" xfId="2178"/>
    <cellStyle name="Normal 3 25 12 2" xfId="3293"/>
    <cellStyle name="Normal 3 25 13" xfId="2179"/>
    <cellStyle name="Normal 3 25 13 2" xfId="3292"/>
    <cellStyle name="Normal 3 25 14" xfId="2180"/>
    <cellStyle name="Normal 3 25 14 2" xfId="3291"/>
    <cellStyle name="Normal 3 25 15" xfId="2181"/>
    <cellStyle name="Normal 3 25 15 2" xfId="3290"/>
    <cellStyle name="Normal 3 25 16" xfId="2182"/>
    <cellStyle name="Normal 3 25 16 2" xfId="3289"/>
    <cellStyle name="Normal 3 25 17" xfId="2183"/>
    <cellStyle name="Normal 3 25 17 2" xfId="3288"/>
    <cellStyle name="Normal 3 25 18" xfId="2184"/>
    <cellStyle name="Normal 3 25 18 2" xfId="3287"/>
    <cellStyle name="Normal 3 25 19" xfId="2185"/>
    <cellStyle name="Normal 3 25 19 2" xfId="3286"/>
    <cellStyle name="Normal 3 25 2" xfId="2186"/>
    <cellStyle name="Normal 3 25 2 2" xfId="3285"/>
    <cellStyle name="Normal 3 25 20" xfId="2187"/>
    <cellStyle name="Normal 3 25 20 2" xfId="3284"/>
    <cellStyle name="Normal 3 25 21" xfId="2188"/>
    <cellStyle name="Normal 3 25 21 2" xfId="3283"/>
    <cellStyle name="Normal 3 25 22" xfId="2189"/>
    <cellStyle name="Normal 3 25 22 2" xfId="3282"/>
    <cellStyle name="Normal 3 25 23" xfId="2190"/>
    <cellStyle name="Normal 3 25 23 2" xfId="3281"/>
    <cellStyle name="Normal 3 25 24" xfId="3296"/>
    <cellStyle name="Normal 3 25 3" xfId="2191"/>
    <cellStyle name="Normal 3 25 3 2" xfId="3280"/>
    <cellStyle name="Normal 3 25 4" xfId="2192"/>
    <cellStyle name="Normal 3 25 4 2" xfId="3279"/>
    <cellStyle name="Normal 3 25 5" xfId="2193"/>
    <cellStyle name="Normal 3 25 5 2" xfId="3278"/>
    <cellStyle name="Normal 3 25 6" xfId="2194"/>
    <cellStyle name="Normal 3 25 6 2" xfId="3277"/>
    <cellStyle name="Normal 3 25 7" xfId="2195"/>
    <cellStyle name="Normal 3 25 7 2" xfId="3276"/>
    <cellStyle name="Normal 3 25 8" xfId="2196"/>
    <cellStyle name="Normal 3 25 8 2" xfId="3275"/>
    <cellStyle name="Normal 3 25 9" xfId="2197"/>
    <cellStyle name="Normal 3 25 9 2" xfId="3274"/>
    <cellStyle name="Normal 3 26" xfId="2198"/>
    <cellStyle name="Normal 3 26 10" xfId="2199"/>
    <cellStyle name="Normal 3 26 10 2" xfId="3272"/>
    <cellStyle name="Normal 3 26 11" xfId="2200"/>
    <cellStyle name="Normal 3 26 11 2" xfId="3271"/>
    <cellStyle name="Normal 3 26 12" xfId="2201"/>
    <cellStyle name="Normal 3 26 12 2" xfId="3270"/>
    <cellStyle name="Normal 3 26 13" xfId="2202"/>
    <cellStyle name="Normal 3 26 13 2" xfId="3269"/>
    <cellStyle name="Normal 3 26 14" xfId="2203"/>
    <cellStyle name="Normal 3 26 14 2" xfId="3268"/>
    <cellStyle name="Normal 3 26 15" xfId="2204"/>
    <cellStyle name="Normal 3 26 15 2" xfId="3267"/>
    <cellStyle name="Normal 3 26 16" xfId="2205"/>
    <cellStyle name="Normal 3 26 16 2" xfId="3266"/>
    <cellStyle name="Normal 3 26 17" xfId="2206"/>
    <cellStyle name="Normal 3 26 17 2" xfId="3265"/>
    <cellStyle name="Normal 3 26 18" xfId="2207"/>
    <cellStyle name="Normal 3 26 18 2" xfId="3264"/>
    <cellStyle name="Normal 3 26 19" xfId="2208"/>
    <cellStyle name="Normal 3 26 19 2" xfId="3263"/>
    <cellStyle name="Normal 3 26 2" xfId="2209"/>
    <cellStyle name="Normal 3 26 2 2" xfId="3262"/>
    <cellStyle name="Normal 3 26 20" xfId="2210"/>
    <cellStyle name="Normal 3 26 20 2" xfId="3261"/>
    <cellStyle name="Normal 3 26 21" xfId="2211"/>
    <cellStyle name="Normal 3 26 21 2" xfId="3260"/>
    <cellStyle name="Normal 3 26 22" xfId="2212"/>
    <cellStyle name="Normal 3 26 22 2" xfId="3259"/>
    <cellStyle name="Normal 3 26 23" xfId="2213"/>
    <cellStyle name="Normal 3 26 23 2" xfId="3258"/>
    <cellStyle name="Normal 3 26 24" xfId="3273"/>
    <cellStyle name="Normal 3 26 3" xfId="2214"/>
    <cellStyle name="Normal 3 26 3 2" xfId="3257"/>
    <cellStyle name="Normal 3 26 4" xfId="2215"/>
    <cellStyle name="Normal 3 26 4 2" xfId="3256"/>
    <cellStyle name="Normal 3 26 5" xfId="2216"/>
    <cellStyle name="Normal 3 26 5 2" xfId="3255"/>
    <cellStyle name="Normal 3 26 6" xfId="2217"/>
    <cellStyle name="Normal 3 26 6 2" xfId="3254"/>
    <cellStyle name="Normal 3 26 7" xfId="2218"/>
    <cellStyle name="Normal 3 26 7 2" xfId="3253"/>
    <cellStyle name="Normal 3 26 8" xfId="2219"/>
    <cellStyle name="Normal 3 26 8 2" xfId="3252"/>
    <cellStyle name="Normal 3 26 9" xfId="2220"/>
    <cellStyle name="Normal 3 26 9 2" xfId="3251"/>
    <cellStyle name="Normal 3 27" xfId="2221"/>
    <cellStyle name="Normal 3 27 10" xfId="2222"/>
    <cellStyle name="Normal 3 27 10 2" xfId="3249"/>
    <cellStyle name="Normal 3 27 11" xfId="2223"/>
    <cellStyle name="Normal 3 27 11 2" xfId="3248"/>
    <cellStyle name="Normal 3 27 12" xfId="2224"/>
    <cellStyle name="Normal 3 27 12 2" xfId="3247"/>
    <cellStyle name="Normal 3 27 13" xfId="2225"/>
    <cellStyle name="Normal 3 27 13 2" xfId="3246"/>
    <cellStyle name="Normal 3 27 14" xfId="2226"/>
    <cellStyle name="Normal 3 27 14 2" xfId="3245"/>
    <cellStyle name="Normal 3 27 15" xfId="2227"/>
    <cellStyle name="Normal 3 27 15 2" xfId="3244"/>
    <cellStyle name="Normal 3 27 16" xfId="2228"/>
    <cellStyle name="Normal 3 27 16 2" xfId="3243"/>
    <cellStyle name="Normal 3 27 17" xfId="2229"/>
    <cellStyle name="Normal 3 27 17 2" xfId="3242"/>
    <cellStyle name="Normal 3 27 18" xfId="2230"/>
    <cellStyle name="Normal 3 27 18 2" xfId="3241"/>
    <cellStyle name="Normal 3 27 19" xfId="2231"/>
    <cellStyle name="Normal 3 27 19 2" xfId="3240"/>
    <cellStyle name="Normal 3 27 2" xfId="2232"/>
    <cellStyle name="Normal 3 27 2 2" xfId="3239"/>
    <cellStyle name="Normal 3 27 20" xfId="2233"/>
    <cellStyle name="Normal 3 27 20 2" xfId="3238"/>
    <cellStyle name="Normal 3 27 21" xfId="2234"/>
    <cellStyle name="Normal 3 27 21 2" xfId="3237"/>
    <cellStyle name="Normal 3 27 22" xfId="2235"/>
    <cellStyle name="Normal 3 27 22 2" xfId="3236"/>
    <cellStyle name="Normal 3 27 23" xfId="2236"/>
    <cellStyle name="Normal 3 27 23 2" xfId="3235"/>
    <cellStyle name="Normal 3 27 24" xfId="3250"/>
    <cellStyle name="Normal 3 27 3" xfId="2237"/>
    <cellStyle name="Normal 3 27 3 2" xfId="3234"/>
    <cellStyle name="Normal 3 27 4" xfId="2238"/>
    <cellStyle name="Normal 3 27 4 2" xfId="3233"/>
    <cellStyle name="Normal 3 27 5" xfId="2239"/>
    <cellStyle name="Normal 3 27 5 2" xfId="3232"/>
    <cellStyle name="Normal 3 27 6" xfId="2240"/>
    <cellStyle name="Normal 3 27 6 2" xfId="3231"/>
    <cellStyle name="Normal 3 27 7" xfId="2241"/>
    <cellStyle name="Normal 3 27 7 2" xfId="3230"/>
    <cellStyle name="Normal 3 27 8" xfId="2242"/>
    <cellStyle name="Normal 3 27 8 2" xfId="3229"/>
    <cellStyle name="Normal 3 27 9" xfId="2243"/>
    <cellStyle name="Normal 3 27 9 2" xfId="3228"/>
    <cellStyle name="Normal 3 28" xfId="2244"/>
    <cellStyle name="Normal 3 28 10" xfId="2245"/>
    <cellStyle name="Normal 3 28 10 2" xfId="3226"/>
    <cellStyle name="Normal 3 28 11" xfId="2246"/>
    <cellStyle name="Normal 3 28 11 2" xfId="3225"/>
    <cellStyle name="Normal 3 28 12" xfId="2247"/>
    <cellStyle name="Normal 3 28 12 2" xfId="3224"/>
    <cellStyle name="Normal 3 28 13" xfId="2248"/>
    <cellStyle name="Normal 3 28 13 2" xfId="3223"/>
    <cellStyle name="Normal 3 28 14" xfId="2249"/>
    <cellStyle name="Normal 3 28 14 2" xfId="3222"/>
    <cellStyle name="Normal 3 28 15" xfId="2250"/>
    <cellStyle name="Normal 3 28 15 2" xfId="3221"/>
    <cellStyle name="Normal 3 28 16" xfId="2251"/>
    <cellStyle name="Normal 3 28 16 2" xfId="3220"/>
    <cellStyle name="Normal 3 28 17" xfId="2252"/>
    <cellStyle name="Normal 3 28 17 2" xfId="3219"/>
    <cellStyle name="Normal 3 28 18" xfId="2253"/>
    <cellStyle name="Normal 3 28 18 2" xfId="3218"/>
    <cellStyle name="Normal 3 28 19" xfId="2254"/>
    <cellStyle name="Normal 3 28 19 2" xfId="3217"/>
    <cellStyle name="Normal 3 28 2" xfId="2255"/>
    <cellStyle name="Normal 3 28 2 2" xfId="3216"/>
    <cellStyle name="Normal 3 28 20" xfId="2256"/>
    <cellStyle name="Normal 3 28 20 2" xfId="3215"/>
    <cellStyle name="Normal 3 28 21" xfId="2257"/>
    <cellStyle name="Normal 3 28 21 2" xfId="3214"/>
    <cellStyle name="Normal 3 28 22" xfId="2258"/>
    <cellStyle name="Normal 3 28 22 2" xfId="3213"/>
    <cellStyle name="Normal 3 28 23" xfId="2259"/>
    <cellStyle name="Normal 3 28 23 2" xfId="3212"/>
    <cellStyle name="Normal 3 28 24" xfId="3227"/>
    <cellStyle name="Normal 3 28 3" xfId="2260"/>
    <cellStyle name="Normal 3 28 3 2" xfId="3211"/>
    <cellStyle name="Normal 3 28 4" xfId="2261"/>
    <cellStyle name="Normal 3 28 4 2" xfId="3210"/>
    <cellStyle name="Normal 3 28 5" xfId="2262"/>
    <cellStyle name="Normal 3 28 5 2" xfId="3209"/>
    <cellStyle name="Normal 3 28 6" xfId="2263"/>
    <cellStyle name="Normal 3 28 6 2" xfId="3208"/>
    <cellStyle name="Normal 3 28 7" xfId="2264"/>
    <cellStyle name="Normal 3 28 7 2" xfId="3207"/>
    <cellStyle name="Normal 3 28 8" xfId="2265"/>
    <cellStyle name="Normal 3 28 8 2" xfId="3206"/>
    <cellStyle name="Normal 3 28 9" xfId="2266"/>
    <cellStyle name="Normal 3 28 9 2" xfId="3205"/>
    <cellStyle name="Normal 3 29" xfId="2267"/>
    <cellStyle name="Normal 3 29 10" xfId="2268"/>
    <cellStyle name="Normal 3 29 10 2" xfId="3203"/>
    <cellStyle name="Normal 3 29 11" xfId="2269"/>
    <cellStyle name="Normal 3 29 11 2" xfId="3202"/>
    <cellStyle name="Normal 3 29 12" xfId="2270"/>
    <cellStyle name="Normal 3 29 12 2" xfId="3201"/>
    <cellStyle name="Normal 3 29 13" xfId="2271"/>
    <cellStyle name="Normal 3 29 13 2" xfId="3200"/>
    <cellStyle name="Normal 3 29 14" xfId="2272"/>
    <cellStyle name="Normal 3 29 14 2" xfId="3199"/>
    <cellStyle name="Normal 3 29 15" xfId="2273"/>
    <cellStyle name="Normal 3 29 15 2" xfId="3198"/>
    <cellStyle name="Normal 3 29 16" xfId="2274"/>
    <cellStyle name="Normal 3 29 16 2" xfId="3197"/>
    <cellStyle name="Normal 3 29 17" xfId="2275"/>
    <cellStyle name="Normal 3 29 17 2" xfId="3196"/>
    <cellStyle name="Normal 3 29 18" xfId="2276"/>
    <cellStyle name="Normal 3 29 18 2" xfId="3195"/>
    <cellStyle name="Normal 3 29 19" xfId="2277"/>
    <cellStyle name="Normal 3 29 19 2" xfId="3194"/>
    <cellStyle name="Normal 3 29 2" xfId="2278"/>
    <cellStyle name="Normal 3 29 2 2" xfId="3193"/>
    <cellStyle name="Normal 3 29 20" xfId="2279"/>
    <cellStyle name="Normal 3 29 20 2" xfId="3192"/>
    <cellStyle name="Normal 3 29 21" xfId="2280"/>
    <cellStyle name="Normal 3 29 21 2" xfId="3191"/>
    <cellStyle name="Normal 3 29 22" xfId="2281"/>
    <cellStyle name="Normal 3 29 22 2" xfId="3190"/>
    <cellStyle name="Normal 3 29 23" xfId="2282"/>
    <cellStyle name="Normal 3 29 23 2" xfId="3189"/>
    <cellStyle name="Normal 3 29 24" xfId="3204"/>
    <cellStyle name="Normal 3 29 3" xfId="2283"/>
    <cellStyle name="Normal 3 29 3 2" xfId="3188"/>
    <cellStyle name="Normal 3 29 4" xfId="2284"/>
    <cellStyle name="Normal 3 29 4 2" xfId="3187"/>
    <cellStyle name="Normal 3 29 5" xfId="2285"/>
    <cellStyle name="Normal 3 29 5 2" xfId="3186"/>
    <cellStyle name="Normal 3 29 6" xfId="2286"/>
    <cellStyle name="Normal 3 29 6 2" xfId="3185"/>
    <cellStyle name="Normal 3 29 7" xfId="2287"/>
    <cellStyle name="Normal 3 29 7 2" xfId="3184"/>
    <cellStyle name="Normal 3 29 8" xfId="2288"/>
    <cellStyle name="Normal 3 29 8 2" xfId="3183"/>
    <cellStyle name="Normal 3 29 9" xfId="2289"/>
    <cellStyle name="Normal 3 29 9 2" xfId="3182"/>
    <cellStyle name="Normal 3 3" xfId="2290"/>
    <cellStyle name="Normal 3 3 10" xfId="2291"/>
    <cellStyle name="Normal 3 3 10 2" xfId="3180"/>
    <cellStyle name="Normal 3 3 11" xfId="2292"/>
    <cellStyle name="Normal 3 3 11 2" xfId="3179"/>
    <cellStyle name="Normal 3 3 12" xfId="2293"/>
    <cellStyle name="Normal 3 3 12 2" xfId="3178"/>
    <cellStyle name="Normal 3 3 13" xfId="2294"/>
    <cellStyle name="Normal 3 3 13 2" xfId="3177"/>
    <cellStyle name="Normal 3 3 14" xfId="2295"/>
    <cellStyle name="Normal 3 3 14 2" xfId="3176"/>
    <cellStyle name="Normal 3 3 15" xfId="2296"/>
    <cellStyle name="Normal 3 3 15 2" xfId="3175"/>
    <cellStyle name="Normal 3 3 16" xfId="2297"/>
    <cellStyle name="Normal 3 3 16 2" xfId="3174"/>
    <cellStyle name="Normal 3 3 17" xfId="2298"/>
    <cellStyle name="Normal 3 3 17 2" xfId="3173"/>
    <cellStyle name="Normal 3 3 18" xfId="2299"/>
    <cellStyle name="Normal 3 3 18 2" xfId="3172"/>
    <cellStyle name="Normal 3 3 19" xfId="2300"/>
    <cellStyle name="Normal 3 3 19 2" xfId="3171"/>
    <cellStyle name="Normal 3 3 2" xfId="2301"/>
    <cellStyle name="Normal 3 3 2 2" xfId="3170"/>
    <cellStyle name="Normal 3 3 20" xfId="2302"/>
    <cellStyle name="Normal 3 3 20 2" xfId="3169"/>
    <cellStyle name="Normal 3 3 21" xfId="2303"/>
    <cellStyle name="Normal 3 3 21 2" xfId="3168"/>
    <cellStyle name="Normal 3 3 22" xfId="2304"/>
    <cellStyle name="Normal 3 3 22 2" xfId="3167"/>
    <cellStyle name="Normal 3 3 23" xfId="2305"/>
    <cellStyle name="Normal 3 3 23 2" xfId="3166"/>
    <cellStyle name="Normal 3 3 24" xfId="3181"/>
    <cellStyle name="Normal 3 3 3" xfId="2306"/>
    <cellStyle name="Normal 3 3 3 2" xfId="3165"/>
    <cellStyle name="Normal 3 3 4" xfId="2307"/>
    <cellStyle name="Normal 3 3 4 2" xfId="3164"/>
    <cellStyle name="Normal 3 3 5" xfId="2308"/>
    <cellStyle name="Normal 3 3 5 2" xfId="3163"/>
    <cellStyle name="Normal 3 3 6" xfId="2309"/>
    <cellStyle name="Normal 3 3 6 2" xfId="3162"/>
    <cellStyle name="Normal 3 3 7" xfId="2310"/>
    <cellStyle name="Normal 3 3 7 2" xfId="3161"/>
    <cellStyle name="Normal 3 3 8" xfId="2311"/>
    <cellStyle name="Normal 3 3 8 2" xfId="3160"/>
    <cellStyle name="Normal 3 3 9" xfId="2312"/>
    <cellStyle name="Normal 3 3 9 2" xfId="3159"/>
    <cellStyle name="Normal 3 30" xfId="2313"/>
    <cellStyle name="Normal 3 30 10" xfId="2314"/>
    <cellStyle name="Normal 3 30 10 2" xfId="3157"/>
    <cellStyle name="Normal 3 30 11" xfId="2315"/>
    <cellStyle name="Normal 3 30 11 2" xfId="3156"/>
    <cellStyle name="Normal 3 30 12" xfId="2316"/>
    <cellStyle name="Normal 3 30 12 2" xfId="3155"/>
    <cellStyle name="Normal 3 30 13" xfId="2317"/>
    <cellStyle name="Normal 3 30 13 2" xfId="3154"/>
    <cellStyle name="Normal 3 30 14" xfId="2318"/>
    <cellStyle name="Normal 3 30 14 2" xfId="3153"/>
    <cellStyle name="Normal 3 30 15" xfId="2319"/>
    <cellStyle name="Normal 3 30 15 2" xfId="3152"/>
    <cellStyle name="Normal 3 30 16" xfId="2320"/>
    <cellStyle name="Normal 3 30 16 2" xfId="3151"/>
    <cellStyle name="Normal 3 30 17" xfId="2321"/>
    <cellStyle name="Normal 3 30 17 2" xfId="3150"/>
    <cellStyle name="Normal 3 30 18" xfId="2322"/>
    <cellStyle name="Normal 3 30 18 2" xfId="3149"/>
    <cellStyle name="Normal 3 30 19" xfId="2323"/>
    <cellStyle name="Normal 3 30 19 2" xfId="3148"/>
    <cellStyle name="Normal 3 30 2" xfId="2324"/>
    <cellStyle name="Normal 3 30 2 2" xfId="3147"/>
    <cellStyle name="Normal 3 30 20" xfId="2325"/>
    <cellStyle name="Normal 3 30 20 2" xfId="3146"/>
    <cellStyle name="Normal 3 30 21" xfId="2326"/>
    <cellStyle name="Normal 3 30 21 2" xfId="3145"/>
    <cellStyle name="Normal 3 30 22" xfId="2327"/>
    <cellStyle name="Normal 3 30 22 2" xfId="3144"/>
    <cellStyle name="Normal 3 30 23" xfId="2328"/>
    <cellStyle name="Normal 3 30 23 2" xfId="3143"/>
    <cellStyle name="Normal 3 30 24" xfId="3158"/>
    <cellStyle name="Normal 3 30 3" xfId="2329"/>
    <cellStyle name="Normal 3 30 3 2" xfId="3142"/>
    <cellStyle name="Normal 3 30 4" xfId="2330"/>
    <cellStyle name="Normal 3 30 4 2" xfId="3141"/>
    <cellStyle name="Normal 3 30 5" xfId="2331"/>
    <cellStyle name="Normal 3 30 5 2" xfId="3140"/>
    <cellStyle name="Normal 3 30 6" xfId="2332"/>
    <cellStyle name="Normal 3 30 6 2" xfId="3139"/>
    <cellStyle name="Normal 3 30 7" xfId="2333"/>
    <cellStyle name="Normal 3 30 7 2" xfId="3138"/>
    <cellStyle name="Normal 3 30 8" xfId="2334"/>
    <cellStyle name="Normal 3 30 8 2" xfId="3137"/>
    <cellStyle name="Normal 3 30 9" xfId="2335"/>
    <cellStyle name="Normal 3 30 9 2" xfId="3136"/>
    <cellStyle name="Normal 3 31" xfId="2336"/>
    <cellStyle name="Normal 3 31 10" xfId="2337"/>
    <cellStyle name="Normal 3 31 10 2" xfId="3134"/>
    <cellStyle name="Normal 3 31 11" xfId="2338"/>
    <cellStyle name="Normal 3 31 11 2" xfId="3133"/>
    <cellStyle name="Normal 3 31 12" xfId="2339"/>
    <cellStyle name="Normal 3 31 12 2" xfId="3132"/>
    <cellStyle name="Normal 3 31 13" xfId="2340"/>
    <cellStyle name="Normal 3 31 13 2" xfId="3131"/>
    <cellStyle name="Normal 3 31 14" xfId="2341"/>
    <cellStyle name="Normal 3 31 14 2" xfId="3130"/>
    <cellStyle name="Normal 3 31 15" xfId="2342"/>
    <cellStyle name="Normal 3 31 15 2" xfId="3129"/>
    <cellStyle name="Normal 3 31 16" xfId="2343"/>
    <cellStyle name="Normal 3 31 16 2" xfId="3128"/>
    <cellStyle name="Normal 3 31 17" xfId="2344"/>
    <cellStyle name="Normal 3 31 17 2" xfId="3127"/>
    <cellStyle name="Normal 3 31 18" xfId="2345"/>
    <cellStyle name="Normal 3 31 18 2" xfId="3126"/>
    <cellStyle name="Normal 3 31 19" xfId="2346"/>
    <cellStyle name="Normal 3 31 19 2" xfId="3125"/>
    <cellStyle name="Normal 3 31 2" xfId="2347"/>
    <cellStyle name="Normal 3 31 2 2" xfId="3124"/>
    <cellStyle name="Normal 3 31 20" xfId="2348"/>
    <cellStyle name="Normal 3 31 20 2" xfId="3123"/>
    <cellStyle name="Normal 3 31 21" xfId="2349"/>
    <cellStyle name="Normal 3 31 21 2" xfId="3122"/>
    <cellStyle name="Normal 3 31 22" xfId="2350"/>
    <cellStyle name="Normal 3 31 22 2" xfId="3121"/>
    <cellStyle name="Normal 3 31 23" xfId="2351"/>
    <cellStyle name="Normal 3 31 23 2" xfId="3120"/>
    <cellStyle name="Normal 3 31 24" xfId="3135"/>
    <cellStyle name="Normal 3 31 3" xfId="2352"/>
    <cellStyle name="Normal 3 31 3 2" xfId="3119"/>
    <cellStyle name="Normal 3 31 4" xfId="2353"/>
    <cellStyle name="Normal 3 31 4 2" xfId="3118"/>
    <cellStyle name="Normal 3 31 5" xfId="2354"/>
    <cellStyle name="Normal 3 31 5 2" xfId="3117"/>
    <cellStyle name="Normal 3 31 6" xfId="2355"/>
    <cellStyle name="Normal 3 31 6 2" xfId="3116"/>
    <cellStyle name="Normal 3 31 7" xfId="2356"/>
    <cellStyle name="Normal 3 31 7 2" xfId="3115"/>
    <cellStyle name="Normal 3 31 8" xfId="2357"/>
    <cellStyle name="Normal 3 31 8 2" xfId="3114"/>
    <cellStyle name="Normal 3 31 9" xfId="2358"/>
    <cellStyle name="Normal 3 31 9 2" xfId="3113"/>
    <cellStyle name="Normal 3 32" xfId="2359"/>
    <cellStyle name="Normal 3 32 10" xfId="2360"/>
    <cellStyle name="Normal 3 32 10 2" xfId="3111"/>
    <cellStyle name="Normal 3 32 11" xfId="2361"/>
    <cellStyle name="Normal 3 32 11 2" xfId="3110"/>
    <cellStyle name="Normal 3 32 12" xfId="2362"/>
    <cellStyle name="Normal 3 32 12 2" xfId="3109"/>
    <cellStyle name="Normal 3 32 13" xfId="2363"/>
    <cellStyle name="Normal 3 32 13 2" xfId="3108"/>
    <cellStyle name="Normal 3 32 14" xfId="2364"/>
    <cellStyle name="Normal 3 32 14 2" xfId="3107"/>
    <cellStyle name="Normal 3 32 15" xfId="2365"/>
    <cellStyle name="Normal 3 32 15 2" xfId="3106"/>
    <cellStyle name="Normal 3 32 16" xfId="2366"/>
    <cellStyle name="Normal 3 32 16 2" xfId="3105"/>
    <cellStyle name="Normal 3 32 17" xfId="2367"/>
    <cellStyle name="Normal 3 32 17 2" xfId="3104"/>
    <cellStyle name="Normal 3 32 18" xfId="2368"/>
    <cellStyle name="Normal 3 32 18 2" xfId="3103"/>
    <cellStyle name="Normal 3 32 19" xfId="2369"/>
    <cellStyle name="Normal 3 32 19 2" xfId="3102"/>
    <cellStyle name="Normal 3 32 2" xfId="2370"/>
    <cellStyle name="Normal 3 32 2 2" xfId="3101"/>
    <cellStyle name="Normal 3 32 20" xfId="2371"/>
    <cellStyle name="Normal 3 32 20 2" xfId="3100"/>
    <cellStyle name="Normal 3 32 21" xfId="2372"/>
    <cellStyle name="Normal 3 32 21 2" xfId="3099"/>
    <cellStyle name="Normal 3 32 22" xfId="2373"/>
    <cellStyle name="Normal 3 32 22 2" xfId="3098"/>
    <cellStyle name="Normal 3 32 23" xfId="2374"/>
    <cellStyle name="Normal 3 32 23 2" xfId="3097"/>
    <cellStyle name="Normal 3 32 24" xfId="3112"/>
    <cellStyle name="Normal 3 32 3" xfId="2375"/>
    <cellStyle name="Normal 3 32 3 2" xfId="3096"/>
    <cellStyle name="Normal 3 32 4" xfId="2376"/>
    <cellStyle name="Normal 3 32 4 2" xfId="3095"/>
    <cellStyle name="Normal 3 32 5" xfId="2377"/>
    <cellStyle name="Normal 3 32 5 2" xfId="3094"/>
    <cellStyle name="Normal 3 32 6" xfId="2378"/>
    <cellStyle name="Normal 3 32 6 2" xfId="3093"/>
    <cellStyle name="Normal 3 32 7" xfId="2379"/>
    <cellStyle name="Normal 3 32 7 2" xfId="3092"/>
    <cellStyle name="Normal 3 32 8" xfId="2380"/>
    <cellStyle name="Normal 3 32 8 2" xfId="3091"/>
    <cellStyle name="Normal 3 32 9" xfId="2381"/>
    <cellStyle name="Normal 3 32 9 2" xfId="3090"/>
    <cellStyle name="Normal 3 33" xfId="2382"/>
    <cellStyle name="Normal 3 33 10" xfId="2383"/>
    <cellStyle name="Normal 3 33 10 2" xfId="3088"/>
    <cellStyle name="Normal 3 33 11" xfId="2384"/>
    <cellStyle name="Normal 3 33 11 2" xfId="3087"/>
    <cellStyle name="Normal 3 33 12" xfId="2385"/>
    <cellStyle name="Normal 3 33 12 2" xfId="3086"/>
    <cellStyle name="Normal 3 33 13" xfId="2386"/>
    <cellStyle name="Normal 3 33 13 2" xfId="3085"/>
    <cellStyle name="Normal 3 33 14" xfId="2387"/>
    <cellStyle name="Normal 3 33 14 2" xfId="3084"/>
    <cellStyle name="Normal 3 33 15" xfId="2388"/>
    <cellStyle name="Normal 3 33 15 2" xfId="3083"/>
    <cellStyle name="Normal 3 33 16" xfId="2389"/>
    <cellStyle name="Normal 3 33 16 2" xfId="3082"/>
    <cellStyle name="Normal 3 33 17" xfId="2390"/>
    <cellStyle name="Normal 3 33 17 2" xfId="3081"/>
    <cellStyle name="Normal 3 33 18" xfId="2391"/>
    <cellStyle name="Normal 3 33 18 2" xfId="3080"/>
    <cellStyle name="Normal 3 33 19" xfId="2392"/>
    <cellStyle name="Normal 3 33 19 2" xfId="3079"/>
    <cellStyle name="Normal 3 33 2" xfId="2393"/>
    <cellStyle name="Normal 3 33 2 2" xfId="3078"/>
    <cellStyle name="Normal 3 33 20" xfId="2394"/>
    <cellStyle name="Normal 3 33 20 2" xfId="3077"/>
    <cellStyle name="Normal 3 33 21" xfId="2395"/>
    <cellStyle name="Normal 3 33 21 2" xfId="3076"/>
    <cellStyle name="Normal 3 33 22" xfId="2396"/>
    <cellStyle name="Normal 3 33 22 2" xfId="3075"/>
    <cellStyle name="Normal 3 33 23" xfId="2397"/>
    <cellStyle name="Normal 3 33 23 2" xfId="3074"/>
    <cellStyle name="Normal 3 33 24" xfId="3089"/>
    <cellStyle name="Normal 3 33 3" xfId="2398"/>
    <cellStyle name="Normal 3 33 3 2" xfId="3073"/>
    <cellStyle name="Normal 3 33 4" xfId="2399"/>
    <cellStyle name="Normal 3 33 4 2" xfId="3072"/>
    <cellStyle name="Normal 3 33 5" xfId="2400"/>
    <cellStyle name="Normal 3 33 5 2" xfId="3071"/>
    <cellStyle name="Normal 3 33 6" xfId="2401"/>
    <cellStyle name="Normal 3 33 6 2" xfId="3070"/>
    <cellStyle name="Normal 3 33 7" xfId="2402"/>
    <cellStyle name="Normal 3 33 7 2" xfId="3069"/>
    <cellStyle name="Normal 3 33 8" xfId="2403"/>
    <cellStyle name="Normal 3 33 8 2" xfId="3068"/>
    <cellStyle name="Normal 3 33 9" xfId="2404"/>
    <cellStyle name="Normal 3 33 9 2" xfId="3067"/>
    <cellStyle name="Normal 3 34" xfId="2405"/>
    <cellStyle name="Normal 3 34 2" xfId="3066"/>
    <cellStyle name="Normal 3 35" xfId="2406"/>
    <cellStyle name="Normal 3 35 2" xfId="3065"/>
    <cellStyle name="Normal 3 36" xfId="2407"/>
    <cellStyle name="Normal 3 36 2" xfId="3064"/>
    <cellStyle name="Normal 3 37" xfId="2408"/>
    <cellStyle name="Normal 3 37 2" xfId="3063"/>
    <cellStyle name="Normal 3 38" xfId="2409"/>
    <cellStyle name="Normal 3 38 2" xfId="3062"/>
    <cellStyle name="Normal 3 39" xfId="2410"/>
    <cellStyle name="Normal 3 39 2" xfId="3061"/>
    <cellStyle name="Normal 3 4" xfId="2411"/>
    <cellStyle name="Normal 3 4 10" xfId="2412"/>
    <cellStyle name="Normal 3 4 10 2" xfId="3059"/>
    <cellStyle name="Normal 3 4 11" xfId="2413"/>
    <cellStyle name="Normal 3 4 11 2" xfId="3058"/>
    <cellStyle name="Normal 3 4 12" xfId="2414"/>
    <cellStyle name="Normal 3 4 12 2" xfId="3057"/>
    <cellStyle name="Normal 3 4 13" xfId="2415"/>
    <cellStyle name="Normal 3 4 13 2" xfId="3056"/>
    <cellStyle name="Normal 3 4 14" xfId="2416"/>
    <cellStyle name="Normal 3 4 14 2" xfId="3055"/>
    <cellStyle name="Normal 3 4 15" xfId="2417"/>
    <cellStyle name="Normal 3 4 15 2" xfId="3054"/>
    <cellStyle name="Normal 3 4 16" xfId="2418"/>
    <cellStyle name="Normal 3 4 16 2" xfId="3053"/>
    <cellStyle name="Normal 3 4 17" xfId="2419"/>
    <cellStyle name="Normal 3 4 17 2" xfId="3052"/>
    <cellStyle name="Normal 3 4 18" xfId="2420"/>
    <cellStyle name="Normal 3 4 18 2" xfId="3051"/>
    <cellStyle name="Normal 3 4 19" xfId="2421"/>
    <cellStyle name="Normal 3 4 19 2" xfId="3050"/>
    <cellStyle name="Normal 3 4 2" xfId="2422"/>
    <cellStyle name="Normal 3 4 2 2" xfId="3049"/>
    <cellStyle name="Normal 3 4 20" xfId="2423"/>
    <cellStyle name="Normal 3 4 20 2" xfId="3048"/>
    <cellStyle name="Normal 3 4 21" xfId="2424"/>
    <cellStyle name="Normal 3 4 21 2" xfId="3047"/>
    <cellStyle name="Normal 3 4 22" xfId="2425"/>
    <cellStyle name="Normal 3 4 22 2" xfId="3046"/>
    <cellStyle name="Normal 3 4 23" xfId="2426"/>
    <cellStyle name="Normal 3 4 23 2" xfId="3045"/>
    <cellStyle name="Normal 3 4 24" xfId="3060"/>
    <cellStyle name="Normal 3 4 3" xfId="2427"/>
    <cellStyle name="Normal 3 4 3 2" xfId="3044"/>
    <cellStyle name="Normal 3 4 4" xfId="2428"/>
    <cellStyle name="Normal 3 4 4 2" xfId="3043"/>
    <cellStyle name="Normal 3 4 5" xfId="2429"/>
    <cellStyle name="Normal 3 4 5 2" xfId="3042"/>
    <cellStyle name="Normal 3 4 6" xfId="2430"/>
    <cellStyle name="Normal 3 4 6 2" xfId="3041"/>
    <cellStyle name="Normal 3 4 7" xfId="2431"/>
    <cellStyle name="Normal 3 4 7 2" xfId="3040"/>
    <cellStyle name="Normal 3 4 8" xfId="2432"/>
    <cellStyle name="Normal 3 4 8 2" xfId="3039"/>
    <cellStyle name="Normal 3 4 9" xfId="2433"/>
    <cellStyle name="Normal 3 4 9 2" xfId="3038"/>
    <cellStyle name="Normal 3 40" xfId="2434"/>
    <cellStyle name="Normal 3 40 2" xfId="3037"/>
    <cellStyle name="Normal 3 41" xfId="2435"/>
    <cellStyle name="Normal 3 41 2" xfId="3036"/>
    <cellStyle name="Normal 3 42" xfId="2436"/>
    <cellStyle name="Normal 3 42 2" xfId="3035"/>
    <cellStyle name="Normal 3 43" xfId="2437"/>
    <cellStyle name="Normal 3 43 2" xfId="3034"/>
    <cellStyle name="Normal 3 44" xfId="2438"/>
    <cellStyle name="Normal 3 44 2" xfId="3033"/>
    <cellStyle name="Normal 3 45" xfId="2439"/>
    <cellStyle name="Normal 3 45 2" xfId="3032"/>
    <cellStyle name="Normal 3 46" xfId="2440"/>
    <cellStyle name="Normal 3 46 2" xfId="3031"/>
    <cellStyle name="Normal 3 47" xfId="2441"/>
    <cellStyle name="Normal 3 47 2" xfId="3030"/>
    <cellStyle name="Normal 3 48" xfId="2442"/>
    <cellStyle name="Normal 3 48 2" xfId="3029"/>
    <cellStyle name="Normal 3 49" xfId="2443"/>
    <cellStyle name="Normal 3 49 2" xfId="3028"/>
    <cellStyle name="Normal 3 5" xfId="2444"/>
    <cellStyle name="Normal 3 5 10" xfId="2445"/>
    <cellStyle name="Normal 3 5 10 2" xfId="3026"/>
    <cellStyle name="Normal 3 5 11" xfId="2446"/>
    <cellStyle name="Normal 3 5 11 2" xfId="3025"/>
    <cellStyle name="Normal 3 5 12" xfId="2447"/>
    <cellStyle name="Normal 3 5 12 2" xfId="3024"/>
    <cellStyle name="Normal 3 5 13" xfId="2448"/>
    <cellStyle name="Normal 3 5 13 2" xfId="3023"/>
    <cellStyle name="Normal 3 5 14" xfId="2449"/>
    <cellStyle name="Normal 3 5 14 2" xfId="3022"/>
    <cellStyle name="Normal 3 5 15" xfId="2450"/>
    <cellStyle name="Normal 3 5 15 2" xfId="3021"/>
    <cellStyle name="Normal 3 5 16" xfId="2451"/>
    <cellStyle name="Normal 3 5 16 2" xfId="3020"/>
    <cellStyle name="Normal 3 5 17" xfId="2452"/>
    <cellStyle name="Normal 3 5 17 2" xfId="3019"/>
    <cellStyle name="Normal 3 5 18" xfId="2453"/>
    <cellStyle name="Normal 3 5 18 2" xfId="3018"/>
    <cellStyle name="Normal 3 5 19" xfId="2454"/>
    <cellStyle name="Normal 3 5 19 2" xfId="3017"/>
    <cellStyle name="Normal 3 5 2" xfId="2455"/>
    <cellStyle name="Normal 3 5 2 2" xfId="3016"/>
    <cellStyle name="Normal 3 5 20" xfId="2456"/>
    <cellStyle name="Normal 3 5 20 2" xfId="3015"/>
    <cellStyle name="Normal 3 5 21" xfId="2457"/>
    <cellStyle name="Normal 3 5 21 2" xfId="3014"/>
    <cellStyle name="Normal 3 5 22" xfId="2458"/>
    <cellStyle name="Normal 3 5 22 2" xfId="3013"/>
    <cellStyle name="Normal 3 5 23" xfId="2459"/>
    <cellStyle name="Normal 3 5 23 2" xfId="3012"/>
    <cellStyle name="Normal 3 5 24" xfId="3027"/>
    <cellStyle name="Normal 3 5 3" xfId="2460"/>
    <cellStyle name="Normal 3 5 3 2" xfId="3011"/>
    <cellStyle name="Normal 3 5 4" xfId="2461"/>
    <cellStyle name="Normal 3 5 4 2" xfId="3010"/>
    <cellStyle name="Normal 3 5 5" xfId="2462"/>
    <cellStyle name="Normal 3 5 5 2" xfId="3009"/>
    <cellStyle name="Normal 3 5 6" xfId="2463"/>
    <cellStyle name="Normal 3 5 6 2" xfId="3008"/>
    <cellStyle name="Normal 3 5 7" xfId="2464"/>
    <cellStyle name="Normal 3 5 7 2" xfId="3007"/>
    <cellStyle name="Normal 3 5 8" xfId="2465"/>
    <cellStyle name="Normal 3 5 8 2" xfId="3006"/>
    <cellStyle name="Normal 3 5 9" xfId="2466"/>
    <cellStyle name="Normal 3 5 9 2" xfId="3005"/>
    <cellStyle name="Normal 3 50" xfId="2467"/>
    <cellStyle name="Normal 3 50 2" xfId="3004"/>
    <cellStyle name="Normal 3 51" xfId="2468"/>
    <cellStyle name="Normal 3 51 2" xfId="3003"/>
    <cellStyle name="Normal 3 52" xfId="2469"/>
    <cellStyle name="Normal 3 52 2" xfId="3002"/>
    <cellStyle name="Normal 3 53" xfId="2470"/>
    <cellStyle name="Normal 3 53 2" xfId="3001"/>
    <cellStyle name="Normal 3 54" xfId="2471"/>
    <cellStyle name="Normal 3 54 2" xfId="3000"/>
    <cellStyle name="Normal 3 55" xfId="2472"/>
    <cellStyle name="Normal 3 55 2" xfId="2999"/>
    <cellStyle name="Normal 3 56" xfId="2473"/>
    <cellStyle name="Normal 3 56 2" xfId="2998"/>
    <cellStyle name="Normal 3 57" xfId="2474"/>
    <cellStyle name="Normal 3 57 2" xfId="2997"/>
    <cellStyle name="Normal 3 58" xfId="2475"/>
    <cellStyle name="Normal 3 58 2" xfId="2996"/>
    <cellStyle name="Normal 3 59" xfId="2476"/>
    <cellStyle name="Normal 3 59 2" xfId="2995"/>
    <cellStyle name="Normal 3 6" xfId="2477"/>
    <cellStyle name="Normal 3 6 10" xfId="2478"/>
    <cellStyle name="Normal 3 6 10 2" xfId="2993"/>
    <cellStyle name="Normal 3 6 11" xfId="2479"/>
    <cellStyle name="Normal 3 6 11 2" xfId="2992"/>
    <cellStyle name="Normal 3 6 12" xfId="2480"/>
    <cellStyle name="Normal 3 6 12 2" xfId="2991"/>
    <cellStyle name="Normal 3 6 13" xfId="2481"/>
    <cellStyle name="Normal 3 6 13 2" xfId="2990"/>
    <cellStyle name="Normal 3 6 14" xfId="2482"/>
    <cellStyle name="Normal 3 6 14 2" xfId="2989"/>
    <cellStyle name="Normal 3 6 15" xfId="2483"/>
    <cellStyle name="Normal 3 6 15 2" xfId="2988"/>
    <cellStyle name="Normal 3 6 16" xfId="2484"/>
    <cellStyle name="Normal 3 6 16 2" xfId="2987"/>
    <cellStyle name="Normal 3 6 17" xfId="2485"/>
    <cellStyle name="Normal 3 6 17 2" xfId="2986"/>
    <cellStyle name="Normal 3 6 18" xfId="2486"/>
    <cellStyle name="Normal 3 6 18 2" xfId="2985"/>
    <cellStyle name="Normal 3 6 19" xfId="2487"/>
    <cellStyle name="Normal 3 6 19 2" xfId="2984"/>
    <cellStyle name="Normal 3 6 2" xfId="2488"/>
    <cellStyle name="Normal 3 6 2 2" xfId="2983"/>
    <cellStyle name="Normal 3 6 20" xfId="2489"/>
    <cellStyle name="Normal 3 6 20 2" xfId="2982"/>
    <cellStyle name="Normal 3 6 21" xfId="2490"/>
    <cellStyle name="Normal 3 6 21 2" xfId="2981"/>
    <cellStyle name="Normal 3 6 22" xfId="2491"/>
    <cellStyle name="Normal 3 6 22 2" xfId="2980"/>
    <cellStyle name="Normal 3 6 23" xfId="2492"/>
    <cellStyle name="Normal 3 6 23 2" xfId="2979"/>
    <cellStyle name="Normal 3 6 24" xfId="2994"/>
    <cellStyle name="Normal 3 6 3" xfId="2493"/>
    <cellStyle name="Normal 3 6 3 2" xfId="2978"/>
    <cellStyle name="Normal 3 6 4" xfId="2494"/>
    <cellStyle name="Normal 3 6 4 2" xfId="2977"/>
    <cellStyle name="Normal 3 6 5" xfId="2495"/>
    <cellStyle name="Normal 3 6 5 2" xfId="2976"/>
    <cellStyle name="Normal 3 6 6" xfId="2496"/>
    <cellStyle name="Normal 3 6 6 2" xfId="2975"/>
    <cellStyle name="Normal 3 6 7" xfId="2497"/>
    <cellStyle name="Normal 3 6 7 2" xfId="2974"/>
    <cellStyle name="Normal 3 6 8" xfId="2498"/>
    <cellStyle name="Normal 3 6 8 2" xfId="2973"/>
    <cellStyle name="Normal 3 6 9" xfId="2499"/>
    <cellStyle name="Normal 3 6 9 2" xfId="2972"/>
    <cellStyle name="Normal 3 60" xfId="2500"/>
    <cellStyle name="Normal 3 60 2" xfId="2971"/>
    <cellStyle name="Normal 3 61" xfId="2501"/>
    <cellStyle name="Normal 3 61 2" xfId="2970"/>
    <cellStyle name="Normal 3 62" xfId="2502"/>
    <cellStyle name="Normal 3 62 2" xfId="2969"/>
    <cellStyle name="Normal 3 63" xfId="2503"/>
    <cellStyle name="Normal 3 63 2" xfId="2968"/>
    <cellStyle name="Normal 3 64" xfId="2504"/>
    <cellStyle name="Normal 3 64 2" xfId="2967"/>
    <cellStyle name="Normal 3 65" xfId="2505"/>
    <cellStyle name="Normal 3 65 2" xfId="2966"/>
    <cellStyle name="Normal 3 66" xfId="1742"/>
    <cellStyle name="Normal 3 66 2" xfId="3729"/>
    <cellStyle name="Normal 3 7" xfId="2506"/>
    <cellStyle name="Normal 3 7 10" xfId="2507"/>
    <cellStyle name="Normal 3 7 10 2" xfId="2964"/>
    <cellStyle name="Normal 3 7 11" xfId="2508"/>
    <cellStyle name="Normal 3 7 11 2" xfId="2963"/>
    <cellStyle name="Normal 3 7 12" xfId="2509"/>
    <cellStyle name="Normal 3 7 12 2" xfId="2962"/>
    <cellStyle name="Normal 3 7 13" xfId="2510"/>
    <cellStyle name="Normal 3 7 13 2" xfId="2961"/>
    <cellStyle name="Normal 3 7 14" xfId="2511"/>
    <cellStyle name="Normal 3 7 14 2" xfId="2960"/>
    <cellStyle name="Normal 3 7 15" xfId="2512"/>
    <cellStyle name="Normal 3 7 15 2" xfId="2959"/>
    <cellStyle name="Normal 3 7 16" xfId="2513"/>
    <cellStyle name="Normal 3 7 16 2" xfId="2958"/>
    <cellStyle name="Normal 3 7 17" xfId="2514"/>
    <cellStyle name="Normal 3 7 17 2" xfId="2957"/>
    <cellStyle name="Normal 3 7 18" xfId="2515"/>
    <cellStyle name="Normal 3 7 18 2" xfId="2956"/>
    <cellStyle name="Normal 3 7 19" xfId="2516"/>
    <cellStyle name="Normal 3 7 19 2" xfId="2955"/>
    <cellStyle name="Normal 3 7 2" xfId="2517"/>
    <cellStyle name="Normal 3 7 2 2" xfId="2954"/>
    <cellStyle name="Normal 3 7 20" xfId="2518"/>
    <cellStyle name="Normal 3 7 20 2" xfId="2953"/>
    <cellStyle name="Normal 3 7 21" xfId="2519"/>
    <cellStyle name="Normal 3 7 21 2" xfId="2952"/>
    <cellStyle name="Normal 3 7 22" xfId="2520"/>
    <cellStyle name="Normal 3 7 22 2" xfId="2951"/>
    <cellStyle name="Normal 3 7 23" xfId="2521"/>
    <cellStyle name="Normal 3 7 23 2" xfId="2950"/>
    <cellStyle name="Normal 3 7 24" xfId="2965"/>
    <cellStyle name="Normal 3 7 3" xfId="2522"/>
    <cellStyle name="Normal 3 7 3 2" xfId="2949"/>
    <cellStyle name="Normal 3 7 4" xfId="2523"/>
    <cellStyle name="Normal 3 7 4 2" xfId="2948"/>
    <cellStyle name="Normal 3 7 5" xfId="2524"/>
    <cellStyle name="Normal 3 7 5 2" xfId="2947"/>
    <cellStyle name="Normal 3 7 6" xfId="2525"/>
    <cellStyle name="Normal 3 7 6 2" xfId="2946"/>
    <cellStyle name="Normal 3 7 7" xfId="2526"/>
    <cellStyle name="Normal 3 7 7 2" xfId="2945"/>
    <cellStyle name="Normal 3 7 8" xfId="2527"/>
    <cellStyle name="Normal 3 7 8 2" xfId="2944"/>
    <cellStyle name="Normal 3 7 9" xfId="2528"/>
    <cellStyle name="Normal 3 7 9 2" xfId="2943"/>
    <cellStyle name="Normal 3 8" xfId="2529"/>
    <cellStyle name="Normal 3 8 10" xfId="2530"/>
    <cellStyle name="Normal 3 8 10 2" xfId="2941"/>
    <cellStyle name="Normal 3 8 11" xfId="2531"/>
    <cellStyle name="Normal 3 8 11 2" xfId="2940"/>
    <cellStyle name="Normal 3 8 12" xfId="2532"/>
    <cellStyle name="Normal 3 8 12 2" xfId="2939"/>
    <cellStyle name="Normal 3 8 13" xfId="2533"/>
    <cellStyle name="Normal 3 8 13 2" xfId="2938"/>
    <cellStyle name="Normal 3 8 14" xfId="2534"/>
    <cellStyle name="Normal 3 8 14 2" xfId="2937"/>
    <cellStyle name="Normal 3 8 15" xfId="2535"/>
    <cellStyle name="Normal 3 8 15 2" xfId="2936"/>
    <cellStyle name="Normal 3 8 16" xfId="2536"/>
    <cellStyle name="Normal 3 8 16 2" xfId="2935"/>
    <cellStyle name="Normal 3 8 17" xfId="2537"/>
    <cellStyle name="Normal 3 8 17 2" xfId="2934"/>
    <cellStyle name="Normal 3 8 18" xfId="2538"/>
    <cellStyle name="Normal 3 8 18 2" xfId="2933"/>
    <cellStyle name="Normal 3 8 19" xfId="2539"/>
    <cellStyle name="Normal 3 8 19 2" xfId="2932"/>
    <cellStyle name="Normal 3 8 2" xfId="2540"/>
    <cellStyle name="Normal 3 8 2 2" xfId="2931"/>
    <cellStyle name="Normal 3 8 20" xfId="2541"/>
    <cellStyle name="Normal 3 8 20 2" xfId="2930"/>
    <cellStyle name="Normal 3 8 21" xfId="2542"/>
    <cellStyle name="Normal 3 8 21 2" xfId="2929"/>
    <cellStyle name="Normal 3 8 22" xfId="2543"/>
    <cellStyle name="Normal 3 8 22 2" xfId="2928"/>
    <cellStyle name="Normal 3 8 23" xfId="2544"/>
    <cellStyle name="Normal 3 8 23 2" xfId="2927"/>
    <cellStyle name="Normal 3 8 24" xfId="2942"/>
    <cellStyle name="Normal 3 8 3" xfId="2545"/>
    <cellStyle name="Normal 3 8 3 2" xfId="2926"/>
    <cellStyle name="Normal 3 8 4" xfId="2546"/>
    <cellStyle name="Normal 3 8 4 2" xfId="2925"/>
    <cellStyle name="Normal 3 8 5" xfId="2547"/>
    <cellStyle name="Normal 3 8 5 2" xfId="2924"/>
    <cellStyle name="Normal 3 8 6" xfId="2548"/>
    <cellStyle name="Normal 3 8 6 2" xfId="2923"/>
    <cellStyle name="Normal 3 8 7" xfId="2549"/>
    <cellStyle name="Normal 3 8 7 2" xfId="2922"/>
    <cellStyle name="Normal 3 8 8" xfId="2550"/>
    <cellStyle name="Normal 3 8 8 2" xfId="2921"/>
    <cellStyle name="Normal 3 8 9" xfId="2551"/>
    <cellStyle name="Normal 3 8 9 2" xfId="2920"/>
    <cellStyle name="Normal 3 9" xfId="2552"/>
    <cellStyle name="Normal 3 9 10" xfId="2553"/>
    <cellStyle name="Normal 3 9 10 2" xfId="2918"/>
    <cellStyle name="Normal 3 9 11" xfId="2554"/>
    <cellStyle name="Normal 3 9 11 2" xfId="2917"/>
    <cellStyle name="Normal 3 9 12" xfId="2555"/>
    <cellStyle name="Normal 3 9 12 2" xfId="2916"/>
    <cellStyle name="Normal 3 9 13" xfId="2556"/>
    <cellStyle name="Normal 3 9 13 2" xfId="2915"/>
    <cellStyle name="Normal 3 9 14" xfId="2557"/>
    <cellStyle name="Normal 3 9 14 2" xfId="2914"/>
    <cellStyle name="Normal 3 9 15" xfId="2558"/>
    <cellStyle name="Normal 3 9 15 2" xfId="2913"/>
    <cellStyle name="Normal 3 9 16" xfId="2559"/>
    <cellStyle name="Normal 3 9 16 2" xfId="2912"/>
    <cellStyle name="Normal 3 9 17" xfId="2560"/>
    <cellStyle name="Normal 3 9 17 2" xfId="2911"/>
    <cellStyle name="Normal 3 9 18" xfId="2561"/>
    <cellStyle name="Normal 3 9 18 2" xfId="2910"/>
    <cellStyle name="Normal 3 9 19" xfId="2562"/>
    <cellStyle name="Normal 3 9 19 2" xfId="2909"/>
    <cellStyle name="Normal 3 9 2" xfId="2563"/>
    <cellStyle name="Normal 3 9 2 2" xfId="2908"/>
    <cellStyle name="Normal 3 9 20" xfId="2564"/>
    <cellStyle name="Normal 3 9 20 2" xfId="2907"/>
    <cellStyle name="Normal 3 9 21" xfId="2565"/>
    <cellStyle name="Normal 3 9 21 2" xfId="2906"/>
    <cellStyle name="Normal 3 9 22" xfId="2566"/>
    <cellStyle name="Normal 3 9 22 2" xfId="2905"/>
    <cellStyle name="Normal 3 9 23" xfId="2567"/>
    <cellStyle name="Normal 3 9 23 2" xfId="2904"/>
    <cellStyle name="Normal 3 9 24" xfId="2919"/>
    <cellStyle name="Normal 3 9 3" xfId="2568"/>
    <cellStyle name="Normal 3 9 3 2" xfId="2903"/>
    <cellStyle name="Normal 3 9 4" xfId="2569"/>
    <cellStyle name="Normal 3 9 4 2" xfId="2902"/>
    <cellStyle name="Normal 3 9 5" xfId="2570"/>
    <cellStyle name="Normal 3 9 5 2" xfId="2901"/>
    <cellStyle name="Normal 3 9 6" xfId="2571"/>
    <cellStyle name="Normal 3 9 6 2" xfId="2900"/>
    <cellStyle name="Normal 3 9 7" xfId="2572"/>
    <cellStyle name="Normal 3 9 7 2" xfId="2899"/>
    <cellStyle name="Normal 3 9 8" xfId="2573"/>
    <cellStyle name="Normal 3 9 8 2" xfId="2898"/>
    <cellStyle name="Normal 3 9 9" xfId="2574"/>
    <cellStyle name="Normal 3 9 9 2" xfId="2897"/>
    <cellStyle name="Normal 30" xfId="2754"/>
    <cellStyle name="Normal 30 2" xfId="4855"/>
    <cellStyle name="Normal 31" xfId="2756"/>
    <cellStyle name="Normal 31 2" xfId="4787"/>
    <cellStyle name="Normal 32" xfId="2575"/>
    <cellStyle name="Normal 32 2" xfId="2896"/>
    <cellStyle name="Normal 33" xfId="2576"/>
    <cellStyle name="Normal 33 2" xfId="2895"/>
    <cellStyle name="Normal 34" xfId="2577"/>
    <cellStyle name="Normal 34 2" xfId="2894"/>
    <cellStyle name="Normal 35" xfId="2578"/>
    <cellStyle name="Normal 35 2" xfId="2893"/>
    <cellStyle name="Normal 36" xfId="2753"/>
    <cellStyle name="Normal 36 2" xfId="4852"/>
    <cellStyle name="Normal 37" xfId="2579"/>
    <cellStyle name="Normal 37 2" xfId="2892"/>
    <cellStyle name="Normal 38" xfId="2580"/>
    <cellStyle name="Normal 38 2" xfId="2891"/>
    <cellStyle name="Normal 39" xfId="2581"/>
    <cellStyle name="Normal 39 2" xfId="2890"/>
    <cellStyle name="Normal 4" xfId="695"/>
    <cellStyle name="Normal 4 2" xfId="704"/>
    <cellStyle name="Normal 4 2 2" xfId="2583"/>
    <cellStyle name="Normal 4 2 2 2" xfId="2888"/>
    <cellStyle name="Normal 4 3" xfId="2582"/>
    <cellStyle name="Normal 4 3 2" xfId="4830"/>
    <cellStyle name="Normal 4 4" xfId="2713"/>
    <cellStyle name="Normal 4 4 2" xfId="2889"/>
    <cellStyle name="Normal 4_Revised WB Constant Values" xfId="2887"/>
    <cellStyle name="Normal 40" xfId="2584"/>
    <cellStyle name="Normal 40 2" xfId="2886"/>
    <cellStyle name="Normal 41" xfId="2585"/>
    <cellStyle name="Normal 41 2" xfId="4789"/>
    <cellStyle name="Normal 42" xfId="2586"/>
    <cellStyle name="Normal 42 2" xfId="4788"/>
    <cellStyle name="Normal 43" xfId="2755"/>
    <cellStyle name="Normal 43 2" xfId="4870"/>
    <cellStyle name="Normal 44" xfId="2751"/>
    <cellStyle name="Normal 44 2" xfId="4857"/>
    <cellStyle name="Normal 45" xfId="2745"/>
    <cellStyle name="Normal 45 2" xfId="4877"/>
    <cellStyle name="Normal 46" xfId="2757"/>
    <cellStyle name="Normal 46 2" xfId="4873"/>
    <cellStyle name="Normal 47" xfId="4875"/>
    <cellStyle name="Normal 48" xfId="4869"/>
    <cellStyle name="Normal 49" xfId="4858"/>
    <cellStyle name="Normal 5" xfId="705"/>
    <cellStyle name="Normal 5 10" xfId="2588"/>
    <cellStyle name="Normal 5 10 2" xfId="2885"/>
    <cellStyle name="Normal 5 11" xfId="2589"/>
    <cellStyle name="Normal 5 11 2" xfId="2813"/>
    <cellStyle name="Normal 5 12" xfId="2590"/>
    <cellStyle name="Normal 5 12 2" xfId="2884"/>
    <cellStyle name="Normal 5 13" xfId="2591"/>
    <cellStyle name="Normal 5 13 2" xfId="2817"/>
    <cellStyle name="Normal 5 14" xfId="2592"/>
    <cellStyle name="Normal 5 14 2" xfId="2883"/>
    <cellStyle name="Normal 5 15" xfId="2593"/>
    <cellStyle name="Normal 5 15 2" xfId="2814"/>
    <cellStyle name="Normal 5 16" xfId="2594"/>
    <cellStyle name="Normal 5 16 2" xfId="2882"/>
    <cellStyle name="Normal 5 17" xfId="2595"/>
    <cellStyle name="Normal 5 17 2" xfId="2809"/>
    <cellStyle name="Normal 5 18" xfId="2596"/>
    <cellStyle name="Normal 5 18 2" xfId="2881"/>
    <cellStyle name="Normal 5 19" xfId="2597"/>
    <cellStyle name="Normal 5 19 2" xfId="2811"/>
    <cellStyle name="Normal 5 2" xfId="2598"/>
    <cellStyle name="Normal 5 2 10" xfId="2599"/>
    <cellStyle name="Normal 5 2 10 2" xfId="2807"/>
    <cellStyle name="Normal 5 2 11" xfId="2600"/>
    <cellStyle name="Normal 5 2 11 2" xfId="2879"/>
    <cellStyle name="Normal 5 2 12" xfId="2601"/>
    <cellStyle name="Normal 5 2 12 2" xfId="2810"/>
    <cellStyle name="Normal 5 2 13" xfId="2602"/>
    <cellStyle name="Normal 5 2 13 2" xfId="2878"/>
    <cellStyle name="Normal 5 2 14" xfId="2603"/>
    <cellStyle name="Normal 5 2 14 2" xfId="2812"/>
    <cellStyle name="Normal 5 2 15" xfId="2604"/>
    <cellStyle name="Normal 5 2 15 2" xfId="2877"/>
    <cellStyle name="Normal 5 2 16" xfId="2605"/>
    <cellStyle name="Normal 5 2 16 2" xfId="2821"/>
    <cellStyle name="Normal 5 2 17" xfId="2606"/>
    <cellStyle name="Normal 5 2 17 2" xfId="2875"/>
    <cellStyle name="Normal 5 2 18" xfId="2607"/>
    <cellStyle name="Normal 5 2 18 2" xfId="2876"/>
    <cellStyle name="Normal 5 2 19" xfId="2608"/>
    <cellStyle name="Normal 5 2 19 2" xfId="2874"/>
    <cellStyle name="Normal 5 2 2" xfId="2609"/>
    <cellStyle name="Normal 5 2 2 2" xfId="2818"/>
    <cellStyle name="Normal 5 2 20" xfId="2610"/>
    <cellStyle name="Normal 5 2 20 2" xfId="2873"/>
    <cellStyle name="Normal 5 2 21" xfId="2611"/>
    <cellStyle name="Normal 5 2 21 2" xfId="2816"/>
    <cellStyle name="Normal 5 2 22" xfId="2612"/>
    <cellStyle name="Normal 5 2 22 2" xfId="2872"/>
    <cellStyle name="Normal 5 2 23" xfId="2613"/>
    <cellStyle name="Normal 5 2 23 2" xfId="2808"/>
    <cellStyle name="Normal 5 2 24" xfId="2880"/>
    <cellStyle name="Normal 5 2 3" xfId="2614"/>
    <cellStyle name="Normal 5 2 3 2" xfId="2871"/>
    <cellStyle name="Normal 5 2 4" xfId="2615"/>
    <cellStyle name="Normal 5 2 4 2" xfId="2843"/>
    <cellStyle name="Normal 5 2 5" xfId="2616"/>
    <cellStyle name="Normal 5 2 5 2" xfId="2870"/>
    <cellStyle name="Normal 5 2 6" xfId="2617"/>
    <cellStyle name="Normal 5 2 6 2" xfId="2839"/>
    <cellStyle name="Normal 5 2 7" xfId="2618"/>
    <cellStyle name="Normal 5 2 7 2" xfId="2869"/>
    <cellStyle name="Normal 5 2 8" xfId="2619"/>
    <cellStyle name="Normal 5 2 8 2" xfId="2835"/>
    <cellStyle name="Normal 5 2 9" xfId="2620"/>
    <cellStyle name="Normal 5 2 9 2" xfId="2868"/>
    <cellStyle name="Normal 5 20" xfId="2621"/>
    <cellStyle name="Normal 5 20 2" xfId="2831"/>
    <cellStyle name="Normal 5 21" xfId="2622"/>
    <cellStyle name="Normal 5 21 2" xfId="2867"/>
    <cellStyle name="Normal 5 22" xfId="2623"/>
    <cellStyle name="Normal 5 22 2" xfId="2827"/>
    <cellStyle name="Normal 5 23" xfId="2624"/>
    <cellStyle name="Normal 5 23 2" xfId="2866"/>
    <cellStyle name="Normal 5 24" xfId="2625"/>
    <cellStyle name="Normal 5 24 2" xfId="2823"/>
    <cellStyle name="Normal 5 25" xfId="2587"/>
    <cellStyle name="Normal 5 25 2" xfId="4831"/>
    <cellStyle name="Normal 5 26" xfId="2805"/>
    <cellStyle name="Normal 5 3" xfId="2626"/>
    <cellStyle name="Normal 5 3 2" xfId="2865"/>
    <cellStyle name="Normal 5 4" xfId="2627"/>
    <cellStyle name="Normal 5 4 2" xfId="2846"/>
    <cellStyle name="Normal 5 5" xfId="2628"/>
    <cellStyle name="Normal 5 5 2" xfId="2864"/>
    <cellStyle name="Normal 5 6" xfId="2629"/>
    <cellStyle name="Normal 5 6 2" xfId="2842"/>
    <cellStyle name="Normal 5 7" xfId="2630"/>
    <cellStyle name="Normal 5 7 2" xfId="2863"/>
    <cellStyle name="Normal 5 8" xfId="2631"/>
    <cellStyle name="Normal 5 8 2" xfId="2838"/>
    <cellStyle name="Normal 5 9" xfId="2632"/>
    <cellStyle name="Normal 5 9 2" xfId="2862"/>
    <cellStyle name="Normal 5_Revised WB Constant Values" xfId="2834"/>
    <cellStyle name="Normal 50" xfId="4867"/>
    <cellStyle name="Normal 51" xfId="4859"/>
    <cellStyle name="Normal 52" xfId="4853"/>
    <cellStyle name="Normal 53" xfId="4876"/>
    <cellStyle name="Normal 54" xfId="4868"/>
    <cellStyle name="Normal 55" xfId="4871"/>
    <cellStyle name="Normal 56" xfId="4866"/>
    <cellStyle name="Normal 57" xfId="4874"/>
    <cellStyle name="Normal 58" xfId="4865"/>
    <cellStyle name="Normal 59" xfId="4860"/>
    <cellStyle name="Normal 6" xfId="715"/>
    <cellStyle name="Normal 6 2" xfId="2633"/>
    <cellStyle name="Normal 6 2 2" xfId="2861"/>
    <cellStyle name="Normal 60" xfId="4864"/>
    <cellStyle name="Normal 61" xfId="4861"/>
    <cellStyle name="Normal 62" xfId="4872"/>
    <cellStyle name="Normal 63" xfId="4862"/>
    <cellStyle name="Normal 64" xfId="4863"/>
    <cellStyle name="Normal 65" xfId="2758"/>
    <cellStyle name="Normal 66" xfId="691"/>
    <cellStyle name="Normal 67" xfId="677"/>
    <cellStyle name="Normal 7" xfId="703"/>
    <cellStyle name="Normal 7 10" xfId="2635"/>
    <cellStyle name="Normal 7 10 2" xfId="2860"/>
    <cellStyle name="Normal 7 11" xfId="2636"/>
    <cellStyle name="Normal 7 11 2" xfId="2826"/>
    <cellStyle name="Normal 7 12" xfId="2637"/>
    <cellStyle name="Normal 7 12 2" xfId="2859"/>
    <cellStyle name="Normal 7 13" xfId="2638"/>
    <cellStyle name="Normal 7 13 2" xfId="2845"/>
    <cellStyle name="Normal 7 14" xfId="2639"/>
    <cellStyle name="Normal 7 14 2" xfId="2858"/>
    <cellStyle name="Normal 7 15" xfId="2640"/>
    <cellStyle name="Normal 7 15 2" xfId="2841"/>
    <cellStyle name="Normal 7 16" xfId="2641"/>
    <cellStyle name="Normal 7 16 2" xfId="2857"/>
    <cellStyle name="Normal 7 17" xfId="2642"/>
    <cellStyle name="Normal 7 17 2" xfId="2837"/>
    <cellStyle name="Normal 7 18" xfId="2643"/>
    <cellStyle name="Normal 7 18 2" xfId="2856"/>
    <cellStyle name="Normal 7 19" xfId="2644"/>
    <cellStyle name="Normal 7 19 2" xfId="2833"/>
    <cellStyle name="Normal 7 2" xfId="2645"/>
    <cellStyle name="Normal 7 2 10" xfId="2646"/>
    <cellStyle name="Normal 7 2 10 2" xfId="2829"/>
    <cellStyle name="Normal 7 2 11" xfId="2647"/>
    <cellStyle name="Normal 7 2 11 2" xfId="2854"/>
    <cellStyle name="Normal 7 2 12" xfId="2648"/>
    <cellStyle name="Normal 7 2 12 2" xfId="2825"/>
    <cellStyle name="Normal 7 2 13" xfId="2649"/>
    <cellStyle name="Normal 7 2 13 2" xfId="2853"/>
    <cellStyle name="Normal 7 2 14" xfId="2650"/>
    <cellStyle name="Normal 7 2 14 2" xfId="2844"/>
    <cellStyle name="Normal 7 2 15" xfId="2651"/>
    <cellStyle name="Normal 7 2 15 2" xfId="2852"/>
    <cellStyle name="Normal 7 2 16" xfId="2652"/>
    <cellStyle name="Normal 7 2 16 2" xfId="2840"/>
    <cellStyle name="Normal 7 2 17" xfId="2653"/>
    <cellStyle name="Normal 7 2 17 2" xfId="2851"/>
    <cellStyle name="Normal 7 2 18" xfId="2654"/>
    <cellStyle name="Normal 7 2 18 2" xfId="2836"/>
    <cellStyle name="Normal 7 2 19" xfId="2655"/>
    <cellStyle name="Normal 7 2 19 2" xfId="2850"/>
    <cellStyle name="Normal 7 2 2" xfId="2656"/>
    <cellStyle name="Normal 7 2 2 2" xfId="2832"/>
    <cellStyle name="Normal 7 2 20" xfId="2657"/>
    <cellStyle name="Normal 7 2 20 2" xfId="2849"/>
    <cellStyle name="Normal 7 2 21" xfId="2658"/>
    <cellStyle name="Normal 7 2 21 2" xfId="2828"/>
    <cellStyle name="Normal 7 2 22" xfId="2659"/>
    <cellStyle name="Normal 7 2 22 2" xfId="2848"/>
    <cellStyle name="Normal 7 2 23" xfId="2660"/>
    <cellStyle name="Normal 7 2 23 2" xfId="2824"/>
    <cellStyle name="Normal 7 2 24" xfId="2855"/>
    <cellStyle name="Normal 7 2 3" xfId="2661"/>
    <cellStyle name="Normal 7 2 3 2" xfId="4790"/>
    <cellStyle name="Normal 7 2 4" xfId="2662"/>
    <cellStyle name="Normal 7 2 4 2" xfId="4791"/>
    <cellStyle name="Normal 7 2 5" xfId="2663"/>
    <cellStyle name="Normal 7 2 5 2" xfId="4792"/>
    <cellStyle name="Normal 7 2 6" xfId="2664"/>
    <cellStyle name="Normal 7 2 6 2" xfId="4793"/>
    <cellStyle name="Normal 7 2 7" xfId="2665"/>
    <cellStyle name="Normal 7 2 7 2" xfId="4794"/>
    <cellStyle name="Normal 7 2 8" xfId="2666"/>
    <cellStyle name="Normal 7 2 8 2" xfId="4795"/>
    <cellStyle name="Normal 7 2 9" xfId="2667"/>
    <cellStyle name="Normal 7 2 9 2" xfId="4796"/>
    <cellStyle name="Normal 7 20" xfId="2668"/>
    <cellStyle name="Normal 7 20 2" xfId="4797"/>
    <cellStyle name="Normal 7 21" xfId="2669"/>
    <cellStyle name="Normal 7 21 2" xfId="4798"/>
    <cellStyle name="Normal 7 22" xfId="2670"/>
    <cellStyle name="Normal 7 22 2" xfId="4799"/>
    <cellStyle name="Normal 7 23" xfId="2671"/>
    <cellStyle name="Normal 7 23 2" xfId="4800"/>
    <cellStyle name="Normal 7 24" xfId="2672"/>
    <cellStyle name="Normal 7 24 2" xfId="4801"/>
    <cellStyle name="Normal 7 25" xfId="2634"/>
    <cellStyle name="Normal 7 25 2" xfId="2830"/>
    <cellStyle name="Normal 7 3" xfId="2673"/>
    <cellStyle name="Normal 7 3 2" xfId="4802"/>
    <cellStyle name="Normal 7 4" xfId="2674"/>
    <cellStyle name="Normal 7 4 2" xfId="4803"/>
    <cellStyle name="Normal 7 5" xfId="2675"/>
    <cellStyle name="Normal 7 5 2" xfId="4804"/>
    <cellStyle name="Normal 7 6" xfId="2676"/>
    <cellStyle name="Normal 7 6 2" xfId="4805"/>
    <cellStyle name="Normal 7 7" xfId="2677"/>
    <cellStyle name="Normal 7 7 2" xfId="4806"/>
    <cellStyle name="Normal 7 8" xfId="2678"/>
    <cellStyle name="Normal 7 8 2" xfId="4807"/>
    <cellStyle name="Normal 7 9" xfId="2679"/>
    <cellStyle name="Normal 7 9 2" xfId="4808"/>
    <cellStyle name="Normal 8" xfId="702"/>
    <cellStyle name="Normal 8 2" xfId="2681"/>
    <cellStyle name="Normal 8 2 2" xfId="2715"/>
    <cellStyle name="Normal 8 2 2 2" xfId="2737"/>
    <cellStyle name="Normal 8 2 2 3" xfId="4840"/>
    <cellStyle name="Normal 8 2 3" xfId="2729"/>
    <cellStyle name="Normal 8 2 3 2" xfId="4832"/>
    <cellStyle name="Normal 8 2 4" xfId="2746"/>
    <cellStyle name="Normal 8 2 5" xfId="4810"/>
    <cellStyle name="Normal 8 2 6" xfId="4879"/>
    <cellStyle name="Normal 8 3" xfId="2682"/>
    <cellStyle name="Normal 8 3 2" xfId="2716"/>
    <cellStyle name="Normal 8 3 2 2" xfId="2738"/>
    <cellStyle name="Normal 8 3 2 3" xfId="4841"/>
    <cellStyle name="Normal 8 3 3" xfId="2730"/>
    <cellStyle name="Normal 8 3 3 2" xfId="4833"/>
    <cellStyle name="Normal 8 3 4" xfId="2747"/>
    <cellStyle name="Normal 8 3 5" xfId="4811"/>
    <cellStyle name="Normal 8 3 6" xfId="4880"/>
    <cellStyle name="Normal 8 4" xfId="2683"/>
    <cellStyle name="Normal 8 4 2" xfId="2717"/>
    <cellStyle name="Normal 8 4 2 2" xfId="2739"/>
    <cellStyle name="Normal 8 4 2 3" xfId="4842"/>
    <cellStyle name="Normal 8 4 3" xfId="2731"/>
    <cellStyle name="Normal 8 4 3 2" xfId="4834"/>
    <cellStyle name="Normal 8 4 4" xfId="2748"/>
    <cellStyle name="Normal 8 4 5" xfId="4812"/>
    <cellStyle name="Normal 8 4 6" xfId="4881"/>
    <cellStyle name="Normal 8 5" xfId="2684"/>
    <cellStyle name="Normal 8 5 2" xfId="2718"/>
    <cellStyle name="Normal 8 5 2 2" xfId="2740"/>
    <cellStyle name="Normal 8 5 2 3" xfId="4843"/>
    <cellStyle name="Normal 8 5 3" xfId="2732"/>
    <cellStyle name="Normal 8 5 3 2" xfId="4835"/>
    <cellStyle name="Normal 8 5 4" xfId="2749"/>
    <cellStyle name="Normal 8 5 5" xfId="4813"/>
    <cellStyle name="Normal 8 5 6" xfId="4882"/>
    <cellStyle name="Normal 8 6" xfId="2685"/>
    <cellStyle name="Normal 8 6 2" xfId="2719"/>
    <cellStyle name="Normal 8 6 2 2" xfId="2741"/>
    <cellStyle name="Normal 8 6 2 3" xfId="4844"/>
    <cellStyle name="Normal 8 6 3" xfId="2733"/>
    <cellStyle name="Normal 8 6 3 2" xfId="4836"/>
    <cellStyle name="Normal 8 6 4" xfId="2750"/>
    <cellStyle name="Normal 8 6 5" xfId="4814"/>
    <cellStyle name="Normal 8 6 6" xfId="4883"/>
    <cellStyle name="Normal 8 7" xfId="2680"/>
    <cellStyle name="Normal 8 7 2" xfId="4809"/>
    <cellStyle name="Normal 8 8" xfId="2803"/>
    <cellStyle name="Normal 9" xfId="701"/>
    <cellStyle name="Normal 9 2" xfId="2686"/>
    <cellStyle name="Normal 9 2 2" xfId="4815"/>
    <cellStyle name="Normal 9 3" xfId="2800"/>
    <cellStyle name="Note 2" xfId="676"/>
    <cellStyle name="Note 2 2" xfId="4817"/>
    <cellStyle name="Note 2 2 2" xfId="4939"/>
    <cellStyle name="Note 2 2 3" xfId="4887"/>
    <cellStyle name="Note 2 2 4" xfId="4914"/>
    <cellStyle name="Note 2 2 5" xfId="4895"/>
    <cellStyle name="Note 2 3" xfId="4907"/>
    <cellStyle name="Note 2 4" xfId="4898"/>
    <cellStyle name="Note 2 5" xfId="4902"/>
    <cellStyle name="Note 2 6" xfId="4900"/>
    <cellStyle name="Note 2 7" xfId="2687"/>
    <cellStyle name="Note 3" xfId="2773"/>
    <cellStyle name="Note 3 2" xfId="4845"/>
    <cellStyle name="Note 3 2 2" xfId="4944"/>
    <cellStyle name="Note 3 2 3" xfId="4886"/>
    <cellStyle name="Note 3 2 4" xfId="4905"/>
    <cellStyle name="Note 3 2 5" xfId="4921"/>
    <cellStyle name="Note 4" xfId="4816"/>
    <cellStyle name="Note 4 2" xfId="4938"/>
    <cellStyle name="Note 4 3" xfId="4935"/>
    <cellStyle name="Note 4 4" xfId="4911"/>
    <cellStyle name="Note 4 5" xfId="4910"/>
    <cellStyle name="Note 5" xfId="678"/>
    <cellStyle name="Output" xfId="642" builtinId="21" customBuiltin="1"/>
    <cellStyle name="Output 2" xfId="2688"/>
    <cellStyle name="Output 2 2" xfId="4819"/>
    <cellStyle name="Output 2 2 2" xfId="4941"/>
    <cellStyle name="Output 2 2 3" xfId="4918"/>
    <cellStyle name="Output 2 2 4" xfId="4893"/>
    <cellStyle name="Output 2 2 5" xfId="4903"/>
    <cellStyle name="Output 2 3" xfId="4908"/>
    <cellStyle name="Output 2 4" xfId="4897"/>
    <cellStyle name="Output 2 5" xfId="4920"/>
    <cellStyle name="Output 2 6" xfId="4891"/>
    <cellStyle name="Output 3" xfId="2768"/>
    <cellStyle name="Output 3 2" xfId="4818"/>
    <cellStyle name="Output 3 2 2" xfId="4940"/>
    <cellStyle name="Output 3 2 3" xfId="4936"/>
    <cellStyle name="Output 3 2 4" xfId="4932"/>
    <cellStyle name="Output 3 2 5" xfId="4930"/>
    <cellStyle name="Percent" xfId="555" builtinId="5"/>
    <cellStyle name="Percent 2" xfId="675"/>
    <cellStyle name="Percent 2 2" xfId="2690"/>
    <cellStyle name="Percent 2 3" xfId="2691"/>
    <cellStyle name="Percent 2 4" xfId="2692"/>
    <cellStyle name="Percent 2 5" xfId="2693"/>
    <cellStyle name="Percent 2 6" xfId="2694"/>
    <cellStyle name="Percent 2 7" xfId="2695"/>
    <cellStyle name="Percent 2 8" xfId="2696"/>
    <cellStyle name="Percent 2 9" xfId="693"/>
    <cellStyle name="Percent 3" xfId="2697"/>
    <cellStyle name="Percent 4" xfId="2698"/>
    <cellStyle name="Percent 5" xfId="2689"/>
    <cellStyle name="Percent 5 2" xfId="2720"/>
    <cellStyle name="Percent 5 2 2" xfId="2742"/>
    <cellStyle name="Percent 5 3" xfId="2734"/>
    <cellStyle name="Percent 5 4" xfId="4837"/>
    <cellStyle name="Percent 5 5" xfId="4884"/>
    <cellStyle name="Percent 6" xfId="2752"/>
    <cellStyle name="Title" xfId="633" builtinId="15" customBuiltin="1"/>
    <cellStyle name="Title 2" xfId="674"/>
    <cellStyle name="Title 2 2" xfId="4821"/>
    <cellStyle name="Title 2 3" xfId="2699"/>
    <cellStyle name="Title 3" xfId="4820"/>
    <cellStyle name="Total" xfId="648" builtinId="25" customBuiltin="1"/>
    <cellStyle name="Total 2" xfId="2700"/>
    <cellStyle name="Total 2 2" xfId="4823"/>
    <cellStyle name="Total 2 2 2" xfId="4943"/>
    <cellStyle name="Total 2 2 3" xfId="4919"/>
    <cellStyle name="Total 2 2 4" xfId="4892"/>
    <cellStyle name="Total 2 2 5" xfId="4904"/>
    <cellStyle name="Total 2 3" xfId="4909"/>
    <cellStyle name="Total 2 4" xfId="4912"/>
    <cellStyle name="Total 2 5" xfId="4913"/>
    <cellStyle name="Total 2 6" xfId="4896"/>
    <cellStyle name="Total 3" xfId="2775"/>
    <cellStyle name="Total 3 2" xfId="4822"/>
    <cellStyle name="Total 3 2 2" xfId="4942"/>
    <cellStyle name="Total 3 2 3" xfId="4937"/>
    <cellStyle name="Total 3 2 4" xfId="4916"/>
    <cellStyle name="Total 3 2 5" xfId="4894"/>
    <cellStyle name="Warning Text" xfId="646" builtinId="11" customBuiltin="1"/>
    <cellStyle name="Warning Text 2" xfId="2701"/>
    <cellStyle name="Warning Text 2 2" xfId="4825"/>
    <cellStyle name="Warning Text 3" xfId="2772"/>
    <cellStyle name="Warning Text 3 2" xfId="4824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104775</xdr:rowOff>
    </xdr:from>
    <xdr:to>
      <xdr:col>3</xdr:col>
      <xdr:colOff>1062117</xdr:colOff>
      <xdr:row>8</xdr:row>
      <xdr:rowOff>66674</xdr:rowOff>
    </xdr:to>
    <xdr:pic>
      <xdr:nvPicPr>
        <xdr:cNvPr id="3" name="Picture 2" descr="UES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79575"/>
          <a:ext cx="3948192" cy="469899"/>
        </a:xfrm>
        <a:prstGeom prst="rect">
          <a:avLst/>
        </a:prstGeom>
      </xdr:spPr>
    </xdr:pic>
    <xdr:clientData/>
  </xdr:twoCellAnchor>
  <xdr:twoCellAnchor>
    <xdr:from>
      <xdr:col>3</xdr:col>
      <xdr:colOff>688976</xdr:colOff>
      <xdr:row>1</xdr:row>
      <xdr:rowOff>85724</xdr:rowOff>
    </xdr:from>
    <xdr:to>
      <xdr:col>6</xdr:col>
      <xdr:colOff>543904</xdr:colOff>
      <xdr:row>2</xdr:row>
      <xdr:rowOff>304799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9176" y="327024"/>
          <a:ext cx="2369528" cy="473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1</xdr:row>
      <xdr:rowOff>133351</xdr:rowOff>
    </xdr:from>
    <xdr:to>
      <xdr:col>2</xdr:col>
      <xdr:colOff>152400</xdr:colOff>
      <xdr:row>3</xdr:row>
      <xdr:rowOff>4864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371476"/>
          <a:ext cx="2238375" cy="4334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88900</xdr:colOff>
      <xdr:row>3</xdr:row>
      <xdr:rowOff>101600</xdr:rowOff>
    </xdr:from>
    <xdr:to>
      <xdr:col>3</xdr:col>
      <xdr:colOff>504825</xdr:colOff>
      <xdr:row>5</xdr:row>
      <xdr:rowOff>203200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" y="914400"/>
          <a:ext cx="3302000" cy="609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10</xdr:col>
      <xdr:colOff>487543</xdr:colOff>
      <xdr:row>15</xdr:row>
      <xdr:rowOff>127000</xdr:rowOff>
    </xdr:to>
    <xdr:pic>
      <xdr:nvPicPr>
        <xdr:cNvPr id="2" name="Picture 1" descr="home audio UEC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7057676" cy="279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85725</xdr:rowOff>
    </xdr:from>
    <xdr:to>
      <xdr:col>2</xdr:col>
      <xdr:colOff>485512</xdr:colOff>
      <xdr:row>4</xdr:row>
      <xdr:rowOff>66602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323850"/>
          <a:ext cx="2104762" cy="5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247650</xdr:colOff>
      <xdr:row>4</xdr:row>
      <xdr:rowOff>114300</xdr:rowOff>
    </xdr:from>
    <xdr:to>
      <xdr:col>1</xdr:col>
      <xdr:colOff>266593</xdr:colOff>
      <xdr:row>7</xdr:row>
      <xdr:rowOff>47558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7650" y="952500"/>
          <a:ext cx="857143" cy="5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7</xdr:row>
      <xdr:rowOff>104775</xdr:rowOff>
    </xdr:from>
    <xdr:to>
      <xdr:col>7</xdr:col>
      <xdr:colOff>618325</xdr:colOff>
      <xdr:row>17</xdr:row>
      <xdr:rowOff>75954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5725" y="1543050"/>
          <a:ext cx="6400000" cy="19714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38100</xdr:rowOff>
    </xdr:from>
    <xdr:to>
      <xdr:col>2</xdr:col>
      <xdr:colOff>393700</xdr:colOff>
      <xdr:row>4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9400"/>
          <a:ext cx="3848100" cy="1016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50800</xdr:rowOff>
    </xdr:from>
    <xdr:to>
      <xdr:col>4</xdr:col>
      <xdr:colOff>444500</xdr:colOff>
      <xdr:row>9</xdr:row>
      <xdr:rowOff>165100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46200"/>
          <a:ext cx="5956300" cy="116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25"/>
  <sheetViews>
    <sheetView workbookViewId="0">
      <selection activeCell="G18" sqref="G18"/>
    </sheetView>
  </sheetViews>
  <sheetFormatPr defaultColWidth="11" defaultRowHeight="15.75"/>
  <cols>
    <col min="1" max="1" width="6.875" customWidth="1"/>
    <col min="2" max="2" width="21" customWidth="1"/>
    <col min="3" max="3" width="10" customWidth="1"/>
    <col min="4" max="4" width="15" customWidth="1"/>
    <col min="5" max="5" width="13" customWidth="1"/>
    <col min="6" max="6" width="5" customWidth="1"/>
    <col min="7" max="7" width="15.125" customWidth="1"/>
    <col min="8" max="8" width="15.375" customWidth="1"/>
    <col min="9" max="9" width="11" customWidth="1"/>
    <col min="10" max="10" width="14.625" customWidth="1"/>
    <col min="11" max="11" width="10.875" customWidth="1"/>
    <col min="12" max="12" width="12.375" customWidth="1"/>
    <col min="13" max="13" width="19.375" customWidth="1"/>
    <col min="14" max="14" width="15.5" customWidth="1"/>
    <col min="15" max="15" width="11.5" customWidth="1"/>
    <col min="16" max="16" width="19.875" customWidth="1"/>
    <col min="17" max="17" width="13" customWidth="1"/>
  </cols>
  <sheetData>
    <row r="1" spans="1:17" ht="18.75">
      <c r="A1" s="474" t="s">
        <v>74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  <c r="O1" s="474"/>
      <c r="P1" s="474"/>
      <c r="Q1" s="474"/>
    </row>
    <row r="2" spans="1:17" ht="19.5" thickBot="1">
      <c r="A2" s="13"/>
      <c r="B2" s="13"/>
      <c r="C2" s="13"/>
      <c r="D2" s="13"/>
      <c r="E2" s="13"/>
      <c r="F2" s="13"/>
      <c r="G2" s="13"/>
      <c r="H2" s="13"/>
      <c r="L2" s="475" t="s">
        <v>101</v>
      </c>
      <c r="M2" s="475"/>
      <c r="N2" s="475"/>
      <c r="O2" s="475"/>
      <c r="P2" s="475"/>
      <c r="Q2" s="475"/>
    </row>
    <row r="3" spans="1:17" ht="24.75" thickBot="1">
      <c r="A3" s="13"/>
      <c r="B3" s="13"/>
      <c r="C3" s="13"/>
      <c r="D3" s="13"/>
      <c r="E3" s="13"/>
      <c r="F3" s="13"/>
      <c r="G3" s="13"/>
      <c r="H3" s="13"/>
      <c r="L3" s="124" t="s">
        <v>0</v>
      </c>
      <c r="M3" s="125" t="s">
        <v>1</v>
      </c>
      <c r="N3" s="125" t="s">
        <v>2</v>
      </c>
      <c r="O3" s="126" t="s">
        <v>98</v>
      </c>
      <c r="P3" s="125" t="s">
        <v>99</v>
      </c>
      <c r="Q3" s="125" t="s">
        <v>100</v>
      </c>
    </row>
    <row r="4" spans="1:17" ht="19.5" thickBot="1">
      <c r="A4" s="13"/>
      <c r="B4" s="13"/>
      <c r="C4" s="13"/>
      <c r="D4" s="13"/>
      <c r="E4" s="13"/>
      <c r="F4" s="13"/>
      <c r="G4" s="13"/>
      <c r="H4" s="13"/>
      <c r="L4" s="476" t="s">
        <v>94</v>
      </c>
      <c r="M4" s="476" t="s">
        <v>6</v>
      </c>
      <c r="N4" s="476" t="s">
        <v>4</v>
      </c>
      <c r="O4" s="122" t="s">
        <v>95</v>
      </c>
      <c r="P4" s="122">
        <v>3.58</v>
      </c>
      <c r="Q4" s="123">
        <v>3.16</v>
      </c>
    </row>
    <row r="5" spans="1:17" ht="19.5" thickBot="1">
      <c r="A5" s="33"/>
      <c r="B5" s="33"/>
      <c r="C5" s="33"/>
      <c r="D5" s="33"/>
      <c r="E5" s="33"/>
      <c r="F5" s="33"/>
      <c r="G5" s="33"/>
      <c r="H5" s="33"/>
      <c r="L5" s="477"/>
      <c r="M5" s="477"/>
      <c r="N5" s="477"/>
      <c r="O5" s="96" t="s">
        <v>95</v>
      </c>
      <c r="P5" s="96">
        <v>3.93</v>
      </c>
      <c r="Q5" s="121">
        <v>2.73</v>
      </c>
    </row>
    <row r="6" spans="1:17" ht="19.5" thickBot="1">
      <c r="A6" s="33"/>
      <c r="B6" s="33"/>
      <c r="C6" s="33"/>
      <c r="D6" s="33"/>
      <c r="E6" s="33"/>
      <c r="F6" s="33"/>
      <c r="G6" s="33"/>
      <c r="H6" s="33"/>
      <c r="L6" s="477"/>
      <c r="M6" s="477"/>
      <c r="N6" s="477"/>
      <c r="O6" s="122" t="s">
        <v>95</v>
      </c>
      <c r="P6" s="122">
        <v>3.83</v>
      </c>
      <c r="Q6" s="123">
        <v>3.49</v>
      </c>
    </row>
    <row r="7" spans="1:17" ht="19.5" thickBot="1">
      <c r="A7" s="33"/>
      <c r="B7" s="33"/>
      <c r="C7" s="33"/>
      <c r="D7" s="33"/>
      <c r="E7" s="33"/>
      <c r="F7" s="33"/>
      <c r="G7" s="33"/>
      <c r="H7" s="33"/>
      <c r="L7" s="477"/>
      <c r="M7" s="477"/>
      <c r="N7" s="477"/>
      <c r="O7" s="96" t="s">
        <v>95</v>
      </c>
      <c r="P7" s="96">
        <v>3.71</v>
      </c>
      <c r="Q7" s="121">
        <v>3.48</v>
      </c>
    </row>
    <row r="8" spans="1:17" ht="19.5" thickBot="1">
      <c r="A8" s="33"/>
      <c r="B8" s="33"/>
      <c r="C8" s="33"/>
      <c r="D8" s="33"/>
      <c r="E8" s="33"/>
      <c r="F8" s="33"/>
      <c r="G8" s="33"/>
      <c r="H8" s="33"/>
      <c r="L8" s="477"/>
      <c r="M8" s="477"/>
      <c r="N8" s="477"/>
      <c r="O8" s="122" t="s">
        <v>95</v>
      </c>
      <c r="P8" s="122">
        <v>3.9</v>
      </c>
      <c r="Q8" s="123">
        <v>3.51</v>
      </c>
    </row>
    <row r="9" spans="1:17" ht="19.5" thickBot="1">
      <c r="A9" s="33"/>
      <c r="B9" s="33"/>
      <c r="C9" s="33"/>
      <c r="D9" s="33"/>
      <c r="E9" s="33"/>
      <c r="F9" s="33"/>
      <c r="G9" s="33"/>
      <c r="H9" s="33"/>
      <c r="L9" s="477"/>
      <c r="M9" s="477"/>
      <c r="N9" s="477"/>
      <c r="O9" s="96" t="s">
        <v>95</v>
      </c>
      <c r="P9" s="96">
        <v>3.8</v>
      </c>
      <c r="Q9" s="121">
        <v>2.71</v>
      </c>
    </row>
    <row r="10" spans="1:17" ht="16.5" thickBot="1">
      <c r="A10" t="s">
        <v>13</v>
      </c>
      <c r="L10" s="477"/>
      <c r="M10" s="477"/>
      <c r="N10" s="477"/>
      <c r="O10" s="122" t="s">
        <v>95</v>
      </c>
      <c r="P10" s="122">
        <v>3.84</v>
      </c>
      <c r="Q10" s="123">
        <v>3.06</v>
      </c>
    </row>
    <row r="11" spans="1:17" ht="16.5" thickBot="1">
      <c r="B11" t="s">
        <v>24</v>
      </c>
      <c r="C11" t="s">
        <v>16</v>
      </c>
      <c r="L11" s="477"/>
      <c r="M11" s="477"/>
      <c r="N11" s="477"/>
      <c r="O11" s="96" t="s">
        <v>95</v>
      </c>
      <c r="P11" s="96">
        <v>3.71</v>
      </c>
      <c r="Q11" s="121">
        <v>3.11</v>
      </c>
    </row>
    <row r="12" spans="1:17" ht="19.5" thickBot="1">
      <c r="B12" t="s">
        <v>109</v>
      </c>
      <c r="C12">
        <v>283</v>
      </c>
      <c r="D12" t="s">
        <v>44</v>
      </c>
      <c r="L12" s="477"/>
      <c r="M12" s="477"/>
      <c r="N12" s="477"/>
      <c r="O12" s="122" t="s">
        <v>96</v>
      </c>
      <c r="P12" s="122">
        <v>3.99</v>
      </c>
      <c r="Q12" s="123">
        <v>3.22</v>
      </c>
    </row>
    <row r="13" spans="1:17" ht="19.5" thickBot="1">
      <c r="B13" t="s">
        <v>110</v>
      </c>
      <c r="C13">
        <v>251</v>
      </c>
      <c r="D13" t="s">
        <v>44</v>
      </c>
      <c r="L13" s="477"/>
      <c r="M13" s="477"/>
      <c r="N13" s="477"/>
      <c r="O13" s="96" t="s">
        <v>96</v>
      </c>
      <c r="P13" s="96">
        <v>4.01</v>
      </c>
      <c r="Q13" s="121">
        <v>3.41</v>
      </c>
    </row>
    <row r="14" spans="1:17" ht="19.5" thickBot="1">
      <c r="B14" t="s">
        <v>45</v>
      </c>
      <c r="C14">
        <v>274</v>
      </c>
      <c r="D14" t="s">
        <v>44</v>
      </c>
      <c r="L14" s="477"/>
      <c r="M14" s="477"/>
      <c r="N14" s="477"/>
      <c r="O14" s="122" t="s">
        <v>97</v>
      </c>
      <c r="P14" s="122">
        <v>3.92</v>
      </c>
      <c r="Q14" s="123">
        <v>3.19</v>
      </c>
    </row>
    <row r="15" spans="1:17" ht="19.5" thickBot="1">
      <c r="B15" t="s">
        <v>49</v>
      </c>
      <c r="C15" t="s">
        <v>14</v>
      </c>
      <c r="F15">
        <v>8.4499999999999993</v>
      </c>
      <c r="L15" s="477"/>
      <c r="M15" s="477"/>
      <c r="N15" s="477"/>
      <c r="O15" s="96" t="s">
        <v>97</v>
      </c>
      <c r="P15" s="96">
        <v>3.78</v>
      </c>
      <c r="Q15" s="121">
        <v>3.19</v>
      </c>
    </row>
    <row r="16" spans="1:17" ht="19.5" thickBot="1">
      <c r="B16" t="s">
        <v>50</v>
      </c>
      <c r="C16" t="s">
        <v>14</v>
      </c>
      <c r="F16">
        <v>3</v>
      </c>
      <c r="L16" s="478"/>
      <c r="M16" s="478"/>
      <c r="N16" s="478"/>
      <c r="O16" s="128" t="s">
        <v>105</v>
      </c>
      <c r="P16" s="129">
        <f>AVERAGE(P4:P15)</f>
        <v>3.8333333333333335</v>
      </c>
      <c r="Q16" s="129">
        <f>AVERAGE(Q4:Q15)</f>
        <v>3.188333333333333</v>
      </c>
    </row>
    <row r="17" spans="1:17" ht="16.5" thickBot="1">
      <c r="B17" t="s">
        <v>17</v>
      </c>
      <c r="C17" t="s">
        <v>18</v>
      </c>
      <c r="L17" s="468" t="s">
        <v>94</v>
      </c>
      <c r="M17" s="468" t="s">
        <v>7</v>
      </c>
      <c r="N17" s="468">
        <v>240</v>
      </c>
      <c r="O17" s="96" t="s">
        <v>95</v>
      </c>
      <c r="P17" s="96">
        <v>3.53</v>
      </c>
      <c r="Q17" s="121">
        <v>3.32</v>
      </c>
    </row>
    <row r="18" spans="1:17" ht="16.5" thickBot="1">
      <c r="B18" t="s">
        <v>47</v>
      </c>
      <c r="C18" t="s">
        <v>48</v>
      </c>
      <c r="L18" s="469"/>
      <c r="M18" s="469"/>
      <c r="N18" s="469"/>
      <c r="O18" s="122" t="s">
        <v>95</v>
      </c>
      <c r="P18" s="122">
        <v>3.56</v>
      </c>
      <c r="Q18" s="123">
        <v>2.27</v>
      </c>
    </row>
    <row r="19" spans="1:17" ht="16.5" thickBot="1">
      <c r="B19" t="s">
        <v>51</v>
      </c>
      <c r="C19" s="324">
        <f>AVERAGE(0.057,0.061,0.055)</f>
        <v>5.7666666666666665E-2</v>
      </c>
      <c r="D19" s="40" t="s">
        <v>215</v>
      </c>
      <c r="L19" s="469"/>
      <c r="M19" s="469"/>
      <c r="N19" s="469"/>
      <c r="O19" s="96" t="s">
        <v>96</v>
      </c>
      <c r="P19" s="96">
        <v>3.69</v>
      </c>
      <c r="Q19" s="121">
        <v>3.19</v>
      </c>
    </row>
    <row r="20" spans="1:17" ht="20.25" thickBot="1">
      <c r="B20" t="s">
        <v>222</v>
      </c>
      <c r="C20" s="234">
        <f>(C22-C23)/(C21-C23)</f>
        <v>0.5964125560538116</v>
      </c>
      <c r="D20" s="234">
        <f>(D22-C23)/(C21-C23)</f>
        <v>0.65022421524663676</v>
      </c>
      <c r="E20" s="322" t="s">
        <v>223</v>
      </c>
      <c r="L20" s="469"/>
      <c r="M20" s="469"/>
      <c r="N20" s="469"/>
      <c r="O20" s="122" t="s">
        <v>97</v>
      </c>
      <c r="P20" s="122">
        <v>3.74</v>
      </c>
      <c r="Q20" s="123">
        <v>3.51</v>
      </c>
    </row>
    <row r="21" spans="1:17" ht="20.25" thickBot="1">
      <c r="B21" s="345" t="s">
        <v>224</v>
      </c>
      <c r="C21" s="323">
        <v>0.57499999999999996</v>
      </c>
      <c r="D21" t="s">
        <v>219</v>
      </c>
      <c r="L21" s="469"/>
      <c r="M21" s="469"/>
      <c r="N21" s="470"/>
      <c r="O21" s="96" t="s">
        <v>97</v>
      </c>
      <c r="P21" s="96">
        <v>3.74</v>
      </c>
      <c r="Q21" s="121">
        <v>3.14</v>
      </c>
    </row>
    <row r="22" spans="1:17" ht="20.25" thickBot="1">
      <c r="B22" s="345" t="s">
        <v>225</v>
      </c>
      <c r="C22" s="234">
        <v>0.35</v>
      </c>
      <c r="D22" s="234">
        <v>0.38</v>
      </c>
      <c r="E22" t="s">
        <v>296</v>
      </c>
      <c r="G22" s="40"/>
      <c r="L22" s="470"/>
      <c r="M22" s="469"/>
      <c r="N22" s="122">
        <v>120</v>
      </c>
      <c r="O22" s="122" t="s">
        <v>95</v>
      </c>
      <c r="P22" s="122">
        <v>3.75</v>
      </c>
      <c r="Q22" s="123">
        <v>2.1800000000000002</v>
      </c>
    </row>
    <row r="23" spans="1:17" ht="15.95" customHeight="1" thickBot="1">
      <c r="B23" s="345" t="s">
        <v>226</v>
      </c>
      <c r="C23" s="350">
        <v>1.7500000000000002E-2</v>
      </c>
      <c r="D23" t="s">
        <v>220</v>
      </c>
      <c r="G23" s="40"/>
      <c r="L23" s="127" t="s">
        <v>102</v>
      </c>
      <c r="M23" s="469"/>
      <c r="N23" s="96">
        <v>240</v>
      </c>
      <c r="O23" s="96" t="s">
        <v>95</v>
      </c>
      <c r="P23" s="96">
        <v>2.98</v>
      </c>
      <c r="Q23" s="121">
        <v>2.73</v>
      </c>
    </row>
    <row r="24" spans="1:17" ht="33.950000000000003" customHeight="1" thickBot="1">
      <c r="B24" s="347" t="s">
        <v>227</v>
      </c>
      <c r="C24" s="345">
        <v>0.2</v>
      </c>
      <c r="D24" t="s">
        <v>221</v>
      </c>
      <c r="L24" s="135" t="s">
        <v>107</v>
      </c>
      <c r="M24" s="470"/>
      <c r="N24" s="136" t="s">
        <v>107</v>
      </c>
      <c r="O24" s="130" t="s">
        <v>105</v>
      </c>
      <c r="P24" s="130">
        <f>AVERAGE(P17:P23)</f>
        <v>3.57</v>
      </c>
      <c r="Q24" s="131">
        <f>AVERAGE(Q17:Q23)</f>
        <v>2.9057142857142857</v>
      </c>
    </row>
    <row r="25" spans="1:17" ht="16.5" thickBot="1">
      <c r="L25" s="468" t="s">
        <v>42</v>
      </c>
      <c r="M25" s="471" t="s">
        <v>6</v>
      </c>
      <c r="N25" s="468" t="s">
        <v>4</v>
      </c>
      <c r="O25" s="121" t="s">
        <v>95</v>
      </c>
      <c r="P25" s="96">
        <v>3.43</v>
      </c>
      <c r="Q25" s="121">
        <v>2.7</v>
      </c>
    </row>
    <row r="26" spans="1:17" ht="16.5" customHeight="1" thickBot="1">
      <c r="A26" t="s">
        <v>301</v>
      </c>
      <c r="L26" s="469"/>
      <c r="M26" s="472"/>
      <c r="N26" s="469"/>
      <c r="O26" s="123" t="s">
        <v>95</v>
      </c>
      <c r="P26" s="122">
        <v>3.31</v>
      </c>
      <c r="Q26" s="123">
        <v>2.87</v>
      </c>
    </row>
    <row r="27" spans="1:17" ht="15.95" customHeight="1" thickBot="1">
      <c r="B27" s="323">
        <v>0.66100000000000003</v>
      </c>
      <c r="C27" t="s">
        <v>298</v>
      </c>
      <c r="L27" s="469"/>
      <c r="M27" s="472"/>
      <c r="N27" s="469"/>
      <c r="O27" s="121" t="s">
        <v>95</v>
      </c>
      <c r="P27" s="96">
        <v>3.49</v>
      </c>
      <c r="Q27" s="121">
        <v>3.07</v>
      </c>
    </row>
    <row r="28" spans="1:17" ht="15.95" customHeight="1" thickBot="1">
      <c r="B28" s="323">
        <f>1-B27</f>
        <v>0.33899999999999997</v>
      </c>
      <c r="C28" t="s">
        <v>297</v>
      </c>
      <c r="L28" s="469"/>
      <c r="M28" s="472"/>
      <c r="N28" s="469"/>
      <c r="O28" s="123" t="s">
        <v>95</v>
      </c>
      <c r="P28" s="122">
        <v>3.39</v>
      </c>
      <c r="Q28" s="123">
        <v>2.69</v>
      </c>
    </row>
    <row r="29" spans="1:17" ht="15.95" customHeight="1" thickBot="1">
      <c r="L29" s="469"/>
      <c r="M29" s="472"/>
      <c r="N29" s="469"/>
      <c r="O29" s="121" t="s">
        <v>95</v>
      </c>
      <c r="P29" s="96">
        <v>3.37</v>
      </c>
      <c r="Q29" s="121">
        <v>3.25</v>
      </c>
    </row>
    <row r="30" spans="1:17" ht="15.95" customHeight="1" thickBot="1">
      <c r="A30" t="s">
        <v>302</v>
      </c>
      <c r="L30" s="469"/>
      <c r="M30" s="472"/>
      <c r="N30" s="469"/>
      <c r="O30" s="121" t="s">
        <v>95</v>
      </c>
      <c r="P30" s="96">
        <v>3.37</v>
      </c>
      <c r="Q30" s="121">
        <v>2.94</v>
      </c>
    </row>
    <row r="31" spans="1:17" ht="16.5" thickBot="1">
      <c r="B31" s="323">
        <v>0.72399999999999998</v>
      </c>
      <c r="C31" t="s">
        <v>299</v>
      </c>
      <c r="L31" s="469"/>
      <c r="M31" s="472"/>
      <c r="N31" s="469"/>
      <c r="O31" s="123" t="s">
        <v>96</v>
      </c>
      <c r="P31" s="122">
        <v>3.35</v>
      </c>
      <c r="Q31" s="123">
        <v>2.54</v>
      </c>
    </row>
    <row r="32" spans="1:17" ht="16.5" thickBot="1">
      <c r="B32" s="323">
        <f>1-B31</f>
        <v>0.27600000000000002</v>
      </c>
      <c r="C32" t="s">
        <v>300</v>
      </c>
      <c r="L32" s="469"/>
      <c r="M32" s="472"/>
      <c r="N32" s="469"/>
      <c r="O32" s="121" t="s">
        <v>97</v>
      </c>
      <c r="P32" s="96">
        <v>3.74</v>
      </c>
      <c r="Q32" s="121">
        <v>2.93</v>
      </c>
    </row>
    <row r="33" spans="1:17" ht="16.5" thickBot="1">
      <c r="L33" s="470"/>
      <c r="M33" s="473"/>
      <c r="N33" s="470"/>
      <c r="O33" s="130" t="s">
        <v>105</v>
      </c>
      <c r="P33" s="134">
        <f>AVERAGE(P25:P32)</f>
        <v>3.4312500000000004</v>
      </c>
      <c r="Q33" s="134">
        <f>AVERAGE(Q25:Q32)</f>
        <v>2.8737499999999998</v>
      </c>
    </row>
    <row r="34" spans="1:17" ht="21.95" customHeight="1"/>
    <row r="35" spans="1:17" s="345" customFormat="1" ht="17.100000000000001" customHeight="1" thickBot="1">
      <c r="A35" s="425" t="s">
        <v>182</v>
      </c>
      <c r="B35" s="425"/>
      <c r="C35" s="425"/>
      <c r="D35" s="425"/>
      <c r="E35" s="425"/>
      <c r="F35" s="425"/>
      <c r="G35" s="425"/>
      <c r="H35" s="425"/>
    </row>
    <row r="36" spans="1:17" s="345" customFormat="1" ht="28.5" customHeight="1" thickBot="1">
      <c r="A36" s="437" t="s">
        <v>0</v>
      </c>
      <c r="B36" s="438"/>
      <c r="C36" s="438"/>
      <c r="D36" s="1" t="s">
        <v>1</v>
      </c>
      <c r="E36" s="1" t="s">
        <v>2</v>
      </c>
      <c r="F36" s="416" t="s">
        <v>3</v>
      </c>
      <c r="G36" s="417"/>
      <c r="H36" s="2" t="s">
        <v>15</v>
      </c>
    </row>
    <row r="37" spans="1:17" s="345" customFormat="1" ht="17.100000000000001" customHeight="1" thickBot="1">
      <c r="A37" s="420" t="s">
        <v>5</v>
      </c>
      <c r="B37" s="421"/>
      <c r="C37" s="422"/>
      <c r="D37" s="28" t="s">
        <v>6</v>
      </c>
      <c r="E37" s="28" t="s">
        <v>4</v>
      </c>
      <c r="F37" s="418">
        <v>3.93</v>
      </c>
      <c r="G37" s="419"/>
      <c r="H37" s="10">
        <f>$C$12*F15/F37*$C$20</f>
        <v>362.90869361813799</v>
      </c>
    </row>
    <row r="38" spans="1:17" s="345" customFormat="1" ht="17.100000000000001" customHeight="1" thickBot="1">
      <c r="A38" s="440" t="s">
        <v>5</v>
      </c>
      <c r="B38" s="441"/>
      <c r="C38" s="442"/>
      <c r="D38" s="7" t="s">
        <v>7</v>
      </c>
      <c r="E38" s="3">
        <v>120</v>
      </c>
      <c r="F38" s="479">
        <v>3.8</v>
      </c>
      <c r="G38" s="480"/>
      <c r="H38" s="37">
        <f>$C$13*F16/F38*(B31*$D$20+B32*C20)</f>
        <v>125.90401699315552</v>
      </c>
    </row>
    <row r="39" spans="1:17" s="345" customFormat="1" ht="17.100000000000001" customHeight="1" thickBot="1">
      <c r="A39" s="420" t="s">
        <v>8</v>
      </c>
      <c r="B39" s="421"/>
      <c r="C39" s="422"/>
      <c r="D39" s="28" t="s">
        <v>7</v>
      </c>
      <c r="E39" s="27">
        <v>240</v>
      </c>
      <c r="F39" s="418">
        <v>3.45</v>
      </c>
      <c r="G39" s="419"/>
      <c r="H39" s="10">
        <f>$C$13*F16/F39*(B31*$D$20+B32*C20)</f>
        <v>138.67688828231621</v>
      </c>
    </row>
    <row r="40" spans="1:17" s="345" customFormat="1" ht="17.100000000000001" customHeight="1" thickBot="1">
      <c r="A40" s="440" t="s">
        <v>9</v>
      </c>
      <c r="B40" s="441"/>
      <c r="C40" s="442"/>
      <c r="D40" s="7" t="s">
        <v>7</v>
      </c>
      <c r="E40" s="3">
        <v>240</v>
      </c>
      <c r="F40" s="479">
        <v>2.68</v>
      </c>
      <c r="G40" s="480"/>
      <c r="H40" s="37">
        <f>$C$13*F16/F40*(B31*$D$20+B32*C20)</f>
        <v>178.52062110969811</v>
      </c>
    </row>
    <row r="41" spans="1:17" s="345" customFormat="1" ht="17.100000000000001" customHeight="1" thickBot="1">
      <c r="A41" s="420" t="s">
        <v>42</v>
      </c>
      <c r="B41" s="421"/>
      <c r="C41" s="422"/>
      <c r="D41" s="32" t="s">
        <v>4</v>
      </c>
      <c r="E41" s="29" t="s">
        <v>4</v>
      </c>
      <c r="F41" s="418">
        <v>3.48</v>
      </c>
      <c r="G41" s="419"/>
      <c r="H41" s="10">
        <f>$C$14*F15/F41*$C$20</f>
        <v>396.80287098603156</v>
      </c>
    </row>
    <row r="42" spans="1:17" s="345" customFormat="1" ht="17.100000000000001" customHeight="1">
      <c r="A42"/>
      <c r="B42"/>
      <c r="C42"/>
      <c r="D42"/>
      <c r="E42"/>
      <c r="F42"/>
      <c r="G42"/>
      <c r="H42"/>
    </row>
    <row r="43" spans="1:17" s="345" customFormat="1" ht="17.100000000000001" customHeight="1" thickBot="1">
      <c r="A43" s="425" t="s">
        <v>314</v>
      </c>
      <c r="B43" s="425"/>
      <c r="C43" s="425"/>
      <c r="D43" s="425"/>
      <c r="E43" s="425"/>
      <c r="F43" s="425"/>
      <c r="G43" s="425"/>
      <c r="H43" s="425"/>
    </row>
    <row r="44" spans="1:17" s="345" customFormat="1" ht="30" customHeight="1" thickBot="1">
      <c r="A44" s="437" t="s">
        <v>315</v>
      </c>
      <c r="B44" s="438"/>
      <c r="C44" s="438"/>
      <c r="D44" s="166" t="s">
        <v>1</v>
      </c>
      <c r="E44" s="166" t="s">
        <v>2</v>
      </c>
      <c r="F44" s="416" t="s">
        <v>3</v>
      </c>
      <c r="G44" s="417"/>
      <c r="H44" s="167" t="s">
        <v>15</v>
      </c>
    </row>
    <row r="45" spans="1:17" s="345" customFormat="1" ht="17.100000000000001" customHeight="1" thickBot="1">
      <c r="A45" s="420" t="s">
        <v>5</v>
      </c>
      <c r="B45" s="421"/>
      <c r="C45" s="422"/>
      <c r="D45" s="165" t="s">
        <v>6</v>
      </c>
      <c r="E45" s="165" t="s">
        <v>4</v>
      </c>
      <c r="F45" s="418">
        <v>4.3</v>
      </c>
      <c r="G45" s="419"/>
      <c r="H45" s="10">
        <f>$C$12*F15/F45*$C$20</f>
        <v>331.68166649285632</v>
      </c>
    </row>
    <row r="46" spans="1:17" s="345" customFormat="1" ht="17.100000000000001" customHeight="1" thickBot="1">
      <c r="A46" s="414" t="s">
        <v>5</v>
      </c>
      <c r="B46" s="414"/>
      <c r="C46" s="414"/>
      <c r="D46" s="7" t="s">
        <v>7</v>
      </c>
      <c r="E46" s="162" t="s">
        <v>4</v>
      </c>
      <c r="F46" s="415">
        <v>4.3</v>
      </c>
      <c r="G46" s="415"/>
      <c r="H46" s="14">
        <f>$C$13*F16/F46*(B31*$D$20+B32*C20)</f>
        <v>111.2640150172072</v>
      </c>
    </row>
    <row r="47" spans="1:17" s="345" customFormat="1" ht="17.100000000000001" customHeight="1" thickBot="1">
      <c r="A47" s="420" t="s">
        <v>42</v>
      </c>
      <c r="B47" s="421"/>
      <c r="C47" s="422"/>
      <c r="D47" s="165" t="s">
        <v>4</v>
      </c>
      <c r="E47" s="165" t="s">
        <v>4</v>
      </c>
      <c r="F47" s="423">
        <v>3.8</v>
      </c>
      <c r="G47" s="424"/>
      <c r="H47" s="10">
        <f>$C$14*F15/F47*$C$20</f>
        <v>363.38789237668158</v>
      </c>
    </row>
    <row r="48" spans="1:17" s="345" customFormat="1" ht="16.5" customHeight="1"/>
    <row r="49" spans="1:18" s="345" customFormat="1" ht="17.100000000000001" customHeight="1"/>
    <row r="50" spans="1:18" s="345" customFormat="1" ht="17.100000000000001" customHeight="1"/>
    <row r="51" spans="1:18" s="345" customFormat="1" ht="17.100000000000001" customHeight="1"/>
    <row r="52" spans="1:18" ht="16.5" thickBot="1">
      <c r="A52" s="425" t="s">
        <v>10</v>
      </c>
      <c r="B52" s="425"/>
      <c r="C52" s="425"/>
      <c r="D52" s="425"/>
      <c r="E52" s="425"/>
      <c r="F52" s="425"/>
      <c r="G52" s="425"/>
      <c r="H52" s="36"/>
      <c r="I52" s="425" t="s">
        <v>22</v>
      </c>
      <c r="J52" s="425"/>
      <c r="K52" s="425"/>
      <c r="L52" s="425"/>
      <c r="M52" s="425"/>
      <c r="N52" s="425"/>
    </row>
    <row r="53" spans="1:18" ht="29.1" customHeight="1" thickBot="1">
      <c r="A53" s="437" t="s">
        <v>0</v>
      </c>
      <c r="B53" s="438"/>
      <c r="C53" s="438"/>
      <c r="D53" s="1" t="s">
        <v>1</v>
      </c>
      <c r="E53" s="1" t="s">
        <v>2</v>
      </c>
      <c r="F53" s="416" t="s">
        <v>3</v>
      </c>
      <c r="G53" s="417"/>
      <c r="H53" s="17"/>
      <c r="I53" s="437" t="s">
        <v>0</v>
      </c>
      <c r="J53" s="438"/>
      <c r="K53" s="8" t="s">
        <v>1</v>
      </c>
      <c r="L53" s="8" t="s">
        <v>2</v>
      </c>
      <c r="M53" s="15" t="s">
        <v>3</v>
      </c>
      <c r="N53" s="2" t="s">
        <v>15</v>
      </c>
    </row>
    <row r="54" spans="1:18" ht="15.95" customHeight="1" thickBot="1">
      <c r="A54" s="429" t="s">
        <v>5</v>
      </c>
      <c r="B54" s="429"/>
      <c r="C54" s="429"/>
      <c r="D54" s="4" t="s">
        <v>6</v>
      </c>
      <c r="E54" s="4" t="s">
        <v>4</v>
      </c>
      <c r="F54" s="436">
        <v>3.73</v>
      </c>
      <c r="G54" s="436"/>
      <c r="I54" s="429" t="s">
        <v>5</v>
      </c>
      <c r="J54" s="429"/>
      <c r="K54" s="9" t="s">
        <v>6</v>
      </c>
      <c r="L54" s="9" t="s">
        <v>4</v>
      </c>
      <c r="M54" s="16">
        <f>F54*R54</f>
        <v>3.1023869565217388</v>
      </c>
      <c r="N54" s="10">
        <f>$C$12*F15/M54*$C$20</f>
        <v>459.72059124381786</v>
      </c>
      <c r="P54" t="s">
        <v>103</v>
      </c>
      <c r="R54" s="132">
        <f>Q16/P16</f>
        <v>0.83173913043478254</v>
      </c>
    </row>
    <row r="55" spans="1:18" ht="15.95" customHeight="1" thickBot="1">
      <c r="A55" s="414" t="s">
        <v>5</v>
      </c>
      <c r="B55" s="414"/>
      <c r="C55" s="414"/>
      <c r="D55" s="11" t="s">
        <v>7</v>
      </c>
      <c r="E55" s="11">
        <v>120</v>
      </c>
      <c r="F55" s="426">
        <v>3.61</v>
      </c>
      <c r="G55" s="426"/>
      <c r="I55" s="414" t="s">
        <v>5</v>
      </c>
      <c r="J55" s="414"/>
      <c r="K55" s="12" t="s">
        <v>7</v>
      </c>
      <c r="L55" s="12">
        <v>120</v>
      </c>
      <c r="M55" s="16">
        <f>F55*R55</f>
        <v>2.9382713085234093</v>
      </c>
      <c r="N55" s="348">
        <f>$C$13*F16/M55*(B31*$D$20+B32*C20)</f>
        <v>162.82882495776829</v>
      </c>
      <c r="P55" s="133" t="s">
        <v>104</v>
      </c>
      <c r="R55" s="132">
        <f>Q24/P24</f>
        <v>0.81392557022809131</v>
      </c>
    </row>
    <row r="56" spans="1:18" ht="15.95" customHeight="1" thickBot="1">
      <c r="A56" s="429" t="s">
        <v>8</v>
      </c>
      <c r="B56" s="429"/>
      <c r="C56" s="429"/>
      <c r="D56" s="4" t="s">
        <v>7</v>
      </c>
      <c r="E56" s="4">
        <v>240</v>
      </c>
      <c r="F56" s="436">
        <v>3.27</v>
      </c>
      <c r="G56" s="436"/>
      <c r="I56" s="429" t="s">
        <v>8</v>
      </c>
      <c r="J56" s="429"/>
      <c r="K56" s="9" t="s">
        <v>7</v>
      </c>
      <c r="L56" s="9">
        <v>240</v>
      </c>
      <c r="M56" s="16">
        <f>F56*R55</f>
        <v>2.6615366146458586</v>
      </c>
      <c r="N56" s="10">
        <f>$C$13*F16/M56*(B31*$D$20+B32*C20)</f>
        <v>179.75903917356067</v>
      </c>
      <c r="P56" s="133" t="s">
        <v>106</v>
      </c>
      <c r="R56" s="132">
        <f>Q33/P33</f>
        <v>0.8375227686703095</v>
      </c>
    </row>
    <row r="57" spans="1:18" ht="16.5" thickBot="1">
      <c r="A57" s="414" t="s">
        <v>9</v>
      </c>
      <c r="B57" s="414"/>
      <c r="C57" s="414"/>
      <c r="D57" s="11" t="s">
        <v>7</v>
      </c>
      <c r="E57" s="11">
        <v>240</v>
      </c>
      <c r="F57" s="426">
        <v>2.5499999999999998</v>
      </c>
      <c r="G57" s="426"/>
      <c r="I57" s="414" t="s">
        <v>9</v>
      </c>
      <c r="J57" s="414"/>
      <c r="K57" s="12" t="s">
        <v>7</v>
      </c>
      <c r="L57" s="12">
        <v>240</v>
      </c>
      <c r="M57" s="16">
        <f>F57*R55</f>
        <v>2.0755102040816329</v>
      </c>
      <c r="N57" s="14">
        <f>$C$13*F16/M57*(B31*$D$20+B32*C20)</f>
        <v>230.51453258727193</v>
      </c>
    </row>
    <row r="58" spans="1:18" ht="16.5" thickBot="1">
      <c r="A58" s="429" t="s">
        <v>42</v>
      </c>
      <c r="B58" s="429"/>
      <c r="C58" s="429"/>
      <c r="D58" s="29" t="s">
        <v>4</v>
      </c>
      <c r="E58" s="29" t="s">
        <v>4</v>
      </c>
      <c r="F58" s="436">
        <v>3.3</v>
      </c>
      <c r="G58" s="436"/>
      <c r="I58" s="429" t="s">
        <v>42</v>
      </c>
      <c r="J58" s="429"/>
      <c r="K58" s="29" t="s">
        <v>4</v>
      </c>
      <c r="L58" s="29" t="s">
        <v>4</v>
      </c>
      <c r="M58" s="16">
        <f>F58*R56</f>
        <v>2.763825136612021</v>
      </c>
      <c r="N58" s="10">
        <f>$C$14*F15/M58*$C$20</f>
        <v>499.62422468018588</v>
      </c>
    </row>
    <row r="60" spans="1:18">
      <c r="A60" s="5" t="s">
        <v>11</v>
      </c>
    </row>
    <row r="61" spans="1:18">
      <c r="A61" s="5" t="s">
        <v>12</v>
      </c>
    </row>
    <row r="63" spans="1:18" ht="16.5" thickBot="1">
      <c r="A63" s="425" t="s">
        <v>19</v>
      </c>
      <c r="B63" s="425"/>
      <c r="C63" s="425"/>
      <c r="D63" s="425"/>
      <c r="E63" s="425"/>
      <c r="F63" s="425"/>
      <c r="G63" s="425"/>
      <c r="H63" s="425"/>
      <c r="I63" s="425"/>
      <c r="J63" s="425"/>
      <c r="K63" s="425"/>
      <c r="L63" s="425"/>
      <c r="M63" s="425"/>
      <c r="N63" s="425"/>
      <c r="O63" s="425"/>
    </row>
    <row r="64" spans="1:18" ht="27" customHeight="1" thickBot="1">
      <c r="A64" s="437" t="s">
        <v>0</v>
      </c>
      <c r="B64" s="438"/>
      <c r="C64" s="438"/>
      <c r="D64" s="1" t="s">
        <v>1</v>
      </c>
      <c r="E64" s="1" t="s">
        <v>2</v>
      </c>
      <c r="F64" s="439" t="s">
        <v>20</v>
      </c>
      <c r="G64" s="439"/>
      <c r="H64" s="6" t="s">
        <v>179</v>
      </c>
      <c r="I64" s="161" t="s">
        <v>180</v>
      </c>
      <c r="J64" s="31" t="s">
        <v>185</v>
      </c>
      <c r="K64" s="95" t="s">
        <v>181</v>
      </c>
      <c r="L64" s="161" t="s">
        <v>183</v>
      </c>
      <c r="M64" s="161" t="s">
        <v>184</v>
      </c>
      <c r="N64" s="161" t="s">
        <v>186</v>
      </c>
      <c r="O64" s="161" t="s">
        <v>191</v>
      </c>
      <c r="P64" s="86"/>
      <c r="Q64" s="86"/>
      <c r="R64" s="86"/>
    </row>
    <row r="65" spans="1:22" ht="16.5" thickBot="1">
      <c r="A65" s="429" t="s">
        <v>5</v>
      </c>
      <c r="B65" s="429"/>
      <c r="C65" s="429"/>
      <c r="D65" s="4" t="s">
        <v>6</v>
      </c>
      <c r="E65" s="4" t="s">
        <v>4</v>
      </c>
      <c r="F65" s="427">
        <f>N54</f>
        <v>459.72059124381786</v>
      </c>
      <c r="G65" s="428"/>
      <c r="H65" s="10">
        <f>H37</f>
        <v>362.90869361813799</v>
      </c>
      <c r="I65" s="10">
        <f>F65-H65</f>
        <v>96.811897625679876</v>
      </c>
      <c r="J65" s="29" t="s">
        <v>46</v>
      </c>
      <c r="K65" s="16">
        <f>I65/365*$C$19</f>
        <v>1.5295395697938466E-2</v>
      </c>
      <c r="L65" s="10">
        <f>H45</f>
        <v>331.68166649285632</v>
      </c>
      <c r="M65" s="10">
        <f>F65-L65</f>
        <v>128.03892475096154</v>
      </c>
      <c r="N65" s="160" t="s">
        <v>46</v>
      </c>
      <c r="O65" s="16">
        <f>M65/365*$C$19</f>
        <v>2.0228980805403054E-2</v>
      </c>
      <c r="P65" s="87"/>
      <c r="Q65" s="87"/>
      <c r="R65" s="88"/>
    </row>
    <row r="66" spans="1:22" ht="16.5" thickBot="1">
      <c r="A66" s="414" t="s">
        <v>5</v>
      </c>
      <c r="B66" s="414"/>
      <c r="C66" s="414"/>
      <c r="D66" s="11" t="s">
        <v>7</v>
      </c>
      <c r="E66" s="11">
        <v>120</v>
      </c>
      <c r="F66" s="427">
        <f>N55</f>
        <v>162.82882495776829</v>
      </c>
      <c r="G66" s="428"/>
      <c r="H66" s="14">
        <f>H38</f>
        <v>125.90401699315552</v>
      </c>
      <c r="I66" s="14">
        <f>F66-H66</f>
        <v>36.924807964612768</v>
      </c>
      <c r="J66" s="30" t="s">
        <v>46</v>
      </c>
      <c r="K66" s="16">
        <f>I66/365*$C$19</f>
        <v>5.8337824455506927E-3</v>
      </c>
      <c r="L66" s="14">
        <f>H46</f>
        <v>111.2640150172072</v>
      </c>
      <c r="M66" s="10">
        <f>F66-L66</f>
        <v>51.564809940561091</v>
      </c>
      <c r="N66" s="162" t="s">
        <v>46</v>
      </c>
      <c r="O66" s="16">
        <f>M66/365*$C$19</f>
        <v>8.1467690591023462E-3</v>
      </c>
      <c r="P66" s="87"/>
      <c r="Q66" s="87"/>
      <c r="R66" s="88"/>
    </row>
    <row r="67" spans="1:22" ht="16.5" thickBot="1">
      <c r="A67" s="429" t="s">
        <v>8</v>
      </c>
      <c r="B67" s="429"/>
      <c r="C67" s="429"/>
      <c r="D67" s="4" t="s">
        <v>7</v>
      </c>
      <c r="E67" s="4">
        <v>240</v>
      </c>
      <c r="F67" s="427">
        <f>N56</f>
        <v>179.75903917356067</v>
      </c>
      <c r="G67" s="428"/>
      <c r="H67" s="10">
        <f>H39</f>
        <v>138.67688828231621</v>
      </c>
      <c r="I67" s="10">
        <f>F67-H67</f>
        <v>41.082150891244453</v>
      </c>
      <c r="J67" s="29" t="s">
        <v>46</v>
      </c>
      <c r="K67" s="16">
        <f>I67/365*$C$19</f>
        <v>6.4906046613564293E-3</v>
      </c>
      <c r="L67" s="10">
        <f>H46</f>
        <v>111.2640150172072</v>
      </c>
      <c r="M67" s="10">
        <f>F67-L67</f>
        <v>68.495024156353466</v>
      </c>
      <c r="N67" s="160" t="s">
        <v>46</v>
      </c>
      <c r="O67" s="16">
        <f>M67/365*$C$19</f>
        <v>1.0821588291369085E-2</v>
      </c>
      <c r="P67" s="87"/>
      <c r="Q67" s="87"/>
      <c r="R67" s="88"/>
    </row>
    <row r="68" spans="1:22" ht="16.5" thickBot="1">
      <c r="A68" s="414" t="s">
        <v>9</v>
      </c>
      <c r="B68" s="414"/>
      <c r="C68" s="414"/>
      <c r="D68" s="11" t="s">
        <v>7</v>
      </c>
      <c r="E68" s="11">
        <v>240</v>
      </c>
      <c r="F68" s="427">
        <f>N57</f>
        <v>230.51453258727193</v>
      </c>
      <c r="G68" s="428"/>
      <c r="H68" s="14">
        <f>H40</f>
        <v>178.52062110969811</v>
      </c>
      <c r="I68" s="14">
        <f>F68-H68</f>
        <v>51.993911477573818</v>
      </c>
      <c r="J68" s="30" t="s">
        <v>46</v>
      </c>
      <c r="K68" s="16">
        <f>I68/365*$C$19</f>
        <v>8.2145631832148576E-3</v>
      </c>
      <c r="L68" s="14">
        <f>H46</f>
        <v>111.2640150172072</v>
      </c>
      <c r="M68" s="10">
        <f>F68-L68</f>
        <v>119.25051757006473</v>
      </c>
      <c r="N68" s="162" t="s">
        <v>46</v>
      </c>
      <c r="O68" s="16">
        <f>M68/365*$C$19</f>
        <v>1.8840492730247668E-2</v>
      </c>
      <c r="P68" s="87"/>
      <c r="Q68" s="87"/>
      <c r="R68" s="88"/>
    </row>
    <row r="69" spans="1:22" ht="16.5" thickBot="1">
      <c r="A69" s="429" t="s">
        <v>42</v>
      </c>
      <c r="B69" s="429"/>
      <c r="C69" s="429"/>
      <c r="D69" s="29" t="s">
        <v>4</v>
      </c>
      <c r="E69" s="29" t="s">
        <v>4</v>
      </c>
      <c r="F69" s="427">
        <f>N58</f>
        <v>499.62422468018588</v>
      </c>
      <c r="G69" s="428"/>
      <c r="H69" s="10">
        <f>H41</f>
        <v>396.80287098603156</v>
      </c>
      <c r="I69" s="10">
        <f>F69-H69</f>
        <v>102.82135369415431</v>
      </c>
      <c r="J69" s="16">
        <f>I69*0.03412</f>
        <v>3.5082645880445447</v>
      </c>
      <c r="K69" s="10" t="s">
        <v>46</v>
      </c>
      <c r="L69" s="10">
        <f>H47</f>
        <v>363.38789237668158</v>
      </c>
      <c r="M69" s="10">
        <f t="shared" ref="M69" si="0">F69-L69</f>
        <v>136.2363323035043</v>
      </c>
      <c r="N69" s="16">
        <f>M69*0.03412</f>
        <v>4.6483836581955664</v>
      </c>
      <c r="O69" s="10" t="s">
        <v>46</v>
      </c>
    </row>
    <row r="71" spans="1:22" ht="16.5" thickBot="1">
      <c r="A71" s="413" t="s">
        <v>23</v>
      </c>
      <c r="B71" s="413"/>
      <c r="C71" s="413"/>
      <c r="D71" s="413"/>
      <c r="E71" s="413"/>
      <c r="F71" s="413"/>
      <c r="G71" s="413"/>
      <c r="H71" s="413"/>
      <c r="I71" s="413"/>
      <c r="J71" s="413"/>
      <c r="K71" s="413"/>
      <c r="L71" s="413"/>
      <c r="M71" s="413"/>
      <c r="N71" s="413"/>
      <c r="O71" s="413"/>
      <c r="P71" s="413"/>
      <c r="Q71" s="413"/>
      <c r="R71" s="413"/>
      <c r="S71" s="413"/>
      <c r="T71" s="413"/>
      <c r="U71" s="75"/>
      <c r="V71" s="75"/>
    </row>
    <row r="72" spans="1:22" ht="15.95" customHeight="1" thickBot="1">
      <c r="A72" s="449" t="s">
        <v>65</v>
      </c>
      <c r="B72" s="438" t="s">
        <v>0</v>
      </c>
      <c r="C72" s="438"/>
      <c r="D72" s="446" t="s">
        <v>1</v>
      </c>
      <c r="E72" s="449" t="s">
        <v>2</v>
      </c>
      <c r="F72" s="430" t="s">
        <v>68</v>
      </c>
      <c r="G72" s="431"/>
      <c r="H72" s="431"/>
      <c r="I72" s="431"/>
      <c r="J72" s="431"/>
      <c r="K72" s="431"/>
      <c r="L72" s="432"/>
      <c r="M72" s="430" t="s">
        <v>70</v>
      </c>
      <c r="N72" s="431"/>
      <c r="O72" s="431"/>
      <c r="P72" s="431"/>
      <c r="Q72" s="431"/>
      <c r="R72" s="431"/>
      <c r="S72" s="431"/>
      <c r="T72" s="432"/>
      <c r="U72" s="75"/>
      <c r="V72" s="75"/>
    </row>
    <row r="73" spans="1:22" ht="15.95" customHeight="1" thickBot="1">
      <c r="A73" s="450"/>
      <c r="B73" s="452"/>
      <c r="C73" s="452"/>
      <c r="D73" s="451"/>
      <c r="E73" s="450"/>
      <c r="F73" s="430" t="s">
        <v>187</v>
      </c>
      <c r="G73" s="431"/>
      <c r="H73" s="431"/>
      <c r="I73" s="432"/>
      <c r="J73" s="430" t="s">
        <v>188</v>
      </c>
      <c r="K73" s="431"/>
      <c r="L73" s="432"/>
      <c r="M73" s="433" t="s">
        <v>187</v>
      </c>
      <c r="N73" s="434"/>
      <c r="O73" s="434"/>
      <c r="P73" s="435"/>
      <c r="Q73" s="433" t="s">
        <v>188</v>
      </c>
      <c r="R73" s="434"/>
      <c r="S73" s="434"/>
      <c r="T73" s="435"/>
      <c r="U73" s="75"/>
      <c r="V73" s="75"/>
    </row>
    <row r="74" spans="1:22" ht="21.75" thickBot="1">
      <c r="A74" s="450"/>
      <c r="B74" s="452"/>
      <c r="C74" s="452"/>
      <c r="D74" s="451"/>
      <c r="E74" s="450"/>
      <c r="F74" s="445" t="s">
        <v>21</v>
      </c>
      <c r="G74" s="446"/>
      <c r="H74" s="169" t="s">
        <v>43</v>
      </c>
      <c r="I74" s="293" t="s">
        <v>189</v>
      </c>
      <c r="J74" s="294" t="s">
        <v>21</v>
      </c>
      <c r="K74" s="231" t="s">
        <v>43</v>
      </c>
      <c r="L74" s="295" t="s">
        <v>189</v>
      </c>
      <c r="M74" s="306" t="s">
        <v>21</v>
      </c>
      <c r="N74" s="169" t="s">
        <v>43</v>
      </c>
      <c r="O74" s="169" t="s">
        <v>69</v>
      </c>
      <c r="P74" s="307" t="s">
        <v>190</v>
      </c>
      <c r="Q74" s="306" t="s">
        <v>21</v>
      </c>
      <c r="R74" s="169" t="s">
        <v>43</v>
      </c>
      <c r="S74" s="169" t="s">
        <v>69</v>
      </c>
      <c r="T74" s="307" t="s">
        <v>190</v>
      </c>
      <c r="U74" s="75"/>
      <c r="V74" s="75"/>
    </row>
    <row r="75" spans="1:22" s="101" customFormat="1" ht="15.95" customHeight="1" thickBot="1">
      <c r="A75" s="455" t="s">
        <v>66</v>
      </c>
      <c r="B75" s="103" t="s">
        <v>9</v>
      </c>
      <c r="C75" s="104" t="s">
        <v>303</v>
      </c>
      <c r="D75" s="105" t="s">
        <v>6</v>
      </c>
      <c r="E75" s="283" t="s">
        <v>4</v>
      </c>
      <c r="F75" s="447">
        <f>I65</f>
        <v>96.811897625679876</v>
      </c>
      <c r="G75" s="448"/>
      <c r="H75" s="105" t="s">
        <v>46</v>
      </c>
      <c r="I75" s="106">
        <f>K65</f>
        <v>1.5295395697938466E-2</v>
      </c>
      <c r="J75" s="296">
        <f>M65</f>
        <v>128.03892475096154</v>
      </c>
      <c r="K75" s="282" t="s">
        <v>46</v>
      </c>
      <c r="L75" s="297">
        <f>O65</f>
        <v>2.0228980805403054E-2</v>
      </c>
      <c r="M75" s="308">
        <f>F75*('Interactive Effects'!$B$10*$B$27+$B$28)</f>
        <v>98.09175091229136</v>
      </c>
      <c r="N75" s="105" t="s">
        <v>46</v>
      </c>
      <c r="O75" s="391">
        <f>F75*'Interactive Effects'!$D$10*$B$27</f>
        <v>-1.452633480304039</v>
      </c>
      <c r="P75" s="394">
        <f>I75*('Interactive Effects'!$C$10*$B$27+$B$28)</f>
        <v>2.0350523976107128E-2</v>
      </c>
      <c r="Q75" s="308">
        <f>J75*('Interactive Effects'!$B$10*$B$27+$B$28)</f>
        <v>129.73159933616927</v>
      </c>
      <c r="R75" s="105" t="s">
        <v>46</v>
      </c>
      <c r="S75" s="391">
        <f>J75*'Interactive Effects'!$D$10*$B$27</f>
        <v>-1.9211856542107528</v>
      </c>
      <c r="T75" s="398">
        <f>L75*('Interactive Effects'!$C$10*$B$27+$B$28)</f>
        <v>2.6914658961588765E-2</v>
      </c>
      <c r="U75" s="75"/>
      <c r="V75" s="75"/>
    </row>
    <row r="76" spans="1:22" s="101" customFormat="1" ht="15.95" customHeight="1" thickBot="1">
      <c r="A76" s="456"/>
      <c r="B76" s="97" t="s">
        <v>8</v>
      </c>
      <c r="C76" s="98" t="s">
        <v>306</v>
      </c>
      <c r="D76" s="99" t="s">
        <v>6</v>
      </c>
      <c r="E76" s="284" t="s">
        <v>4</v>
      </c>
      <c r="F76" s="443">
        <f>I65</f>
        <v>96.811897625679876</v>
      </c>
      <c r="G76" s="444"/>
      <c r="H76" s="99" t="s">
        <v>46</v>
      </c>
      <c r="I76" s="100">
        <f>K65</f>
        <v>1.5295395697938466E-2</v>
      </c>
      <c r="J76" s="298">
        <f>M65</f>
        <v>128.03892475096154</v>
      </c>
      <c r="K76" s="99" t="s">
        <v>46</v>
      </c>
      <c r="L76" s="100">
        <f>O65</f>
        <v>2.0228980805403054E-2</v>
      </c>
      <c r="M76" s="346">
        <f>F76*(($C$24*'Interactive Effects'!$B$10+(1-$C$24))*$B$27+$B$28)</f>
        <v>97.067868283002184</v>
      </c>
      <c r="N76" s="99" t="s">
        <v>46</v>
      </c>
      <c r="O76" s="392">
        <f>F76*($C$24*'Interactive Effects'!$D$10*$B$27)</f>
        <v>-0.29052669606080783</v>
      </c>
      <c r="P76" s="395">
        <f>I76*(($C$24*'Interactive Effects'!$C$10+(1-$C$24))*$B$27+$B$28)</f>
        <v>1.6306421353572197E-2</v>
      </c>
      <c r="Q76" s="349">
        <f>J76*(($C$24*'Interactive Effects'!$B$10+(1-$C$24))*$B$27+$B$28)</f>
        <v>128.3774596680031</v>
      </c>
      <c r="R76" s="99" t="s">
        <v>46</v>
      </c>
      <c r="S76" s="392">
        <f>J76*($C$24*'Interactive Effects'!$D$10*$B$27)</f>
        <v>-0.38423713084215061</v>
      </c>
      <c r="T76" s="399">
        <f>L76*(($C$24*'Interactive Effects'!$C$10+(1-$C$24))*$B$27+$B$28)</f>
        <v>2.1566116436640196E-2</v>
      </c>
      <c r="U76" s="75"/>
      <c r="V76" s="75"/>
    </row>
    <row r="77" spans="1:22" s="111" customFormat="1" ht="15.95" customHeight="1" thickBot="1">
      <c r="A77" s="456"/>
      <c r="B77" s="107" t="s">
        <v>9</v>
      </c>
      <c r="C77" s="108" t="s">
        <v>304</v>
      </c>
      <c r="D77" s="109" t="s">
        <v>7</v>
      </c>
      <c r="E77" s="285">
        <v>120</v>
      </c>
      <c r="F77" s="453">
        <f>I66</f>
        <v>36.924807964612768</v>
      </c>
      <c r="G77" s="454"/>
      <c r="H77" s="109" t="s">
        <v>46</v>
      </c>
      <c r="I77" s="110">
        <f>K66</f>
        <v>5.8337824455506927E-3</v>
      </c>
      <c r="J77" s="299">
        <f>M66</f>
        <v>51.564809940561091</v>
      </c>
      <c r="K77" s="109" t="s">
        <v>46</v>
      </c>
      <c r="L77" s="110">
        <f>O66</f>
        <v>8.1467690591023462E-3</v>
      </c>
      <c r="M77" s="310">
        <f>F77*($B$27*'Interactive Effects'!$B$10+$B$28)</f>
        <v>37.412953925904951</v>
      </c>
      <c r="N77" s="109" t="s">
        <v>46</v>
      </c>
      <c r="O77" s="393">
        <f>F77*'Interactive Effects'!$D$10*$B$27</f>
        <v>-0.55404566606662531</v>
      </c>
      <c r="P77" s="396">
        <f>I77*($B$27*'Interactive Effects'!$C$10+$B$28)</f>
        <v>7.7618475438051967E-3</v>
      </c>
      <c r="Q77" s="310">
        <f>J77*($B$27*'Interactive Effects'!$B$10+$B$28)</f>
        <v>52.246496727975305</v>
      </c>
      <c r="R77" s="109" t="s">
        <v>46</v>
      </c>
      <c r="S77" s="393">
        <f>J77*'Interactive Effects'!$D$10*$B$27</f>
        <v>-0.77371450371513717</v>
      </c>
      <c r="T77" s="400">
        <f>L77*($B$27*'Interactive Effects'!$C$10+$B$28)</f>
        <v>1.0839276233135672E-2</v>
      </c>
      <c r="U77" s="102"/>
      <c r="V77" s="102"/>
    </row>
    <row r="78" spans="1:22" s="101" customFormat="1" ht="15.95" customHeight="1" thickBot="1">
      <c r="A78" s="456"/>
      <c r="B78" s="97" t="s">
        <v>8</v>
      </c>
      <c r="C78" s="98" t="s">
        <v>307</v>
      </c>
      <c r="D78" s="99" t="s">
        <v>7</v>
      </c>
      <c r="E78" s="284">
        <v>120</v>
      </c>
      <c r="F78" s="443">
        <f>I66</f>
        <v>36.924807964612768</v>
      </c>
      <c r="G78" s="444"/>
      <c r="H78" s="99" t="s">
        <v>46</v>
      </c>
      <c r="I78" s="100">
        <f>K66</f>
        <v>5.8337824455506927E-3</v>
      </c>
      <c r="J78" s="298">
        <f>M66</f>
        <v>51.564809940561091</v>
      </c>
      <c r="K78" s="99" t="s">
        <v>46</v>
      </c>
      <c r="L78" s="100">
        <f>O66</f>
        <v>8.1467690591023462E-3</v>
      </c>
      <c r="M78" s="349">
        <f>F78*(($C$24*'Interactive Effects'!$B$10+(1-$C$24))*$B$27+$B$28)</f>
        <v>37.022437156871206</v>
      </c>
      <c r="N78" s="99" t="s">
        <v>46</v>
      </c>
      <c r="O78" s="392">
        <f>F78*$C$24*'Interactive Effects'!$D$10*$B$27</f>
        <v>-0.11080913321332507</v>
      </c>
      <c r="P78" s="395">
        <f>I78*(($C$24*'Interactive Effects'!$C$10+(1-$C$24))*$B$27+$B$28)</f>
        <v>6.2193954652015942E-3</v>
      </c>
      <c r="Q78" s="349">
        <f>J78*(($C$24*'Interactive Effects'!$B$10+(1-$C$24))*$B$27+$B$28)</f>
        <v>51.701147298043942</v>
      </c>
      <c r="R78" s="99" t="s">
        <v>46</v>
      </c>
      <c r="S78" s="392">
        <f>J78*$C$24*'Interactive Effects'!$D$10*$B$27</f>
        <v>-0.15474290074302743</v>
      </c>
      <c r="T78" s="399">
        <f>L78*(($C$24*'Interactive Effects'!$C$10+(1-$C$24))*$B$27+$B$28)</f>
        <v>8.6852704939090111E-3</v>
      </c>
      <c r="U78" s="75"/>
      <c r="V78" s="75"/>
    </row>
    <row r="79" spans="1:22" s="101" customFormat="1" ht="15.95" customHeight="1" thickBot="1">
      <c r="A79" s="456"/>
      <c r="B79" s="97" t="s">
        <v>8</v>
      </c>
      <c r="C79" s="98" t="s">
        <v>308</v>
      </c>
      <c r="D79" s="99" t="s">
        <v>7</v>
      </c>
      <c r="E79" s="284">
        <v>240</v>
      </c>
      <c r="F79" s="443">
        <f>I67</f>
        <v>41.082150891244453</v>
      </c>
      <c r="G79" s="444"/>
      <c r="H79" s="99" t="s">
        <v>46</v>
      </c>
      <c r="I79" s="100">
        <f>K67</f>
        <v>6.4906046613564293E-3</v>
      </c>
      <c r="J79" s="298">
        <f>M67</f>
        <v>68.495024156353466</v>
      </c>
      <c r="K79" s="99" t="s">
        <v>46</v>
      </c>
      <c r="L79" s="100">
        <f>O67</f>
        <v>1.0821588291369085E-2</v>
      </c>
      <c r="M79" s="349">
        <f>F79*(($C$24*'Interactive Effects'!$B$10+(1-$C$24))*$B$27+$B$28)</f>
        <v>41.19077209820091</v>
      </c>
      <c r="N79" s="99" t="s">
        <v>46</v>
      </c>
      <c r="O79" s="392">
        <f>F79*$C$24*'Interactive Effects'!$D$10*$B$27</f>
        <v>-0.12328506989557113</v>
      </c>
      <c r="P79" s="395">
        <f>I79*(($C$24*'Interactive Effects'!$C$10+(1-$C$24))*$B$27+$B$28)</f>
        <v>6.9196336294720896E-3</v>
      </c>
      <c r="Q79" s="349">
        <f>J79*(($C$24*'Interactive Effects'!$B$10+(1-$C$24))*$B$27+$B$28)</f>
        <v>68.676125000222868</v>
      </c>
      <c r="R79" s="99" t="s">
        <v>46</v>
      </c>
      <c r="S79" s="392">
        <f>J79*$C$24*'Interactive Effects'!$D$10*$B$27</f>
        <v>-0.20554945779176739</v>
      </c>
      <c r="T79" s="399">
        <f>L79*(($C$24*'Interactive Effects'!$C$10+(1-$C$24))*$B$27+$B$28)</f>
        <v>1.1536895277428582E-2</v>
      </c>
      <c r="U79" s="75"/>
      <c r="V79" s="75"/>
    </row>
    <row r="80" spans="1:22" s="101" customFormat="1" ht="15.95" customHeight="1" thickBot="1">
      <c r="A80" s="456"/>
      <c r="B80" s="97" t="s">
        <v>9</v>
      </c>
      <c r="C80" s="98" t="s">
        <v>305</v>
      </c>
      <c r="D80" s="99" t="s">
        <v>7</v>
      </c>
      <c r="E80" s="284">
        <v>240</v>
      </c>
      <c r="F80" s="443">
        <f>I68</f>
        <v>51.993911477573818</v>
      </c>
      <c r="G80" s="444"/>
      <c r="H80" s="99" t="s">
        <v>46</v>
      </c>
      <c r="I80" s="100">
        <f>K68</f>
        <v>8.2145631832148576E-3</v>
      </c>
      <c r="J80" s="298">
        <f>M68</f>
        <v>119.25051757006473</v>
      </c>
      <c r="K80" s="99" t="s">
        <v>46</v>
      </c>
      <c r="L80" s="100">
        <f>O68</f>
        <v>1.8840492730247668E-2</v>
      </c>
      <c r="M80" s="309">
        <f>F80*($B$27*'Interactive Effects'!$B$10+$B$28)</f>
        <v>52.681270987307343</v>
      </c>
      <c r="N80" s="99" t="s">
        <v>46</v>
      </c>
      <c r="O80" s="392">
        <f>F80*'Interactive Effects'!$D$10*$B$27</f>
        <v>-0.78015304354755199</v>
      </c>
      <c r="P80" s="395">
        <f>I80*($B$27*'Interactive Effects'!$C$10+$B$28)</f>
        <v>1.0929476315267368E-2</v>
      </c>
      <c r="Q80" s="349">
        <f>J80*($B$27*'Interactive Effects'!$B$10+$B$28)</f>
        <v>120.82700941234098</v>
      </c>
      <c r="R80" s="99" t="s">
        <v>46</v>
      </c>
      <c r="S80" s="392">
        <f>J80*'Interactive Effects'!$D$10*$B$27</f>
        <v>-1.7893182409835506</v>
      </c>
      <c r="T80" s="399">
        <f>L80*($B$27*'Interactive Effects'!$C$10+$B$28)</f>
        <v>2.5067275577594524E-2</v>
      </c>
      <c r="U80" s="75"/>
      <c r="V80" s="75"/>
    </row>
    <row r="81" spans="1:22" s="101" customFormat="1" ht="15.95" customHeight="1" thickBot="1">
      <c r="A81" s="457"/>
      <c r="B81" s="112" t="s">
        <v>42</v>
      </c>
      <c r="C81" s="113" t="s">
        <v>309</v>
      </c>
      <c r="D81" s="114" t="s">
        <v>4</v>
      </c>
      <c r="E81" s="286" t="s">
        <v>4</v>
      </c>
      <c r="F81" s="458" t="s">
        <v>231</v>
      </c>
      <c r="G81" s="459"/>
      <c r="H81" s="115">
        <f>J69</f>
        <v>3.5082645880445447</v>
      </c>
      <c r="I81" s="116" t="s">
        <v>46</v>
      </c>
      <c r="J81" s="300" t="s">
        <v>231</v>
      </c>
      <c r="K81" s="115">
        <f>N69</f>
        <v>4.6483836581955664</v>
      </c>
      <c r="L81" s="116" t="s">
        <v>46</v>
      </c>
      <c r="M81" s="311" t="s">
        <v>231</v>
      </c>
      <c r="N81" s="115">
        <f>H81</f>
        <v>3.5082645880445447</v>
      </c>
      <c r="O81" s="232">
        <v>0</v>
      </c>
      <c r="P81" s="397" t="s">
        <v>231</v>
      </c>
      <c r="Q81" s="311" t="s">
        <v>231</v>
      </c>
      <c r="R81" s="115">
        <f>K81</f>
        <v>4.6483836581955664</v>
      </c>
      <c r="S81" s="232">
        <v>0</v>
      </c>
      <c r="T81" s="401" t="s">
        <v>231</v>
      </c>
      <c r="U81" s="75"/>
      <c r="V81" s="75"/>
    </row>
    <row r="82" spans="1:22" ht="15.95" customHeight="1" thickBot="1">
      <c r="A82" s="455" t="s">
        <v>62</v>
      </c>
      <c r="B82" s="58" t="s">
        <v>9</v>
      </c>
      <c r="C82" s="59"/>
      <c r="D82" s="60" t="s">
        <v>6</v>
      </c>
      <c r="E82" s="287" t="s">
        <v>4</v>
      </c>
      <c r="F82" s="466">
        <f t="shared" ref="F82:F102" si="1">F75</f>
        <v>96.811897625679876</v>
      </c>
      <c r="G82" s="467"/>
      <c r="H82" s="60" t="str">
        <f t="shared" ref="H82:L102" si="2">H75</f>
        <v>NA</v>
      </c>
      <c r="I82" s="61">
        <f t="shared" si="2"/>
        <v>1.5295395697938466E-2</v>
      </c>
      <c r="J82" s="301">
        <f>J75</f>
        <v>128.03892475096154</v>
      </c>
      <c r="K82" s="168" t="str">
        <f>K75</f>
        <v>NA</v>
      </c>
      <c r="L82" s="106">
        <f>L75</f>
        <v>2.0228980805403054E-2</v>
      </c>
      <c r="M82" s="308">
        <f>F82*('Interactive Effects'!$B$10*$B$27+$B$28)</f>
        <v>98.09175091229136</v>
      </c>
      <c r="N82" s="105" t="s">
        <v>46</v>
      </c>
      <c r="O82" s="391">
        <f>F82*'Interactive Effects'!$D$10*$B$27</f>
        <v>-1.452633480304039</v>
      </c>
      <c r="P82" s="394">
        <f>I82*('Interactive Effects'!$C$10*$B$27+$B$28)</f>
        <v>2.0350523976107128E-2</v>
      </c>
      <c r="Q82" s="308">
        <f>J82*('Interactive Effects'!$B$10*$B$27+$B$28)</f>
        <v>129.73159933616927</v>
      </c>
      <c r="R82" s="105" t="s">
        <v>46</v>
      </c>
      <c r="S82" s="391">
        <f>J82*'Interactive Effects'!$D$10*$B$27</f>
        <v>-1.9211856542107528</v>
      </c>
      <c r="T82" s="398">
        <f>L82*('Interactive Effects'!$C$10*$B$27+$B$28)</f>
        <v>2.6914658961588765E-2</v>
      </c>
      <c r="U82" s="75"/>
      <c r="V82" s="75"/>
    </row>
    <row r="83" spans="1:22" ht="15.95" customHeight="1" thickBot="1">
      <c r="A83" s="456"/>
      <c r="B83" s="50" t="s">
        <v>8</v>
      </c>
      <c r="C83" s="51"/>
      <c r="D83" s="35" t="s">
        <v>6</v>
      </c>
      <c r="E83" s="163" t="s">
        <v>4</v>
      </c>
      <c r="F83" s="460">
        <f t="shared" si="1"/>
        <v>96.811897625679876</v>
      </c>
      <c r="G83" s="461"/>
      <c r="H83" s="162" t="str">
        <f t="shared" si="2"/>
        <v>NA</v>
      </c>
      <c r="I83" s="62">
        <f t="shared" si="2"/>
        <v>1.5295395697938466E-2</v>
      </c>
      <c r="J83" s="302">
        <f t="shared" si="2"/>
        <v>128.03892475096154</v>
      </c>
      <c r="K83" s="14" t="str">
        <f t="shared" si="2"/>
        <v>NA</v>
      </c>
      <c r="L83" s="62">
        <f t="shared" si="2"/>
        <v>2.0228980805403054E-2</v>
      </c>
      <c r="M83" s="349">
        <f>F83*(($C$24*'Interactive Effects'!$B$10+(1-$C$24))*$B$27+$B$28)</f>
        <v>97.067868283002184</v>
      </c>
      <c r="N83" s="99" t="s">
        <v>46</v>
      </c>
      <c r="O83" s="392">
        <f>F83*($C$24*'Interactive Effects'!$D$10*$B$27)</f>
        <v>-0.29052669606080783</v>
      </c>
      <c r="P83" s="395">
        <f>I83*(($C$24*'Interactive Effects'!$C$10+(1-$C$24))*$B$27+$B$28)</f>
        <v>1.6306421353572197E-2</v>
      </c>
      <c r="Q83" s="349">
        <f>J83*(($C$24*'Interactive Effects'!$B$10+(1-$C$24))*$B$27+$B$28)</f>
        <v>128.3774596680031</v>
      </c>
      <c r="R83" s="99" t="s">
        <v>46</v>
      </c>
      <c r="S83" s="392">
        <f>J83*($C$24*'Interactive Effects'!$D$10*$B$27)</f>
        <v>-0.38423713084215061</v>
      </c>
      <c r="T83" s="399">
        <f>L83*(($C$24*'Interactive Effects'!$C$10+(1-$C$24))*$B$27+$B$28)</f>
        <v>2.1566116436640196E-2</v>
      </c>
      <c r="U83" s="75"/>
      <c r="V83" s="75"/>
    </row>
    <row r="84" spans="1:22" ht="16.5" thickBot="1">
      <c r="A84" s="456"/>
      <c r="B84" s="48" t="s">
        <v>9</v>
      </c>
      <c r="C84" s="49"/>
      <c r="D84" s="34" t="s">
        <v>7</v>
      </c>
      <c r="E84" s="164">
        <v>120</v>
      </c>
      <c r="F84" s="462">
        <f t="shared" si="1"/>
        <v>36.924807964612768</v>
      </c>
      <c r="G84" s="463"/>
      <c r="H84" s="160" t="str">
        <f t="shared" si="2"/>
        <v>NA</v>
      </c>
      <c r="I84" s="63">
        <f t="shared" si="2"/>
        <v>5.8337824455506927E-3</v>
      </c>
      <c r="J84" s="303">
        <f t="shared" si="2"/>
        <v>51.564809940561091</v>
      </c>
      <c r="K84" s="16" t="str">
        <f t="shared" si="2"/>
        <v>NA</v>
      </c>
      <c r="L84" s="63">
        <f t="shared" si="2"/>
        <v>8.1467690591023462E-3</v>
      </c>
      <c r="M84" s="310">
        <f>F84*($B$27*'Interactive Effects'!$B$10+$B$28)</f>
        <v>37.412953925904951</v>
      </c>
      <c r="N84" s="109" t="s">
        <v>46</v>
      </c>
      <c r="O84" s="393">
        <f>F84*'Interactive Effects'!$D$10*$B$27</f>
        <v>-0.55404566606662531</v>
      </c>
      <c r="P84" s="396">
        <f>I84*($B$27*'Interactive Effects'!$C$10+$B$28)</f>
        <v>7.7618475438051967E-3</v>
      </c>
      <c r="Q84" s="310">
        <f>J84*($B$27*'Interactive Effects'!$B$10+$B$28)</f>
        <v>52.246496727975305</v>
      </c>
      <c r="R84" s="109" t="s">
        <v>46</v>
      </c>
      <c r="S84" s="393">
        <f>J84*'Interactive Effects'!$D$10*$B$27</f>
        <v>-0.77371450371513717</v>
      </c>
      <c r="T84" s="400">
        <f>L84*($B$27*'Interactive Effects'!$C$10+$B$28)</f>
        <v>1.0839276233135672E-2</v>
      </c>
      <c r="U84" s="75"/>
      <c r="V84" s="75"/>
    </row>
    <row r="85" spans="1:22" ht="16.5" thickBot="1">
      <c r="A85" s="456"/>
      <c r="B85" s="50" t="s">
        <v>8</v>
      </c>
      <c r="C85" s="51"/>
      <c r="D85" s="35" t="s">
        <v>7</v>
      </c>
      <c r="E85" s="163">
        <v>120</v>
      </c>
      <c r="F85" s="460">
        <f t="shared" si="1"/>
        <v>36.924807964612768</v>
      </c>
      <c r="G85" s="461"/>
      <c r="H85" s="162" t="str">
        <f t="shared" si="2"/>
        <v>NA</v>
      </c>
      <c r="I85" s="62">
        <f t="shared" si="2"/>
        <v>5.8337824455506927E-3</v>
      </c>
      <c r="J85" s="302">
        <f t="shared" si="2"/>
        <v>51.564809940561091</v>
      </c>
      <c r="K85" s="41" t="str">
        <f t="shared" si="2"/>
        <v>NA</v>
      </c>
      <c r="L85" s="62">
        <f t="shared" si="2"/>
        <v>8.1467690591023462E-3</v>
      </c>
      <c r="M85" s="349">
        <f>F85*(($C$24*'Interactive Effects'!$B$10+(1-$C$24))*$B$27+$B$28)</f>
        <v>37.022437156871206</v>
      </c>
      <c r="N85" s="99" t="s">
        <v>46</v>
      </c>
      <c r="O85" s="392">
        <f>F85*$C$24*'Interactive Effects'!$D$10*$B$27</f>
        <v>-0.11080913321332507</v>
      </c>
      <c r="P85" s="395">
        <f>I85*(($C$24*'Interactive Effects'!$C$10+(1-$C$24))*$B$27+$B$28)</f>
        <v>6.2193954652015942E-3</v>
      </c>
      <c r="Q85" s="349">
        <f>J85*(($C$24*'Interactive Effects'!$B$10+(1-$C$24))*$B$27+$B$28)</f>
        <v>51.701147298043942</v>
      </c>
      <c r="R85" s="99" t="s">
        <v>46</v>
      </c>
      <c r="S85" s="392">
        <f>J85*$C$24*'Interactive Effects'!$D$10*$B$27</f>
        <v>-0.15474290074302743</v>
      </c>
      <c r="T85" s="399">
        <f>L85*(($C$24*'Interactive Effects'!$C$10+(1-$C$24))*$B$27+$B$28)</f>
        <v>8.6852704939090111E-3</v>
      </c>
      <c r="U85" s="75"/>
      <c r="V85" s="75"/>
    </row>
    <row r="86" spans="1:22" ht="16.5" thickBot="1">
      <c r="A86" s="456"/>
      <c r="B86" s="48" t="s">
        <v>8</v>
      </c>
      <c r="C86" s="49"/>
      <c r="D86" s="34" t="s">
        <v>7</v>
      </c>
      <c r="E86" s="164">
        <v>240</v>
      </c>
      <c r="F86" s="462">
        <f t="shared" si="1"/>
        <v>41.082150891244453</v>
      </c>
      <c r="G86" s="463"/>
      <c r="H86" s="160" t="str">
        <f t="shared" si="2"/>
        <v>NA</v>
      </c>
      <c r="I86" s="63">
        <f t="shared" si="2"/>
        <v>6.4906046613564293E-3</v>
      </c>
      <c r="J86" s="303">
        <f t="shared" si="2"/>
        <v>68.495024156353466</v>
      </c>
      <c r="K86" s="16" t="str">
        <f t="shared" si="2"/>
        <v>NA</v>
      </c>
      <c r="L86" s="63">
        <f t="shared" si="2"/>
        <v>1.0821588291369085E-2</v>
      </c>
      <c r="M86" s="349">
        <f>F86*(($C$24*'Interactive Effects'!$B$10+(1-$C$24))*$B$27+$B$28)</f>
        <v>41.19077209820091</v>
      </c>
      <c r="N86" s="99" t="s">
        <v>46</v>
      </c>
      <c r="O86" s="392">
        <f>F86*$C$24*'Interactive Effects'!$D$10*$B$27</f>
        <v>-0.12328506989557113</v>
      </c>
      <c r="P86" s="395">
        <f>I86*(($C$24*'Interactive Effects'!$C$10+(1-$C$24))*$B$27+$B$28)</f>
        <v>6.9196336294720896E-3</v>
      </c>
      <c r="Q86" s="349">
        <f>J86*(($C$24*'Interactive Effects'!$B$10+(1-$C$24))*$B$27+$B$28)</f>
        <v>68.676125000222868</v>
      </c>
      <c r="R86" s="99" t="s">
        <v>46</v>
      </c>
      <c r="S86" s="392">
        <f>J86*$C$24*'Interactive Effects'!$D$10*$B$27</f>
        <v>-0.20554945779176739</v>
      </c>
      <c r="T86" s="399">
        <f>L86*(($C$24*'Interactive Effects'!$C$10+(1-$C$24))*$B$27+$B$28)</f>
        <v>1.1536895277428582E-2</v>
      </c>
      <c r="U86" s="75"/>
      <c r="V86" s="75"/>
    </row>
    <row r="87" spans="1:22" ht="16.5" thickBot="1">
      <c r="A87" s="456"/>
      <c r="B87" s="50" t="s">
        <v>9</v>
      </c>
      <c r="C87" s="51"/>
      <c r="D87" s="35" t="s">
        <v>7</v>
      </c>
      <c r="E87" s="163">
        <v>240</v>
      </c>
      <c r="F87" s="460">
        <f t="shared" si="1"/>
        <v>51.993911477573818</v>
      </c>
      <c r="G87" s="461"/>
      <c r="H87" s="162" t="str">
        <f t="shared" si="2"/>
        <v>NA</v>
      </c>
      <c r="I87" s="62">
        <f t="shared" si="2"/>
        <v>8.2145631832148576E-3</v>
      </c>
      <c r="J87" s="302">
        <f t="shared" si="2"/>
        <v>119.25051757006473</v>
      </c>
      <c r="K87" s="41" t="str">
        <f t="shared" si="2"/>
        <v>NA</v>
      </c>
      <c r="L87" s="62">
        <f t="shared" si="2"/>
        <v>1.8840492730247668E-2</v>
      </c>
      <c r="M87" s="349">
        <f>F87*($B$27*'Interactive Effects'!$B$10+$B$28)</f>
        <v>52.681270987307343</v>
      </c>
      <c r="N87" s="99" t="s">
        <v>46</v>
      </c>
      <c r="O87" s="392">
        <f>F87*'Interactive Effects'!$D$10*$B$27</f>
        <v>-0.78015304354755199</v>
      </c>
      <c r="P87" s="395">
        <f>I87*($B$27*'Interactive Effects'!$C$10+$B$28)</f>
        <v>1.0929476315267368E-2</v>
      </c>
      <c r="Q87" s="349">
        <f>J87*($B$27*'Interactive Effects'!$B$10+$B$28)</f>
        <v>120.82700941234098</v>
      </c>
      <c r="R87" s="99" t="s">
        <v>46</v>
      </c>
      <c r="S87" s="392">
        <f>J87*'Interactive Effects'!$D$10*$B$27</f>
        <v>-1.7893182409835506</v>
      </c>
      <c r="T87" s="399">
        <f>L87*($B$27*'Interactive Effects'!$C$10+$B$28)</f>
        <v>2.5067275577594524E-2</v>
      </c>
      <c r="U87" s="75"/>
      <c r="V87" s="75"/>
    </row>
    <row r="88" spans="1:22" ht="16.5" thickBot="1">
      <c r="A88" s="457"/>
      <c r="B88" s="64" t="s">
        <v>42</v>
      </c>
      <c r="C88" s="65"/>
      <c r="D88" s="66" t="s">
        <v>4</v>
      </c>
      <c r="E88" s="288" t="s">
        <v>4</v>
      </c>
      <c r="F88" s="464" t="str">
        <f t="shared" si="1"/>
        <v>N/A</v>
      </c>
      <c r="G88" s="465"/>
      <c r="H88" s="67">
        <f t="shared" si="2"/>
        <v>3.5082645880445447</v>
      </c>
      <c r="I88" s="68" t="str">
        <f t="shared" si="2"/>
        <v>NA</v>
      </c>
      <c r="J88" s="300" t="str">
        <f t="shared" si="2"/>
        <v>N/A</v>
      </c>
      <c r="K88" s="232">
        <f t="shared" si="2"/>
        <v>4.6483836581955664</v>
      </c>
      <c r="L88" s="116" t="str">
        <f t="shared" si="2"/>
        <v>NA</v>
      </c>
      <c r="M88" s="311" t="s">
        <v>231</v>
      </c>
      <c r="N88" s="115">
        <f>H88</f>
        <v>3.5082645880445447</v>
      </c>
      <c r="O88" s="232">
        <v>0</v>
      </c>
      <c r="P88" s="397" t="s">
        <v>231</v>
      </c>
      <c r="Q88" s="311" t="s">
        <v>231</v>
      </c>
      <c r="R88" s="115">
        <f>K88</f>
        <v>4.6483836581955664</v>
      </c>
      <c r="S88" s="232">
        <v>0</v>
      </c>
      <c r="T88" s="401" t="s">
        <v>231</v>
      </c>
      <c r="U88" s="75"/>
      <c r="V88" s="75"/>
    </row>
    <row r="89" spans="1:22" ht="16.5" thickBot="1">
      <c r="A89" s="455" t="s">
        <v>63</v>
      </c>
      <c r="B89" s="58" t="s">
        <v>9</v>
      </c>
      <c r="C89" s="59"/>
      <c r="D89" s="60" t="s">
        <v>6</v>
      </c>
      <c r="E89" s="287" t="s">
        <v>4</v>
      </c>
      <c r="F89" s="466">
        <f t="shared" si="1"/>
        <v>96.811897625679876</v>
      </c>
      <c r="G89" s="467"/>
      <c r="H89" s="60" t="str">
        <f t="shared" si="2"/>
        <v>NA</v>
      </c>
      <c r="I89" s="61">
        <f t="shared" si="2"/>
        <v>1.5295395697938466E-2</v>
      </c>
      <c r="J89" s="301">
        <f>J82</f>
        <v>128.03892475096154</v>
      </c>
      <c r="K89" s="168" t="str">
        <f>K82</f>
        <v>NA</v>
      </c>
      <c r="L89" s="304">
        <f>L82</f>
        <v>2.0228980805403054E-2</v>
      </c>
      <c r="M89" s="308">
        <f>F89*('Interactive Effects'!$B$10*$B$27+$B$28)</f>
        <v>98.09175091229136</v>
      </c>
      <c r="N89" s="105" t="s">
        <v>46</v>
      </c>
      <c r="O89" s="391">
        <f>F89*'Interactive Effects'!$D$10*$B$27</f>
        <v>-1.452633480304039</v>
      </c>
      <c r="P89" s="394">
        <f>I89*('Interactive Effects'!$C$10*$B$27+$B$28)</f>
        <v>2.0350523976107128E-2</v>
      </c>
      <c r="Q89" s="308">
        <f>J89*('Interactive Effects'!$B$10*$B$27+$B$28)</f>
        <v>129.73159933616927</v>
      </c>
      <c r="R89" s="105" t="s">
        <v>46</v>
      </c>
      <c r="S89" s="391">
        <f>J89*'Interactive Effects'!$D$10*$B$27</f>
        <v>-1.9211856542107528</v>
      </c>
      <c r="T89" s="398">
        <f>L89*('Interactive Effects'!$C$10*$B$27+$B$28)</f>
        <v>2.6914658961588765E-2</v>
      </c>
      <c r="U89" s="75"/>
      <c r="V89" s="75"/>
    </row>
    <row r="90" spans="1:22" ht="16.5" thickBot="1">
      <c r="A90" s="456"/>
      <c r="B90" s="50" t="s">
        <v>8</v>
      </c>
      <c r="C90" s="51"/>
      <c r="D90" s="35" t="s">
        <v>6</v>
      </c>
      <c r="E90" s="163" t="s">
        <v>4</v>
      </c>
      <c r="F90" s="460">
        <f t="shared" si="1"/>
        <v>96.811897625679876</v>
      </c>
      <c r="G90" s="461"/>
      <c r="H90" s="162" t="str">
        <f t="shared" si="2"/>
        <v>NA</v>
      </c>
      <c r="I90" s="62">
        <f t="shared" si="2"/>
        <v>1.5295395697938466E-2</v>
      </c>
      <c r="J90" s="302">
        <f t="shared" ref="J90:L90" si="3">J83</f>
        <v>128.03892475096154</v>
      </c>
      <c r="K90" s="14" t="str">
        <f t="shared" si="3"/>
        <v>NA</v>
      </c>
      <c r="L90" s="305">
        <f t="shared" si="3"/>
        <v>2.0228980805403054E-2</v>
      </c>
      <c r="M90" s="349">
        <f>F90*(($C$24*'Interactive Effects'!$B$10+(1-$C$24))*$B$27+$B$28)</f>
        <v>97.067868283002184</v>
      </c>
      <c r="N90" s="99" t="s">
        <v>46</v>
      </c>
      <c r="O90" s="392">
        <f>F90*($C$24*'Interactive Effects'!$D$10*$B$27)</f>
        <v>-0.29052669606080783</v>
      </c>
      <c r="P90" s="395">
        <f>I90*(($C$24*'Interactive Effects'!$C$10+(1-$C$24))*$B$27+$B$28)</f>
        <v>1.6306421353572197E-2</v>
      </c>
      <c r="Q90" s="349">
        <f>J90*(($C$24*'Interactive Effects'!$B$10+(1-$C$24))*$B$27+$B$28)</f>
        <v>128.3774596680031</v>
      </c>
      <c r="R90" s="99" t="s">
        <v>46</v>
      </c>
      <c r="S90" s="392">
        <f>J90*($C$24*'Interactive Effects'!$D$10*$B$27)</f>
        <v>-0.38423713084215061</v>
      </c>
      <c r="T90" s="399">
        <f>L90*(($C$24*'Interactive Effects'!$C$10+(1-$C$24))*$B$27+$B$28)</f>
        <v>2.1566116436640196E-2</v>
      </c>
      <c r="U90" s="75"/>
      <c r="V90" s="75"/>
    </row>
    <row r="91" spans="1:22" ht="16.5" thickBot="1">
      <c r="A91" s="456"/>
      <c r="B91" s="48" t="s">
        <v>9</v>
      </c>
      <c r="C91" s="49"/>
      <c r="D91" s="34" t="s">
        <v>7</v>
      </c>
      <c r="E91" s="164">
        <v>120</v>
      </c>
      <c r="F91" s="462">
        <f t="shared" si="1"/>
        <v>36.924807964612768</v>
      </c>
      <c r="G91" s="463"/>
      <c r="H91" s="160" t="str">
        <f t="shared" si="2"/>
        <v>NA</v>
      </c>
      <c r="I91" s="63">
        <f t="shared" si="2"/>
        <v>5.8337824455506927E-3</v>
      </c>
      <c r="J91" s="303">
        <f t="shared" ref="J91:L91" si="4">J84</f>
        <v>51.564809940561091</v>
      </c>
      <c r="K91" s="16" t="str">
        <f t="shared" si="4"/>
        <v>NA</v>
      </c>
      <c r="L91" s="63">
        <f t="shared" si="4"/>
        <v>8.1467690591023462E-3</v>
      </c>
      <c r="M91" s="310">
        <f>F91*($B$27*'Interactive Effects'!$B$10+$B$28)</f>
        <v>37.412953925904951</v>
      </c>
      <c r="N91" s="109" t="s">
        <v>46</v>
      </c>
      <c r="O91" s="393">
        <f>F91*'Interactive Effects'!$D$10*$B$27</f>
        <v>-0.55404566606662531</v>
      </c>
      <c r="P91" s="396">
        <f>I91*($B$27*'Interactive Effects'!$C$10+$B$28)</f>
        <v>7.7618475438051967E-3</v>
      </c>
      <c r="Q91" s="310">
        <f>J91*($B$27*'Interactive Effects'!$B$10+$B$28)</f>
        <v>52.246496727975305</v>
      </c>
      <c r="R91" s="109" t="s">
        <v>46</v>
      </c>
      <c r="S91" s="393">
        <f>J91*'Interactive Effects'!$D$10*$B$27</f>
        <v>-0.77371450371513717</v>
      </c>
      <c r="T91" s="400">
        <f>L91*($B$27*'Interactive Effects'!$C$10+$B$28)</f>
        <v>1.0839276233135672E-2</v>
      </c>
      <c r="U91" s="75"/>
      <c r="V91" s="75"/>
    </row>
    <row r="92" spans="1:22" ht="16.5" thickBot="1">
      <c r="A92" s="456"/>
      <c r="B92" s="50" t="s">
        <v>8</v>
      </c>
      <c r="C92" s="51"/>
      <c r="D92" s="35" t="s">
        <v>7</v>
      </c>
      <c r="E92" s="163">
        <v>120</v>
      </c>
      <c r="F92" s="460">
        <f t="shared" si="1"/>
        <v>36.924807964612768</v>
      </c>
      <c r="G92" s="461"/>
      <c r="H92" s="162" t="str">
        <f t="shared" si="2"/>
        <v>NA</v>
      </c>
      <c r="I92" s="62">
        <f t="shared" si="2"/>
        <v>5.8337824455506927E-3</v>
      </c>
      <c r="J92" s="302">
        <f t="shared" ref="J92:L92" si="5">J85</f>
        <v>51.564809940561091</v>
      </c>
      <c r="K92" s="41" t="str">
        <f t="shared" si="5"/>
        <v>NA</v>
      </c>
      <c r="L92" s="62">
        <f t="shared" si="5"/>
        <v>8.1467690591023462E-3</v>
      </c>
      <c r="M92" s="349">
        <f>F92*(($C$24*'Interactive Effects'!$B$10+(1-$C$24))*$B$27+$B$28)</f>
        <v>37.022437156871206</v>
      </c>
      <c r="N92" s="99" t="s">
        <v>46</v>
      </c>
      <c r="O92" s="392">
        <f>F92*$C$24*'Interactive Effects'!$D$10*$B$27</f>
        <v>-0.11080913321332507</v>
      </c>
      <c r="P92" s="395">
        <f>I92*(($C$24*'Interactive Effects'!$C$10+(1-$C$24))*$B$27+$B$28)</f>
        <v>6.2193954652015942E-3</v>
      </c>
      <c r="Q92" s="349">
        <f>J92*(($C$24*'Interactive Effects'!$B$10+(1-$C$24))*$B$27+$B$28)</f>
        <v>51.701147298043942</v>
      </c>
      <c r="R92" s="99" t="s">
        <v>46</v>
      </c>
      <c r="S92" s="392">
        <f>J92*$C$24*'Interactive Effects'!$D$10*$B$27</f>
        <v>-0.15474290074302743</v>
      </c>
      <c r="T92" s="399">
        <f>L92*(($C$24*'Interactive Effects'!$C$10+(1-$C$24))*$B$27+$B$28)</f>
        <v>8.6852704939090111E-3</v>
      </c>
      <c r="U92" s="75"/>
      <c r="V92" s="75"/>
    </row>
    <row r="93" spans="1:22" ht="16.5" thickBot="1">
      <c r="A93" s="456"/>
      <c r="B93" s="48" t="s">
        <v>8</v>
      </c>
      <c r="C93" s="49"/>
      <c r="D93" s="34" t="s">
        <v>7</v>
      </c>
      <c r="E93" s="164">
        <v>240</v>
      </c>
      <c r="F93" s="462">
        <f t="shared" si="1"/>
        <v>41.082150891244453</v>
      </c>
      <c r="G93" s="463"/>
      <c r="H93" s="160" t="str">
        <f t="shared" si="2"/>
        <v>NA</v>
      </c>
      <c r="I93" s="63">
        <f t="shared" si="2"/>
        <v>6.4906046613564293E-3</v>
      </c>
      <c r="J93" s="303">
        <f t="shared" ref="J93:L93" si="6">J86</f>
        <v>68.495024156353466</v>
      </c>
      <c r="K93" s="16" t="str">
        <f t="shared" si="6"/>
        <v>NA</v>
      </c>
      <c r="L93" s="63">
        <f t="shared" si="6"/>
        <v>1.0821588291369085E-2</v>
      </c>
      <c r="M93" s="349">
        <f>F93*(($C$24*'Interactive Effects'!$B$10+(1-$C$24))*$B$27+$B$28)</f>
        <v>41.19077209820091</v>
      </c>
      <c r="N93" s="99" t="s">
        <v>46</v>
      </c>
      <c r="O93" s="392">
        <f>F93*$C$24*'Interactive Effects'!$D$10*$B$27</f>
        <v>-0.12328506989557113</v>
      </c>
      <c r="P93" s="395">
        <f>I93*(($C$24*'Interactive Effects'!$C$10+(1-$C$24))*$B$27+$B$28)</f>
        <v>6.9196336294720896E-3</v>
      </c>
      <c r="Q93" s="349">
        <f>J93*(($C$24*'Interactive Effects'!$B$10+(1-$C$24))*$B$27+$B$28)</f>
        <v>68.676125000222868</v>
      </c>
      <c r="R93" s="99" t="s">
        <v>46</v>
      </c>
      <c r="S93" s="392">
        <f>J93*$C$24*'Interactive Effects'!$D$10*$B$27</f>
        <v>-0.20554945779176739</v>
      </c>
      <c r="T93" s="399">
        <f>L93*(($C$24*'Interactive Effects'!$C$10+(1-$C$24))*$B$27+$B$28)</f>
        <v>1.1536895277428582E-2</v>
      </c>
      <c r="U93" s="75"/>
      <c r="V93" s="75"/>
    </row>
    <row r="94" spans="1:22" ht="16.5" thickBot="1">
      <c r="A94" s="456"/>
      <c r="B94" s="50" t="s">
        <v>9</v>
      </c>
      <c r="C94" s="51"/>
      <c r="D94" s="35" t="s">
        <v>7</v>
      </c>
      <c r="E94" s="163">
        <v>240</v>
      </c>
      <c r="F94" s="460">
        <f t="shared" si="1"/>
        <v>51.993911477573818</v>
      </c>
      <c r="G94" s="461"/>
      <c r="H94" s="162" t="str">
        <f t="shared" si="2"/>
        <v>NA</v>
      </c>
      <c r="I94" s="62">
        <f t="shared" si="2"/>
        <v>8.2145631832148576E-3</v>
      </c>
      <c r="J94" s="302">
        <f t="shared" ref="J94:L94" si="7">J87</f>
        <v>119.25051757006473</v>
      </c>
      <c r="K94" s="41" t="str">
        <f t="shared" si="7"/>
        <v>NA</v>
      </c>
      <c r="L94" s="62">
        <f t="shared" si="7"/>
        <v>1.8840492730247668E-2</v>
      </c>
      <c r="M94" s="349">
        <f>F94*($B$27*'Interactive Effects'!$B$10+$B$28)</f>
        <v>52.681270987307343</v>
      </c>
      <c r="N94" s="99" t="s">
        <v>46</v>
      </c>
      <c r="O94" s="392">
        <f>F94*'Interactive Effects'!$D$10*$B$27</f>
        <v>-0.78015304354755199</v>
      </c>
      <c r="P94" s="395">
        <f>I94*($B$27*'Interactive Effects'!$C$10+$B$28)</f>
        <v>1.0929476315267368E-2</v>
      </c>
      <c r="Q94" s="349">
        <f>J94*($B$27*'Interactive Effects'!$B$10+$B$28)</f>
        <v>120.82700941234098</v>
      </c>
      <c r="R94" s="99" t="s">
        <v>46</v>
      </c>
      <c r="S94" s="392">
        <f>J94*'Interactive Effects'!$D$10*$B$27</f>
        <v>-1.7893182409835506</v>
      </c>
      <c r="T94" s="399">
        <f>L94*($B$27*'Interactive Effects'!$C$10+$B$28)</f>
        <v>2.5067275577594524E-2</v>
      </c>
      <c r="U94" s="75"/>
      <c r="V94" s="75"/>
    </row>
    <row r="95" spans="1:22" ht="16.5" thickBot="1">
      <c r="A95" s="457"/>
      <c r="B95" s="64" t="s">
        <v>42</v>
      </c>
      <c r="C95" s="65"/>
      <c r="D95" s="66" t="s">
        <v>4</v>
      </c>
      <c r="E95" s="288" t="s">
        <v>4</v>
      </c>
      <c r="F95" s="464" t="str">
        <f t="shared" si="1"/>
        <v>N/A</v>
      </c>
      <c r="G95" s="465"/>
      <c r="H95" s="67">
        <f t="shared" si="2"/>
        <v>3.5082645880445447</v>
      </c>
      <c r="I95" s="68" t="str">
        <f t="shared" si="2"/>
        <v>NA</v>
      </c>
      <c r="J95" s="300" t="str">
        <f t="shared" ref="J95:L95" si="8">J88</f>
        <v>N/A</v>
      </c>
      <c r="K95" s="232">
        <f t="shared" si="8"/>
        <v>4.6483836581955664</v>
      </c>
      <c r="L95" s="116" t="str">
        <f t="shared" si="8"/>
        <v>NA</v>
      </c>
      <c r="M95" s="311" t="s">
        <v>231</v>
      </c>
      <c r="N95" s="115">
        <f>H95</f>
        <v>3.5082645880445447</v>
      </c>
      <c r="O95" s="232">
        <v>0</v>
      </c>
      <c r="P95" s="397" t="s">
        <v>231</v>
      </c>
      <c r="Q95" s="311" t="s">
        <v>231</v>
      </c>
      <c r="R95" s="115">
        <f>K95</f>
        <v>4.6483836581955664</v>
      </c>
      <c r="S95" s="232">
        <v>0</v>
      </c>
      <c r="T95" s="401" t="s">
        <v>231</v>
      </c>
      <c r="U95" s="75"/>
      <c r="V95" s="75"/>
    </row>
    <row r="96" spans="1:22" ht="16.5" thickBot="1">
      <c r="A96" s="455" t="s">
        <v>67</v>
      </c>
      <c r="B96" s="69" t="s">
        <v>9</v>
      </c>
      <c r="C96" s="70"/>
      <c r="D96" s="71" t="s">
        <v>6</v>
      </c>
      <c r="E96" s="289" t="s">
        <v>4</v>
      </c>
      <c r="F96" s="466">
        <f t="shared" si="1"/>
        <v>96.811897625679876</v>
      </c>
      <c r="G96" s="467"/>
      <c r="H96" s="60" t="str">
        <f t="shared" si="2"/>
        <v>NA</v>
      </c>
      <c r="I96" s="61">
        <f t="shared" si="2"/>
        <v>1.5295395697938466E-2</v>
      </c>
      <c r="J96" s="301">
        <f>J89</f>
        <v>128.03892475096154</v>
      </c>
      <c r="K96" s="168" t="str">
        <f>K89</f>
        <v>NA</v>
      </c>
      <c r="L96" s="304">
        <f>L89</f>
        <v>2.0228980805403054E-2</v>
      </c>
      <c r="M96" s="308">
        <f>F96*('Interactive Effects'!$B$10*$B$27+$B$28)</f>
        <v>98.09175091229136</v>
      </c>
      <c r="N96" s="105" t="s">
        <v>46</v>
      </c>
      <c r="O96" s="391">
        <f>F96*'Interactive Effects'!$D$10*$B$27</f>
        <v>-1.452633480304039</v>
      </c>
      <c r="P96" s="394">
        <f>I96*('Interactive Effects'!$C$10*$B$27+$B$28)</f>
        <v>2.0350523976107128E-2</v>
      </c>
      <c r="Q96" s="308">
        <f>J96*('Interactive Effects'!$B$10*$B$27+$B$28)</f>
        <v>129.73159933616927</v>
      </c>
      <c r="R96" s="105" t="s">
        <v>46</v>
      </c>
      <c r="S96" s="391">
        <f>J96*'Interactive Effects'!$D$10*$B$27</f>
        <v>-1.9211856542107528</v>
      </c>
      <c r="T96" s="398">
        <f>L96*('Interactive Effects'!$C$10*$B$27+$B$28)</f>
        <v>2.6914658961588765E-2</v>
      </c>
      <c r="U96" s="75"/>
      <c r="V96" s="75"/>
    </row>
    <row r="97" spans="1:22" ht="16.5" thickBot="1">
      <c r="A97" s="456"/>
      <c r="B97" s="52" t="s">
        <v>8</v>
      </c>
      <c r="C97" s="53"/>
      <c r="D97" s="54" t="s">
        <v>6</v>
      </c>
      <c r="E97" s="290" t="s">
        <v>4</v>
      </c>
      <c r="F97" s="460">
        <f t="shared" si="1"/>
        <v>96.811897625679876</v>
      </c>
      <c r="G97" s="461"/>
      <c r="H97" s="162" t="str">
        <f t="shared" si="2"/>
        <v>NA</v>
      </c>
      <c r="I97" s="62">
        <f t="shared" si="2"/>
        <v>1.5295395697938466E-2</v>
      </c>
      <c r="J97" s="302">
        <f t="shared" ref="J97:L97" si="9">J90</f>
        <v>128.03892475096154</v>
      </c>
      <c r="K97" s="14" t="str">
        <f t="shared" si="9"/>
        <v>NA</v>
      </c>
      <c r="L97" s="305">
        <f t="shared" si="9"/>
        <v>2.0228980805403054E-2</v>
      </c>
      <c r="M97" s="349">
        <f>F97*(($C$24*'Interactive Effects'!$B$10+(1-$C$24))*$B$27+$B$28)</f>
        <v>97.067868283002184</v>
      </c>
      <c r="N97" s="99" t="s">
        <v>46</v>
      </c>
      <c r="O97" s="392">
        <f>F97*($C$24*'Interactive Effects'!$D$10*$B$27)</f>
        <v>-0.29052669606080783</v>
      </c>
      <c r="P97" s="395">
        <f>I97*(($C$24*'Interactive Effects'!$C$10+(1-$C$24))*$B$27+$B$28)</f>
        <v>1.6306421353572197E-2</v>
      </c>
      <c r="Q97" s="349">
        <f>J97*(($C$24*'Interactive Effects'!$B$10+(1-$C$24))*$B$27+$B$28)</f>
        <v>128.3774596680031</v>
      </c>
      <c r="R97" s="99" t="s">
        <v>46</v>
      </c>
      <c r="S97" s="392">
        <f>J97*($C$24*'Interactive Effects'!$D$10*$B$27)</f>
        <v>-0.38423713084215061</v>
      </c>
      <c r="T97" s="399">
        <f>L97*(($C$24*'Interactive Effects'!$C$10+(1-$C$24))*$B$27+$B$28)</f>
        <v>2.1566116436640196E-2</v>
      </c>
      <c r="U97" s="75"/>
      <c r="V97" s="75"/>
    </row>
    <row r="98" spans="1:22" ht="16.5" thickBot="1">
      <c r="A98" s="456"/>
      <c r="B98" s="55" t="s">
        <v>9</v>
      </c>
      <c r="C98" s="56"/>
      <c r="D98" s="57" t="s">
        <v>7</v>
      </c>
      <c r="E98" s="291">
        <v>120</v>
      </c>
      <c r="F98" s="462">
        <f t="shared" si="1"/>
        <v>36.924807964612768</v>
      </c>
      <c r="G98" s="463"/>
      <c r="H98" s="160" t="str">
        <f t="shared" si="2"/>
        <v>NA</v>
      </c>
      <c r="I98" s="63">
        <f t="shared" si="2"/>
        <v>5.8337824455506927E-3</v>
      </c>
      <c r="J98" s="303">
        <f t="shared" ref="J98:L98" si="10">J91</f>
        <v>51.564809940561091</v>
      </c>
      <c r="K98" s="16" t="str">
        <f t="shared" si="10"/>
        <v>NA</v>
      </c>
      <c r="L98" s="63">
        <f t="shared" si="10"/>
        <v>8.1467690591023462E-3</v>
      </c>
      <c r="M98" s="310">
        <f>F98*($B$27*'Interactive Effects'!$B$10+$B$28)</f>
        <v>37.412953925904951</v>
      </c>
      <c r="N98" s="109" t="s">
        <v>46</v>
      </c>
      <c r="O98" s="393">
        <f>F98*'Interactive Effects'!$D$10*$B$27</f>
        <v>-0.55404566606662531</v>
      </c>
      <c r="P98" s="396">
        <f>I98*($B$27*'Interactive Effects'!$C$10+$B$28)</f>
        <v>7.7618475438051967E-3</v>
      </c>
      <c r="Q98" s="310">
        <f>J98*($B$27*'Interactive Effects'!$B$10+$B$28)</f>
        <v>52.246496727975305</v>
      </c>
      <c r="R98" s="109" t="s">
        <v>46</v>
      </c>
      <c r="S98" s="393">
        <f>J98*'Interactive Effects'!$D$10*$B$27</f>
        <v>-0.77371450371513717</v>
      </c>
      <c r="T98" s="400">
        <f>L98*($B$27*'Interactive Effects'!$C$10+$B$28)</f>
        <v>1.0839276233135672E-2</v>
      </c>
      <c r="U98" s="75"/>
      <c r="V98" s="75"/>
    </row>
    <row r="99" spans="1:22" ht="16.5" thickBot="1">
      <c r="A99" s="456"/>
      <c r="B99" s="52" t="s">
        <v>8</v>
      </c>
      <c r="C99" s="53"/>
      <c r="D99" s="54" t="s">
        <v>7</v>
      </c>
      <c r="E99" s="290">
        <v>120</v>
      </c>
      <c r="F99" s="460">
        <f t="shared" si="1"/>
        <v>36.924807964612768</v>
      </c>
      <c r="G99" s="461"/>
      <c r="H99" s="162" t="str">
        <f t="shared" si="2"/>
        <v>NA</v>
      </c>
      <c r="I99" s="62">
        <f t="shared" si="2"/>
        <v>5.8337824455506927E-3</v>
      </c>
      <c r="J99" s="302">
        <f t="shared" ref="J99:L99" si="11">J92</f>
        <v>51.564809940561091</v>
      </c>
      <c r="K99" s="41" t="str">
        <f t="shared" si="11"/>
        <v>NA</v>
      </c>
      <c r="L99" s="62">
        <f t="shared" si="11"/>
        <v>8.1467690591023462E-3</v>
      </c>
      <c r="M99" s="349">
        <f>F99*(($C$24*'Interactive Effects'!$B$10+(1-$C$24))*$B$27+$B$28)</f>
        <v>37.022437156871206</v>
      </c>
      <c r="N99" s="99" t="s">
        <v>46</v>
      </c>
      <c r="O99" s="392">
        <f>F99*$C$24*'Interactive Effects'!$D$10*$B$27</f>
        <v>-0.11080913321332507</v>
      </c>
      <c r="P99" s="395">
        <f>I99*(($C$24*'Interactive Effects'!$C$10+(1-$C$24))*$B$27+$B$28)</f>
        <v>6.2193954652015942E-3</v>
      </c>
      <c r="Q99" s="349">
        <f>J99*(($C$24*'Interactive Effects'!$B$10+(1-$C$24))*$B$27+$B$28)</f>
        <v>51.701147298043942</v>
      </c>
      <c r="R99" s="99" t="s">
        <v>46</v>
      </c>
      <c r="S99" s="392">
        <f>J99*$C$24*'Interactive Effects'!$D$10*$B$27</f>
        <v>-0.15474290074302743</v>
      </c>
      <c r="T99" s="399">
        <f>L99*(($C$24*'Interactive Effects'!$C$10+(1-$C$24))*$B$27+$B$28)</f>
        <v>8.6852704939090111E-3</v>
      </c>
      <c r="U99" s="75"/>
      <c r="V99" s="75"/>
    </row>
    <row r="100" spans="1:22" ht="16.5" thickBot="1">
      <c r="A100" s="456"/>
      <c r="B100" s="55" t="s">
        <v>8</v>
      </c>
      <c r="C100" s="56"/>
      <c r="D100" s="57" t="s">
        <v>7</v>
      </c>
      <c r="E100" s="291">
        <v>240</v>
      </c>
      <c r="F100" s="462">
        <f t="shared" si="1"/>
        <v>41.082150891244453</v>
      </c>
      <c r="G100" s="463"/>
      <c r="H100" s="160" t="str">
        <f t="shared" si="2"/>
        <v>NA</v>
      </c>
      <c r="I100" s="63">
        <f t="shared" si="2"/>
        <v>6.4906046613564293E-3</v>
      </c>
      <c r="J100" s="303">
        <f t="shared" ref="J100:L100" si="12">J93</f>
        <v>68.495024156353466</v>
      </c>
      <c r="K100" s="16" t="str">
        <f t="shared" si="12"/>
        <v>NA</v>
      </c>
      <c r="L100" s="63">
        <f t="shared" si="12"/>
        <v>1.0821588291369085E-2</v>
      </c>
      <c r="M100" s="349">
        <f>F100*(($C$24*'Interactive Effects'!$B$10+(1-$C$24))*$B$27+$B$28)</f>
        <v>41.19077209820091</v>
      </c>
      <c r="N100" s="99" t="s">
        <v>46</v>
      </c>
      <c r="O100" s="392">
        <f>F100*$C$24*'Interactive Effects'!$D$10*$B$27</f>
        <v>-0.12328506989557113</v>
      </c>
      <c r="P100" s="395">
        <f>I100*(($C$24*'Interactive Effects'!$C$10+(1-$C$24))*$B$27+$B$28)</f>
        <v>6.9196336294720896E-3</v>
      </c>
      <c r="Q100" s="349">
        <f>J100*(($C$24*'Interactive Effects'!$B$10+(1-$C$24))*$B$27+$B$28)</f>
        <v>68.676125000222868</v>
      </c>
      <c r="R100" s="99" t="s">
        <v>46</v>
      </c>
      <c r="S100" s="392">
        <f>J100*$C$24*'Interactive Effects'!$D$10*$B$27</f>
        <v>-0.20554945779176739</v>
      </c>
      <c r="T100" s="399">
        <f>L100*(($C$24*'Interactive Effects'!$C$10+(1-$C$24))*$B$27+$B$28)</f>
        <v>1.1536895277428582E-2</v>
      </c>
      <c r="U100" s="75"/>
      <c r="V100" s="75"/>
    </row>
    <row r="101" spans="1:22" ht="16.5" thickBot="1">
      <c r="A101" s="456"/>
      <c r="B101" s="52" t="s">
        <v>9</v>
      </c>
      <c r="C101" s="53"/>
      <c r="D101" s="54" t="s">
        <v>7</v>
      </c>
      <c r="E101" s="290">
        <v>240</v>
      </c>
      <c r="F101" s="460">
        <f t="shared" si="1"/>
        <v>51.993911477573818</v>
      </c>
      <c r="G101" s="461"/>
      <c r="H101" s="162" t="str">
        <f t="shared" si="2"/>
        <v>NA</v>
      </c>
      <c r="I101" s="62">
        <f t="shared" si="2"/>
        <v>8.2145631832148576E-3</v>
      </c>
      <c r="J101" s="302">
        <f t="shared" ref="J101:L101" si="13">J94</f>
        <v>119.25051757006473</v>
      </c>
      <c r="K101" s="41" t="str">
        <f t="shared" si="13"/>
        <v>NA</v>
      </c>
      <c r="L101" s="62">
        <f t="shared" si="13"/>
        <v>1.8840492730247668E-2</v>
      </c>
      <c r="M101" s="349">
        <f>F101*($B$27*'Interactive Effects'!$B$10+$B$28)</f>
        <v>52.681270987307343</v>
      </c>
      <c r="N101" s="99" t="s">
        <v>46</v>
      </c>
      <c r="O101" s="392">
        <f>F101*'Interactive Effects'!$D$10*$B$27</f>
        <v>-0.78015304354755199</v>
      </c>
      <c r="P101" s="395">
        <f>I101*($B$27*'Interactive Effects'!$C$10+$B$28)</f>
        <v>1.0929476315267368E-2</v>
      </c>
      <c r="Q101" s="349">
        <f>J101*($B$27*'Interactive Effects'!$B$10+$B$28)</f>
        <v>120.82700941234098</v>
      </c>
      <c r="R101" s="99" t="s">
        <v>46</v>
      </c>
      <c r="S101" s="392">
        <f>J101*'Interactive Effects'!$D$10*$B$27</f>
        <v>-1.7893182409835506</v>
      </c>
      <c r="T101" s="399">
        <f>L101*($B$27*'Interactive Effects'!$C$10+$B$28)</f>
        <v>2.5067275577594524E-2</v>
      </c>
      <c r="U101" s="75"/>
      <c r="V101" s="75"/>
    </row>
    <row r="102" spans="1:22" ht="16.5" thickBot="1">
      <c r="A102" s="457"/>
      <c r="B102" s="72" t="s">
        <v>42</v>
      </c>
      <c r="C102" s="73"/>
      <c r="D102" s="74" t="s">
        <v>4</v>
      </c>
      <c r="E102" s="292" t="s">
        <v>4</v>
      </c>
      <c r="F102" s="464" t="str">
        <f t="shared" si="1"/>
        <v>N/A</v>
      </c>
      <c r="G102" s="465"/>
      <c r="H102" s="67">
        <f t="shared" si="2"/>
        <v>3.5082645880445447</v>
      </c>
      <c r="I102" s="68" t="str">
        <f t="shared" si="2"/>
        <v>NA</v>
      </c>
      <c r="J102" s="300" t="str">
        <f t="shared" ref="J102:L102" si="14">J95</f>
        <v>N/A</v>
      </c>
      <c r="K102" s="232">
        <f t="shared" si="14"/>
        <v>4.6483836581955664</v>
      </c>
      <c r="L102" s="116" t="str">
        <f t="shared" si="14"/>
        <v>NA</v>
      </c>
      <c r="M102" s="311" t="s">
        <v>231</v>
      </c>
      <c r="N102" s="115">
        <f>H102</f>
        <v>3.5082645880445447</v>
      </c>
      <c r="O102" s="232">
        <v>0</v>
      </c>
      <c r="P102" s="397" t="s">
        <v>231</v>
      </c>
      <c r="Q102" s="311" t="s">
        <v>231</v>
      </c>
      <c r="R102" s="115">
        <f>K102</f>
        <v>4.6483836581955664</v>
      </c>
      <c r="S102" s="232">
        <v>0</v>
      </c>
      <c r="T102" s="401" t="s">
        <v>231</v>
      </c>
      <c r="U102" s="75"/>
      <c r="V102" s="75"/>
    </row>
    <row r="103" spans="1:22">
      <c r="M103" s="120"/>
      <c r="O103" s="75"/>
      <c r="P103" s="75"/>
      <c r="Q103" s="75"/>
      <c r="R103" s="75"/>
      <c r="S103" s="75"/>
      <c r="T103" s="75"/>
      <c r="U103" s="75"/>
      <c r="V103" s="75"/>
    </row>
    <row r="104" spans="1:22">
      <c r="M104" s="120"/>
      <c r="O104" s="75"/>
      <c r="P104" s="75"/>
      <c r="Q104" s="75"/>
      <c r="R104" s="75"/>
      <c r="S104" s="75"/>
      <c r="T104" s="75"/>
      <c r="U104" s="75"/>
      <c r="V104" s="75"/>
    </row>
    <row r="105" spans="1:22">
      <c r="M105" s="120"/>
      <c r="O105" s="75"/>
      <c r="P105" s="75"/>
      <c r="Q105" s="75"/>
      <c r="R105" s="75"/>
      <c r="S105" s="75"/>
      <c r="T105" s="75"/>
      <c r="U105" s="75"/>
      <c r="V105" s="75"/>
    </row>
    <row r="106" spans="1:22">
      <c r="M106" s="120"/>
      <c r="O106" s="75"/>
      <c r="P106" s="75"/>
      <c r="Q106" s="75"/>
      <c r="R106" s="75"/>
      <c r="S106" s="75"/>
      <c r="T106" s="75"/>
      <c r="U106" s="75"/>
      <c r="V106" s="75"/>
    </row>
    <row r="107" spans="1:22">
      <c r="M107" s="120"/>
      <c r="O107" s="75"/>
      <c r="P107" s="75"/>
      <c r="Q107" s="75"/>
      <c r="R107" s="75"/>
      <c r="S107" s="75"/>
      <c r="T107" s="75"/>
      <c r="U107" s="75"/>
      <c r="V107" s="75"/>
    </row>
    <row r="108" spans="1:22">
      <c r="M108" s="120"/>
      <c r="O108" s="75"/>
      <c r="P108" s="75"/>
      <c r="Q108" s="75"/>
      <c r="R108" s="75"/>
      <c r="S108" s="75"/>
      <c r="T108" s="75"/>
      <c r="U108" s="75"/>
      <c r="V108" s="75"/>
    </row>
    <row r="109" spans="1:22">
      <c r="M109" s="120"/>
      <c r="O109" s="75"/>
      <c r="P109" s="75"/>
      <c r="Q109" s="75"/>
      <c r="R109" s="75"/>
      <c r="S109" s="75"/>
      <c r="T109" s="75"/>
      <c r="U109" s="75"/>
      <c r="V109" s="75"/>
    </row>
    <row r="110" spans="1:22">
      <c r="M110" s="120"/>
    </row>
    <row r="111" spans="1:22">
      <c r="M111" s="120"/>
    </row>
    <row r="112" spans="1:22">
      <c r="M112" s="120"/>
    </row>
    <row r="113" spans="13:13">
      <c r="M113" s="120"/>
    </row>
    <row r="114" spans="13:13">
      <c r="M114" s="120"/>
    </row>
    <row r="115" spans="13:13">
      <c r="M115" s="120"/>
    </row>
    <row r="116" spans="13:13">
      <c r="M116" s="120"/>
    </row>
    <row r="117" spans="13:13">
      <c r="M117" s="120"/>
    </row>
    <row r="118" spans="13:13">
      <c r="M118" s="120"/>
    </row>
    <row r="119" spans="13:13">
      <c r="M119" s="120"/>
    </row>
    <row r="120" spans="13:13">
      <c r="M120" s="120"/>
    </row>
    <row r="121" spans="13:13">
      <c r="M121" s="120"/>
    </row>
    <row r="122" spans="13:13">
      <c r="M122" s="120"/>
    </row>
    <row r="123" spans="13:13">
      <c r="M123" s="120"/>
    </row>
    <row r="124" spans="13:13">
      <c r="M124" s="120"/>
    </row>
    <row r="125" spans="13:13">
      <c r="M125" s="120"/>
    </row>
  </sheetData>
  <mergeCells count="110">
    <mergeCell ref="Q73:T73"/>
    <mergeCell ref="L17:L22"/>
    <mergeCell ref="N17:N21"/>
    <mergeCell ref="M17:M24"/>
    <mergeCell ref="N25:N33"/>
    <mergeCell ref="M25:M33"/>
    <mergeCell ref="L25:L33"/>
    <mergeCell ref="A1:Q1"/>
    <mergeCell ref="L2:Q2"/>
    <mergeCell ref="L4:L16"/>
    <mergeCell ref="M4:M16"/>
    <mergeCell ref="N4:N16"/>
    <mergeCell ref="A40:C40"/>
    <mergeCell ref="A35:H35"/>
    <mergeCell ref="F38:G38"/>
    <mergeCell ref="F39:G39"/>
    <mergeCell ref="F40:G40"/>
    <mergeCell ref="A36:C36"/>
    <mergeCell ref="A52:G52"/>
    <mergeCell ref="I52:N52"/>
    <mergeCell ref="I53:J53"/>
    <mergeCell ref="I54:J54"/>
    <mergeCell ref="I55:J55"/>
    <mergeCell ref="A55:C55"/>
    <mergeCell ref="F92:G92"/>
    <mergeCell ref="F93:G93"/>
    <mergeCell ref="F94:G94"/>
    <mergeCell ref="F95:G95"/>
    <mergeCell ref="A82:A88"/>
    <mergeCell ref="F96:G96"/>
    <mergeCell ref="F97:G97"/>
    <mergeCell ref="F98:G98"/>
    <mergeCell ref="F99:G99"/>
    <mergeCell ref="A89:A95"/>
    <mergeCell ref="A96:A102"/>
    <mergeCell ref="F82:G82"/>
    <mergeCell ref="F83:G83"/>
    <mergeCell ref="F84:G84"/>
    <mergeCell ref="F85:G85"/>
    <mergeCell ref="F86:G86"/>
    <mergeCell ref="F87:G87"/>
    <mergeCell ref="F88:G88"/>
    <mergeCell ref="F89:G89"/>
    <mergeCell ref="F90:G90"/>
    <mergeCell ref="F100:G100"/>
    <mergeCell ref="F101:G101"/>
    <mergeCell ref="F102:G102"/>
    <mergeCell ref="F91:G91"/>
    <mergeCell ref="F76:G76"/>
    <mergeCell ref="F79:G79"/>
    <mergeCell ref="F74:G74"/>
    <mergeCell ref="F75:G75"/>
    <mergeCell ref="A72:A74"/>
    <mergeCell ref="D72:D74"/>
    <mergeCell ref="B72:C74"/>
    <mergeCell ref="E72:E74"/>
    <mergeCell ref="F77:G77"/>
    <mergeCell ref="A75:A81"/>
    <mergeCell ref="F78:G78"/>
    <mergeCell ref="F80:G80"/>
    <mergeCell ref="F81:G81"/>
    <mergeCell ref="F73:I73"/>
    <mergeCell ref="A37:C37"/>
    <mergeCell ref="F36:G36"/>
    <mergeCell ref="F37:G37"/>
    <mergeCell ref="A53:C53"/>
    <mergeCell ref="A54:C54"/>
    <mergeCell ref="F53:G53"/>
    <mergeCell ref="F54:G54"/>
    <mergeCell ref="A41:C41"/>
    <mergeCell ref="F41:G41"/>
    <mergeCell ref="A38:C38"/>
    <mergeCell ref="A39:C39"/>
    <mergeCell ref="A44:C44"/>
    <mergeCell ref="A45:C45"/>
    <mergeCell ref="J73:L73"/>
    <mergeCell ref="F72:L72"/>
    <mergeCell ref="M73:P73"/>
    <mergeCell ref="M72:T72"/>
    <mergeCell ref="I56:J56"/>
    <mergeCell ref="A66:C66"/>
    <mergeCell ref="A67:C67"/>
    <mergeCell ref="A68:C68"/>
    <mergeCell ref="F65:G65"/>
    <mergeCell ref="F66:G66"/>
    <mergeCell ref="F67:G67"/>
    <mergeCell ref="A57:C57"/>
    <mergeCell ref="A58:C58"/>
    <mergeCell ref="F58:G58"/>
    <mergeCell ref="A64:C64"/>
    <mergeCell ref="F64:G64"/>
    <mergeCell ref="I57:J57"/>
    <mergeCell ref="F56:G56"/>
    <mergeCell ref="F57:G57"/>
    <mergeCell ref="A56:C56"/>
    <mergeCell ref="I58:J58"/>
    <mergeCell ref="A69:C69"/>
    <mergeCell ref="F69:G69"/>
    <mergeCell ref="A63:O63"/>
    <mergeCell ref="A71:T71"/>
    <mergeCell ref="A46:C46"/>
    <mergeCell ref="F46:G46"/>
    <mergeCell ref="F44:G44"/>
    <mergeCell ref="F45:G45"/>
    <mergeCell ref="A47:C47"/>
    <mergeCell ref="F47:G47"/>
    <mergeCell ref="A43:H43"/>
    <mergeCell ref="F55:G55"/>
    <mergeCell ref="F68:G68"/>
    <mergeCell ref="A65:C65"/>
  </mergeCells>
  <pageMargins left="0.75" right="0.75" top="1" bottom="1" header="0.5" footer="0.5"/>
  <pageSetup orientation="portrait" horizontalDpi="4294967292" verticalDpi="4294967292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3" workbookViewId="0">
      <selection activeCell="C34" sqref="C34"/>
    </sheetView>
  </sheetViews>
  <sheetFormatPr defaultColWidth="11" defaultRowHeight="15.75"/>
  <cols>
    <col min="1" max="1" width="5.5" bestFit="1" customWidth="1"/>
    <col min="2" max="2" width="9.875" customWidth="1"/>
    <col min="3" max="3" width="10.875" customWidth="1"/>
    <col min="4" max="4" width="6.625" bestFit="1" customWidth="1"/>
    <col min="5" max="5" width="7" bestFit="1" customWidth="1"/>
    <col min="6" max="6" width="8.5" bestFit="1" customWidth="1"/>
    <col min="7" max="7" width="9.5" customWidth="1"/>
    <col min="8" max="8" width="11.125" customWidth="1"/>
    <col min="9" max="9" width="6.625" bestFit="1" customWidth="1"/>
    <col min="10" max="10" width="10.625" customWidth="1"/>
    <col min="11" max="11" width="10.5" customWidth="1"/>
    <col min="12" max="12" width="10" hidden="1" customWidth="1"/>
    <col min="13" max="13" width="11" hidden="1" customWidth="1"/>
    <col min="14" max="14" width="6.625" hidden="1" customWidth="1"/>
    <col min="15" max="15" width="7.125" hidden="1" customWidth="1"/>
    <col min="16" max="16" width="8.5" hidden="1" customWidth="1"/>
    <col min="17" max="17" width="10.5" hidden="1" customWidth="1"/>
    <col min="18" max="18" width="10.125" hidden="1" customWidth="1"/>
    <col min="19" max="19" width="6.625" hidden="1" customWidth="1"/>
    <col min="20" max="20" width="7" hidden="1" customWidth="1"/>
    <col min="21" max="21" width="8.5" hidden="1" customWidth="1"/>
    <col min="23" max="23" width="2" bestFit="1" customWidth="1"/>
    <col min="24" max="24" width="4.5" bestFit="1" customWidth="1"/>
    <col min="25" max="25" width="62.625" bestFit="1" customWidth="1"/>
  </cols>
  <sheetData>
    <row r="1" spans="1:18" ht="18.75">
      <c r="A1" s="474" t="s">
        <v>108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18"/>
      <c r="M1" s="18"/>
      <c r="N1" s="18"/>
      <c r="O1" s="18"/>
      <c r="P1" s="18"/>
      <c r="Q1" s="18"/>
      <c r="R1" s="18"/>
    </row>
    <row r="18" spans="1:26" ht="16.5" thickBot="1">
      <c r="E18" s="499" t="s">
        <v>36</v>
      </c>
      <c r="F18" s="499"/>
      <c r="G18" s="499"/>
      <c r="H18" s="499"/>
      <c r="I18" s="499"/>
      <c r="J18" s="475" t="s">
        <v>33</v>
      </c>
      <c r="K18" s="475"/>
      <c r="N18" s="75"/>
      <c r="V18" s="225"/>
      <c r="W18" s="225"/>
      <c r="X18" s="225"/>
      <c r="Y18" s="225"/>
      <c r="Z18" s="225"/>
    </row>
    <row r="19" spans="1:26">
      <c r="F19" s="490" t="s">
        <v>31</v>
      </c>
      <c r="G19" s="491"/>
      <c r="H19" s="492"/>
      <c r="J19" s="494" t="s">
        <v>39</v>
      </c>
      <c r="K19" s="494" t="s">
        <v>79</v>
      </c>
      <c r="M19" s="75" t="s">
        <v>149</v>
      </c>
      <c r="N19" s="76"/>
      <c r="V19" s="225"/>
      <c r="W19" s="225"/>
      <c r="X19" s="228"/>
      <c r="Y19" s="227"/>
      <c r="Z19" s="225"/>
    </row>
    <row r="20" spans="1:26" ht="16.5" thickBot="1">
      <c r="A20" s="475" t="s">
        <v>32</v>
      </c>
      <c r="B20" s="475"/>
      <c r="C20" s="475"/>
      <c r="D20" s="475"/>
      <c r="F20" s="23" t="s">
        <v>26</v>
      </c>
      <c r="G20" s="19" t="s">
        <v>27</v>
      </c>
      <c r="H20" s="19" t="s">
        <v>28</v>
      </c>
      <c r="J20" s="495"/>
      <c r="K20" s="495"/>
      <c r="M20" s="84" t="s">
        <v>26</v>
      </c>
      <c r="N20" s="84" t="s">
        <v>27</v>
      </c>
      <c r="O20" s="84" t="s">
        <v>28</v>
      </c>
      <c r="V20" s="225"/>
      <c r="W20" s="226"/>
      <c r="X20" s="229"/>
      <c r="Y20" s="227"/>
      <c r="Z20" s="225"/>
    </row>
    <row r="21" spans="1:26" ht="16.5" thickBot="1">
      <c r="A21" s="490" t="s">
        <v>25</v>
      </c>
      <c r="B21" s="491"/>
      <c r="C21" s="491"/>
      <c r="D21" s="492"/>
      <c r="F21" s="24">
        <v>14.2</v>
      </c>
      <c r="G21" s="21">
        <v>8.5</v>
      </c>
      <c r="H21" s="21">
        <v>1.7</v>
      </c>
      <c r="J21" s="25">
        <f>(F21*A23+G21*B23+H21*C23)/1000</f>
        <v>39.606000000000002</v>
      </c>
      <c r="K21" s="25">
        <f>F21</f>
        <v>14.2</v>
      </c>
      <c r="M21" s="85">
        <f>F21*A23/1000</f>
        <v>22.436</v>
      </c>
      <c r="N21" s="85">
        <f>B23*G21/1000</f>
        <v>6.2050000000000001</v>
      </c>
      <c r="O21">
        <f>C23*H21/1000</f>
        <v>10.965</v>
      </c>
      <c r="P21" s="120">
        <f>SUM(M21:O21)</f>
        <v>39.605999999999995</v>
      </c>
      <c r="V21" s="225"/>
      <c r="W21" s="226"/>
      <c r="X21" s="229"/>
      <c r="Y21" s="227"/>
      <c r="Z21" s="225"/>
    </row>
    <row r="22" spans="1:26" ht="16.5" thickBot="1">
      <c r="A22" s="23" t="s">
        <v>26</v>
      </c>
      <c r="B22" s="19" t="s">
        <v>27</v>
      </c>
      <c r="C22" s="19" t="s">
        <v>28</v>
      </c>
      <c r="D22" s="19" t="s">
        <v>29</v>
      </c>
      <c r="M22" s="154">
        <f>M21/P21</f>
        <v>0.56647982628894622</v>
      </c>
      <c r="N22" s="154">
        <f>N21/P21</f>
        <v>0.1566681815886482</v>
      </c>
      <c r="O22" s="155">
        <f>O21/P21</f>
        <v>0.27685199212240574</v>
      </c>
      <c r="V22" s="225"/>
      <c r="W22" s="225"/>
      <c r="X22" s="225"/>
      <c r="Y22" s="225"/>
      <c r="Z22" s="225"/>
    </row>
    <row r="23" spans="1:26" ht="16.5" thickBot="1">
      <c r="A23" s="26">
        <v>1580</v>
      </c>
      <c r="B23" s="21">
        <v>730</v>
      </c>
      <c r="C23" s="20">
        <v>6450</v>
      </c>
      <c r="D23" s="20">
        <v>8760</v>
      </c>
      <c r="L23" s="118"/>
      <c r="M23" s="76"/>
      <c r="N23" s="500">
        <f>SUM(N22:O22)</f>
        <v>0.43352017371105395</v>
      </c>
      <c r="O23" s="500"/>
      <c r="V23" s="225"/>
      <c r="Z23" s="225"/>
    </row>
    <row r="24" spans="1:26" ht="16.5" hidden="1" thickBot="1">
      <c r="A24" s="217"/>
      <c r="B24" s="218"/>
      <c r="C24" s="217"/>
      <c r="D24" s="217"/>
      <c r="E24" s="489" t="s">
        <v>37</v>
      </c>
      <c r="F24" s="489"/>
      <c r="G24" s="489"/>
      <c r="H24" s="489"/>
      <c r="I24" s="489"/>
      <c r="J24" s="475" t="s">
        <v>35</v>
      </c>
      <c r="K24" s="475"/>
      <c r="L24" s="118"/>
      <c r="M24" s="76"/>
      <c r="N24" s="175"/>
      <c r="O24" s="175"/>
      <c r="V24" s="225"/>
      <c r="Z24" s="225"/>
    </row>
    <row r="25" spans="1:26" hidden="1">
      <c r="F25" s="490" t="s">
        <v>31</v>
      </c>
      <c r="G25" s="491"/>
      <c r="H25" s="492"/>
      <c r="J25" s="494" t="s">
        <v>39</v>
      </c>
      <c r="K25" s="494" t="s">
        <v>79</v>
      </c>
      <c r="L25" s="118"/>
      <c r="M25" s="76"/>
      <c r="N25" s="175"/>
      <c r="O25" s="175"/>
    </row>
    <row r="26" spans="1:26" ht="16.5" hidden="1" thickBot="1">
      <c r="F26" s="23" t="s">
        <v>26</v>
      </c>
      <c r="G26" s="177" t="s">
        <v>27</v>
      </c>
      <c r="H26" s="177" t="s">
        <v>28</v>
      </c>
      <c r="J26" s="495"/>
      <c r="K26" s="495"/>
      <c r="L26" s="118"/>
      <c r="M26" s="76"/>
      <c r="N26" s="175"/>
      <c r="O26" s="175"/>
    </row>
    <row r="27" spans="1:26" ht="16.5" hidden="1" thickBot="1">
      <c r="F27" s="24">
        <v>16</v>
      </c>
      <c r="G27" s="21">
        <v>8.3000000000000007</v>
      </c>
      <c r="H27" s="21">
        <v>1.4</v>
      </c>
      <c r="J27" s="25">
        <f>(F27*$A$23+G27*$B$23+H27*$C$23)/1000</f>
        <v>40.369</v>
      </c>
      <c r="K27" s="25">
        <f>F27</f>
        <v>16</v>
      </c>
      <c r="L27" s="118"/>
      <c r="M27" s="76"/>
      <c r="N27" s="175"/>
      <c r="O27" s="175"/>
    </row>
    <row r="28" spans="1:26">
      <c r="L28" s="118"/>
      <c r="M28" s="76"/>
      <c r="N28" s="175"/>
      <c r="O28" s="175"/>
    </row>
    <row r="29" spans="1:26" ht="16.5" thickBot="1">
      <c r="E29" s="499" t="s">
        <v>171</v>
      </c>
      <c r="F29" s="499"/>
      <c r="G29" s="499"/>
      <c r="H29" s="499"/>
      <c r="I29" s="499"/>
      <c r="J29" s="475" t="s">
        <v>172</v>
      </c>
      <c r="K29" s="475"/>
      <c r="L29" s="118"/>
      <c r="M29" s="76"/>
      <c r="N29" s="175"/>
      <c r="O29" s="175"/>
    </row>
    <row r="30" spans="1:26">
      <c r="F30" s="490" t="s">
        <v>31</v>
      </c>
      <c r="G30" s="491"/>
      <c r="H30" s="492"/>
      <c r="J30" s="494" t="s">
        <v>39</v>
      </c>
      <c r="K30" s="494" t="s">
        <v>79</v>
      </c>
      <c r="M30" s="77"/>
      <c r="N30" s="77"/>
    </row>
    <row r="31" spans="1:26" ht="16.5" thickBot="1">
      <c r="F31" s="23" t="s">
        <v>26</v>
      </c>
      <c r="G31" s="19" t="s">
        <v>27</v>
      </c>
      <c r="H31" s="19" t="s">
        <v>28</v>
      </c>
      <c r="J31" s="495"/>
      <c r="K31" s="495"/>
      <c r="M31" s="84" t="s">
        <v>26</v>
      </c>
      <c r="N31" s="84" t="s">
        <v>27</v>
      </c>
      <c r="O31" s="84" t="s">
        <v>28</v>
      </c>
    </row>
    <row r="32" spans="1:26" ht="16.5" thickBot="1">
      <c r="F32" s="119">
        <v>8</v>
      </c>
      <c r="G32" s="21">
        <v>9.1999999999999993</v>
      </c>
      <c r="H32" s="21">
        <v>1.5</v>
      </c>
      <c r="J32" s="25">
        <f>(F32*$A$23+G32*$B$23+H32*$C$23)/1000</f>
        <v>29.030999999999999</v>
      </c>
      <c r="K32" s="25">
        <f>F32</f>
        <v>8</v>
      </c>
      <c r="M32" s="85">
        <f>F32*A23/1000</f>
        <v>12.64</v>
      </c>
      <c r="N32" s="85">
        <f>G32*B23/1000</f>
        <v>6.7159999999999993</v>
      </c>
      <c r="O32">
        <f>H32*C23/1000</f>
        <v>9.6750000000000007</v>
      </c>
      <c r="P32" s="120">
        <f>SUM(M32:O32)</f>
        <v>29.031000000000002</v>
      </c>
    </row>
    <row r="33" spans="1:21">
      <c r="M33" s="154">
        <f>M32/P32</f>
        <v>0.43539664496572628</v>
      </c>
      <c r="N33" s="154">
        <f>N32/P32</f>
        <v>0.23133891357514377</v>
      </c>
      <c r="O33" s="155">
        <f>O32/P32</f>
        <v>0.33326444145912987</v>
      </c>
    </row>
    <row r="34" spans="1:21" ht="16.5" thickBot="1">
      <c r="E34" s="489" t="s">
        <v>40</v>
      </c>
      <c r="F34" s="489"/>
      <c r="G34" s="489"/>
      <c r="H34" s="489"/>
      <c r="I34" s="489"/>
      <c r="J34" s="475" t="s">
        <v>41</v>
      </c>
      <c r="K34" s="475"/>
      <c r="L34" s="118"/>
      <c r="M34" s="76"/>
      <c r="N34" s="500">
        <f>SUM(N33:O33)</f>
        <v>0.56460335503427361</v>
      </c>
      <c r="O34" s="500"/>
    </row>
    <row r="35" spans="1:21">
      <c r="F35" s="490" t="s">
        <v>31</v>
      </c>
      <c r="G35" s="491"/>
      <c r="H35" s="492"/>
      <c r="J35" s="494" t="s">
        <v>39</v>
      </c>
      <c r="K35" s="494" t="s">
        <v>79</v>
      </c>
    </row>
    <row r="36" spans="1:21" ht="16.5" thickBot="1">
      <c r="F36" s="23" t="s">
        <v>26</v>
      </c>
      <c r="G36" s="138" t="s">
        <v>27</v>
      </c>
      <c r="H36" s="138" t="s">
        <v>28</v>
      </c>
      <c r="J36" s="495"/>
      <c r="K36" s="495"/>
    </row>
    <row r="37" spans="1:21" ht="16.5" thickBot="1">
      <c r="F37" s="119">
        <v>9</v>
      </c>
      <c r="G37" s="21">
        <v>5.5</v>
      </c>
      <c r="H37" s="92">
        <v>1</v>
      </c>
      <c r="J37" s="25">
        <f>(F37*$A$23+G37*$B$23+H37*$C$23)/1000</f>
        <v>24.684999999999999</v>
      </c>
      <c r="K37" s="25">
        <f>F37</f>
        <v>9</v>
      </c>
    </row>
    <row r="39" spans="1:21" ht="16.5" hidden="1" thickBot="1">
      <c r="E39" s="489" t="s">
        <v>175</v>
      </c>
      <c r="F39" s="489"/>
      <c r="G39" s="489"/>
      <c r="H39" s="489"/>
      <c r="I39" s="489"/>
      <c r="J39" s="475" t="s">
        <v>176</v>
      </c>
      <c r="K39" s="475"/>
    </row>
    <row r="40" spans="1:21" hidden="1">
      <c r="F40" s="490" t="s">
        <v>31</v>
      </c>
      <c r="G40" s="491"/>
      <c r="H40" s="492"/>
      <c r="J40" s="494" t="s">
        <v>39</v>
      </c>
      <c r="K40" s="494" t="s">
        <v>79</v>
      </c>
    </row>
    <row r="41" spans="1:21" ht="16.5" hidden="1" thickBot="1">
      <c r="F41" s="23" t="s">
        <v>26</v>
      </c>
      <c r="G41" s="177" t="s">
        <v>27</v>
      </c>
      <c r="H41" s="177" t="s">
        <v>28</v>
      </c>
      <c r="J41" s="495"/>
      <c r="K41" s="495"/>
    </row>
    <row r="42" spans="1:21" ht="16.5" hidden="1" thickBot="1">
      <c r="F42" s="24">
        <v>9</v>
      </c>
      <c r="G42" s="21">
        <v>7.8</v>
      </c>
      <c r="H42" s="21">
        <v>1.8</v>
      </c>
      <c r="J42" s="25">
        <f>(F42*$A$23+G42*$B$23+H42*$C$23)/1000</f>
        <v>31.524000000000001</v>
      </c>
      <c r="K42" s="25">
        <f>F42</f>
        <v>9</v>
      </c>
    </row>
    <row r="43" spans="1:21" hidden="1"/>
    <row r="44" spans="1:21">
      <c r="A44" s="489" t="s">
        <v>145</v>
      </c>
      <c r="B44" s="489"/>
      <c r="C44" s="489"/>
      <c r="D44" s="489"/>
      <c r="E44" s="489"/>
      <c r="F44" s="489"/>
      <c r="G44" s="489"/>
      <c r="H44" s="489"/>
      <c r="I44" s="489"/>
      <c r="J44" s="489"/>
      <c r="K44" s="489"/>
      <c r="L44" s="489"/>
      <c r="M44" s="489"/>
      <c r="N44" s="489"/>
      <c r="O44" s="489"/>
      <c r="P44" s="489"/>
      <c r="Q44" s="489"/>
      <c r="R44" s="489"/>
      <c r="S44" s="489"/>
      <c r="T44" s="489"/>
      <c r="U44" s="489"/>
    </row>
    <row r="45" spans="1:21" ht="16.5" thickBot="1">
      <c r="A45" s="452" t="s">
        <v>65</v>
      </c>
      <c r="B45" s="486" t="s">
        <v>173</v>
      </c>
      <c r="C45" s="487"/>
      <c r="D45" s="487"/>
      <c r="E45" s="487"/>
      <c r="F45" s="488"/>
      <c r="G45" s="486" t="s">
        <v>146</v>
      </c>
      <c r="H45" s="487"/>
      <c r="I45" s="487"/>
      <c r="J45" s="487"/>
      <c r="K45" s="488"/>
      <c r="L45" s="486" t="s">
        <v>177</v>
      </c>
      <c r="M45" s="487"/>
      <c r="N45" s="487"/>
      <c r="O45" s="487"/>
      <c r="P45" s="488"/>
      <c r="Q45" s="497" t="s">
        <v>174</v>
      </c>
      <c r="R45" s="498"/>
      <c r="S45" s="498"/>
      <c r="T45" s="498"/>
      <c r="U45" s="498"/>
    </row>
    <row r="46" spans="1:21" ht="16.5" thickBot="1">
      <c r="A46" s="452"/>
      <c r="B46" s="481" t="s">
        <v>68</v>
      </c>
      <c r="C46" s="482"/>
      <c r="D46" s="483" t="s">
        <v>70</v>
      </c>
      <c r="E46" s="484"/>
      <c r="F46" s="485"/>
      <c r="G46" s="481" t="s">
        <v>68</v>
      </c>
      <c r="H46" s="482"/>
      <c r="I46" s="483" t="s">
        <v>70</v>
      </c>
      <c r="J46" s="484"/>
      <c r="K46" s="485"/>
      <c r="L46" s="481" t="s">
        <v>68</v>
      </c>
      <c r="M46" s="482"/>
      <c r="N46" s="483" t="s">
        <v>70</v>
      </c>
      <c r="O46" s="484"/>
      <c r="P46" s="485"/>
      <c r="Q46" s="481" t="s">
        <v>68</v>
      </c>
      <c r="R46" s="482"/>
      <c r="S46" s="496" t="s">
        <v>70</v>
      </c>
      <c r="T46" s="487"/>
      <c r="U46" s="487"/>
    </row>
    <row r="47" spans="1:21" ht="16.5" thickBot="1">
      <c r="A47" s="493"/>
      <c r="B47" s="219" t="s">
        <v>72</v>
      </c>
      <c r="C47" s="174" t="s">
        <v>178</v>
      </c>
      <c r="D47" s="173" t="s">
        <v>147</v>
      </c>
      <c r="E47" s="173" t="s">
        <v>178</v>
      </c>
      <c r="F47" s="224" t="s">
        <v>148</v>
      </c>
      <c r="G47" s="219" t="s">
        <v>72</v>
      </c>
      <c r="H47" s="174" t="s">
        <v>178</v>
      </c>
      <c r="I47" s="173" t="s">
        <v>147</v>
      </c>
      <c r="J47" s="174" t="s">
        <v>178</v>
      </c>
      <c r="K47" s="224" t="s">
        <v>148</v>
      </c>
      <c r="L47" s="219" t="s">
        <v>72</v>
      </c>
      <c r="M47" s="174" t="s">
        <v>178</v>
      </c>
      <c r="N47" s="173" t="s">
        <v>147</v>
      </c>
      <c r="O47" s="174" t="s">
        <v>178</v>
      </c>
      <c r="P47" s="224" t="s">
        <v>148</v>
      </c>
      <c r="Q47" s="219" t="s">
        <v>72</v>
      </c>
      <c r="R47" s="174" t="s">
        <v>178</v>
      </c>
      <c r="S47" s="173" t="s">
        <v>147</v>
      </c>
      <c r="T47" s="174" t="s">
        <v>178</v>
      </c>
      <c r="U47" s="173" t="s">
        <v>148</v>
      </c>
    </row>
    <row r="48" spans="1:21" ht="16.5" thickBot="1">
      <c r="A48" s="79" t="s">
        <v>66</v>
      </c>
      <c r="B48" s="220">
        <f>J21-J32</f>
        <v>10.575000000000003</v>
      </c>
      <c r="C48" s="172">
        <f>(K21-K32)*0.031/1000</f>
        <v>1.9219999999999998E-4</v>
      </c>
      <c r="D48" s="230">
        <f>B48*'Interactive Effects'!B10</f>
        <v>10.786500000000004</v>
      </c>
      <c r="E48" s="172">
        <f>C48*'Interactive Effects'!C10</f>
        <v>2.8829999999999996E-4</v>
      </c>
      <c r="F48" s="380">
        <f>B48*'Interactive Effects'!D10</f>
        <v>-0.24005250000000009</v>
      </c>
      <c r="G48" s="220">
        <f>J21-J37</f>
        <v>14.921000000000003</v>
      </c>
      <c r="H48" s="172">
        <f>(K21-K37)*0.031/1000</f>
        <v>1.6119999999999999E-4</v>
      </c>
      <c r="I48" s="230">
        <f>G48*'Interactive Effects'!$B$10</f>
        <v>15.219420000000003</v>
      </c>
      <c r="J48" s="149">
        <f>H48*'Interactive Effects'!$C$10</f>
        <v>2.4179999999999997E-4</v>
      </c>
      <c r="K48" s="380">
        <f>G48*'Interactive Effects'!$D$10</f>
        <v>-0.33870670000000008</v>
      </c>
      <c r="L48" s="220">
        <f>J21-J42</f>
        <v>8.0820000000000007</v>
      </c>
      <c r="M48" s="172">
        <f>(K21-K42)*0.031/1000</f>
        <v>1.6119999999999999E-4</v>
      </c>
      <c r="N48" s="222">
        <f>L48*'Interactive Effects'!$B$10</f>
        <v>8.243640000000001</v>
      </c>
      <c r="O48" s="149">
        <f>M48*'Interactive Effects'!$C$10</f>
        <v>2.4179999999999997E-4</v>
      </c>
      <c r="P48" s="81">
        <f>L48*'Interactive Effects'!$D$10</f>
        <v>-0.18346140000000002</v>
      </c>
      <c r="Q48" s="220">
        <f>J21-J27</f>
        <v>-0.76299999999999812</v>
      </c>
      <c r="R48" s="172">
        <f>(K21-K27)*0.031/1000</f>
        <v>-5.5800000000000021E-5</v>
      </c>
      <c r="S48" s="222">
        <f>Q48*'Interactive Effects'!B10</f>
        <v>-0.77825999999999806</v>
      </c>
      <c r="T48" s="149">
        <f>R48*'Interactive Effects'!C10</f>
        <v>-8.3700000000000029E-5</v>
      </c>
      <c r="U48" s="223">
        <f>Q48*'Interactive Effects'!D10</f>
        <v>1.732009999999996E-2</v>
      </c>
    </row>
    <row r="49" spans="1:21" ht="16.5" thickBot="1">
      <c r="A49" s="79" t="s">
        <v>62</v>
      </c>
      <c r="B49" s="221">
        <f t="shared" ref="B49:C51" si="0">B48</f>
        <v>10.575000000000003</v>
      </c>
      <c r="C49" s="171">
        <f t="shared" si="0"/>
        <v>1.9219999999999998E-4</v>
      </c>
      <c r="D49" s="82">
        <f>B49*'Interactive Effects'!B11</f>
        <v>11.315250000000004</v>
      </c>
      <c r="E49" s="171">
        <f>C49*'Interactive Effects'!C11</f>
        <v>2.94066E-4</v>
      </c>
      <c r="F49" s="381">
        <f>B49*'Interactive Effects'!D11</f>
        <v>-0.18717750000000005</v>
      </c>
      <c r="G49" s="220">
        <f t="shared" ref="G49:H51" si="1">G48</f>
        <v>14.921000000000003</v>
      </c>
      <c r="H49" s="171">
        <f t="shared" si="1"/>
        <v>1.6119999999999999E-4</v>
      </c>
      <c r="I49" s="82">
        <f>G49*'Interactive Effects'!$B$11</f>
        <v>15.965470000000003</v>
      </c>
      <c r="J49" s="171">
        <f>H49*'Interactive Effects'!$C$11</f>
        <v>2.46636E-4</v>
      </c>
      <c r="K49" s="381">
        <f>G49*'Interactive Effects'!$D$11</f>
        <v>-0.26410170000000005</v>
      </c>
      <c r="L49" s="220">
        <f t="shared" ref="L49:M51" si="2">L48</f>
        <v>8.0820000000000007</v>
      </c>
      <c r="M49" s="171">
        <f t="shared" si="2"/>
        <v>1.6119999999999999E-4</v>
      </c>
      <c r="N49" s="82">
        <f>L49*'Interactive Effects'!$B$11</f>
        <v>8.6477400000000006</v>
      </c>
      <c r="O49" s="171">
        <f>M49*'Interactive Effects'!$C$11</f>
        <v>2.46636E-4</v>
      </c>
      <c r="P49" s="83">
        <f>L49*'Interactive Effects'!$D$11</f>
        <v>-0.14305140000000002</v>
      </c>
      <c r="Q49" s="220">
        <f t="shared" ref="Q49:Q51" si="3">Q48</f>
        <v>-0.76299999999999812</v>
      </c>
      <c r="R49" s="171">
        <f t="shared" ref="R49:R51" si="4">R48</f>
        <v>-5.5800000000000021E-5</v>
      </c>
      <c r="S49" s="82">
        <f>Q49*'Interactive Effects'!B11</f>
        <v>-0.81640999999999808</v>
      </c>
      <c r="T49" s="171">
        <f>R49*'Interactive Effects'!C11</f>
        <v>-8.537400000000004E-5</v>
      </c>
      <c r="U49" s="82">
        <f>Q49*'Interactive Effects'!D11</f>
        <v>1.3505099999999968E-2</v>
      </c>
    </row>
    <row r="50" spans="1:21" ht="16.5" thickBot="1">
      <c r="A50" s="78" t="s">
        <v>63</v>
      </c>
      <c r="B50" s="220">
        <f t="shared" si="0"/>
        <v>10.575000000000003</v>
      </c>
      <c r="C50" s="172">
        <f t="shared" si="0"/>
        <v>1.9219999999999998E-4</v>
      </c>
      <c r="D50" s="80">
        <f>B50*'Interactive Effects'!B12</f>
        <v>11.315250000000004</v>
      </c>
      <c r="E50" s="172">
        <f>C50*'Interactive Effects'!C12</f>
        <v>2.94066E-4</v>
      </c>
      <c r="F50" s="380">
        <f>B50*'Interactive Effects'!D12</f>
        <v>-0.18717750000000005</v>
      </c>
      <c r="G50" s="220">
        <f t="shared" si="1"/>
        <v>14.921000000000003</v>
      </c>
      <c r="H50" s="172">
        <f t="shared" si="1"/>
        <v>1.6119999999999999E-4</v>
      </c>
      <c r="I50" s="80">
        <f>G50*'Interactive Effects'!$B$12</f>
        <v>15.965470000000003</v>
      </c>
      <c r="J50" s="149">
        <f>H50*'Interactive Effects'!$C$12</f>
        <v>2.46636E-4</v>
      </c>
      <c r="K50" s="380">
        <f>G50*'Interactive Effects'!$D$12</f>
        <v>-0.26410170000000005</v>
      </c>
      <c r="L50" s="220">
        <f t="shared" si="2"/>
        <v>8.0820000000000007</v>
      </c>
      <c r="M50" s="172">
        <f t="shared" si="2"/>
        <v>1.6119999999999999E-4</v>
      </c>
      <c r="N50" s="80">
        <f>L50*'Interactive Effects'!$B$12</f>
        <v>8.6477400000000006</v>
      </c>
      <c r="O50" s="149">
        <f>M50*'Interactive Effects'!$C$12</f>
        <v>2.46636E-4</v>
      </c>
      <c r="P50" s="81">
        <f>L50*'Interactive Effects'!$D$12</f>
        <v>-0.14305140000000002</v>
      </c>
      <c r="Q50" s="220">
        <f t="shared" si="3"/>
        <v>-0.76299999999999812</v>
      </c>
      <c r="R50" s="172">
        <f t="shared" si="4"/>
        <v>-5.5800000000000021E-5</v>
      </c>
      <c r="S50" s="80">
        <f>Q50*'Interactive Effects'!B12</f>
        <v>-0.81640999999999808</v>
      </c>
      <c r="T50" s="149">
        <f>R50*'Interactive Effects'!C12</f>
        <v>-8.537400000000004E-5</v>
      </c>
      <c r="U50" s="223">
        <f>Q50*'Interactive Effects'!D12</f>
        <v>1.3505099999999968E-2</v>
      </c>
    </row>
    <row r="51" spans="1:21" ht="16.5" thickBot="1">
      <c r="A51" s="79" t="s">
        <v>67</v>
      </c>
      <c r="B51" s="221">
        <f t="shared" si="0"/>
        <v>10.575000000000003</v>
      </c>
      <c r="C51" s="171">
        <f t="shared" si="0"/>
        <v>1.9219999999999998E-4</v>
      </c>
      <c r="D51" s="82">
        <f>B51*'Interactive Effects'!B13</f>
        <v>10.892250000000002</v>
      </c>
      <c r="E51" s="171">
        <f>C51*'Interactive Effects'!C13</f>
        <v>2.6523599999999997E-4</v>
      </c>
      <c r="F51" s="381">
        <f>B51*'Interactive Effects'!D13</f>
        <v>-0.17025750000000003</v>
      </c>
      <c r="G51" s="221">
        <f t="shared" si="1"/>
        <v>14.921000000000003</v>
      </c>
      <c r="H51" s="171">
        <f t="shared" si="1"/>
        <v>1.6119999999999999E-4</v>
      </c>
      <c r="I51" s="82">
        <f>G51*'Interactive Effects'!$B$13</f>
        <v>15.368630000000003</v>
      </c>
      <c r="J51" s="171">
        <f>H51*'Interactive Effects'!$C$13</f>
        <v>2.2245599999999997E-4</v>
      </c>
      <c r="K51" s="381">
        <f>G51*'Interactive Effects'!$D$13</f>
        <v>-0.24022810000000006</v>
      </c>
      <c r="L51" s="221">
        <f t="shared" si="2"/>
        <v>8.0820000000000007</v>
      </c>
      <c r="M51" s="171">
        <f t="shared" si="2"/>
        <v>1.6119999999999999E-4</v>
      </c>
      <c r="N51" s="82">
        <f>L51*'Interactive Effects'!$B$13</f>
        <v>8.3244600000000002</v>
      </c>
      <c r="O51" s="171">
        <f>M51*'Interactive Effects'!$C$13</f>
        <v>2.2245599999999997E-4</v>
      </c>
      <c r="P51" s="83">
        <f>L51*'Interactive Effects'!$D$13</f>
        <v>-0.13012020000000002</v>
      </c>
      <c r="Q51" s="221">
        <f t="shared" si="3"/>
        <v>-0.76299999999999812</v>
      </c>
      <c r="R51" s="171">
        <f t="shared" si="4"/>
        <v>-5.5800000000000021E-5</v>
      </c>
      <c r="S51" s="82">
        <f>Q51*'Interactive Effects'!B13</f>
        <v>-0.78588999999999809</v>
      </c>
      <c r="T51" s="171">
        <f>R51*'Interactive Effects'!C13</f>
        <v>-7.7004000000000024E-5</v>
      </c>
      <c r="U51" s="82">
        <f>Q51*'Interactive Effects'!D13</f>
        <v>1.228429999999997E-2</v>
      </c>
    </row>
  </sheetData>
  <mergeCells count="44">
    <mergeCell ref="N23:O23"/>
    <mergeCell ref="N34:O34"/>
    <mergeCell ref="J18:K18"/>
    <mergeCell ref="J29:K29"/>
    <mergeCell ref="J34:K34"/>
    <mergeCell ref="J30:J31"/>
    <mergeCell ref="J25:J26"/>
    <mergeCell ref="K25:K26"/>
    <mergeCell ref="J24:K24"/>
    <mergeCell ref="A1:K1"/>
    <mergeCell ref="A20:D20"/>
    <mergeCell ref="F30:H30"/>
    <mergeCell ref="A21:D21"/>
    <mergeCell ref="F19:H19"/>
    <mergeCell ref="J19:J20"/>
    <mergeCell ref="K19:K20"/>
    <mergeCell ref="E18:I18"/>
    <mergeCell ref="E29:I29"/>
    <mergeCell ref="K30:K31"/>
    <mergeCell ref="F25:H25"/>
    <mergeCell ref="E24:I24"/>
    <mergeCell ref="E39:I39"/>
    <mergeCell ref="J39:K39"/>
    <mergeCell ref="F40:H40"/>
    <mergeCell ref="A45:A47"/>
    <mergeCell ref="E34:I34"/>
    <mergeCell ref="B45:F45"/>
    <mergeCell ref="B46:C46"/>
    <mergeCell ref="D46:F46"/>
    <mergeCell ref="J35:J36"/>
    <mergeCell ref="F35:H35"/>
    <mergeCell ref="K35:K36"/>
    <mergeCell ref="J40:J41"/>
    <mergeCell ref="K40:K41"/>
    <mergeCell ref="A44:U44"/>
    <mergeCell ref="S46:U46"/>
    <mergeCell ref="Q45:U45"/>
    <mergeCell ref="Q46:R46"/>
    <mergeCell ref="G46:H46"/>
    <mergeCell ref="I46:K46"/>
    <mergeCell ref="G45:K45"/>
    <mergeCell ref="L45:P45"/>
    <mergeCell ref="L46:M46"/>
    <mergeCell ref="N46:P46"/>
  </mergeCells>
  <pageMargins left="0.75" right="0.75" top="1" bottom="1" header="0.5" footer="0.5"/>
  <pageSetup orientation="portrait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opLeftCell="A10" workbookViewId="0">
      <selection activeCell="G34" sqref="G34"/>
    </sheetView>
  </sheetViews>
  <sheetFormatPr defaultColWidth="11" defaultRowHeight="15.75"/>
  <cols>
    <col min="9" max="9" width="9.625" customWidth="1"/>
    <col min="10" max="10" width="15.5" customWidth="1"/>
    <col min="11" max="11" width="13" customWidth="1"/>
    <col min="12" max="12" width="8.5" customWidth="1"/>
    <col min="13" max="13" width="16.125" bestFit="1" customWidth="1"/>
    <col min="15" max="17" width="0" hidden="1" customWidth="1"/>
  </cols>
  <sheetData>
    <row r="1" spans="1:13" ht="18.75">
      <c r="A1" s="474" t="s">
        <v>75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</row>
    <row r="19" spans="1:17">
      <c r="M19" s="75"/>
      <c r="N19" s="75"/>
    </row>
    <row r="20" spans="1:17" ht="16.5" thickBot="1">
      <c r="G20" s="475" t="s">
        <v>36</v>
      </c>
      <c r="H20" s="475"/>
      <c r="I20" s="475"/>
      <c r="J20" s="475"/>
      <c r="K20" s="475"/>
      <c r="M20" s="39" t="s">
        <v>33</v>
      </c>
      <c r="N20" s="75"/>
      <c r="O20" s="75" t="s">
        <v>149</v>
      </c>
      <c r="P20" s="76"/>
    </row>
    <row r="21" spans="1:17" ht="42.75" thickBot="1">
      <c r="G21" s="117" t="s">
        <v>89</v>
      </c>
      <c r="H21" s="22" t="s">
        <v>90</v>
      </c>
      <c r="I21" s="22" t="s">
        <v>76</v>
      </c>
      <c r="J21" s="22" t="s">
        <v>78</v>
      </c>
      <c r="K21" s="22" t="s">
        <v>77</v>
      </c>
      <c r="M21" s="38" t="s">
        <v>39</v>
      </c>
      <c r="N21" s="90"/>
      <c r="O21" s="84" t="s">
        <v>26</v>
      </c>
      <c r="P21" s="84" t="s">
        <v>27</v>
      </c>
      <c r="Q21" s="84"/>
    </row>
    <row r="22" spans="1:17" ht="16.5" thickBot="1">
      <c r="C22" s="118"/>
      <c r="D22" s="118"/>
      <c r="E22" s="118"/>
      <c r="F22" s="118"/>
      <c r="G22" s="24" t="s">
        <v>91</v>
      </c>
      <c r="H22" s="24">
        <v>70.3</v>
      </c>
      <c r="I22" s="21">
        <v>2.2000000000000002</v>
      </c>
      <c r="J22" s="92">
        <f>H22/I22</f>
        <v>31.95454545454545</v>
      </c>
      <c r="K22" s="21">
        <v>0.7</v>
      </c>
      <c r="M22" s="25">
        <f>(J22*$A$26+K22*$B$26)/1000*E32</f>
        <v>82.346200799999977</v>
      </c>
      <c r="N22" s="90"/>
      <c r="O22" s="85">
        <f>J22*A26/1000</f>
        <v>116.34649999999999</v>
      </c>
      <c r="P22" s="85">
        <f>K22*B26/1000</f>
        <v>2.6508999999999996</v>
      </c>
      <c r="Q22" s="120">
        <f>SUM(O22:P22)</f>
        <v>118.99739999999998</v>
      </c>
    </row>
    <row r="23" spans="1:17" ht="16.5" thickBot="1">
      <c r="C23" s="118"/>
      <c r="D23" s="118"/>
      <c r="E23" s="118"/>
      <c r="F23" s="118"/>
      <c r="G23" s="24" t="s">
        <v>92</v>
      </c>
      <c r="H23" s="24">
        <v>132.19999999999999</v>
      </c>
      <c r="I23" s="21">
        <v>2.2000000000000002</v>
      </c>
      <c r="J23" s="92">
        <f>H23/I23</f>
        <v>60.090909090909079</v>
      </c>
      <c r="K23" s="21">
        <v>0.7</v>
      </c>
      <c r="M23" s="25">
        <f>(J23*$A$26+K23*$B$26)/1000*E32</f>
        <v>153.23779479999996</v>
      </c>
      <c r="N23" s="90"/>
      <c r="O23" s="154">
        <f>O22/Q22</f>
        <v>0.97772304268832766</v>
      </c>
      <c r="P23" s="154">
        <f>P22/Q22</f>
        <v>2.2276957311672355E-2</v>
      </c>
      <c r="Q23" s="155"/>
    </row>
    <row r="24" spans="1:17" ht="16.5" thickBot="1">
      <c r="A24" s="499" t="s">
        <v>32</v>
      </c>
      <c r="B24" s="499"/>
      <c r="C24" s="499"/>
      <c r="D24" s="499"/>
      <c r="E24" s="499"/>
      <c r="F24" s="118"/>
      <c r="G24" s="24" t="s">
        <v>93</v>
      </c>
      <c r="H24" s="24">
        <v>240.5</v>
      </c>
      <c r="I24" s="21">
        <v>2.2000000000000002</v>
      </c>
      <c r="J24" s="92">
        <f>H24/I24</f>
        <v>109.31818181818181</v>
      </c>
      <c r="K24" s="21">
        <v>0.7</v>
      </c>
      <c r="M24" s="25">
        <f>(J24*$A$26+K24*$B$26)/1000*E32</f>
        <v>277.26945280000001</v>
      </c>
      <c r="N24" s="90"/>
      <c r="O24" s="85">
        <f>J23*A26/1000</f>
        <v>218.79099999999997</v>
      </c>
      <c r="P24" s="85">
        <f>K23*B26/1000</f>
        <v>2.6508999999999996</v>
      </c>
      <c r="Q24" s="120">
        <f>SUM(O24:P24)</f>
        <v>221.44189999999998</v>
      </c>
    </row>
    <row r="25" spans="1:17" ht="16.5" thickBot="1">
      <c r="A25" s="23" t="s">
        <v>26</v>
      </c>
      <c r="B25" s="19" t="s">
        <v>27</v>
      </c>
      <c r="C25" s="19" t="s">
        <v>28</v>
      </c>
      <c r="D25" s="89" t="s">
        <v>30</v>
      </c>
      <c r="E25" s="19" t="s">
        <v>29</v>
      </c>
      <c r="N25" s="75"/>
      <c r="O25" s="154">
        <f>O24/Q24</f>
        <v>0.98802891413052363</v>
      </c>
      <c r="P25" s="154">
        <f>P24/Q24</f>
        <v>1.1971085869476372E-2</v>
      </c>
    </row>
    <row r="26" spans="1:17" ht="16.5" thickBot="1">
      <c r="A26" s="26">
        <v>3641</v>
      </c>
      <c r="B26" s="26">
        <v>3787</v>
      </c>
      <c r="C26" s="26">
        <v>0</v>
      </c>
      <c r="D26" s="26">
        <v>1332</v>
      </c>
      <c r="E26" s="26">
        <f>SUM(A26:D26)</f>
        <v>8760</v>
      </c>
      <c r="G26" s="475" t="s">
        <v>310</v>
      </c>
      <c r="H26" s="475"/>
      <c r="I26" s="475"/>
      <c r="J26" s="475"/>
      <c r="K26" s="475"/>
      <c r="M26" s="39" t="s">
        <v>163</v>
      </c>
      <c r="N26" s="75"/>
      <c r="O26">
        <f>J24*A26/1000</f>
        <v>398.02749999999997</v>
      </c>
      <c r="P26">
        <f>K24*B26/1000</f>
        <v>2.6508999999999996</v>
      </c>
      <c r="Q26">
        <f>SUM(O26:P26)</f>
        <v>400.67839999999995</v>
      </c>
    </row>
    <row r="27" spans="1:17" ht="42.75" thickBot="1">
      <c r="G27" s="117" t="s">
        <v>89</v>
      </c>
      <c r="H27" s="22" t="s">
        <v>90</v>
      </c>
      <c r="I27" s="22" t="s">
        <v>76</v>
      </c>
      <c r="J27" s="22" t="s">
        <v>78</v>
      </c>
      <c r="K27" s="22" t="s">
        <v>77</v>
      </c>
      <c r="M27" s="38" t="s">
        <v>39</v>
      </c>
      <c r="O27" s="155">
        <f>O26/Q26</f>
        <v>0.99338397078554774</v>
      </c>
      <c r="P27" s="155">
        <f>P26/Q26</f>
        <v>6.6160292144522882E-3</v>
      </c>
    </row>
    <row r="28" spans="1:17" ht="16.5" thickBot="1">
      <c r="A28" s="499" t="s">
        <v>289</v>
      </c>
      <c r="B28" s="499"/>
      <c r="C28" s="499"/>
      <c r="D28" s="499"/>
      <c r="E28" s="499"/>
      <c r="G28" s="24" t="s">
        <v>91</v>
      </c>
      <c r="H28" s="24">
        <v>70.3</v>
      </c>
      <c r="I28" s="21">
        <v>2.6</v>
      </c>
      <c r="J28" s="91">
        <f>H28/I28</f>
        <v>27.038461538461537</v>
      </c>
      <c r="K28" s="21">
        <v>0.6</v>
      </c>
      <c r="M28" s="25">
        <f>(J28*$A$26+K28*$B$26)/1000*E32</f>
        <v>69.697713015384608</v>
      </c>
      <c r="O28">
        <f>J28*A26/1000</f>
        <v>98.447038461538455</v>
      </c>
      <c r="P28">
        <f>K28*B26/1000</f>
        <v>2.2721999999999998</v>
      </c>
      <c r="Q28">
        <f>SUM(O28:P28)</f>
        <v>100.71923846153845</v>
      </c>
    </row>
    <row r="29" spans="1:17" ht="16.5" thickBot="1">
      <c r="A29" s="501"/>
      <c r="B29" s="501"/>
      <c r="C29" s="387" t="s">
        <v>290</v>
      </c>
      <c r="D29" s="387" t="s">
        <v>291</v>
      </c>
      <c r="E29" s="387" t="s">
        <v>292</v>
      </c>
      <c r="G29" s="24" t="s">
        <v>92</v>
      </c>
      <c r="H29" s="24">
        <v>132.19999999999999</v>
      </c>
      <c r="I29" s="21">
        <v>2.6</v>
      </c>
      <c r="J29" s="91">
        <f>H29/I29</f>
        <v>50.84615384615384</v>
      </c>
      <c r="K29" s="21">
        <v>0.6</v>
      </c>
      <c r="M29" s="25">
        <f>(J29*$A$26+K29*$B$26)/1000*E32</f>
        <v>129.68290793846151</v>
      </c>
      <c r="O29" s="155">
        <f>O28/Q28</f>
        <v>0.97744025833885073</v>
      </c>
      <c r="P29" s="155">
        <f>P28/Q28</f>
        <v>2.25597416611493E-2</v>
      </c>
    </row>
    <row r="30" spans="1:17" ht="16.5" thickBot="1">
      <c r="A30" s="514" t="s">
        <v>293</v>
      </c>
      <c r="B30" s="514"/>
      <c r="C30" s="388">
        <v>0.3</v>
      </c>
      <c r="D30" s="388">
        <v>0.5</v>
      </c>
      <c r="E30" s="388">
        <v>0.2</v>
      </c>
      <c r="G30" s="24" t="s">
        <v>93</v>
      </c>
      <c r="H30" s="24">
        <v>240.5</v>
      </c>
      <c r="I30" s="21">
        <v>2.6</v>
      </c>
      <c r="J30" s="91">
        <f>H30/I30</f>
        <v>92.5</v>
      </c>
      <c r="K30" s="21">
        <v>0.6</v>
      </c>
      <c r="M30" s="25">
        <f>(J30*$A$26+K30*$B$26)/1000*E32</f>
        <v>234.63277239999999</v>
      </c>
      <c r="O30">
        <f>J29*A26/1000</f>
        <v>185.13084615384614</v>
      </c>
      <c r="P30">
        <f>K29*B26/1000</f>
        <v>2.2721999999999998</v>
      </c>
      <c r="Q30">
        <f>SUM(O30:P30)</f>
        <v>187.40304615384613</v>
      </c>
    </row>
    <row r="31" spans="1:17" ht="16.5" thickBot="1">
      <c r="A31" s="515" t="s">
        <v>294</v>
      </c>
      <c r="B31" s="515"/>
      <c r="C31" s="389">
        <v>0.59</v>
      </c>
      <c r="D31" s="389">
        <v>0.63</v>
      </c>
      <c r="E31" s="389">
        <v>1</v>
      </c>
    </row>
    <row r="32" spans="1:17" ht="16.5" thickBot="1">
      <c r="D32" s="390" t="s">
        <v>295</v>
      </c>
      <c r="E32" s="390">
        <f>SUMPRODUCT(C30:E30,C31:E31)</f>
        <v>0.69199999999999995</v>
      </c>
      <c r="G32" s="475" t="s">
        <v>311</v>
      </c>
      <c r="H32" s="475"/>
      <c r="I32" s="475"/>
      <c r="J32" s="475"/>
      <c r="K32" s="475"/>
      <c r="M32" s="152" t="s">
        <v>41</v>
      </c>
    </row>
    <row r="33" spans="1:17" ht="43.5" thickTop="1" thickBot="1">
      <c r="G33" s="117" t="s">
        <v>89</v>
      </c>
      <c r="H33" s="22" t="s">
        <v>90</v>
      </c>
      <c r="I33" s="22" t="s">
        <v>76</v>
      </c>
      <c r="J33" s="22" t="s">
        <v>78</v>
      </c>
      <c r="K33" s="22" t="s">
        <v>77</v>
      </c>
      <c r="M33" s="153" t="s">
        <v>39</v>
      </c>
    </row>
    <row r="34" spans="1:17" ht="16.5" thickBot="1">
      <c r="G34" s="24" t="s">
        <v>91</v>
      </c>
      <c r="H34" s="24">
        <v>70.3</v>
      </c>
      <c r="I34" s="21">
        <v>3</v>
      </c>
      <c r="J34" s="92">
        <f>H34/I34</f>
        <v>23.433333333333334</v>
      </c>
      <c r="K34" s="21">
        <v>0.6</v>
      </c>
      <c r="M34" s="25">
        <f>(J34*$A$26+K34*$B$26)/1000*E32</f>
        <v>60.614332933333323</v>
      </c>
    </row>
    <row r="35" spans="1:17" ht="16.5" thickBot="1">
      <c r="G35" s="24" t="s">
        <v>92</v>
      </c>
      <c r="H35" s="24">
        <v>132.19999999999999</v>
      </c>
      <c r="I35" s="21">
        <v>3</v>
      </c>
      <c r="J35" s="92">
        <f>H35/I35</f>
        <v>44.066666666666663</v>
      </c>
      <c r="K35" s="21">
        <v>0.6</v>
      </c>
      <c r="M35" s="25">
        <f>(J35*$A$26+K35*$B$26)/1000*E32</f>
        <v>112.60150186666665</v>
      </c>
    </row>
    <row r="36" spans="1:17" ht="16.5" thickBot="1">
      <c r="G36" s="24" t="s">
        <v>93</v>
      </c>
      <c r="H36" s="24">
        <v>240.5</v>
      </c>
      <c r="I36" s="21">
        <v>3</v>
      </c>
      <c r="J36" s="92">
        <f>H36/I36</f>
        <v>80.166666666666671</v>
      </c>
      <c r="K36" s="21">
        <v>0.6</v>
      </c>
      <c r="M36" s="25">
        <f>(J36*$A$26+K36*$B$26)/1000*E32</f>
        <v>203.55805106666671</v>
      </c>
    </row>
    <row r="38" spans="1:17" ht="16.5" thickBot="1">
      <c r="A38" s="489" t="s">
        <v>71</v>
      </c>
      <c r="B38" s="489"/>
      <c r="C38" s="489"/>
      <c r="D38" s="489"/>
      <c r="E38" s="489"/>
      <c r="F38" s="489"/>
      <c r="G38" s="489"/>
      <c r="H38" s="489"/>
      <c r="I38" s="489"/>
      <c r="J38" s="489"/>
      <c r="K38" s="489"/>
      <c r="L38" s="489"/>
      <c r="O38" s="155">
        <f>O30/Q30</f>
        <v>0.98787533048884024</v>
      </c>
      <c r="P38" s="155">
        <f>P30/Q30</f>
        <v>1.2124669511159741E-2</v>
      </c>
    </row>
    <row r="39" spans="1:17" ht="16.5" thickBot="1">
      <c r="A39" s="508" t="s">
        <v>65</v>
      </c>
      <c r="B39" s="511" t="s">
        <v>89</v>
      </c>
      <c r="C39" s="505" t="s">
        <v>312</v>
      </c>
      <c r="D39" s="506"/>
      <c r="E39" s="506"/>
      <c r="F39" s="506"/>
      <c r="G39" s="507"/>
      <c r="H39" s="505" t="s">
        <v>313</v>
      </c>
      <c r="I39" s="506"/>
      <c r="J39" s="506"/>
      <c r="K39" s="506"/>
      <c r="L39" s="507"/>
      <c r="O39" s="155"/>
      <c r="P39" s="155"/>
    </row>
    <row r="40" spans="1:17" ht="15.95" customHeight="1" thickBot="1">
      <c r="A40" s="509"/>
      <c r="B40" s="512"/>
      <c r="C40" s="502" t="s">
        <v>68</v>
      </c>
      <c r="D40" s="503"/>
      <c r="E40" s="502" t="s">
        <v>70</v>
      </c>
      <c r="F40" s="504"/>
      <c r="G40" s="503"/>
      <c r="H40" s="502" t="s">
        <v>68</v>
      </c>
      <c r="I40" s="503"/>
      <c r="J40" s="502" t="s">
        <v>70</v>
      </c>
      <c r="K40" s="504"/>
      <c r="L40" s="503"/>
      <c r="O40">
        <f>J30*A26/1000</f>
        <v>336.79250000000002</v>
      </c>
      <c r="P40">
        <f>K30*B26/1000</f>
        <v>2.2721999999999998</v>
      </c>
      <c r="Q40">
        <f>SUM(O40:P40)</f>
        <v>339.06470000000002</v>
      </c>
    </row>
    <row r="41" spans="1:17" ht="16.5" thickBot="1">
      <c r="A41" s="510"/>
      <c r="B41" s="513"/>
      <c r="C41" s="312" t="s">
        <v>72</v>
      </c>
      <c r="D41" s="313" t="s">
        <v>73</v>
      </c>
      <c r="E41" s="312" t="s">
        <v>34</v>
      </c>
      <c r="F41" s="159" t="s">
        <v>73</v>
      </c>
      <c r="G41" s="313" t="s">
        <v>38</v>
      </c>
      <c r="H41" s="312" t="s">
        <v>72</v>
      </c>
      <c r="I41" s="313" t="s">
        <v>73</v>
      </c>
      <c r="J41" s="312" t="s">
        <v>34</v>
      </c>
      <c r="K41" s="159" t="s">
        <v>73</v>
      </c>
      <c r="L41" s="313" t="s">
        <v>38</v>
      </c>
      <c r="O41" s="155">
        <f>O40/Q40</f>
        <v>0.99329862412689973</v>
      </c>
      <c r="P41" s="155">
        <f>P40/Q40</f>
        <v>6.7013758731003245E-3</v>
      </c>
    </row>
    <row r="42" spans="1:17" ht="16.5" thickBot="1">
      <c r="A42" s="516" t="s">
        <v>66</v>
      </c>
      <c r="B42" s="319" t="s">
        <v>91</v>
      </c>
      <c r="C42" s="314">
        <f>M22-M28</f>
        <v>12.648487784615369</v>
      </c>
      <c r="D42" s="371">
        <f>(J22-J28)/1000*0.33</f>
        <v>1.6223076923076916E-3</v>
      </c>
      <c r="E42" s="314">
        <f>C42*'Interactive Effects'!$B$10</f>
        <v>12.901457540307677</v>
      </c>
      <c r="F42" s="374">
        <f>D42*'Interactive Effects'!$C$10</f>
        <v>2.4334615384615371E-3</v>
      </c>
      <c r="G42" s="377">
        <f>C42*'Interactive Effects'!$D$10</f>
        <v>-0.28712067271076891</v>
      </c>
      <c r="H42" s="314">
        <f>M22-M34</f>
        <v>21.731867866666654</v>
      </c>
      <c r="I42" s="371">
        <f>(J22-J34)/1000*0.33</f>
        <v>2.8119999999999985E-3</v>
      </c>
      <c r="J42" s="314">
        <f>H42*'Interactive Effects'!$B$10</f>
        <v>22.166505223999987</v>
      </c>
      <c r="K42" s="374">
        <f>I42*'Interactive Effects'!$C$10</f>
        <v>4.2179999999999978E-3</v>
      </c>
      <c r="L42" s="377">
        <f>H42*'Interactive Effects'!$D$10</f>
        <v>-0.49331340057333306</v>
      </c>
    </row>
    <row r="43" spans="1:17" ht="16.5" thickBot="1">
      <c r="A43" s="517"/>
      <c r="B43" s="320" t="s">
        <v>92</v>
      </c>
      <c r="C43" s="315">
        <f>M23-M29</f>
        <v>23.554886861538449</v>
      </c>
      <c r="D43" s="372">
        <f>(J23-J29)/1000*0.33</f>
        <v>3.0507692307692289E-3</v>
      </c>
      <c r="E43" s="317">
        <f>C43*'Interactive Effects'!$B$10</f>
        <v>24.02598459876922</v>
      </c>
      <c r="F43" s="375">
        <f>D43*'Interactive Effects'!$C$10</f>
        <v>4.5761538461538435E-3</v>
      </c>
      <c r="G43" s="378">
        <f>C43*'Interactive Effects'!$D$10</f>
        <v>-0.53469593175692287</v>
      </c>
      <c r="H43" s="315">
        <f>M23-M35</f>
        <v>40.636292933333308</v>
      </c>
      <c r="I43" s="372">
        <f>(J23-J35)/1000*0.33</f>
        <v>5.2879999999999976E-3</v>
      </c>
      <c r="J43" s="317">
        <f>H43*'Interactive Effects'!$B$10</f>
        <v>41.449018791999976</v>
      </c>
      <c r="K43" s="375">
        <f>I43*'Interactive Effects'!$C$10</f>
        <v>7.9319999999999963E-3</v>
      </c>
      <c r="L43" s="378">
        <f>H43*'Interactive Effects'!$D$10</f>
        <v>-0.92244384958666614</v>
      </c>
    </row>
    <row r="44" spans="1:17" ht="16.5" thickBot="1">
      <c r="A44" s="518"/>
      <c r="B44" s="321" t="s">
        <v>93</v>
      </c>
      <c r="C44" s="316">
        <f>M24-M30</f>
        <v>42.636680400000017</v>
      </c>
      <c r="D44" s="373">
        <f>(J24-J30)/1000*0.33</f>
        <v>5.5499999999999985E-3</v>
      </c>
      <c r="E44" s="318">
        <f>C44*'Interactive Effects'!$B$10</f>
        <v>43.489414008000018</v>
      </c>
      <c r="F44" s="376">
        <f>D44*'Interactive Effects'!$C$10</f>
        <v>8.3249999999999973E-3</v>
      </c>
      <c r="G44" s="379">
        <f>C44*'Interactive Effects'!$D$10</f>
        <v>-0.96785264508000046</v>
      </c>
      <c r="H44" s="316">
        <f>M24-M36</f>
        <v>73.711401733333304</v>
      </c>
      <c r="I44" s="373">
        <f>(J24-J36)/1000*0.33</f>
        <v>9.6199999999999966E-3</v>
      </c>
      <c r="J44" s="318">
        <f>H44*'Interactive Effects'!$B$10</f>
        <v>75.18562976799997</v>
      </c>
      <c r="K44" s="376">
        <f>I44*'Interactive Effects'!$C$10</f>
        <v>1.4429999999999995E-2</v>
      </c>
      <c r="L44" s="379">
        <f>H44*'Interactive Effects'!$D$10</f>
        <v>-1.6732488193466661</v>
      </c>
    </row>
    <row r="45" spans="1:17" ht="16.5" thickBot="1">
      <c r="A45" s="516" t="s">
        <v>62</v>
      </c>
      <c r="B45" s="319" t="s">
        <v>91</v>
      </c>
      <c r="C45" s="314">
        <f t="shared" ref="C45:D50" si="0">C42</f>
        <v>12.648487784615369</v>
      </c>
      <c r="D45" s="371">
        <f t="shared" si="0"/>
        <v>1.6223076923076916E-3</v>
      </c>
      <c r="E45" s="314">
        <f>C45*'Interactive Effects'!$B$11</f>
        <v>13.533881929538445</v>
      </c>
      <c r="F45" s="374">
        <f>D45*'Interactive Effects'!$C$11</f>
        <v>2.482130769230768E-3</v>
      </c>
      <c r="G45" s="377">
        <f>C45*'Interactive Effects'!$D$11</f>
        <v>-0.22387823378769203</v>
      </c>
      <c r="H45" s="314">
        <f t="shared" ref="H45:I53" si="1">H42</f>
        <v>21.731867866666654</v>
      </c>
      <c r="I45" s="371">
        <f t="shared" si="1"/>
        <v>2.8119999999999985E-3</v>
      </c>
      <c r="J45" s="314">
        <f>H45*'Interactive Effects'!$B$11</f>
        <v>23.253098617333322</v>
      </c>
      <c r="K45" s="374">
        <f>I45*'Interactive Effects'!$C$11</f>
        <v>4.3023599999999981E-3</v>
      </c>
      <c r="L45" s="377">
        <f>H45*'Interactive Effects'!$D$11</f>
        <v>-0.38465406123999979</v>
      </c>
    </row>
    <row r="46" spans="1:17" ht="16.5" thickBot="1">
      <c r="A46" s="517"/>
      <c r="B46" s="320" t="s">
        <v>92</v>
      </c>
      <c r="C46" s="317">
        <f t="shared" si="0"/>
        <v>23.554886861538449</v>
      </c>
      <c r="D46" s="372">
        <f t="shared" si="0"/>
        <v>3.0507692307692289E-3</v>
      </c>
      <c r="E46" s="317">
        <f>C46*'Interactive Effects'!$B$11</f>
        <v>25.203728941846141</v>
      </c>
      <c r="F46" s="375">
        <f>D46*'Interactive Effects'!$C$11</f>
        <v>4.6676769230769204E-3</v>
      </c>
      <c r="G46" s="378">
        <f>C46*'Interactive Effects'!$D$11</f>
        <v>-0.41692149744923057</v>
      </c>
      <c r="H46" s="317">
        <f t="shared" si="1"/>
        <v>40.636292933333308</v>
      </c>
      <c r="I46" s="372">
        <f t="shared" si="1"/>
        <v>5.2879999999999976E-3</v>
      </c>
      <c r="J46" s="317">
        <f>H46*'Interactive Effects'!$B$11</f>
        <v>43.480833438666643</v>
      </c>
      <c r="K46" s="375">
        <f>I46*'Interactive Effects'!$C$11</f>
        <v>8.0906399999999962E-3</v>
      </c>
      <c r="L46" s="378">
        <f>H46*'Interactive Effects'!$D$11</f>
        <v>-0.71926238491999961</v>
      </c>
    </row>
    <row r="47" spans="1:17" ht="16.5" thickBot="1">
      <c r="A47" s="518"/>
      <c r="B47" s="321" t="s">
        <v>93</v>
      </c>
      <c r="C47" s="318">
        <f t="shared" si="0"/>
        <v>42.636680400000017</v>
      </c>
      <c r="D47" s="373">
        <f t="shared" si="0"/>
        <v>5.5499999999999985E-3</v>
      </c>
      <c r="E47" s="318">
        <f>C47*'Interactive Effects'!$B$11</f>
        <v>45.621248028000018</v>
      </c>
      <c r="F47" s="376">
        <f>D47*'Interactive Effects'!$C$11</f>
        <v>8.4914999999999973E-3</v>
      </c>
      <c r="G47" s="379">
        <f>C47*'Interactive Effects'!$D$11</f>
        <v>-0.75466924308000027</v>
      </c>
      <c r="H47" s="318">
        <f t="shared" si="1"/>
        <v>73.711401733333304</v>
      </c>
      <c r="I47" s="373">
        <f t="shared" si="1"/>
        <v>9.6199999999999966E-3</v>
      </c>
      <c r="J47" s="318">
        <f>H47*'Interactive Effects'!$B$11</f>
        <v>78.871199854666642</v>
      </c>
      <c r="K47" s="376">
        <f>I47*'Interactive Effects'!$C$11</f>
        <v>1.4718599999999995E-2</v>
      </c>
      <c r="L47" s="379">
        <f>H47*'Interactive Effects'!$D$11</f>
        <v>-1.3046918106799996</v>
      </c>
    </row>
    <row r="48" spans="1:17" ht="16.5" thickBot="1">
      <c r="A48" s="516" t="s">
        <v>63</v>
      </c>
      <c r="B48" s="319" t="s">
        <v>91</v>
      </c>
      <c r="C48" s="314">
        <f t="shared" si="0"/>
        <v>12.648487784615369</v>
      </c>
      <c r="D48" s="371">
        <f t="shared" si="0"/>
        <v>1.6223076923076916E-3</v>
      </c>
      <c r="E48" s="314">
        <f>C48*'Interactive Effects'!$B$12</f>
        <v>13.533881929538445</v>
      </c>
      <c r="F48" s="374">
        <f>D48*'Interactive Effects'!$C$12</f>
        <v>2.482130769230768E-3</v>
      </c>
      <c r="G48" s="377">
        <f>C48*'Interactive Effects'!$D$12</f>
        <v>-0.22387823378769203</v>
      </c>
      <c r="H48" s="314">
        <f t="shared" si="1"/>
        <v>21.731867866666654</v>
      </c>
      <c r="I48" s="371">
        <f t="shared" si="1"/>
        <v>2.8119999999999985E-3</v>
      </c>
      <c r="J48" s="314">
        <f>H48*'Interactive Effects'!$B$12</f>
        <v>23.253098617333322</v>
      </c>
      <c r="K48" s="374">
        <f>I48*'Interactive Effects'!$C$12</f>
        <v>4.3023599999999981E-3</v>
      </c>
      <c r="L48" s="377">
        <f>H48*'Interactive Effects'!$D$12</f>
        <v>-0.38465406123999979</v>
      </c>
    </row>
    <row r="49" spans="1:12" ht="16.5" thickBot="1">
      <c r="A49" s="517"/>
      <c r="B49" s="320" t="s">
        <v>92</v>
      </c>
      <c r="C49" s="317">
        <f t="shared" si="0"/>
        <v>23.554886861538449</v>
      </c>
      <c r="D49" s="372">
        <f t="shared" si="0"/>
        <v>3.0507692307692289E-3</v>
      </c>
      <c r="E49" s="317">
        <f>C49*'Interactive Effects'!$B$12</f>
        <v>25.203728941846141</v>
      </c>
      <c r="F49" s="375">
        <f>D49*'Interactive Effects'!$C$12</f>
        <v>4.6676769230769204E-3</v>
      </c>
      <c r="G49" s="378">
        <f>C49*'Interactive Effects'!$D$12</f>
        <v>-0.41692149744923057</v>
      </c>
      <c r="H49" s="317">
        <f t="shared" si="1"/>
        <v>40.636292933333308</v>
      </c>
      <c r="I49" s="372">
        <f t="shared" si="1"/>
        <v>5.2879999999999976E-3</v>
      </c>
      <c r="J49" s="317">
        <f>H49*'Interactive Effects'!$B$12</f>
        <v>43.480833438666643</v>
      </c>
      <c r="K49" s="375">
        <f>I49*'Interactive Effects'!$C$12</f>
        <v>8.0906399999999962E-3</v>
      </c>
      <c r="L49" s="378">
        <f>H49*'Interactive Effects'!$D$12</f>
        <v>-0.71926238491999961</v>
      </c>
    </row>
    <row r="50" spans="1:12" ht="16.5" thickBot="1">
      <c r="A50" s="518"/>
      <c r="B50" s="321" t="s">
        <v>93</v>
      </c>
      <c r="C50" s="318">
        <f t="shared" si="0"/>
        <v>42.636680400000017</v>
      </c>
      <c r="D50" s="373">
        <f t="shared" si="0"/>
        <v>5.5499999999999985E-3</v>
      </c>
      <c r="E50" s="318">
        <f>C50*'Interactive Effects'!$B$12</f>
        <v>45.621248028000018</v>
      </c>
      <c r="F50" s="376">
        <f>D50*'Interactive Effects'!$C$12</f>
        <v>8.4914999999999973E-3</v>
      </c>
      <c r="G50" s="379">
        <f>C50*'Interactive Effects'!$D$12</f>
        <v>-0.75466924308000027</v>
      </c>
      <c r="H50" s="318">
        <f t="shared" si="1"/>
        <v>73.711401733333304</v>
      </c>
      <c r="I50" s="373">
        <f t="shared" si="1"/>
        <v>9.6199999999999966E-3</v>
      </c>
      <c r="J50" s="318">
        <f>H50*'Interactive Effects'!$B$12</f>
        <v>78.871199854666642</v>
      </c>
      <c r="K50" s="376">
        <f>I50*'Interactive Effects'!$C$12</f>
        <v>1.4718599999999995E-2</v>
      </c>
      <c r="L50" s="379">
        <f>H50*'Interactive Effects'!$D$12</f>
        <v>-1.3046918106799996</v>
      </c>
    </row>
    <row r="51" spans="1:12" ht="16.5" thickBot="1">
      <c r="A51" s="516" t="s">
        <v>67</v>
      </c>
      <c r="B51" s="319" t="s">
        <v>91</v>
      </c>
      <c r="C51" s="314">
        <f t="shared" ref="C51:D53" si="2">C48</f>
        <v>12.648487784615369</v>
      </c>
      <c r="D51" s="371">
        <f t="shared" si="2"/>
        <v>1.6223076923076916E-3</v>
      </c>
      <c r="E51" s="314">
        <f>C51*'Interactive Effects'!$B$13</f>
        <v>13.027942418153831</v>
      </c>
      <c r="F51" s="374">
        <f>D51*'Interactive Effects'!$C$13</f>
        <v>2.2387846153846141E-3</v>
      </c>
      <c r="G51" s="377">
        <f>C51*'Interactive Effects'!$D$13</f>
        <v>-0.20364065333230744</v>
      </c>
      <c r="H51" s="314">
        <f t="shared" si="1"/>
        <v>21.731867866666654</v>
      </c>
      <c r="I51" s="371">
        <f t="shared" si="1"/>
        <v>2.8119999999999985E-3</v>
      </c>
      <c r="J51" s="314">
        <f>H51*'Interactive Effects'!$B$13</f>
        <v>22.383823902666656</v>
      </c>
      <c r="K51" s="374">
        <f>I51*'Interactive Effects'!$C$13</f>
        <v>3.8805599999999977E-3</v>
      </c>
      <c r="L51" s="377">
        <f>H51*'Interactive Effects'!$D$13</f>
        <v>-0.34988307265333313</v>
      </c>
    </row>
    <row r="52" spans="1:12" ht="16.5" thickBot="1">
      <c r="A52" s="517"/>
      <c r="B52" s="320" t="s">
        <v>92</v>
      </c>
      <c r="C52" s="317">
        <f t="shared" si="2"/>
        <v>23.554886861538449</v>
      </c>
      <c r="D52" s="372">
        <f t="shared" si="2"/>
        <v>3.0507692307692289E-3</v>
      </c>
      <c r="E52" s="317">
        <f>C52*'Interactive Effects'!$B$13</f>
        <v>24.261533467384602</v>
      </c>
      <c r="F52" s="375">
        <f>D52*'Interactive Effects'!$C$13</f>
        <v>4.2100615384615351E-3</v>
      </c>
      <c r="G52" s="378">
        <f>C52*'Interactive Effects'!$D$13</f>
        <v>-0.37923367847076905</v>
      </c>
      <c r="H52" s="317">
        <f t="shared" si="1"/>
        <v>40.636292933333308</v>
      </c>
      <c r="I52" s="372">
        <f t="shared" si="1"/>
        <v>5.2879999999999976E-3</v>
      </c>
      <c r="J52" s="317">
        <f>H52*'Interactive Effects'!$B$13</f>
        <v>41.855381721333309</v>
      </c>
      <c r="K52" s="375">
        <f>I52*'Interactive Effects'!$C$13</f>
        <v>7.2974399999999962E-3</v>
      </c>
      <c r="L52" s="378">
        <f>H52*'Interactive Effects'!$D$13</f>
        <v>-0.65424431622666623</v>
      </c>
    </row>
    <row r="53" spans="1:12" ht="16.5" thickBot="1">
      <c r="A53" s="518"/>
      <c r="B53" s="321" t="s">
        <v>93</v>
      </c>
      <c r="C53" s="318">
        <f t="shared" si="2"/>
        <v>42.636680400000017</v>
      </c>
      <c r="D53" s="373">
        <f t="shared" si="2"/>
        <v>5.5499999999999985E-3</v>
      </c>
      <c r="E53" s="318">
        <f>C53*'Interactive Effects'!$B$13</f>
        <v>43.915780812000015</v>
      </c>
      <c r="F53" s="376">
        <f>D53*'Interactive Effects'!$C$13</f>
        <v>7.6589999999999974E-3</v>
      </c>
      <c r="G53" s="379">
        <f>C53*'Interactive Effects'!$D$13</f>
        <v>-0.68645055444000025</v>
      </c>
      <c r="H53" s="318">
        <f t="shared" si="1"/>
        <v>73.711401733333304</v>
      </c>
      <c r="I53" s="373">
        <f t="shared" si="1"/>
        <v>9.6199999999999966E-3</v>
      </c>
      <c r="J53" s="318">
        <f>H53*'Interactive Effects'!$B$13</f>
        <v>75.92274378533331</v>
      </c>
      <c r="K53" s="376">
        <f>I53*'Interactive Effects'!$C$13</f>
        <v>1.3275599999999995E-2</v>
      </c>
      <c r="L53" s="379">
        <f>H53*'Interactive Effects'!$D$13</f>
        <v>-1.1867535679066661</v>
      </c>
    </row>
  </sheetData>
  <mergeCells count="22">
    <mergeCell ref="H40:I40"/>
    <mergeCell ref="J40:L40"/>
    <mergeCell ref="A48:A50"/>
    <mergeCell ref="A51:A53"/>
    <mergeCell ref="A42:A44"/>
    <mergeCell ref="A45:A47"/>
    <mergeCell ref="A29:B29"/>
    <mergeCell ref="A1:M1"/>
    <mergeCell ref="G26:K26"/>
    <mergeCell ref="G20:K20"/>
    <mergeCell ref="C40:D40"/>
    <mergeCell ref="E40:G40"/>
    <mergeCell ref="A24:E24"/>
    <mergeCell ref="G32:K32"/>
    <mergeCell ref="C39:G39"/>
    <mergeCell ref="A38:L38"/>
    <mergeCell ref="A39:A41"/>
    <mergeCell ref="B39:B41"/>
    <mergeCell ref="H39:L39"/>
    <mergeCell ref="A28:E28"/>
    <mergeCell ref="A30:B30"/>
    <mergeCell ref="A31:B31"/>
  </mergeCells>
  <pageMargins left="0.75" right="0.75" top="1" bottom="1" header="0.5" footer="0.5"/>
  <pageSetup orientation="portrait" horizontalDpi="4294967292" verticalDpi="429496729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9"/>
  <sheetViews>
    <sheetView workbookViewId="0">
      <selection activeCell="F12" sqref="F12"/>
    </sheetView>
  </sheetViews>
  <sheetFormatPr defaultColWidth="11" defaultRowHeight="15.75"/>
  <cols>
    <col min="1" max="1" width="16.125" customWidth="1"/>
    <col min="2" max="2" width="29.125" bestFit="1" customWidth="1"/>
    <col min="3" max="3" width="12.375" customWidth="1"/>
    <col min="4" max="4" width="14.625" customWidth="1"/>
    <col min="5" max="5" width="12.125" customWidth="1"/>
    <col min="6" max="8" width="10.875" customWidth="1"/>
    <col min="9" max="9" width="13" hidden="1" customWidth="1"/>
    <col min="10" max="10" width="11.5" hidden="1" customWidth="1"/>
    <col min="11" max="11" width="15.625" hidden="1" customWidth="1"/>
    <col min="12" max="13" width="13.125" customWidth="1"/>
    <col min="14" max="14" width="3" customWidth="1"/>
    <col min="15" max="15" width="6.875" bestFit="1" customWidth="1"/>
    <col min="16" max="16" width="10.625" bestFit="1" customWidth="1"/>
    <col min="17" max="17" width="6" bestFit="1" customWidth="1"/>
    <col min="18" max="18" width="4.625" customWidth="1"/>
    <col min="19" max="19" width="13.625" hidden="1" customWidth="1"/>
    <col min="20" max="20" width="17.625" hidden="1" customWidth="1"/>
    <col min="21" max="21" width="14" hidden="1" customWidth="1"/>
    <col min="22" max="22" width="4.875" hidden="1" customWidth="1"/>
    <col min="23" max="23" width="0" hidden="1" customWidth="1"/>
    <col min="24" max="24" width="14.625" hidden="1" customWidth="1"/>
    <col min="25" max="25" width="10.375" hidden="1" customWidth="1"/>
    <col min="26" max="26" width="13.125" hidden="1" customWidth="1"/>
    <col min="27" max="27" width="10.375" hidden="1" customWidth="1"/>
    <col min="28" max="32" width="0" hidden="1" customWidth="1"/>
    <col min="33" max="33" width="14.125" hidden="1" customWidth="1"/>
    <col min="34" max="35" width="0" hidden="1" customWidth="1"/>
  </cols>
  <sheetData>
    <row r="1" spans="1:35" ht="18.75">
      <c r="A1" s="474" t="s">
        <v>80</v>
      </c>
      <c r="B1" s="474"/>
      <c r="C1" s="474"/>
      <c r="D1" s="474"/>
      <c r="E1" s="474"/>
      <c r="F1" s="474"/>
      <c r="G1" s="474"/>
      <c r="H1" s="474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35">
      <c r="L2" s="75"/>
      <c r="M2" s="233"/>
      <c r="N2" s="75"/>
      <c r="O2" s="75"/>
      <c r="P2" s="75"/>
      <c r="S2" s="489" t="s">
        <v>200</v>
      </c>
      <c r="T2" s="489"/>
      <c r="U2" s="489"/>
      <c r="W2" s="489" t="s">
        <v>201</v>
      </c>
      <c r="X2" s="489"/>
      <c r="Y2" s="489"/>
      <c r="Z2" s="489"/>
      <c r="AA2" s="489"/>
      <c r="AC2" s="489" t="s">
        <v>201</v>
      </c>
      <c r="AD2" s="489"/>
      <c r="AE2" s="489"/>
      <c r="AF2" s="489"/>
      <c r="AG2" s="489"/>
      <c r="AH2" s="489"/>
    </row>
    <row r="3" spans="1:35" ht="50.1" customHeight="1" thickBot="1">
      <c r="L3" s="75"/>
      <c r="M3" s="75"/>
      <c r="N3" s="75"/>
      <c r="O3" s="75"/>
      <c r="P3" s="75"/>
      <c r="S3" s="235" t="s">
        <v>65</v>
      </c>
      <c r="T3" s="236" t="s">
        <v>194</v>
      </c>
      <c r="U3" s="236" t="s">
        <v>195</v>
      </c>
      <c r="W3" s="235" t="s">
        <v>65</v>
      </c>
      <c r="X3" s="236" t="s">
        <v>194</v>
      </c>
      <c r="Y3" s="236" t="s">
        <v>202</v>
      </c>
      <c r="Z3" s="236" t="s">
        <v>195</v>
      </c>
      <c r="AA3" s="236" t="s">
        <v>202</v>
      </c>
      <c r="AC3" s="235" t="s">
        <v>65</v>
      </c>
      <c r="AD3" s="236" t="s">
        <v>194</v>
      </c>
      <c r="AE3" s="236" t="s">
        <v>203</v>
      </c>
      <c r="AF3" s="236" t="s">
        <v>202</v>
      </c>
      <c r="AG3" s="236" t="s">
        <v>195</v>
      </c>
      <c r="AH3" s="236" t="s">
        <v>203</v>
      </c>
      <c r="AI3" s="236" t="s">
        <v>202</v>
      </c>
    </row>
    <row r="4" spans="1:35" ht="16.5" thickBot="1">
      <c r="L4" s="75"/>
      <c r="M4" s="75"/>
      <c r="N4" s="75"/>
      <c r="O4" s="75"/>
      <c r="P4" s="75"/>
      <c r="S4" s="248" t="s">
        <v>61</v>
      </c>
      <c r="T4" s="244">
        <f>$H20*C20+$H21*C21+$H22*C22+$H23*C23+$H24*C24+$H25*C30+$H26*C31+$H27*C32+$H28*C35</f>
        <v>32.83108</v>
      </c>
      <c r="U4" s="249">
        <f>$H20*D20+$H21*D21+$H22*D22+$H23*D23+$H24*D24+$H25*D30+$H26*D31+$H27*D32+$H28*D35</f>
        <v>3.532362E-2</v>
      </c>
      <c r="W4" s="257" t="s">
        <v>61</v>
      </c>
      <c r="X4" s="258">
        <f>AVERAGE(E59:E59)</f>
        <v>32.83108</v>
      </c>
      <c r="Y4" s="259">
        <f>(X4-T4)/T4</f>
        <v>0</v>
      </c>
      <c r="Z4" s="260">
        <f>AVERAGE(F59:F59)</f>
        <v>3.532362E-2</v>
      </c>
      <c r="AA4" s="259">
        <f>(Z4-U4)/U4</f>
        <v>0</v>
      </c>
      <c r="AC4" s="257" t="s">
        <v>61</v>
      </c>
      <c r="AD4" s="258">
        <f>AVERAGE(E67:E67)</f>
        <v>62.406185123966985</v>
      </c>
      <c r="AE4" s="259">
        <f>(AD4-X4)/X4</f>
        <v>0.90082644628099307</v>
      </c>
      <c r="AF4" s="259">
        <f>(AD4-Z4)/Z4</f>
        <v>1765.6984619347334</v>
      </c>
      <c r="AG4" s="260">
        <f>AVERAGE(F67:F67)</f>
        <v>6.714407107438021E-2</v>
      </c>
      <c r="AH4" s="259">
        <f>(AG4-Z4)/Z4</f>
        <v>0.90082644628099295</v>
      </c>
      <c r="AI4" s="259" t="e">
        <f>(AG4-AA4)/AA4</f>
        <v>#DIV/0!</v>
      </c>
    </row>
    <row r="5" spans="1:35" ht="16.5" thickBot="1">
      <c r="L5" s="75"/>
      <c r="M5" s="75"/>
      <c r="N5" s="75"/>
      <c r="O5" s="75"/>
      <c r="P5" s="75"/>
      <c r="S5" s="250" t="s">
        <v>62</v>
      </c>
      <c r="T5" s="242">
        <f>$H29*C24+$H30*C25+$H31*C27+$H32*C28+$H33*C29+$H34*C32+$H35*C33+$H36*C34+$H37*C35</f>
        <v>44.637600000000006</v>
      </c>
      <c r="U5" s="251">
        <f>$H29*D24+$H30*D25+$H31*D27+$H32*D28+$H33*D29+$H34*D32+$H35*D33+$H36*D34+$H37*D35</f>
        <v>4.7411900000000007E-2</v>
      </c>
      <c r="W5" s="261" t="s">
        <v>62</v>
      </c>
      <c r="X5" s="262">
        <f>AVERAGE(E60:E60)</f>
        <v>44.637600000000006</v>
      </c>
      <c r="Y5" s="263">
        <f t="shared" ref="Y5:Y7" si="0">(X5-T5)/T5</f>
        <v>0</v>
      </c>
      <c r="Z5" s="264">
        <f>AVERAGE(F60:F60)</f>
        <v>4.7411900000000007E-2</v>
      </c>
      <c r="AA5" s="263">
        <f t="shared" ref="AA5:AA7" si="1">(Z5-U5)/U5</f>
        <v>0</v>
      </c>
      <c r="AC5" s="261" t="s">
        <v>62</v>
      </c>
      <c r="AD5" s="262">
        <f>AVERAGE(E68:E68)</f>
        <v>84.84833057851246</v>
      </c>
      <c r="AE5" s="263">
        <f t="shared" ref="AE5:AE7" si="2">(AD5-X5)/X5</f>
        <v>0.90082644628099284</v>
      </c>
      <c r="AF5" s="263">
        <f t="shared" ref="AF5:AF7" si="3">(AD5-Z5)/Z5</f>
        <v>1788.599880589313</v>
      </c>
      <c r="AG5" s="264">
        <f>AVERAGE(F68:F68)</f>
        <v>9.0121793388429822E-2</v>
      </c>
      <c r="AH5" s="263">
        <f t="shared" ref="AH5:AH7" si="4">(AG5-Z5)/Z5</f>
        <v>0.90082644628099295</v>
      </c>
      <c r="AI5" s="263" t="e">
        <f>(AG5-AA5)/AA5</f>
        <v>#DIV/0!</v>
      </c>
    </row>
    <row r="6" spans="1:35" ht="16.5" thickBot="1">
      <c r="L6" s="75"/>
      <c r="M6" s="75"/>
      <c r="N6" s="75"/>
      <c r="O6" s="75"/>
      <c r="P6" s="75"/>
      <c r="S6" s="250" t="s">
        <v>63</v>
      </c>
      <c r="T6" s="242">
        <f>$H38*C23+$H39*C24+$H40*C25+$H41*C26+$H42*C27+$H43*C28+$H44*C29+$H45*C32+$H46*C33+$H47*C34+$H48*C35</f>
        <v>40.580600000000004</v>
      </c>
      <c r="U6" s="251">
        <f>$H38*D23+$H39*D24+$H40*D25+$H41*D26+$H42*D27+$H43*D28+$H44*D29+$H45*D32+$H46*D33+$H47*D34+$H48*D35</f>
        <v>4.2006700000000001E-2</v>
      </c>
      <c r="W6" s="261" t="s">
        <v>63</v>
      </c>
      <c r="X6" s="262">
        <f>AVERAGE(E61:E61)</f>
        <v>40.580600000000004</v>
      </c>
      <c r="Y6" s="263">
        <f t="shared" si="0"/>
        <v>0</v>
      </c>
      <c r="Z6" s="264">
        <f>AVERAGE(F61:F61)</f>
        <v>4.2006700000000001E-2</v>
      </c>
      <c r="AA6" s="263">
        <f t="shared" si="1"/>
        <v>0</v>
      </c>
      <c r="AC6" s="261" t="s">
        <v>63</v>
      </c>
      <c r="AD6" s="262">
        <f>AVERAGE(E69:E69)</f>
        <v>77.136677685950474</v>
      </c>
      <c r="AE6" s="263">
        <f t="shared" si="2"/>
        <v>0.90082644628099307</v>
      </c>
      <c r="AF6" s="263">
        <f t="shared" si="3"/>
        <v>1835.2946312362187</v>
      </c>
      <c r="AG6" s="264">
        <f>AVERAGE(F69:F69)</f>
        <v>7.9847446280991788E-2</v>
      </c>
      <c r="AH6" s="263">
        <f t="shared" si="4"/>
        <v>0.90082644628099295</v>
      </c>
      <c r="AI6" s="263" t="e">
        <f>(AG6-AA6)/AA6</f>
        <v>#DIV/0!</v>
      </c>
    </row>
    <row r="7" spans="1:35" ht="16.5" thickBot="1">
      <c r="L7" s="75"/>
      <c r="M7" s="75"/>
      <c r="N7" s="75"/>
      <c r="O7" s="75"/>
      <c r="P7" s="75"/>
      <c r="S7" s="252" t="s">
        <v>64</v>
      </c>
      <c r="T7" s="247">
        <f>$H49*C25+$H50*C26+$H51*C27+$H52*C29+$H53*C33+$H54*C34</f>
        <v>31.207200000000004</v>
      </c>
      <c r="U7" s="253">
        <f>$H49*D25+$H50*D26+$H51*D27+$H52*D29+$H53*D33+$H54*D34</f>
        <v>2.8912E-2</v>
      </c>
      <c r="W7" s="265" t="s">
        <v>64</v>
      </c>
      <c r="X7" s="266">
        <f>AVERAGE(E62:E62)</f>
        <v>31.207200000000004</v>
      </c>
      <c r="Y7" s="267">
        <f t="shared" si="0"/>
        <v>0</v>
      </c>
      <c r="Z7" s="268">
        <f>AVERAGE(F62:F62)</f>
        <v>2.8912E-2</v>
      </c>
      <c r="AA7" s="267">
        <f t="shared" si="1"/>
        <v>0</v>
      </c>
      <c r="AC7" s="265" t="s">
        <v>64</v>
      </c>
      <c r="AD7" s="266">
        <f>AVERAGE(E70:E70)</f>
        <v>59.31947107438021</v>
      </c>
      <c r="AE7" s="267">
        <f t="shared" si="2"/>
        <v>0.90082644628099295</v>
      </c>
      <c r="AF7" s="267">
        <f t="shared" si="3"/>
        <v>2050.7249264796696</v>
      </c>
      <c r="AG7" s="268">
        <f>AVERAGE(F70:F70)</f>
        <v>5.4956694214876069E-2</v>
      </c>
      <c r="AH7" s="267">
        <f t="shared" si="4"/>
        <v>0.90082644628099295</v>
      </c>
      <c r="AI7" s="267" t="e">
        <f>(AG7-AA7)/AA7</f>
        <v>#DIV/0!</v>
      </c>
    </row>
    <row r="8" spans="1:35">
      <c r="L8" s="75"/>
      <c r="M8" s="75"/>
      <c r="N8" s="75"/>
      <c r="O8" s="75"/>
      <c r="P8" s="75"/>
    </row>
    <row r="9" spans="1:35">
      <c r="K9" s="101"/>
      <c r="L9" s="75"/>
      <c r="M9" s="75"/>
      <c r="N9" s="75"/>
      <c r="O9" s="75"/>
      <c r="P9" s="75"/>
    </row>
    <row r="10" spans="1:35">
      <c r="F10" s="93"/>
      <c r="G10" s="93"/>
      <c r="H10" s="75"/>
      <c r="I10" s="75"/>
      <c r="J10" s="75"/>
      <c r="K10" s="75"/>
      <c r="L10" s="75"/>
      <c r="M10" s="75"/>
      <c r="N10" s="75"/>
      <c r="O10" s="75"/>
      <c r="P10" s="75"/>
    </row>
    <row r="11" spans="1:35">
      <c r="F11" s="93"/>
      <c r="G11" s="93"/>
      <c r="H11" s="75"/>
      <c r="I11" s="90"/>
      <c r="J11" s="90"/>
      <c r="K11" s="278"/>
      <c r="L11" s="277"/>
      <c r="M11" s="278"/>
      <c r="N11" s="75"/>
      <c r="O11" s="75"/>
      <c r="P11" s="75"/>
    </row>
    <row r="12" spans="1:35">
      <c r="A12" s="489" t="s">
        <v>208</v>
      </c>
      <c r="B12" s="489"/>
      <c r="C12" s="489"/>
      <c r="F12" s="93"/>
      <c r="G12" s="93"/>
      <c r="H12" s="75"/>
      <c r="I12" s="90"/>
      <c r="J12" s="90"/>
      <c r="K12" s="278"/>
      <c r="L12" s="277"/>
      <c r="M12" s="278"/>
      <c r="N12" s="75"/>
      <c r="O12" s="75"/>
      <c r="P12" s="75"/>
    </row>
    <row r="13" spans="1:35" ht="19.5">
      <c r="A13" s="345" t="s">
        <v>204</v>
      </c>
      <c r="B13" s="345">
        <v>12</v>
      </c>
      <c r="C13" s="345"/>
      <c r="F13" s="93"/>
      <c r="G13" s="93"/>
      <c r="H13" s="75"/>
      <c r="I13" s="90"/>
      <c r="J13" s="90"/>
      <c r="K13" s="278"/>
      <c r="L13" s="277"/>
      <c r="M13" s="278"/>
      <c r="N13" s="75"/>
      <c r="O13" s="75"/>
      <c r="P13" s="75"/>
    </row>
    <row r="14" spans="1:35" ht="19.5">
      <c r="A14" s="345" t="s">
        <v>205</v>
      </c>
      <c r="B14" s="345">
        <v>10.9</v>
      </c>
      <c r="C14" s="345"/>
      <c r="F14" s="93"/>
      <c r="G14" s="93"/>
      <c r="H14" s="75"/>
      <c r="I14" s="90"/>
      <c r="J14" s="90"/>
      <c r="K14" s="278"/>
      <c r="M14" s="278"/>
      <c r="N14" s="75"/>
      <c r="O14" s="75"/>
      <c r="P14" s="75"/>
    </row>
    <row r="15" spans="1:35">
      <c r="A15" s="345" t="s">
        <v>206</v>
      </c>
      <c r="B15" s="269">
        <v>10000</v>
      </c>
      <c r="C15" s="345" t="s">
        <v>207</v>
      </c>
      <c r="F15" s="93"/>
      <c r="G15" s="93"/>
      <c r="H15" s="75"/>
      <c r="I15" s="75"/>
      <c r="J15" s="75"/>
      <c r="K15" s="75"/>
      <c r="L15" s="75"/>
      <c r="M15" s="75"/>
      <c r="N15" s="75"/>
      <c r="O15" s="75"/>
      <c r="P15" s="75"/>
    </row>
    <row r="16" spans="1:35">
      <c r="A16" t="s">
        <v>228</v>
      </c>
      <c r="B16" s="269" t="s">
        <v>229</v>
      </c>
      <c r="F16" s="93"/>
      <c r="G16" s="93"/>
      <c r="H16" s="75"/>
      <c r="I16" s="75"/>
      <c r="J16" s="75"/>
      <c r="K16" s="75"/>
      <c r="L16" s="75"/>
      <c r="M16" s="75"/>
      <c r="N16" s="75"/>
      <c r="O16" s="75"/>
      <c r="P16" s="75"/>
      <c r="R16" s="234"/>
    </row>
    <row r="17" spans="1:36">
      <c r="F17" s="93"/>
      <c r="G17" s="93"/>
      <c r="H17" s="75"/>
      <c r="I17" s="90"/>
      <c r="J17" s="90"/>
      <c r="K17" s="278"/>
      <c r="L17" s="277"/>
      <c r="M17" s="278"/>
      <c r="N17" s="75"/>
      <c r="O17" s="90"/>
      <c r="P17" s="90"/>
      <c r="Q17" s="279"/>
      <c r="R17" s="280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</row>
    <row r="18" spans="1:36">
      <c r="A18" s="489" t="s">
        <v>198</v>
      </c>
      <c r="B18" s="489"/>
      <c r="C18" s="489"/>
      <c r="D18" s="489"/>
      <c r="F18" s="499" t="s">
        <v>210</v>
      </c>
      <c r="G18" s="499"/>
      <c r="H18" s="499"/>
      <c r="I18" s="90"/>
      <c r="J18" s="90"/>
      <c r="K18" s="278"/>
      <c r="L18" s="277"/>
      <c r="M18" s="278"/>
      <c r="N18" s="75"/>
      <c r="O18" s="90"/>
      <c r="P18" s="90"/>
      <c r="Q18" s="279"/>
      <c r="R18" s="280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</row>
    <row r="19" spans="1:36" ht="42.75" thickBot="1">
      <c r="A19" s="235" t="s">
        <v>192</v>
      </c>
      <c r="B19" s="235" t="s">
        <v>193</v>
      </c>
      <c r="C19" s="236" t="s">
        <v>194</v>
      </c>
      <c r="D19" s="270" t="s">
        <v>214</v>
      </c>
      <c r="F19" s="235" t="s">
        <v>65</v>
      </c>
      <c r="G19" s="235" t="s">
        <v>192</v>
      </c>
      <c r="H19" s="236" t="s">
        <v>199</v>
      </c>
      <c r="I19" s="275"/>
      <c r="J19" s="276"/>
      <c r="K19" s="281"/>
      <c r="L19" s="277"/>
      <c r="M19" s="278"/>
      <c r="N19" s="75"/>
      <c r="O19" s="90"/>
      <c r="P19" s="90"/>
      <c r="Q19" s="279"/>
      <c r="R19" s="280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</row>
    <row r="20" spans="1:36" ht="16.5" thickBot="1">
      <c r="A20" s="243">
        <v>1</v>
      </c>
      <c r="B20" s="237" t="s">
        <v>197</v>
      </c>
      <c r="C20" s="244">
        <v>0</v>
      </c>
      <c r="D20" s="368">
        <v>0</v>
      </c>
      <c r="F20" s="522" t="s">
        <v>61</v>
      </c>
      <c r="G20" s="237">
        <v>1</v>
      </c>
      <c r="H20" s="238">
        <v>1.2999999999999999E-2</v>
      </c>
      <c r="I20" s="101"/>
      <c r="J20" s="101"/>
      <c r="K20" s="101"/>
      <c r="M20" s="75"/>
      <c r="N20" s="75"/>
      <c r="O20" s="75"/>
      <c r="P20" s="75"/>
    </row>
    <row r="21" spans="1:36" ht="16.5" thickBot="1">
      <c r="A21" s="245">
        <v>2</v>
      </c>
      <c r="B21" s="341" t="s">
        <v>197</v>
      </c>
      <c r="C21" s="242">
        <v>12.47</v>
      </c>
      <c r="D21" s="369">
        <v>9.3799999999999994E-3</v>
      </c>
      <c r="F21" s="523"/>
      <c r="G21" s="170">
        <v>2</v>
      </c>
      <c r="H21" s="239">
        <v>7.3999999999999996E-2</v>
      </c>
      <c r="I21" s="275"/>
      <c r="J21" s="276"/>
      <c r="K21" s="281"/>
      <c r="L21" s="344"/>
      <c r="M21" s="278"/>
      <c r="N21" s="75"/>
      <c r="O21" s="75"/>
      <c r="P21" s="75"/>
    </row>
    <row r="22" spans="1:36" ht="16.5" thickBot="1">
      <c r="A22" s="245">
        <v>3</v>
      </c>
      <c r="B22" s="341" t="s">
        <v>197</v>
      </c>
      <c r="C22" s="242">
        <v>4.45</v>
      </c>
      <c r="D22" s="369">
        <v>3.3500000000000001E-3</v>
      </c>
      <c r="F22" s="523"/>
      <c r="G22" s="170">
        <v>3</v>
      </c>
      <c r="H22" s="239">
        <v>0.25</v>
      </c>
      <c r="I22" s="245"/>
      <c r="J22" s="170"/>
      <c r="K22" s="281"/>
      <c r="L22" s="277"/>
      <c r="M22" s="278"/>
      <c r="N22" s="75"/>
      <c r="O22" s="75"/>
      <c r="P22" s="75"/>
    </row>
    <row r="23" spans="1:36" ht="16.5" thickBot="1">
      <c r="A23" s="245">
        <v>4</v>
      </c>
      <c r="B23" s="341" t="s">
        <v>197</v>
      </c>
      <c r="C23" s="242">
        <v>19.809999999999999</v>
      </c>
      <c r="D23" s="369">
        <v>1.49E-2</v>
      </c>
      <c r="F23" s="523"/>
      <c r="G23" s="170">
        <v>4</v>
      </c>
      <c r="H23" s="239">
        <v>0.14000000000000001</v>
      </c>
      <c r="I23" s="245"/>
      <c r="J23" s="170"/>
      <c r="K23" s="281"/>
      <c r="L23" s="277"/>
      <c r="M23" s="278"/>
      <c r="N23" s="75"/>
      <c r="O23" s="75"/>
      <c r="P23" s="75"/>
    </row>
    <row r="24" spans="1:36" ht="16.5" thickBot="1">
      <c r="A24" s="245">
        <v>5</v>
      </c>
      <c r="B24" s="341" t="s">
        <v>197</v>
      </c>
      <c r="C24" s="242">
        <v>1.78</v>
      </c>
      <c r="D24" s="369">
        <v>1.34E-3</v>
      </c>
      <c r="F24" s="523"/>
      <c r="G24" s="170">
        <v>5</v>
      </c>
      <c r="H24" s="239">
        <v>0.03</v>
      </c>
      <c r="I24" s="245"/>
      <c r="J24" s="170"/>
      <c r="K24" s="281"/>
      <c r="L24" s="277"/>
      <c r="M24" s="278"/>
      <c r="N24" s="75"/>
      <c r="O24" s="75"/>
      <c r="P24" s="75"/>
    </row>
    <row r="25" spans="1:36" ht="18" customHeight="1" thickBot="1">
      <c r="A25" s="245">
        <v>6</v>
      </c>
      <c r="B25" s="341" t="s">
        <v>196</v>
      </c>
      <c r="C25" s="242">
        <v>18.260000000000002</v>
      </c>
      <c r="D25" s="369">
        <v>1.37E-2</v>
      </c>
      <c r="F25" s="523"/>
      <c r="G25" s="170">
        <v>11</v>
      </c>
      <c r="H25" s="239">
        <v>0.09</v>
      </c>
      <c r="I25" s="245"/>
      <c r="J25" s="170"/>
      <c r="K25" s="281"/>
      <c r="L25" s="277"/>
      <c r="M25" s="278"/>
      <c r="N25" s="75"/>
      <c r="O25" s="75"/>
      <c r="P25" s="75"/>
    </row>
    <row r="26" spans="1:36" ht="18.95" customHeight="1" thickBot="1">
      <c r="A26" s="245">
        <v>7</v>
      </c>
      <c r="B26" s="341" t="s">
        <v>196</v>
      </c>
      <c r="C26" s="242">
        <v>21.8</v>
      </c>
      <c r="D26" s="369">
        <v>1.47E-2</v>
      </c>
      <c r="F26" s="523"/>
      <c r="G26" s="170">
        <v>12</v>
      </c>
      <c r="H26" s="239">
        <v>0.26</v>
      </c>
      <c r="I26" s="245"/>
      <c r="J26" s="170"/>
      <c r="K26" s="281"/>
      <c r="L26" s="277"/>
      <c r="N26" s="75"/>
      <c r="O26" s="75"/>
      <c r="P26" s="75"/>
    </row>
    <row r="27" spans="1:36" ht="18" customHeight="1" thickBot="1">
      <c r="A27" s="245">
        <v>8</v>
      </c>
      <c r="B27" s="341" t="s">
        <v>196</v>
      </c>
      <c r="C27" s="242">
        <v>30.24</v>
      </c>
      <c r="D27" s="369">
        <v>3.3399999999999999E-2</v>
      </c>
      <c r="F27" s="523"/>
      <c r="G27" s="170">
        <v>13</v>
      </c>
      <c r="H27" s="239">
        <v>0.12</v>
      </c>
      <c r="I27" s="245"/>
      <c r="J27" s="170"/>
      <c r="K27" s="281"/>
      <c r="L27" s="277"/>
      <c r="M27" s="278"/>
      <c r="N27" s="75"/>
      <c r="O27" s="75"/>
      <c r="P27" s="75"/>
    </row>
    <row r="28" spans="1:36" ht="21" customHeight="1" thickBot="1">
      <c r="A28" s="245">
        <v>9</v>
      </c>
      <c r="B28" s="341" t="s">
        <v>196</v>
      </c>
      <c r="C28" s="242">
        <v>44.05</v>
      </c>
      <c r="D28" s="369">
        <v>4.02E-2</v>
      </c>
      <c r="F28" s="523"/>
      <c r="G28" s="240">
        <v>16</v>
      </c>
      <c r="H28" s="241">
        <v>0.02</v>
      </c>
      <c r="I28" s="245"/>
      <c r="J28" s="170"/>
      <c r="K28" s="281"/>
      <c r="L28" s="277"/>
      <c r="M28" s="278"/>
      <c r="N28" s="75"/>
      <c r="O28" s="75"/>
      <c r="P28" s="75"/>
    </row>
    <row r="29" spans="1:36" ht="18.95" customHeight="1" thickBot="1">
      <c r="A29" s="245">
        <v>10</v>
      </c>
      <c r="B29" s="341" t="s">
        <v>196</v>
      </c>
      <c r="C29" s="242">
        <v>53.77</v>
      </c>
      <c r="D29" s="369">
        <v>6.1800000000000001E-2</v>
      </c>
      <c r="F29" s="522" t="s">
        <v>62</v>
      </c>
      <c r="G29" s="237">
        <v>5</v>
      </c>
      <c r="H29" s="238">
        <v>0</v>
      </c>
      <c r="I29" s="245"/>
      <c r="J29" s="170"/>
      <c r="K29" s="256"/>
      <c r="L29" s="277"/>
      <c r="M29" s="278"/>
      <c r="N29" s="75"/>
      <c r="O29" s="75"/>
      <c r="P29" s="75"/>
    </row>
    <row r="30" spans="1:36" ht="18.95" customHeight="1" thickBot="1">
      <c r="A30" s="245">
        <v>11</v>
      </c>
      <c r="B30" s="341" t="s">
        <v>197</v>
      </c>
      <c r="C30" s="242">
        <v>82.64</v>
      </c>
      <c r="D30" s="369">
        <v>9.4979999999999995E-2</v>
      </c>
      <c r="F30" s="523"/>
      <c r="G30" s="170">
        <v>6</v>
      </c>
      <c r="H30" s="239">
        <v>0.16</v>
      </c>
      <c r="I30" s="245"/>
      <c r="J30" s="170"/>
      <c r="K30" s="256"/>
      <c r="L30" s="277"/>
      <c r="M30" s="278"/>
      <c r="N30" s="75"/>
      <c r="O30" s="75"/>
      <c r="P30" s="75"/>
    </row>
    <row r="31" spans="1:36" ht="18.95" customHeight="1" thickBot="1">
      <c r="A31" s="245">
        <v>12</v>
      </c>
      <c r="B31" s="341" t="s">
        <v>197</v>
      </c>
      <c r="C31" s="242">
        <v>37.380000000000003</v>
      </c>
      <c r="D31" s="369">
        <v>4.1200000000000001E-2</v>
      </c>
      <c r="F31" s="523"/>
      <c r="G31" s="170">
        <v>8</v>
      </c>
      <c r="H31" s="239">
        <v>0.2</v>
      </c>
      <c r="I31" s="245"/>
      <c r="J31" s="170"/>
      <c r="K31" s="256"/>
      <c r="L31" s="277"/>
      <c r="M31" s="278"/>
      <c r="N31" s="75"/>
      <c r="O31" s="75"/>
      <c r="P31" s="75"/>
    </row>
    <row r="32" spans="1:36" ht="18.95" customHeight="1" thickBot="1">
      <c r="A32" s="245">
        <v>13</v>
      </c>
      <c r="B32" s="341" t="s">
        <v>197</v>
      </c>
      <c r="C32" s="242">
        <v>86.16</v>
      </c>
      <c r="D32" s="369">
        <v>9.9030000000000007E-2</v>
      </c>
      <c r="F32" s="523"/>
      <c r="G32" s="170">
        <v>9</v>
      </c>
      <c r="H32" s="239">
        <v>0.23</v>
      </c>
      <c r="I32" s="245"/>
      <c r="J32" s="170"/>
      <c r="K32" s="256"/>
      <c r="L32" s="277"/>
      <c r="M32" s="278"/>
      <c r="N32" s="75"/>
      <c r="O32" s="75"/>
      <c r="P32" s="75"/>
    </row>
    <row r="33" spans="1:18" ht="18.95" customHeight="1" thickBot="1">
      <c r="A33" s="245">
        <v>14</v>
      </c>
      <c r="B33" s="341" t="s">
        <v>197</v>
      </c>
      <c r="C33" s="242">
        <v>94.32</v>
      </c>
      <c r="D33" s="369">
        <v>0.1084</v>
      </c>
      <c r="F33" s="523"/>
      <c r="G33" s="170">
        <v>10</v>
      </c>
      <c r="H33" s="239">
        <v>0.22</v>
      </c>
      <c r="I33" s="245"/>
      <c r="J33" s="170"/>
      <c r="K33" s="256"/>
      <c r="L33" s="277"/>
      <c r="M33" s="278"/>
      <c r="N33" s="75"/>
      <c r="O33" s="75"/>
      <c r="P33" s="75"/>
    </row>
    <row r="34" spans="1:18" ht="18.95" customHeight="1" thickBot="1">
      <c r="A34" s="245">
        <v>15</v>
      </c>
      <c r="B34" s="341" t="s">
        <v>197</v>
      </c>
      <c r="C34" s="242">
        <v>72.5</v>
      </c>
      <c r="D34" s="369">
        <v>8.3299999999999999E-2</v>
      </c>
      <c r="F34" s="523"/>
      <c r="G34" s="170">
        <v>13</v>
      </c>
      <c r="H34" s="239">
        <v>0.03</v>
      </c>
      <c r="I34" s="245"/>
      <c r="J34" s="170"/>
      <c r="K34" s="256"/>
      <c r="L34" s="277"/>
      <c r="M34" s="278"/>
      <c r="N34" s="75"/>
      <c r="O34" s="75"/>
      <c r="P34" s="75"/>
    </row>
    <row r="35" spans="1:18" ht="18.95" customHeight="1" thickBot="1">
      <c r="A35" s="246">
        <v>16</v>
      </c>
      <c r="B35" s="240" t="s">
        <v>197</v>
      </c>
      <c r="C35" s="247">
        <v>23.67</v>
      </c>
      <c r="D35" s="370">
        <v>2.6100000000000002E-2</v>
      </c>
      <c r="F35" s="523"/>
      <c r="G35" s="170">
        <v>14</v>
      </c>
      <c r="H35" s="239">
        <v>0.09</v>
      </c>
      <c r="I35" s="245"/>
      <c r="J35" s="170"/>
      <c r="K35" s="256"/>
      <c r="L35" s="277"/>
      <c r="M35" s="278"/>
      <c r="N35" s="75"/>
      <c r="O35" s="75"/>
      <c r="P35" s="75"/>
    </row>
    <row r="36" spans="1:18" ht="18.95" customHeight="1" thickBot="1">
      <c r="A36" s="278"/>
      <c r="B36" s="278"/>
      <c r="C36" s="278"/>
      <c r="D36" s="278"/>
      <c r="F36" s="523"/>
      <c r="G36" s="170">
        <v>15</v>
      </c>
      <c r="H36" s="239">
        <v>0.02</v>
      </c>
      <c r="I36" s="245"/>
      <c r="J36" s="170"/>
      <c r="K36" s="256"/>
      <c r="L36" s="277"/>
      <c r="M36" s="278"/>
      <c r="N36" s="75"/>
      <c r="O36" s="75"/>
      <c r="P36" s="75"/>
    </row>
    <row r="37" spans="1:18" ht="16.5" thickBot="1">
      <c r="A37" s="499" t="s">
        <v>218</v>
      </c>
      <c r="B37" s="499"/>
      <c r="C37" s="499"/>
      <c r="D37" s="499"/>
      <c r="F37" s="523"/>
      <c r="G37" s="240">
        <v>16</v>
      </c>
      <c r="H37" s="241">
        <v>0.05</v>
      </c>
      <c r="I37" s="245"/>
      <c r="J37" s="170"/>
      <c r="K37" s="256"/>
      <c r="L37" s="277"/>
      <c r="N37" s="75"/>
      <c r="O37" s="75"/>
      <c r="P37" s="75"/>
    </row>
    <row r="38" spans="1:18" ht="16.5" thickBot="1">
      <c r="A38" s="235" t="s">
        <v>81</v>
      </c>
      <c r="B38" s="351" t="s">
        <v>82</v>
      </c>
      <c r="C38" s="351" t="s">
        <v>84</v>
      </c>
      <c r="D38" s="351" t="s">
        <v>209</v>
      </c>
      <c r="F38" s="519" t="s">
        <v>63</v>
      </c>
      <c r="G38" s="237">
        <v>4</v>
      </c>
      <c r="H38" s="238">
        <v>0.01</v>
      </c>
      <c r="I38" s="272" t="s">
        <v>211</v>
      </c>
      <c r="J38" s="272" t="s">
        <v>202</v>
      </c>
      <c r="K38" s="176" t="s">
        <v>212</v>
      </c>
    </row>
    <row r="39" spans="1:18" ht="16.5" thickBot="1">
      <c r="A39" s="352" t="s">
        <v>85</v>
      </c>
      <c r="B39" s="353" t="s">
        <v>83</v>
      </c>
      <c r="C39" s="353" t="s">
        <v>86</v>
      </c>
      <c r="D39" s="354">
        <v>10.9</v>
      </c>
      <c r="F39" s="520"/>
      <c r="G39" s="170">
        <v>5</v>
      </c>
      <c r="H39" s="239">
        <v>0.02</v>
      </c>
      <c r="I39" s="273">
        <v>356.7</v>
      </c>
      <c r="J39" s="155" t="e">
        <f>(#REF!-I39)/I39</f>
        <v>#REF!</v>
      </c>
      <c r="K39" s="94">
        <v>1.2403825813954801E-3</v>
      </c>
    </row>
    <row r="40" spans="1:18" ht="16.5" thickBot="1">
      <c r="A40" s="345"/>
      <c r="B40" s="345"/>
      <c r="C40" s="345"/>
      <c r="D40" s="345"/>
      <c r="F40" s="520"/>
      <c r="G40" s="170">
        <v>6</v>
      </c>
      <c r="H40" s="239">
        <v>0.18</v>
      </c>
      <c r="I40" s="273">
        <v>375.2</v>
      </c>
      <c r="J40" s="155" t="e">
        <f>(#REF!-I40)/I40</f>
        <v>#REF!</v>
      </c>
      <c r="K40" s="94">
        <v>1.6082839174609194E-3</v>
      </c>
    </row>
    <row r="41" spans="1:18" ht="16.5" thickBot="1">
      <c r="A41" s="499" t="s">
        <v>216</v>
      </c>
      <c r="B41" s="499"/>
      <c r="C41" s="499"/>
      <c r="D41" s="499"/>
      <c r="F41" s="520"/>
      <c r="G41" s="170">
        <v>7</v>
      </c>
      <c r="H41" s="239">
        <v>0</v>
      </c>
      <c r="I41" s="273">
        <v>348.3</v>
      </c>
      <c r="J41" s="155" t="e">
        <f>(#REF!-I41)/I41</f>
        <v>#REF!</v>
      </c>
      <c r="K41" s="94">
        <v>1.6695512153917997E-3</v>
      </c>
    </row>
    <row r="42" spans="1:18" ht="16.5" thickBot="1">
      <c r="A42" s="235" t="s">
        <v>81</v>
      </c>
      <c r="B42" s="351" t="s">
        <v>82</v>
      </c>
      <c r="C42" s="351" t="s">
        <v>84</v>
      </c>
      <c r="D42" s="351" t="s">
        <v>209</v>
      </c>
      <c r="F42" s="520"/>
      <c r="G42" s="170">
        <v>8</v>
      </c>
      <c r="H42" s="239">
        <v>0.22</v>
      </c>
      <c r="I42" s="273">
        <v>258.3</v>
      </c>
      <c r="J42" s="155" t="e">
        <f>(#REF!-I42)/I42</f>
        <v>#REF!</v>
      </c>
      <c r="K42" s="94">
        <v>1.8112639545480921E-3</v>
      </c>
    </row>
    <row r="43" spans="1:18" ht="16.5" thickBot="1">
      <c r="A43" s="352" t="s">
        <v>85</v>
      </c>
      <c r="B43" s="353" t="s">
        <v>83</v>
      </c>
      <c r="C43" s="353" t="s">
        <v>86</v>
      </c>
      <c r="D43" s="355">
        <v>12</v>
      </c>
      <c r="F43" s="520"/>
      <c r="G43" s="170">
        <v>9</v>
      </c>
      <c r="H43" s="239">
        <v>0.28000000000000003</v>
      </c>
    </row>
    <row r="44" spans="1:18" ht="18" customHeight="1" thickBot="1">
      <c r="A44" s="345"/>
      <c r="B44" s="345"/>
      <c r="C44" s="345"/>
      <c r="D44" s="345"/>
      <c r="F44" s="520"/>
      <c r="G44" s="170">
        <v>10</v>
      </c>
      <c r="H44" s="239">
        <v>0.2</v>
      </c>
    </row>
    <row r="45" spans="1:18" ht="16.5" thickBot="1">
      <c r="A45" s="499" t="s">
        <v>217</v>
      </c>
      <c r="B45" s="499"/>
      <c r="C45" s="499"/>
      <c r="D45" s="499"/>
      <c r="F45" s="520"/>
      <c r="G45" s="170">
        <v>13</v>
      </c>
      <c r="H45" s="239">
        <v>0.03</v>
      </c>
      <c r="R45" s="234"/>
    </row>
    <row r="46" spans="1:18" ht="16.5" thickBot="1">
      <c r="A46" s="235" t="s">
        <v>81</v>
      </c>
      <c r="B46" s="351" t="s">
        <v>82</v>
      </c>
      <c r="C46" s="351" t="s">
        <v>84</v>
      </c>
      <c r="D46" s="351" t="s">
        <v>209</v>
      </c>
      <c r="F46" s="520"/>
      <c r="G46" s="170">
        <v>14</v>
      </c>
      <c r="H46" s="239">
        <v>0.04</v>
      </c>
    </row>
    <row r="47" spans="1:18" ht="16.5" thickBot="1">
      <c r="A47" s="352" t="s">
        <v>85</v>
      </c>
      <c r="B47" s="353" t="s">
        <v>83</v>
      </c>
      <c r="C47" s="353" t="s">
        <v>86</v>
      </c>
      <c r="D47" s="355">
        <f>D43*1.1</f>
        <v>13.200000000000001</v>
      </c>
      <c r="F47" s="520"/>
      <c r="G47" s="170">
        <v>15</v>
      </c>
      <c r="H47" s="239">
        <v>0.01</v>
      </c>
    </row>
    <row r="48" spans="1:18" ht="16.5" thickBot="1">
      <c r="A48" s="345"/>
      <c r="B48" s="345"/>
      <c r="C48" s="345"/>
      <c r="D48" s="345"/>
      <c r="F48" s="521"/>
      <c r="G48" s="240">
        <v>16</v>
      </c>
      <c r="H48" s="241">
        <v>0.01</v>
      </c>
    </row>
    <row r="49" spans="1:18" ht="16.5" thickBot="1">
      <c r="A49" s="345"/>
      <c r="B49" s="345"/>
      <c r="C49" s="345"/>
      <c r="D49" s="345"/>
      <c r="F49" s="519" t="s">
        <v>64</v>
      </c>
      <c r="G49" s="237">
        <v>6</v>
      </c>
      <c r="H49" s="238">
        <v>0.1</v>
      </c>
    </row>
    <row r="50" spans="1:18" ht="16.5" thickBot="1">
      <c r="A50" s="345"/>
      <c r="B50" s="345"/>
      <c r="C50" s="345"/>
      <c r="D50" s="345"/>
      <c r="F50" s="520"/>
      <c r="G50" s="170">
        <v>7</v>
      </c>
      <c r="H50" s="239">
        <v>0.6</v>
      </c>
    </row>
    <row r="51" spans="1:18" ht="16.5" thickBot="1">
      <c r="A51" s="345"/>
      <c r="B51" s="345"/>
      <c r="C51" s="345"/>
      <c r="D51" s="345"/>
      <c r="F51" s="520"/>
      <c r="G51" s="170">
        <v>8</v>
      </c>
      <c r="H51" s="239">
        <v>0.01</v>
      </c>
    </row>
    <row r="52" spans="1:18" ht="16.5" thickBot="1">
      <c r="A52" s="345"/>
      <c r="B52" s="345"/>
      <c r="C52" s="345"/>
      <c r="D52" s="345"/>
      <c r="F52" s="520"/>
      <c r="G52" s="170">
        <v>10</v>
      </c>
      <c r="H52" s="239">
        <v>0.28000000000000003</v>
      </c>
    </row>
    <row r="53" spans="1:18" ht="16.5" thickBot="1">
      <c r="A53" s="345"/>
      <c r="B53" s="345"/>
      <c r="C53" s="345"/>
      <c r="D53" s="345"/>
      <c r="F53" s="520"/>
      <c r="G53" s="170">
        <v>14</v>
      </c>
      <c r="H53" s="239">
        <v>0.01</v>
      </c>
    </row>
    <row r="54" spans="1:18" ht="16.5" thickBot="1">
      <c r="A54" s="345"/>
      <c r="B54" s="345"/>
      <c r="C54" s="345"/>
      <c r="D54" s="345"/>
      <c r="F54" s="521"/>
      <c r="G54" s="240">
        <v>15</v>
      </c>
      <c r="H54" s="241">
        <v>0</v>
      </c>
    </row>
    <row r="55" spans="1:18">
      <c r="A55" s="345"/>
      <c r="B55" s="345"/>
      <c r="C55" s="345"/>
      <c r="D55" s="345"/>
      <c r="F55" s="271"/>
      <c r="G55" s="345"/>
      <c r="H55" s="345"/>
    </row>
    <row r="56" spans="1:18">
      <c r="A56" s="489" t="s">
        <v>150</v>
      </c>
      <c r="B56" s="489"/>
      <c r="C56" s="489"/>
      <c r="D56" s="489"/>
      <c r="E56" s="489"/>
      <c r="F56" s="489"/>
      <c r="G56" s="345"/>
      <c r="H56" s="345"/>
    </row>
    <row r="57" spans="1:18" ht="24.95" customHeight="1" thickBot="1">
      <c r="A57" s="524" t="s">
        <v>65</v>
      </c>
      <c r="B57" s="526" t="s">
        <v>81</v>
      </c>
      <c r="C57" s="526" t="s">
        <v>82</v>
      </c>
      <c r="D57" s="526" t="s">
        <v>230</v>
      </c>
      <c r="E57" s="496" t="s">
        <v>88</v>
      </c>
      <c r="F57" s="487"/>
      <c r="R57" s="234"/>
    </row>
    <row r="58" spans="1:18" ht="16.5" thickBot="1">
      <c r="A58" s="525"/>
      <c r="B58" s="527"/>
      <c r="C58" s="527"/>
      <c r="D58" s="527"/>
      <c r="E58" s="150" t="s">
        <v>34</v>
      </c>
      <c r="F58" s="150" t="s">
        <v>87</v>
      </c>
    </row>
    <row r="59" spans="1:18" ht="16.5" thickBot="1">
      <c r="A59" s="342" t="s">
        <v>66</v>
      </c>
      <c r="B59" s="325" t="s">
        <v>85</v>
      </c>
      <c r="C59" s="326" t="s">
        <v>83</v>
      </c>
      <c r="D59" s="328">
        <v>10000</v>
      </c>
      <c r="E59" s="357">
        <f>C20*$H20+C21*$H21+C22*$H22+C23*$H23+C24*$H24+C30*$H25+C31*$H26+C32*$H27+C35*$H28</f>
        <v>32.83108</v>
      </c>
      <c r="F59" s="363">
        <f>D20*$H20+D21*$H21+D22*$H22+D23*$H23+D24*$H24+D30*$H25+D31*$H26+D32*$H27+D35*$H28</f>
        <v>3.532362E-2</v>
      </c>
    </row>
    <row r="60" spans="1:18" ht="16.5" thickBot="1">
      <c r="A60" s="358" t="s">
        <v>62</v>
      </c>
      <c r="B60" s="327" t="s">
        <v>85</v>
      </c>
      <c r="C60" s="327" t="s">
        <v>83</v>
      </c>
      <c r="D60" s="329">
        <v>10000</v>
      </c>
      <c r="E60" s="356">
        <f>C24*$H29+C25*$H30+C27*$H31+C28*$H32+C29*$H33+C32*$H34+C33*$H35+C34*$H36+C35*$H37</f>
        <v>44.637600000000006</v>
      </c>
      <c r="F60" s="364">
        <f>D24*$H29+D25*$H30+D27*$H31+D28*$H32+D29*$H33+D32*$H34+D33*$H35+D34*$H36+D35*$H37</f>
        <v>4.7411900000000007E-2</v>
      </c>
    </row>
    <row r="61" spans="1:18" ht="16.5" thickBot="1">
      <c r="A61" s="358" t="s">
        <v>63</v>
      </c>
      <c r="B61" s="327" t="s">
        <v>85</v>
      </c>
      <c r="C61" s="327" t="s">
        <v>83</v>
      </c>
      <c r="D61" s="329">
        <v>10000</v>
      </c>
      <c r="E61" s="356">
        <f>C23*$H38+C24*$H39+C25*$H40+C26*$H41+C27*$H42+C28*$H43+C29*$H44+C32*$H45+C33*$H46+C34*$H47+C35*$H48</f>
        <v>40.580600000000004</v>
      </c>
      <c r="F61" s="365">
        <f>D23*$H38+D24*$H39+D25*$H40+D26*$H41+D27*$H42+D28*$H43+D29*$H44+D32*$H45+D33*$H46+D34*$H47+D35*$H48</f>
        <v>4.2006700000000001E-2</v>
      </c>
    </row>
    <row r="62" spans="1:18" ht="16.5" thickBot="1">
      <c r="A62" s="343" t="s">
        <v>67</v>
      </c>
      <c r="B62" s="359" t="s">
        <v>85</v>
      </c>
      <c r="C62" s="360" t="s">
        <v>83</v>
      </c>
      <c r="D62" s="361">
        <v>10000</v>
      </c>
      <c r="E62" s="362">
        <f>C25*$H49+C26*$H50+C27*$H51+C29*$H52+C33*$H53+C34*$H54</f>
        <v>31.207200000000004</v>
      </c>
      <c r="F62" s="366">
        <f>D25*$H49+D26*$H50+D27*$H51+D29*$H52+D33*$H53+D34*$H54</f>
        <v>2.8912E-2</v>
      </c>
    </row>
    <row r="63" spans="1:18">
      <c r="A63" s="345"/>
      <c r="B63" s="345"/>
      <c r="C63" s="345"/>
      <c r="D63" s="345"/>
      <c r="E63" s="345"/>
      <c r="F63" s="345"/>
    </row>
    <row r="64" spans="1:18">
      <c r="A64" s="489" t="s">
        <v>151</v>
      </c>
      <c r="B64" s="489"/>
      <c r="C64" s="489"/>
      <c r="D64" s="489"/>
      <c r="E64" s="489"/>
      <c r="F64" s="489"/>
      <c r="G64" s="133"/>
      <c r="H64" s="133"/>
    </row>
    <row r="65" spans="1:13" ht="17.100000000000001" customHeight="1" thickBot="1">
      <c r="A65" s="524" t="s">
        <v>65</v>
      </c>
      <c r="B65" s="526" t="s">
        <v>81</v>
      </c>
      <c r="C65" s="526" t="s">
        <v>82</v>
      </c>
      <c r="D65" s="526" t="s">
        <v>230</v>
      </c>
      <c r="E65" s="496" t="s">
        <v>88</v>
      </c>
      <c r="F65" s="487"/>
      <c r="I65" s="489" t="s">
        <v>213</v>
      </c>
      <c r="J65" s="489"/>
      <c r="K65" s="489"/>
      <c r="M65" s="277"/>
    </row>
    <row r="66" spans="1:13" ht="16.5" thickBot="1">
      <c r="A66" s="525"/>
      <c r="B66" s="527"/>
      <c r="C66" s="527"/>
      <c r="D66" s="527"/>
      <c r="E66" s="150" t="s">
        <v>34</v>
      </c>
      <c r="F66" s="150" t="s">
        <v>87</v>
      </c>
      <c r="I66" s="150" t="s">
        <v>34</v>
      </c>
      <c r="J66" s="151" t="s">
        <v>202</v>
      </c>
      <c r="K66" s="150" t="s">
        <v>87</v>
      </c>
    </row>
    <row r="67" spans="1:13" ht="16.5" thickBot="1">
      <c r="A67" s="342" t="s">
        <v>66</v>
      </c>
      <c r="B67" s="325" t="s">
        <v>85</v>
      </c>
      <c r="C67" s="326" t="s">
        <v>83</v>
      </c>
      <c r="D67" s="328">
        <v>10000</v>
      </c>
      <c r="E67" s="357">
        <f>E59*((1/$D$39)-(1/$D$47))/((1/$D$39)-(1/$D$43))</f>
        <v>62.406185123966985</v>
      </c>
      <c r="F67" s="367">
        <f>F59*((1/$D$39)-(1/$D$47))/((1/$D$39)-(1/$D$43))</f>
        <v>6.714407107438021E-2</v>
      </c>
      <c r="I67" s="254">
        <v>14.8</v>
      </c>
      <c r="J67" s="274">
        <f>(E59-I67)/I67</f>
        <v>1.2183162162162162</v>
      </c>
      <c r="K67" s="255">
        <v>0.02</v>
      </c>
    </row>
    <row r="68" spans="1:13" ht="16.5" thickBot="1">
      <c r="A68" s="358" t="s">
        <v>62</v>
      </c>
      <c r="B68" s="327" t="s">
        <v>85</v>
      </c>
      <c r="C68" s="327" t="s">
        <v>83</v>
      </c>
      <c r="D68" s="329">
        <v>10000</v>
      </c>
      <c r="E68" s="356">
        <f t="shared" ref="E68:F70" si="5">E60*((1/$D$39)-(1/$D$47))/((1/$D$39)-(1/$D$43))</f>
        <v>84.84833057851246</v>
      </c>
      <c r="F68" s="365">
        <f t="shared" si="5"/>
        <v>9.0121793388429822E-2</v>
      </c>
    </row>
    <row r="69" spans="1:13" ht="17.100000000000001" customHeight="1" thickBot="1">
      <c r="A69" s="358" t="s">
        <v>63</v>
      </c>
      <c r="B69" s="327" t="s">
        <v>85</v>
      </c>
      <c r="C69" s="327" t="s">
        <v>83</v>
      </c>
      <c r="D69" s="329">
        <v>10000</v>
      </c>
      <c r="E69" s="356">
        <f t="shared" si="5"/>
        <v>77.136677685950474</v>
      </c>
      <c r="F69" s="365">
        <f t="shared" si="5"/>
        <v>7.9847446280991788E-2</v>
      </c>
    </row>
    <row r="70" spans="1:13" ht="16.5" thickBot="1">
      <c r="A70" s="343" t="s">
        <v>67</v>
      </c>
      <c r="B70" s="359" t="s">
        <v>85</v>
      </c>
      <c r="C70" s="360" t="s">
        <v>83</v>
      </c>
      <c r="D70" s="361">
        <v>10000</v>
      </c>
      <c r="E70" s="362">
        <f t="shared" si="5"/>
        <v>59.31947107438021</v>
      </c>
      <c r="F70" s="366">
        <f t="shared" si="5"/>
        <v>5.4956694214876069E-2</v>
      </c>
    </row>
    <row r="77" spans="1:13">
      <c r="I77" s="489" t="s">
        <v>213</v>
      </c>
      <c r="J77" s="489"/>
      <c r="K77" s="489"/>
    </row>
    <row r="78" spans="1:13">
      <c r="I78" s="150" t="s">
        <v>34</v>
      </c>
      <c r="J78" s="151" t="s">
        <v>202</v>
      </c>
      <c r="K78" s="150" t="s">
        <v>87</v>
      </c>
    </row>
    <row r="79" spans="1:13" ht="16.5" thickBot="1">
      <c r="I79" s="254">
        <v>28.3</v>
      </c>
      <c r="J79" s="274">
        <f>(E67-I79)/I79</f>
        <v>1.2051655520836388</v>
      </c>
      <c r="K79" s="255">
        <v>0.04</v>
      </c>
    </row>
  </sheetData>
  <mergeCells count="28">
    <mergeCell ref="I77:K77"/>
    <mergeCell ref="E65:F65"/>
    <mergeCell ref="I65:K65"/>
    <mergeCell ref="A1:H1"/>
    <mergeCell ref="A65:A66"/>
    <mergeCell ref="E57:F57"/>
    <mergeCell ref="C57:C58"/>
    <mergeCell ref="D57:D58"/>
    <mergeCell ref="B57:B58"/>
    <mergeCell ref="A57:A58"/>
    <mergeCell ref="A56:F56"/>
    <mergeCell ref="B65:B66"/>
    <mergeCell ref="C65:C66"/>
    <mergeCell ref="D65:D66"/>
    <mergeCell ref="A64:F64"/>
    <mergeCell ref="A45:D45"/>
    <mergeCell ref="A18:D18"/>
    <mergeCell ref="F38:F48"/>
    <mergeCell ref="A37:D37"/>
    <mergeCell ref="A41:D41"/>
    <mergeCell ref="A12:C12"/>
    <mergeCell ref="W2:AA2"/>
    <mergeCell ref="AC2:AH2"/>
    <mergeCell ref="F49:F54"/>
    <mergeCell ref="F18:H18"/>
    <mergeCell ref="S2:U2"/>
    <mergeCell ref="F20:F28"/>
    <mergeCell ref="F29:F37"/>
  </mergeCells>
  <pageMargins left="0.75" right="0.75" top="1" bottom="1" header="0.5" footer="0.5"/>
  <pageSetup orientation="portrait" horizontalDpi="4294967292" verticalDpi="4294967292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1"/>
  <sheetViews>
    <sheetView workbookViewId="0">
      <selection activeCell="A38" sqref="A38:A49"/>
    </sheetView>
  </sheetViews>
  <sheetFormatPr defaultColWidth="11" defaultRowHeight="15.75"/>
  <cols>
    <col min="2" max="2" width="30.375" customWidth="1"/>
    <col min="3" max="3" width="8.875" customWidth="1"/>
    <col min="4" max="4" width="13.875" hidden="1" customWidth="1"/>
    <col min="5" max="5" width="4.5" hidden="1" customWidth="1"/>
    <col min="6" max="6" width="29.5" hidden="1" customWidth="1"/>
    <col min="7" max="7" width="11" hidden="1" customWidth="1"/>
    <col min="8" max="8" width="25" hidden="1" customWidth="1"/>
    <col min="9" max="9" width="4.125" hidden="1" customWidth="1"/>
    <col min="10" max="10" width="30.625" hidden="1" customWidth="1"/>
    <col min="11" max="11" width="4" hidden="1" customWidth="1"/>
    <col min="12" max="12" width="23.375" hidden="1" customWidth="1"/>
    <col min="13" max="13" width="5.375" hidden="1" customWidth="1"/>
    <col min="14" max="14" width="33.375" hidden="1" customWidth="1"/>
    <col min="15" max="15" width="21.375" hidden="1" customWidth="1"/>
    <col min="16" max="16" width="25.875" hidden="1" customWidth="1"/>
    <col min="17" max="17" width="4.875" hidden="1" customWidth="1"/>
    <col min="18" max="18" width="18.5" hidden="1" customWidth="1"/>
    <col min="19" max="19" width="4.375" hidden="1" customWidth="1"/>
    <col min="20" max="20" width="16.125" hidden="1" customWidth="1"/>
    <col min="21" max="21" width="11.5" hidden="1" customWidth="1"/>
    <col min="22" max="22" width="3.625" hidden="1" customWidth="1"/>
    <col min="23" max="23" width="21.5" hidden="1" customWidth="1"/>
    <col min="24" max="24" width="9.125" hidden="1" customWidth="1"/>
    <col min="25" max="25" width="9.5" hidden="1" customWidth="1"/>
    <col min="26" max="26" width="11.125" hidden="1" customWidth="1"/>
    <col min="27" max="27" width="3.625" hidden="1" customWidth="1"/>
    <col min="28" max="28" width="22.125" hidden="1" customWidth="1"/>
    <col min="29" max="29" width="9.125" hidden="1" customWidth="1"/>
    <col min="30" max="30" width="11.375" hidden="1" customWidth="1"/>
    <col min="31" max="31" width="10.875" hidden="1" customWidth="1"/>
    <col min="32" max="32" width="4" hidden="1" customWidth="1"/>
    <col min="33" max="33" width="9.125" bestFit="1" customWidth="1"/>
    <col min="34" max="34" width="10.125" bestFit="1" customWidth="1"/>
    <col min="35" max="35" width="10.125" customWidth="1"/>
    <col min="36" max="36" width="9.125" bestFit="1" customWidth="1"/>
  </cols>
  <sheetData>
    <row r="1" spans="1:38" ht="19.5" thickBot="1">
      <c r="B1" s="474" t="s">
        <v>127</v>
      </c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  <c r="O1" s="474"/>
      <c r="P1" s="474"/>
      <c r="Q1" s="474"/>
      <c r="R1" s="474"/>
      <c r="S1" s="474"/>
      <c r="T1" s="474"/>
      <c r="U1" s="474"/>
      <c r="V1" s="474"/>
      <c r="W1" s="474"/>
      <c r="X1" s="474"/>
      <c r="Y1" s="474"/>
      <c r="Z1" s="474"/>
      <c r="AA1" s="474"/>
      <c r="AB1" s="474"/>
      <c r="AC1" s="474"/>
      <c r="AD1" s="474"/>
      <c r="AE1" s="474"/>
      <c r="AF1" s="474"/>
      <c r="AG1" s="474"/>
      <c r="AH1" s="474"/>
      <c r="AI1" s="474"/>
      <c r="AJ1" s="474"/>
      <c r="AK1" s="474"/>
    </row>
    <row r="2" spans="1:38" ht="20.100000000000001" customHeight="1" thickBot="1">
      <c r="A2" s="541" t="s">
        <v>65</v>
      </c>
      <c r="B2" s="541" t="s">
        <v>81</v>
      </c>
      <c r="C2" s="541" t="s">
        <v>169</v>
      </c>
      <c r="D2" s="541" t="s">
        <v>164</v>
      </c>
      <c r="E2" s="137"/>
      <c r="F2" s="540" t="s">
        <v>153</v>
      </c>
      <c r="G2" s="540"/>
      <c r="H2" s="540"/>
      <c r="I2" s="137"/>
      <c r="J2" s="540" t="s">
        <v>154</v>
      </c>
      <c r="K2" s="540"/>
      <c r="L2" s="540"/>
      <c r="M2" s="156"/>
      <c r="N2" s="540" t="s">
        <v>157</v>
      </c>
      <c r="O2" s="540"/>
      <c r="P2" s="540"/>
      <c r="R2" s="543" t="s">
        <v>128</v>
      </c>
      <c r="T2" s="543" t="s">
        <v>160</v>
      </c>
      <c r="U2" s="543" t="s">
        <v>144</v>
      </c>
      <c r="V2" s="137"/>
      <c r="W2" s="544" t="s">
        <v>161</v>
      </c>
      <c r="X2" s="544"/>
      <c r="Y2" s="544"/>
      <c r="Z2" s="543" t="s">
        <v>144</v>
      </c>
      <c r="AA2" s="137"/>
      <c r="AB2" s="544" t="s">
        <v>162</v>
      </c>
      <c r="AC2" s="544"/>
      <c r="AD2" s="544"/>
      <c r="AE2" s="543" t="s">
        <v>144</v>
      </c>
      <c r="AF2" s="157"/>
      <c r="AG2" s="550" t="s">
        <v>166</v>
      </c>
      <c r="AH2" s="551"/>
      <c r="AI2" s="552"/>
      <c r="AJ2" s="550" t="s">
        <v>167</v>
      </c>
      <c r="AK2" s="551"/>
      <c r="AL2" s="552"/>
    </row>
    <row r="3" spans="1:38" ht="26.25" thickBot="1">
      <c r="A3" s="542"/>
      <c r="B3" s="542"/>
      <c r="C3" s="548"/>
      <c r="D3" s="542"/>
      <c r="F3" s="139" t="s">
        <v>111</v>
      </c>
      <c r="G3" s="541" t="s">
        <v>142</v>
      </c>
      <c r="H3" s="541" t="s">
        <v>143</v>
      </c>
      <c r="J3" s="139" t="s">
        <v>111</v>
      </c>
      <c r="K3" s="541" t="s">
        <v>142</v>
      </c>
      <c r="L3" s="541" t="s">
        <v>143</v>
      </c>
      <c r="N3" s="139" t="s">
        <v>111</v>
      </c>
      <c r="O3" s="541" t="s">
        <v>152</v>
      </c>
      <c r="P3" s="541" t="s">
        <v>143</v>
      </c>
      <c r="R3" s="544"/>
      <c r="T3" s="544"/>
      <c r="U3" s="543"/>
      <c r="W3" s="139" t="s">
        <v>68</v>
      </c>
      <c r="X3" s="549" t="s">
        <v>70</v>
      </c>
      <c r="Y3" s="549"/>
      <c r="Z3" s="543"/>
      <c r="AB3" s="139" t="s">
        <v>68</v>
      </c>
      <c r="AC3" s="549" t="s">
        <v>70</v>
      </c>
      <c r="AD3" s="549"/>
      <c r="AE3" s="543"/>
      <c r="AF3" s="157"/>
      <c r="AG3" s="553"/>
      <c r="AH3" s="554"/>
      <c r="AI3" s="555"/>
      <c r="AJ3" s="553"/>
      <c r="AK3" s="554"/>
      <c r="AL3" s="555"/>
    </row>
    <row r="4" spans="1:38" ht="17.100000000000001" customHeight="1" thickBot="1">
      <c r="A4" s="542"/>
      <c r="B4" s="542"/>
      <c r="C4" s="141" t="s">
        <v>168</v>
      </c>
      <c r="D4" s="542"/>
      <c r="F4" s="141" t="s">
        <v>112</v>
      </c>
      <c r="G4" s="542"/>
      <c r="H4" s="542"/>
      <c r="J4" s="141" t="s">
        <v>112</v>
      </c>
      <c r="K4" s="542"/>
      <c r="L4" s="542"/>
      <c r="N4" s="141" t="s">
        <v>112</v>
      </c>
      <c r="O4" s="542"/>
      <c r="P4" s="542"/>
      <c r="R4" s="141" t="s">
        <v>136</v>
      </c>
      <c r="T4" s="141" t="s">
        <v>138</v>
      </c>
      <c r="U4" s="543"/>
      <c r="W4" s="141" t="s">
        <v>138</v>
      </c>
      <c r="X4" s="141" t="s">
        <v>138</v>
      </c>
      <c r="Y4" s="141" t="s">
        <v>165</v>
      </c>
      <c r="Z4" s="543"/>
      <c r="AB4" s="141" t="s">
        <v>138</v>
      </c>
      <c r="AC4" s="141" t="s">
        <v>138</v>
      </c>
      <c r="AD4" s="141" t="s">
        <v>165</v>
      </c>
      <c r="AE4" s="543"/>
      <c r="AF4" s="157"/>
      <c r="AG4" s="141" t="s">
        <v>138</v>
      </c>
      <c r="AH4" s="141" t="s">
        <v>170</v>
      </c>
      <c r="AI4" s="141" t="s">
        <v>165</v>
      </c>
      <c r="AJ4" s="141" t="s">
        <v>138</v>
      </c>
      <c r="AK4" s="141" t="s">
        <v>170</v>
      </c>
      <c r="AL4" s="141" t="s">
        <v>165</v>
      </c>
    </row>
    <row r="5" spans="1:38">
      <c r="A5" s="545" t="s">
        <v>61</v>
      </c>
      <c r="B5" s="528" t="s">
        <v>113</v>
      </c>
      <c r="C5" s="190" t="s">
        <v>140</v>
      </c>
      <c r="D5" s="191">
        <v>11</v>
      </c>
      <c r="E5" s="205"/>
      <c r="F5" s="531" t="s">
        <v>114</v>
      </c>
      <c r="G5" s="146" t="s">
        <v>46</v>
      </c>
      <c r="H5" s="146">
        <f>5.57*D5+193.7</f>
        <v>254.97</v>
      </c>
      <c r="I5" s="205"/>
      <c r="J5" s="531" t="s">
        <v>129</v>
      </c>
      <c r="K5" s="146" t="s">
        <v>46</v>
      </c>
      <c r="L5" s="146">
        <f>5.01*D5+174.3</f>
        <v>229.41000000000003</v>
      </c>
      <c r="M5" s="205"/>
      <c r="N5" s="531" t="s">
        <v>155</v>
      </c>
      <c r="O5" s="146" t="str">
        <f>K5</f>
        <v>NA</v>
      </c>
      <c r="P5" s="146">
        <f t="shared" ref="P5:P10" si="0">0.95*L5</f>
        <v>217.93950000000001</v>
      </c>
      <c r="Q5" s="205"/>
      <c r="R5" s="190" t="s">
        <v>137</v>
      </c>
      <c r="S5" s="205"/>
      <c r="T5" s="146" t="s">
        <v>46</v>
      </c>
      <c r="U5" s="146" t="s">
        <v>46</v>
      </c>
      <c r="V5" s="205"/>
      <c r="W5" s="146">
        <f t="shared" ref="W5:W16" si="1">H5-L5</f>
        <v>25.559999999999974</v>
      </c>
      <c r="X5" s="146">
        <f>W5*'Interactive Effects'!$B$10</f>
        <v>26.071199999999973</v>
      </c>
      <c r="Y5" s="146">
        <f>W5*'Interactive Effects'!$D$10</f>
        <v>-0.58021199999999939</v>
      </c>
      <c r="Z5" s="193">
        <f t="shared" ref="Z5:Z17" si="2">(X5-AG5)/AG5</f>
        <v>1.4443579766535928E-2</v>
      </c>
      <c r="AA5" s="205"/>
      <c r="AB5" s="146">
        <f>H5-P5</f>
        <v>37.030499999999989</v>
      </c>
      <c r="AC5" s="146">
        <f>AB5*'Interactive Effects'!$B$10</f>
        <v>37.771109999999993</v>
      </c>
      <c r="AD5" s="194">
        <f>AB5*'Interactive Effects'!$D$10</f>
        <v>-0.84059234999999977</v>
      </c>
      <c r="AE5" s="193">
        <f t="shared" ref="AE5:AE25" si="3">(AC5-AJ5)/AJ5</f>
        <v>1.3581376626861465E-2</v>
      </c>
      <c r="AF5" s="206"/>
      <c r="AG5" s="146">
        <v>25.7</v>
      </c>
      <c r="AH5" s="212">
        <v>5.5900000000000004E-3</v>
      </c>
      <c r="AI5" s="194">
        <v>-0.69499999999999995</v>
      </c>
      <c r="AJ5" s="146">
        <f>AG5*1.45</f>
        <v>37.265000000000001</v>
      </c>
      <c r="AK5" s="330">
        <f>AH5*1.45</f>
        <v>8.1054999999999999E-3</v>
      </c>
      <c r="AL5" s="336">
        <f>AI5*1.45</f>
        <v>-1.0077499999999999</v>
      </c>
    </row>
    <row r="6" spans="1:38">
      <c r="A6" s="546"/>
      <c r="B6" s="529"/>
      <c r="C6" s="196" t="s">
        <v>139</v>
      </c>
      <c r="D6" s="197">
        <f>AVERAGE(13,16)</f>
        <v>14.5</v>
      </c>
      <c r="E6" s="192"/>
      <c r="F6" s="532"/>
      <c r="G6" s="147">
        <f>5.57*R6+193.7</f>
        <v>277.25</v>
      </c>
      <c r="H6" s="147">
        <f>5.57*D6+193.7</f>
        <v>274.46499999999997</v>
      </c>
      <c r="I6" s="192"/>
      <c r="J6" s="532"/>
      <c r="K6" s="147">
        <f>5.01*R6+174.3</f>
        <v>249.45</v>
      </c>
      <c r="L6" s="147">
        <f>5.01*D6+174.3</f>
        <v>246.94499999999999</v>
      </c>
      <c r="M6" s="192"/>
      <c r="N6" s="532"/>
      <c r="O6" s="147">
        <f>0.95*K6</f>
        <v>236.97749999999999</v>
      </c>
      <c r="P6" s="147">
        <f t="shared" si="0"/>
        <v>234.59774999999999</v>
      </c>
      <c r="Q6" s="192"/>
      <c r="R6" s="196">
        <v>15</v>
      </c>
      <c r="S6" s="192"/>
      <c r="T6" s="147">
        <f>G6-K6</f>
        <v>27.800000000000011</v>
      </c>
      <c r="U6" s="198">
        <f>(T6-AG6)/AG6</f>
        <v>-4.7945205479451643E-2</v>
      </c>
      <c r="V6" s="192"/>
      <c r="W6" s="147">
        <f t="shared" si="1"/>
        <v>27.519999999999982</v>
      </c>
      <c r="X6" s="147">
        <f>W6*'Interactive Effects'!$B$10</f>
        <v>28.070399999999982</v>
      </c>
      <c r="Y6" s="147">
        <f>W6*'Interactive Effects'!$D$10</f>
        <v>-0.62470399999999959</v>
      </c>
      <c r="Z6" s="198">
        <f t="shared" si="2"/>
        <v>-3.8684931506849922E-2</v>
      </c>
      <c r="AA6" s="192"/>
      <c r="AB6" s="147">
        <f t="shared" ref="AB6:AB16" si="4">H6-P6</f>
        <v>39.867249999999984</v>
      </c>
      <c r="AC6" s="147">
        <f>AB6*'Interactive Effects'!$B$10</f>
        <v>40.664594999999984</v>
      </c>
      <c r="AD6" s="199">
        <f>AB6*'Interactive Effects'!$D$10</f>
        <v>-0.90498657499999968</v>
      </c>
      <c r="AE6" s="198">
        <f t="shared" si="3"/>
        <v>-3.9570264525271896E-2</v>
      </c>
      <c r="AF6" s="195"/>
      <c r="AG6" s="147">
        <v>29.2</v>
      </c>
      <c r="AH6" s="213">
        <v>6.3299999999999997E-3</v>
      </c>
      <c r="AI6" s="199">
        <v>-0.78800000000000003</v>
      </c>
      <c r="AJ6" s="147">
        <f t="shared" ref="AJ6:AJ61" si="5">AG6*1.45</f>
        <v>42.339999999999996</v>
      </c>
      <c r="AK6" s="331">
        <f>AH6*1.45</f>
        <v>9.1784999999999992E-3</v>
      </c>
      <c r="AL6" s="337">
        <f>AI6*1.45</f>
        <v>-1.1426000000000001</v>
      </c>
    </row>
    <row r="7" spans="1:38" ht="16.5" thickBot="1">
      <c r="A7" s="546"/>
      <c r="B7" s="530"/>
      <c r="C7" s="200" t="s">
        <v>141</v>
      </c>
      <c r="D7" s="201">
        <v>18</v>
      </c>
      <c r="E7" s="192"/>
      <c r="F7" s="533"/>
      <c r="G7" s="148">
        <f>5.57*R7+193.7</f>
        <v>292.846</v>
      </c>
      <c r="H7" s="148">
        <f>5.57*D7+193.7</f>
        <v>293.95999999999998</v>
      </c>
      <c r="I7" s="192"/>
      <c r="J7" s="533"/>
      <c r="K7" s="148">
        <f>5.01*R7+174.3</f>
        <v>263.47800000000001</v>
      </c>
      <c r="L7" s="148">
        <f>5.01*D7+174.3</f>
        <v>264.48</v>
      </c>
      <c r="M7" s="192"/>
      <c r="N7" s="533"/>
      <c r="O7" s="148">
        <f>0.95*K7</f>
        <v>250.30410000000001</v>
      </c>
      <c r="P7" s="148">
        <f t="shared" si="0"/>
        <v>251.256</v>
      </c>
      <c r="Q7" s="192"/>
      <c r="R7" s="200">
        <v>17.8</v>
      </c>
      <c r="S7" s="192"/>
      <c r="T7" s="148">
        <f>G7-K7</f>
        <v>29.367999999999995</v>
      </c>
      <c r="U7" s="202">
        <f>(T7-AG7)/AG7</f>
        <v>-7.3564668769716221E-2</v>
      </c>
      <c r="V7" s="192"/>
      <c r="W7" s="148">
        <f t="shared" si="1"/>
        <v>29.479999999999961</v>
      </c>
      <c r="X7" s="148">
        <f>W7*'Interactive Effects'!$B$10</f>
        <v>30.069599999999962</v>
      </c>
      <c r="Y7" s="148">
        <f>W7*'Interactive Effects'!$D$10</f>
        <v>-0.66919599999999912</v>
      </c>
      <c r="Z7" s="202">
        <f t="shared" si="2"/>
        <v>-5.1432176656152594E-2</v>
      </c>
      <c r="AA7" s="192"/>
      <c r="AB7" s="148">
        <f t="shared" si="4"/>
        <v>42.703999999999979</v>
      </c>
      <c r="AC7" s="148">
        <f>AB7*'Interactive Effects'!$B$10</f>
        <v>43.558079999999983</v>
      </c>
      <c r="AD7" s="203">
        <f>AB7*'Interactive Effects'!$D$10</f>
        <v>-0.9693807999999996</v>
      </c>
      <c r="AE7" s="202">
        <f t="shared" si="3"/>
        <v>-5.2364190144675596E-2</v>
      </c>
      <c r="AF7" s="195"/>
      <c r="AG7" s="148">
        <v>31.7</v>
      </c>
      <c r="AH7" s="214">
        <v>6.8900000000000003E-3</v>
      </c>
      <c r="AI7" s="203">
        <v>-0.85699999999999998</v>
      </c>
      <c r="AJ7" s="148">
        <f t="shared" si="5"/>
        <v>45.964999999999996</v>
      </c>
      <c r="AK7" s="332">
        <f t="shared" ref="AK7:AL61" si="6">AH7*1.45</f>
        <v>9.9904999999999994E-3</v>
      </c>
      <c r="AL7" s="204">
        <f t="shared" si="6"/>
        <v>-1.24265</v>
      </c>
    </row>
    <row r="8" spans="1:38" ht="17.100000000000001" customHeight="1">
      <c r="A8" s="546"/>
      <c r="B8" s="528" t="s">
        <v>115</v>
      </c>
      <c r="C8" s="190" t="s">
        <v>140</v>
      </c>
      <c r="D8" s="191">
        <v>11</v>
      </c>
      <c r="E8" s="192"/>
      <c r="F8" s="531" t="s">
        <v>116</v>
      </c>
      <c r="G8" s="146" t="s">
        <v>46</v>
      </c>
      <c r="H8" s="146">
        <f>8.62*D8+228.3</f>
        <v>323.12</v>
      </c>
      <c r="I8" s="192"/>
      <c r="J8" s="531" t="s">
        <v>130</v>
      </c>
      <c r="K8" s="146" t="s">
        <v>46</v>
      </c>
      <c r="L8" s="146">
        <f>7.76*D8+205.5</f>
        <v>290.86</v>
      </c>
      <c r="M8" s="192"/>
      <c r="N8" s="531" t="s">
        <v>156</v>
      </c>
      <c r="O8" s="146" t="str">
        <f>K8</f>
        <v>NA</v>
      </c>
      <c r="P8" s="146">
        <f t="shared" si="0"/>
        <v>276.31700000000001</v>
      </c>
      <c r="Q8" s="192"/>
      <c r="R8" s="190" t="s">
        <v>137</v>
      </c>
      <c r="S8" s="192"/>
      <c r="T8" s="146" t="s">
        <v>46</v>
      </c>
      <c r="U8" s="146" t="s">
        <v>46</v>
      </c>
      <c r="V8" s="192"/>
      <c r="W8" s="146">
        <f t="shared" si="1"/>
        <v>32.259999999999991</v>
      </c>
      <c r="X8" s="146">
        <f>W8*'Interactive Effects'!$B$10</f>
        <v>32.905199999999994</v>
      </c>
      <c r="Y8" s="146">
        <f>W8*'Interactive Effects'!$D$10</f>
        <v>-0.73230199999999979</v>
      </c>
      <c r="Z8" s="193">
        <f t="shared" si="2"/>
        <v>-4.0664723032070076E-2</v>
      </c>
      <c r="AA8" s="192"/>
      <c r="AB8" s="146">
        <f t="shared" si="4"/>
        <v>46.802999999999997</v>
      </c>
      <c r="AC8" s="146">
        <f>AB8*'Interactive Effects'!$B$10</f>
        <v>47.739059999999995</v>
      </c>
      <c r="AD8" s="194">
        <f>AB8*'Interactive Effects'!$D$10</f>
        <v>-1.0624281</v>
      </c>
      <c r="AE8" s="193">
        <f t="shared" si="3"/>
        <v>-4.0131496933748824E-2</v>
      </c>
      <c r="AF8" s="195"/>
      <c r="AG8" s="146">
        <v>34.299999999999997</v>
      </c>
      <c r="AH8" s="212">
        <v>7.45E-3</v>
      </c>
      <c r="AI8" s="194">
        <v>-0.92700000000000005</v>
      </c>
      <c r="AJ8" s="146">
        <f t="shared" si="5"/>
        <v>49.734999999999992</v>
      </c>
      <c r="AK8" s="330">
        <f t="shared" si="6"/>
        <v>1.08025E-2</v>
      </c>
      <c r="AL8" s="336">
        <f>AI8*1.45</f>
        <v>-1.34415</v>
      </c>
    </row>
    <row r="9" spans="1:38">
      <c r="A9" s="546"/>
      <c r="B9" s="529"/>
      <c r="C9" s="196" t="s">
        <v>139</v>
      </c>
      <c r="D9" s="197">
        <f>AVERAGE(13,16)</f>
        <v>14.5</v>
      </c>
      <c r="E9" s="192"/>
      <c r="F9" s="532"/>
      <c r="G9" s="147">
        <f>8.62*R9+228.3</f>
        <v>351.56600000000003</v>
      </c>
      <c r="H9" s="147">
        <f>8.62*D9+228.3</f>
        <v>353.29</v>
      </c>
      <c r="I9" s="192"/>
      <c r="J9" s="532"/>
      <c r="K9" s="147">
        <f>7.67*R9+205.5</f>
        <v>315.18099999999998</v>
      </c>
      <c r="L9" s="147">
        <f>7.76*D9+205.5</f>
        <v>318.02</v>
      </c>
      <c r="M9" s="192"/>
      <c r="N9" s="532"/>
      <c r="O9" s="147">
        <f>0.95*K9</f>
        <v>299.42194999999998</v>
      </c>
      <c r="P9" s="147">
        <f t="shared" si="0"/>
        <v>302.11899999999997</v>
      </c>
      <c r="Q9" s="192"/>
      <c r="R9" s="196">
        <v>14.3</v>
      </c>
      <c r="S9" s="192"/>
      <c r="T9" s="147">
        <f>G9-K9</f>
        <v>36.385000000000048</v>
      </c>
      <c r="U9" s="198">
        <f>(T9-AG9)/AG9</f>
        <v>-5.7383419689117969E-2</v>
      </c>
      <c r="V9" s="192"/>
      <c r="W9" s="147">
        <f t="shared" si="1"/>
        <v>35.270000000000039</v>
      </c>
      <c r="X9" s="147">
        <f>W9*'Interactive Effects'!$B$10</f>
        <v>35.975400000000043</v>
      </c>
      <c r="Y9" s="147">
        <f>W9*'Interactive Effects'!$D$10</f>
        <v>-0.80062900000000092</v>
      </c>
      <c r="Z9" s="198">
        <f>(X9-AG9)/AG9</f>
        <v>-6.7994818652848663E-2</v>
      </c>
      <c r="AA9" s="192"/>
      <c r="AB9" s="147">
        <f t="shared" si="4"/>
        <v>51.171000000000049</v>
      </c>
      <c r="AC9" s="147">
        <f>AB9*'Interactive Effects'!$B$10</f>
        <v>52.194420000000051</v>
      </c>
      <c r="AD9" s="199">
        <f>AB9*'Interactive Effects'!$D$10</f>
        <v>-1.1615817000000013</v>
      </c>
      <c r="AE9" s="198">
        <f t="shared" si="3"/>
        <v>-6.7457209219223657E-2</v>
      </c>
      <c r="AF9" s="195"/>
      <c r="AG9" s="147">
        <v>38.6</v>
      </c>
      <c r="AH9" s="213">
        <v>8.3800000000000003E-3</v>
      </c>
      <c r="AI9" s="199">
        <v>-1.04</v>
      </c>
      <c r="AJ9" s="147">
        <f>AG9*1.45</f>
        <v>55.97</v>
      </c>
      <c r="AK9" s="331">
        <f>AH9*1.45</f>
        <v>1.2151E-2</v>
      </c>
      <c r="AL9" s="337">
        <f>AI9*1.45</f>
        <v>-1.508</v>
      </c>
    </row>
    <row r="10" spans="1:38" ht="16.5" thickBot="1">
      <c r="A10" s="546"/>
      <c r="B10" s="530"/>
      <c r="C10" s="200" t="s">
        <v>141</v>
      </c>
      <c r="D10" s="201">
        <v>18</v>
      </c>
      <c r="E10" s="192"/>
      <c r="F10" s="533"/>
      <c r="G10" s="148">
        <f>8.62*R10+228.3</f>
        <v>481.72799999999995</v>
      </c>
      <c r="H10" s="148">
        <f>8.62*D10+228.3</f>
        <v>383.46000000000004</v>
      </c>
      <c r="I10" s="192"/>
      <c r="J10" s="533"/>
      <c r="K10" s="148">
        <f>7.67*R10+205.5</f>
        <v>430.99799999999999</v>
      </c>
      <c r="L10" s="148">
        <f>7.76*D10+205.5</f>
        <v>345.18</v>
      </c>
      <c r="M10" s="192"/>
      <c r="N10" s="533"/>
      <c r="O10" s="148">
        <f>0.95*K10</f>
        <v>409.44809999999995</v>
      </c>
      <c r="P10" s="148">
        <f t="shared" si="0"/>
        <v>327.92099999999999</v>
      </c>
      <c r="Q10" s="192"/>
      <c r="R10" s="200">
        <v>29.4</v>
      </c>
      <c r="S10" s="192"/>
      <c r="T10" s="148">
        <f>G10-K10</f>
        <v>50.729999999999961</v>
      </c>
      <c r="U10" s="202">
        <f>(T10-AG10)/AG10</f>
        <v>0.18251748251748165</v>
      </c>
      <c r="V10" s="192"/>
      <c r="W10" s="148">
        <f t="shared" si="1"/>
        <v>38.28000000000003</v>
      </c>
      <c r="X10" s="148">
        <f>W10*'Interactive Effects'!$B$10</f>
        <v>39.045600000000029</v>
      </c>
      <c r="Y10" s="148">
        <f>W10*'Interactive Effects'!$D$10</f>
        <v>-0.86895600000000073</v>
      </c>
      <c r="Z10" s="202">
        <f t="shared" si="2"/>
        <v>-8.9846153846153146E-2</v>
      </c>
      <c r="AA10" s="192"/>
      <c r="AB10" s="148">
        <f t="shared" si="4"/>
        <v>55.539000000000044</v>
      </c>
      <c r="AC10" s="148">
        <f>AB10*'Interactive Effects'!$B$10</f>
        <v>56.649780000000042</v>
      </c>
      <c r="AD10" s="203">
        <f>AB10*'Interactive Effects'!$D$10</f>
        <v>-1.260735300000001</v>
      </c>
      <c r="AE10" s="202">
        <f t="shared" si="3"/>
        <v>-8.9305039787797705E-2</v>
      </c>
      <c r="AF10" s="195"/>
      <c r="AG10" s="148">
        <v>42.9</v>
      </c>
      <c r="AH10" s="214">
        <v>9.3200000000000002E-3</v>
      </c>
      <c r="AI10" s="203">
        <v>-1.1599999999999999</v>
      </c>
      <c r="AJ10" s="148">
        <f t="shared" si="5"/>
        <v>62.204999999999998</v>
      </c>
      <c r="AK10" s="332">
        <f t="shared" si="6"/>
        <v>1.3514E-2</v>
      </c>
      <c r="AL10" s="204">
        <f t="shared" si="6"/>
        <v>-1.6819999999999999</v>
      </c>
    </row>
    <row r="11" spans="1:38" ht="17.100000000000001" hidden="1" customHeight="1" thickBot="1">
      <c r="A11" s="546"/>
      <c r="B11" s="534" t="s">
        <v>117</v>
      </c>
      <c r="C11" s="145" t="s">
        <v>140</v>
      </c>
      <c r="D11" s="178">
        <v>12.9</v>
      </c>
      <c r="E11" s="93"/>
      <c r="F11" s="537" t="s">
        <v>118</v>
      </c>
      <c r="G11" s="143" t="s">
        <v>46</v>
      </c>
      <c r="H11" s="140">
        <f>8.62*D11+312.3</f>
        <v>423.49799999999999</v>
      </c>
      <c r="I11" s="93"/>
      <c r="J11" s="537" t="s">
        <v>131</v>
      </c>
      <c r="K11" s="143" t="s">
        <v>46</v>
      </c>
      <c r="L11" s="140">
        <f>7.76*D11+289.5</f>
        <v>389.60399999999998</v>
      </c>
      <c r="M11" s="93"/>
      <c r="N11" s="537" t="s">
        <v>131</v>
      </c>
      <c r="O11" s="143" t="s">
        <v>46</v>
      </c>
      <c r="P11" s="140">
        <f>7.76*V11+289.5</f>
        <v>289.5</v>
      </c>
      <c r="Q11" s="93"/>
      <c r="R11" s="158" t="s">
        <v>137</v>
      </c>
      <c r="S11" s="93"/>
      <c r="T11" s="158" t="s">
        <v>46</v>
      </c>
      <c r="U11" s="158" t="s">
        <v>46</v>
      </c>
      <c r="V11" s="93"/>
      <c r="W11" s="142">
        <f t="shared" si="1"/>
        <v>33.894000000000005</v>
      </c>
      <c r="X11" s="142"/>
      <c r="Y11" s="180">
        <f>W11*'Interactive Effects'!$D$10</f>
        <v>-0.76939380000000013</v>
      </c>
      <c r="Z11" s="182" t="e">
        <f t="shared" si="2"/>
        <v>#DIV/0!</v>
      </c>
      <c r="AA11" s="93"/>
      <c r="AB11" s="140">
        <f t="shared" si="4"/>
        <v>133.99799999999999</v>
      </c>
      <c r="AC11" s="142"/>
      <c r="AD11" s="188">
        <f>AB11*'Interactive Effects'!$D$10</f>
        <v>-3.0417546</v>
      </c>
      <c r="AE11" s="182" t="e">
        <f t="shared" si="3"/>
        <v>#DIV/0!</v>
      </c>
      <c r="AF11" s="186"/>
      <c r="AG11" s="140"/>
      <c r="AH11" s="215"/>
      <c r="AI11" s="184"/>
      <c r="AJ11" s="140">
        <f t="shared" si="5"/>
        <v>0</v>
      </c>
      <c r="AK11" s="215">
        <f t="shared" si="6"/>
        <v>0</v>
      </c>
      <c r="AL11" s="204">
        <f t="shared" si="6"/>
        <v>0</v>
      </c>
    </row>
    <row r="12" spans="1:38" ht="17.100000000000001" hidden="1" customHeight="1" thickBot="1">
      <c r="A12" s="546"/>
      <c r="B12" s="535"/>
      <c r="C12" s="145" t="s">
        <v>139</v>
      </c>
      <c r="D12" s="178">
        <f>AVERAGE(13,16)</f>
        <v>14.5</v>
      </c>
      <c r="E12" s="93"/>
      <c r="F12" s="538"/>
      <c r="G12" s="143" t="s">
        <v>46</v>
      </c>
      <c r="H12" s="140">
        <f>8.62*D12+312.3</f>
        <v>437.29</v>
      </c>
      <c r="I12" s="93"/>
      <c r="J12" s="538"/>
      <c r="K12" s="143" t="s">
        <v>46</v>
      </c>
      <c r="L12" s="140">
        <f>7.76*D12+289.5</f>
        <v>402.02</v>
      </c>
      <c r="M12" s="93"/>
      <c r="N12" s="538"/>
      <c r="O12" s="143" t="s">
        <v>46</v>
      </c>
      <c r="P12" s="140">
        <f>7.76*V12+289.5</f>
        <v>289.5</v>
      </c>
      <c r="Q12" s="93"/>
      <c r="R12" s="158" t="s">
        <v>137</v>
      </c>
      <c r="S12" s="93"/>
      <c r="T12" s="158" t="s">
        <v>46</v>
      </c>
      <c r="U12" s="158" t="s">
        <v>46</v>
      </c>
      <c r="V12" s="93"/>
      <c r="W12" s="142">
        <f t="shared" si="1"/>
        <v>35.270000000000039</v>
      </c>
      <c r="X12" s="142"/>
      <c r="Y12" s="180">
        <f>W12*'Interactive Effects'!$D$10</f>
        <v>-0.80062900000000092</v>
      </c>
      <c r="Z12" s="182" t="e">
        <f t="shared" si="2"/>
        <v>#DIV/0!</v>
      </c>
      <c r="AA12" s="93"/>
      <c r="AB12" s="140">
        <f t="shared" si="4"/>
        <v>147.79000000000002</v>
      </c>
      <c r="AC12" s="142"/>
      <c r="AD12" s="188">
        <f>AB12*'Interactive Effects'!$D$10</f>
        <v>-3.3548330000000006</v>
      </c>
      <c r="AE12" s="182" t="e">
        <f t="shared" si="3"/>
        <v>#DIV/0!</v>
      </c>
      <c r="AF12" s="186"/>
      <c r="AG12" s="140"/>
      <c r="AH12" s="215"/>
      <c r="AI12" s="184"/>
      <c r="AJ12" s="140">
        <f t="shared" si="5"/>
        <v>0</v>
      </c>
      <c r="AK12" s="215">
        <f t="shared" si="6"/>
        <v>0</v>
      </c>
      <c r="AL12" s="204">
        <f t="shared" si="6"/>
        <v>0</v>
      </c>
    </row>
    <row r="13" spans="1:38" ht="17.100000000000001" hidden="1" customHeight="1" thickBot="1">
      <c r="A13" s="546"/>
      <c r="B13" s="536"/>
      <c r="C13" s="145" t="s">
        <v>141</v>
      </c>
      <c r="D13" s="178">
        <v>16</v>
      </c>
      <c r="E13" s="93"/>
      <c r="F13" s="539"/>
      <c r="G13" s="143" t="s">
        <v>46</v>
      </c>
      <c r="H13" s="140">
        <f>8.62*D13+312.3</f>
        <v>450.22</v>
      </c>
      <c r="I13" s="93"/>
      <c r="J13" s="539"/>
      <c r="K13" s="143" t="s">
        <v>46</v>
      </c>
      <c r="L13" s="140">
        <f>7.76*D13+289.5</f>
        <v>413.65999999999997</v>
      </c>
      <c r="M13" s="93"/>
      <c r="N13" s="539"/>
      <c r="O13" s="143" t="s">
        <v>46</v>
      </c>
      <c r="P13" s="140">
        <f>7.76*V13+289.5</f>
        <v>289.5</v>
      </c>
      <c r="Q13" s="93"/>
      <c r="R13" s="158" t="s">
        <v>137</v>
      </c>
      <c r="S13" s="93"/>
      <c r="T13" s="158" t="s">
        <v>46</v>
      </c>
      <c r="U13" s="158" t="s">
        <v>46</v>
      </c>
      <c r="V13" s="93"/>
      <c r="W13" s="142">
        <f t="shared" si="1"/>
        <v>36.560000000000059</v>
      </c>
      <c r="X13" s="142"/>
      <c r="Y13" s="180">
        <f>W13*'Interactive Effects'!$D$10</f>
        <v>-0.82991200000000143</v>
      </c>
      <c r="Z13" s="182" t="e">
        <f t="shared" si="2"/>
        <v>#DIV/0!</v>
      </c>
      <c r="AA13" s="93"/>
      <c r="AB13" s="140">
        <f t="shared" si="4"/>
        <v>160.72000000000003</v>
      </c>
      <c r="AC13" s="142"/>
      <c r="AD13" s="188">
        <f>AB13*'Interactive Effects'!$D$10</f>
        <v>-3.6483440000000007</v>
      </c>
      <c r="AE13" s="182" t="e">
        <f t="shared" si="3"/>
        <v>#DIV/0!</v>
      </c>
      <c r="AF13" s="186"/>
      <c r="AG13" s="140"/>
      <c r="AH13" s="215"/>
      <c r="AI13" s="184"/>
      <c r="AJ13" s="140">
        <f t="shared" si="5"/>
        <v>0</v>
      </c>
      <c r="AK13" s="215">
        <f t="shared" si="6"/>
        <v>0</v>
      </c>
      <c r="AL13" s="204">
        <f t="shared" si="6"/>
        <v>0</v>
      </c>
    </row>
    <row r="14" spans="1:38" ht="17.100000000000001" hidden="1" customHeight="1" thickBot="1">
      <c r="A14" s="546"/>
      <c r="B14" s="534" t="s">
        <v>119</v>
      </c>
      <c r="C14" s="145" t="s">
        <v>140</v>
      </c>
      <c r="D14" s="178">
        <v>12.9</v>
      </c>
      <c r="E14" s="93"/>
      <c r="F14" s="537" t="s">
        <v>120</v>
      </c>
      <c r="G14" s="143" t="s">
        <v>46</v>
      </c>
      <c r="H14" s="140">
        <f>9.86*D14+260.9</f>
        <v>388.09399999999999</v>
      </c>
      <c r="I14" s="93"/>
      <c r="J14" s="537" t="s">
        <v>132</v>
      </c>
      <c r="K14" s="143" t="s">
        <v>46</v>
      </c>
      <c r="L14" s="140">
        <f>8.87*D14+234.8</f>
        <v>349.22300000000001</v>
      </c>
      <c r="M14" s="93"/>
      <c r="N14" s="537" t="s">
        <v>132</v>
      </c>
      <c r="O14" s="143" t="s">
        <v>46</v>
      </c>
      <c r="P14" s="140">
        <f>8.87*V14+234.8</f>
        <v>234.8</v>
      </c>
      <c r="Q14" s="93"/>
      <c r="R14" s="158" t="s">
        <v>137</v>
      </c>
      <c r="S14" s="93"/>
      <c r="T14" s="158" t="s">
        <v>46</v>
      </c>
      <c r="U14" s="158" t="s">
        <v>46</v>
      </c>
      <c r="V14" s="93"/>
      <c r="W14" s="142">
        <f t="shared" si="1"/>
        <v>38.870999999999981</v>
      </c>
      <c r="X14" s="142"/>
      <c r="Y14" s="180">
        <f>W14*'Interactive Effects'!$D$10</f>
        <v>-0.88237169999999965</v>
      </c>
      <c r="Z14" s="182" t="e">
        <f t="shared" si="2"/>
        <v>#DIV/0!</v>
      </c>
      <c r="AA14" s="93"/>
      <c r="AB14" s="140">
        <f t="shared" si="4"/>
        <v>153.29399999999998</v>
      </c>
      <c r="AC14" s="142"/>
      <c r="AD14" s="188">
        <f>AB14*'Interactive Effects'!$D$10</f>
        <v>-3.4797737999999998</v>
      </c>
      <c r="AE14" s="182" t="e">
        <f t="shared" si="3"/>
        <v>#DIV/0!</v>
      </c>
      <c r="AF14" s="186"/>
      <c r="AG14" s="140"/>
      <c r="AH14" s="215"/>
      <c r="AI14" s="184"/>
      <c r="AJ14" s="140">
        <f t="shared" si="5"/>
        <v>0</v>
      </c>
      <c r="AK14" s="215">
        <f t="shared" si="6"/>
        <v>0</v>
      </c>
      <c r="AL14" s="204">
        <f t="shared" si="6"/>
        <v>0</v>
      </c>
    </row>
    <row r="15" spans="1:38" ht="17.100000000000001" hidden="1" customHeight="1" thickBot="1">
      <c r="A15" s="546"/>
      <c r="B15" s="535"/>
      <c r="C15" s="145" t="s">
        <v>139</v>
      </c>
      <c r="D15" s="178">
        <f>AVERAGE(13,16)</f>
        <v>14.5</v>
      </c>
      <c r="E15" s="93"/>
      <c r="F15" s="538"/>
      <c r="G15" s="143" t="s">
        <v>46</v>
      </c>
      <c r="H15" s="140">
        <f>9.86*D15+260.9</f>
        <v>403.87</v>
      </c>
      <c r="I15" s="93"/>
      <c r="J15" s="538"/>
      <c r="K15" s="143" t="s">
        <v>46</v>
      </c>
      <c r="L15" s="140">
        <f>8.87*D15+234.8</f>
        <v>363.41499999999996</v>
      </c>
      <c r="M15" s="93"/>
      <c r="N15" s="538"/>
      <c r="O15" s="143" t="s">
        <v>46</v>
      </c>
      <c r="P15" s="140">
        <f>8.87*V15+234.8</f>
        <v>234.8</v>
      </c>
      <c r="Q15" s="93"/>
      <c r="R15" s="158" t="s">
        <v>137</v>
      </c>
      <c r="S15" s="93"/>
      <c r="T15" s="158" t="s">
        <v>46</v>
      </c>
      <c r="U15" s="158" t="s">
        <v>46</v>
      </c>
      <c r="V15" s="93"/>
      <c r="W15" s="142">
        <f t="shared" si="1"/>
        <v>40.455000000000041</v>
      </c>
      <c r="X15" s="142"/>
      <c r="Y15" s="180">
        <f>W15*'Interactive Effects'!$D$10</f>
        <v>-0.91832850000000099</v>
      </c>
      <c r="Z15" s="182" t="e">
        <f t="shared" si="2"/>
        <v>#DIV/0!</v>
      </c>
      <c r="AA15" s="93"/>
      <c r="AB15" s="140">
        <f t="shared" si="4"/>
        <v>169.07</v>
      </c>
      <c r="AC15" s="142"/>
      <c r="AD15" s="188">
        <f>AB15*'Interactive Effects'!$D$10</f>
        <v>-3.8378890000000001</v>
      </c>
      <c r="AE15" s="182" t="e">
        <f t="shared" si="3"/>
        <v>#DIV/0!</v>
      </c>
      <c r="AF15" s="186"/>
      <c r="AG15" s="140"/>
      <c r="AH15" s="215"/>
      <c r="AI15" s="184"/>
      <c r="AJ15" s="140">
        <f t="shared" si="5"/>
        <v>0</v>
      </c>
      <c r="AK15" s="215">
        <f t="shared" si="6"/>
        <v>0</v>
      </c>
      <c r="AL15" s="204">
        <f t="shared" si="6"/>
        <v>0</v>
      </c>
    </row>
    <row r="16" spans="1:38" ht="17.100000000000001" hidden="1" customHeight="1" thickBot="1">
      <c r="A16" s="546"/>
      <c r="B16" s="536"/>
      <c r="C16" s="145" t="s">
        <v>141</v>
      </c>
      <c r="D16" s="178">
        <v>16</v>
      </c>
      <c r="E16" s="93"/>
      <c r="F16" s="539"/>
      <c r="G16" s="143" t="s">
        <v>46</v>
      </c>
      <c r="H16" s="140">
        <f>9.86*D16+260.9</f>
        <v>418.65999999999997</v>
      </c>
      <c r="I16" s="93"/>
      <c r="J16" s="539"/>
      <c r="K16" s="143" t="s">
        <v>46</v>
      </c>
      <c r="L16" s="140">
        <f>8.87*D16+234.8</f>
        <v>376.72</v>
      </c>
      <c r="M16" s="93"/>
      <c r="N16" s="539"/>
      <c r="O16" s="143" t="s">
        <v>46</v>
      </c>
      <c r="P16" s="140">
        <f>8.87*V16+234.8</f>
        <v>234.8</v>
      </c>
      <c r="Q16" s="93"/>
      <c r="R16" s="158" t="s">
        <v>137</v>
      </c>
      <c r="S16" s="93"/>
      <c r="T16" s="158" t="s">
        <v>46</v>
      </c>
      <c r="U16" s="158" t="s">
        <v>46</v>
      </c>
      <c r="V16" s="93"/>
      <c r="W16" s="142">
        <f t="shared" si="1"/>
        <v>41.939999999999941</v>
      </c>
      <c r="X16" s="142"/>
      <c r="Y16" s="180">
        <f>W16*'Interactive Effects'!$D$10</f>
        <v>-0.95203799999999872</v>
      </c>
      <c r="Z16" s="182" t="e">
        <f t="shared" si="2"/>
        <v>#DIV/0!</v>
      </c>
      <c r="AA16" s="93"/>
      <c r="AB16" s="140">
        <f t="shared" si="4"/>
        <v>183.85999999999996</v>
      </c>
      <c r="AC16" s="142"/>
      <c r="AD16" s="188">
        <f>AB16*'Interactive Effects'!$D$10</f>
        <v>-4.1736219999999991</v>
      </c>
      <c r="AE16" s="182" t="e">
        <f t="shared" si="3"/>
        <v>#DIV/0!</v>
      </c>
      <c r="AF16" s="186"/>
      <c r="AG16" s="140"/>
      <c r="AH16" s="215"/>
      <c r="AI16" s="184"/>
      <c r="AJ16" s="140">
        <f t="shared" si="5"/>
        <v>0</v>
      </c>
      <c r="AK16" s="215">
        <f t="shared" si="6"/>
        <v>0</v>
      </c>
      <c r="AL16" s="204">
        <f t="shared" si="6"/>
        <v>0</v>
      </c>
    </row>
    <row r="17" spans="1:38" ht="17.100000000000001" hidden="1" customHeight="1" thickBot="1">
      <c r="A17" s="546"/>
      <c r="B17" s="534" t="s">
        <v>121</v>
      </c>
      <c r="C17" s="145" t="s">
        <v>140</v>
      </c>
      <c r="D17" s="179"/>
      <c r="E17" s="93"/>
      <c r="F17" s="537" t="s">
        <v>122</v>
      </c>
      <c r="G17" s="143" t="s">
        <v>46</v>
      </c>
      <c r="H17" s="140"/>
      <c r="I17" s="93"/>
      <c r="J17" s="537" t="s">
        <v>133</v>
      </c>
      <c r="K17" s="143" t="s">
        <v>46</v>
      </c>
      <c r="L17" s="144"/>
      <c r="M17" s="93"/>
      <c r="N17" s="537" t="s">
        <v>133</v>
      </c>
      <c r="O17" s="143" t="s">
        <v>46</v>
      </c>
      <c r="P17" s="144"/>
      <c r="Q17" s="93"/>
      <c r="R17" s="158" t="s">
        <v>137</v>
      </c>
      <c r="S17" s="93"/>
      <c r="T17" s="158" t="s">
        <v>46</v>
      </c>
      <c r="U17" s="158" t="s">
        <v>46</v>
      </c>
      <c r="V17" s="93"/>
      <c r="W17" s="144"/>
      <c r="X17" s="144"/>
      <c r="Y17" s="181">
        <f>W17*'Interactive Effects'!$D$10</f>
        <v>0</v>
      </c>
      <c r="Z17" s="183" t="e">
        <f t="shared" si="2"/>
        <v>#DIV/0!</v>
      </c>
      <c r="AA17" s="93"/>
      <c r="AB17" s="144"/>
      <c r="AC17" s="144"/>
      <c r="AD17" s="189">
        <f>AB17*'Interactive Effects'!$D$10</f>
        <v>0</v>
      </c>
      <c r="AE17" s="183" t="e">
        <f t="shared" si="3"/>
        <v>#DIV/0!</v>
      </c>
      <c r="AF17" s="187"/>
      <c r="AG17" s="144"/>
      <c r="AH17" s="216"/>
      <c r="AI17" s="185"/>
      <c r="AJ17" s="144">
        <f t="shared" si="5"/>
        <v>0</v>
      </c>
      <c r="AK17" s="216">
        <f t="shared" si="6"/>
        <v>0</v>
      </c>
      <c r="AL17" s="204">
        <f t="shared" si="6"/>
        <v>0</v>
      </c>
    </row>
    <row r="18" spans="1:38" ht="17.100000000000001" hidden="1" customHeight="1" thickBot="1">
      <c r="A18" s="546"/>
      <c r="B18" s="535"/>
      <c r="C18" s="145" t="s">
        <v>139</v>
      </c>
      <c r="D18" s="179"/>
      <c r="E18" s="93"/>
      <c r="F18" s="538"/>
      <c r="G18" s="143" t="s">
        <v>46</v>
      </c>
      <c r="H18" s="140"/>
      <c r="I18" s="93"/>
      <c r="J18" s="538"/>
      <c r="K18" s="143" t="s">
        <v>46</v>
      </c>
      <c r="L18" s="144"/>
      <c r="M18" s="93"/>
      <c r="N18" s="538"/>
      <c r="O18" s="143" t="s">
        <v>46</v>
      </c>
      <c r="P18" s="144"/>
      <c r="Q18" s="93"/>
      <c r="R18" s="158" t="s">
        <v>137</v>
      </c>
      <c r="S18" s="93"/>
      <c r="T18" s="158" t="s">
        <v>46</v>
      </c>
      <c r="U18" s="158" t="s">
        <v>46</v>
      </c>
      <c r="V18" s="93"/>
      <c r="W18" s="144"/>
      <c r="X18" s="144"/>
      <c r="Y18" s="181">
        <f>W18*'Interactive Effects'!$D$10</f>
        <v>0</v>
      </c>
      <c r="Z18" s="183"/>
      <c r="AA18" s="93"/>
      <c r="AB18" s="144"/>
      <c r="AC18" s="144"/>
      <c r="AD18" s="189">
        <f>AB18*'Interactive Effects'!$D$10</f>
        <v>0</v>
      </c>
      <c r="AE18" s="183" t="e">
        <f t="shared" si="3"/>
        <v>#DIV/0!</v>
      </c>
      <c r="AF18" s="187"/>
      <c r="AG18" s="144"/>
      <c r="AH18" s="216"/>
      <c r="AI18" s="185"/>
      <c r="AJ18" s="144">
        <f t="shared" si="5"/>
        <v>0</v>
      </c>
      <c r="AK18" s="216">
        <f t="shared" si="6"/>
        <v>0</v>
      </c>
      <c r="AL18" s="204">
        <f t="shared" si="6"/>
        <v>0</v>
      </c>
    </row>
    <row r="19" spans="1:38" ht="17.100000000000001" hidden="1" customHeight="1" thickBot="1">
      <c r="A19" s="546"/>
      <c r="B19" s="536"/>
      <c r="C19" s="145" t="s">
        <v>141</v>
      </c>
      <c r="D19" s="179"/>
      <c r="E19" s="93"/>
      <c r="F19" s="539"/>
      <c r="G19" s="143" t="s">
        <v>46</v>
      </c>
      <c r="H19" s="140"/>
      <c r="I19" s="93"/>
      <c r="J19" s="539"/>
      <c r="K19" s="143" t="s">
        <v>46</v>
      </c>
      <c r="L19" s="144"/>
      <c r="M19" s="93"/>
      <c r="N19" s="539"/>
      <c r="O19" s="143" t="s">
        <v>46</v>
      </c>
      <c r="P19" s="144"/>
      <c r="Q19" s="93"/>
      <c r="R19" s="158" t="s">
        <v>137</v>
      </c>
      <c r="S19" s="93"/>
      <c r="T19" s="158" t="s">
        <v>46</v>
      </c>
      <c r="U19" s="158" t="s">
        <v>46</v>
      </c>
      <c r="V19" s="93"/>
      <c r="W19" s="144"/>
      <c r="X19" s="144"/>
      <c r="Y19" s="181">
        <f>W19*'Interactive Effects'!$D$10</f>
        <v>0</v>
      </c>
      <c r="Z19" s="183"/>
      <c r="AA19" s="93"/>
      <c r="AB19" s="144"/>
      <c r="AC19" s="144"/>
      <c r="AD19" s="189">
        <f>AB19*'Interactive Effects'!$D$10</f>
        <v>0</v>
      </c>
      <c r="AE19" s="183" t="e">
        <f t="shared" si="3"/>
        <v>#DIV/0!</v>
      </c>
      <c r="AF19" s="187"/>
      <c r="AG19" s="144"/>
      <c r="AH19" s="216"/>
      <c r="AI19" s="185"/>
      <c r="AJ19" s="144">
        <f t="shared" si="5"/>
        <v>0</v>
      </c>
      <c r="AK19" s="216">
        <f t="shared" si="6"/>
        <v>0</v>
      </c>
      <c r="AL19" s="204">
        <f t="shared" si="6"/>
        <v>0</v>
      </c>
    </row>
    <row r="20" spans="1:38" ht="17.100000000000001" customHeight="1">
      <c r="A20" s="546"/>
      <c r="B20" s="528" t="s">
        <v>123</v>
      </c>
      <c r="C20" s="190" t="s">
        <v>140</v>
      </c>
      <c r="D20" s="191">
        <v>11</v>
      </c>
      <c r="E20" s="192"/>
      <c r="F20" s="531" t="s">
        <v>124</v>
      </c>
      <c r="G20" s="146" t="s">
        <v>46</v>
      </c>
      <c r="H20" s="146">
        <f>7.29*D20+107.8</f>
        <v>187.99</v>
      </c>
      <c r="I20" s="192"/>
      <c r="J20" s="531" t="s">
        <v>134</v>
      </c>
      <c r="K20" s="146" t="s">
        <v>46</v>
      </c>
      <c r="L20" s="146">
        <f>6.56*D20+97</f>
        <v>169.16</v>
      </c>
      <c r="M20" s="192"/>
      <c r="N20" s="531" t="s">
        <v>158</v>
      </c>
      <c r="O20" s="146" t="str">
        <f>K20</f>
        <v>NA</v>
      </c>
      <c r="P20" s="146">
        <f t="shared" ref="P20:P25" si="7">0.95*L20</f>
        <v>160.702</v>
      </c>
      <c r="Q20" s="192"/>
      <c r="R20" s="190" t="s">
        <v>137</v>
      </c>
      <c r="S20" s="192"/>
      <c r="T20" s="146" t="s">
        <v>46</v>
      </c>
      <c r="U20" s="146" t="s">
        <v>46</v>
      </c>
      <c r="V20" s="192"/>
      <c r="W20" s="146">
        <f t="shared" ref="W20:W25" si="8">H20-L20</f>
        <v>18.830000000000013</v>
      </c>
      <c r="X20" s="146">
        <f>W20*'Interactive Effects'!$B$10</f>
        <v>19.206600000000012</v>
      </c>
      <c r="Y20" s="146">
        <f>W20*'Interactive Effects'!$D$10</f>
        <v>-0.42744100000000029</v>
      </c>
      <c r="Z20" s="193">
        <f t="shared" ref="Z20:Z25" si="9">(X20-AG20)/AG20</f>
        <v>-0.10666976744185989</v>
      </c>
      <c r="AA20" s="192"/>
      <c r="AB20" s="146">
        <f t="shared" ref="AB20:AB25" si="10">H20-P20</f>
        <v>27.288000000000011</v>
      </c>
      <c r="AC20" s="146">
        <f>AB20*'Interactive Effects'!$B$10</f>
        <v>27.833760000000012</v>
      </c>
      <c r="AD20" s="194">
        <f>AB20*'Interactive Effects'!$D$10</f>
        <v>-0.61943760000000025</v>
      </c>
      <c r="AE20" s="193">
        <f t="shared" si="3"/>
        <v>-0.10717690457096996</v>
      </c>
      <c r="AF20" s="195"/>
      <c r="AG20" s="146">
        <v>21.5</v>
      </c>
      <c r="AH20" s="212">
        <v>4.6600000000000001E-3</v>
      </c>
      <c r="AI20" s="194">
        <v>-0.57899999999999996</v>
      </c>
      <c r="AJ20" s="146">
        <f t="shared" si="5"/>
        <v>31.175000000000001</v>
      </c>
      <c r="AK20" s="212">
        <f t="shared" si="6"/>
        <v>6.757E-3</v>
      </c>
      <c r="AL20" s="336">
        <f t="shared" si="6"/>
        <v>-0.83954999999999991</v>
      </c>
    </row>
    <row r="21" spans="1:38">
      <c r="A21" s="546"/>
      <c r="B21" s="529"/>
      <c r="C21" s="196" t="s">
        <v>139</v>
      </c>
      <c r="D21" s="197">
        <f>AVERAGE(13,16)</f>
        <v>14.5</v>
      </c>
      <c r="E21" s="192"/>
      <c r="F21" s="532"/>
      <c r="G21" s="147">
        <f>7.29*R21+107.8</f>
        <v>212.047</v>
      </c>
      <c r="H21" s="147">
        <f>7.29*D21+107.8</f>
        <v>213.505</v>
      </c>
      <c r="I21" s="192"/>
      <c r="J21" s="532"/>
      <c r="K21" s="147">
        <f>6.56*R21+97</f>
        <v>190.80799999999999</v>
      </c>
      <c r="L21" s="147">
        <f>6.56*D21+97</f>
        <v>192.12</v>
      </c>
      <c r="M21" s="192"/>
      <c r="N21" s="532"/>
      <c r="O21" s="147">
        <f>0.95*K21</f>
        <v>181.26759999999999</v>
      </c>
      <c r="P21" s="147">
        <f t="shared" si="7"/>
        <v>182.51399999999998</v>
      </c>
      <c r="Q21" s="192"/>
      <c r="R21" s="196">
        <v>14.3</v>
      </c>
      <c r="S21" s="192"/>
      <c r="T21" s="147">
        <f>G21-K21</f>
        <v>21.239000000000004</v>
      </c>
      <c r="U21" s="198">
        <f>(T21-AG21)/AG21</f>
        <v>-0.14702811244979896</v>
      </c>
      <c r="V21" s="192"/>
      <c r="W21" s="147">
        <f t="shared" si="8"/>
        <v>21.384999999999991</v>
      </c>
      <c r="X21" s="147">
        <f>W21*'Interactive Effects'!$B$10</f>
        <v>21.812699999999992</v>
      </c>
      <c r="Y21" s="147">
        <f>W21*'Interactive Effects'!$D$10</f>
        <v>-0.4854394999999998</v>
      </c>
      <c r="Z21" s="198">
        <f t="shared" si="9"/>
        <v>-0.12398795180722917</v>
      </c>
      <c r="AA21" s="192"/>
      <c r="AB21" s="147">
        <f t="shared" si="10"/>
        <v>30.991000000000014</v>
      </c>
      <c r="AC21" s="147">
        <f>AB21*'Interactive Effects'!$B$10</f>
        <v>31.610820000000015</v>
      </c>
      <c r="AD21" s="199">
        <f>AB21*'Interactive Effects'!$D$10</f>
        <v>-0.70349570000000039</v>
      </c>
      <c r="AE21" s="198">
        <f t="shared" si="3"/>
        <v>-0.12447528043207264</v>
      </c>
      <c r="AF21" s="195"/>
      <c r="AG21" s="147">
        <v>24.9</v>
      </c>
      <c r="AH21" s="213">
        <v>5.4000000000000003E-3</v>
      </c>
      <c r="AI21" s="199">
        <v>-0.67200000000000004</v>
      </c>
      <c r="AJ21" s="147">
        <f t="shared" si="5"/>
        <v>36.104999999999997</v>
      </c>
      <c r="AK21" s="213">
        <f t="shared" si="6"/>
        <v>7.8300000000000002E-3</v>
      </c>
      <c r="AL21" s="337">
        <f t="shared" si="6"/>
        <v>-0.97440000000000004</v>
      </c>
    </row>
    <row r="22" spans="1:38" ht="16.5" thickBot="1">
      <c r="A22" s="546"/>
      <c r="B22" s="530"/>
      <c r="C22" s="200" t="s">
        <v>141</v>
      </c>
      <c r="D22" s="201">
        <v>18</v>
      </c>
      <c r="E22" s="192"/>
      <c r="F22" s="533"/>
      <c r="G22" s="148">
        <f>7.29*R22+107.8</f>
        <v>257.245</v>
      </c>
      <c r="H22" s="148">
        <f>7.29*D22+107.8</f>
        <v>239.01999999999998</v>
      </c>
      <c r="I22" s="192"/>
      <c r="J22" s="533"/>
      <c r="K22" s="148">
        <f>6.56*R22+97</f>
        <v>231.48</v>
      </c>
      <c r="L22" s="148">
        <f>6.56*D22+97</f>
        <v>215.07999999999998</v>
      </c>
      <c r="M22" s="192"/>
      <c r="N22" s="533"/>
      <c r="O22" s="148">
        <f>0.95*K22</f>
        <v>219.90599999999998</v>
      </c>
      <c r="P22" s="148">
        <f t="shared" si="7"/>
        <v>204.32599999999996</v>
      </c>
      <c r="Q22" s="192"/>
      <c r="R22" s="200">
        <v>20.5</v>
      </c>
      <c r="S22" s="192"/>
      <c r="T22" s="148">
        <f>G22-K22</f>
        <v>25.765000000000015</v>
      </c>
      <c r="U22" s="202">
        <f>(T22-AG22)/AG22</f>
        <v>-0.11763698630136933</v>
      </c>
      <c r="V22" s="192"/>
      <c r="W22" s="148">
        <f t="shared" si="8"/>
        <v>23.939999999999998</v>
      </c>
      <c r="X22" s="148">
        <f>W22*'Interactive Effects'!$B$10</f>
        <v>24.418799999999997</v>
      </c>
      <c r="Y22" s="148">
        <f>W22*'Interactive Effects'!$D$10</f>
        <v>-0.54343799999999998</v>
      </c>
      <c r="Z22" s="202">
        <f t="shared" si="9"/>
        <v>-0.16373972602739734</v>
      </c>
      <c r="AA22" s="192"/>
      <c r="AB22" s="148">
        <f t="shared" si="10"/>
        <v>34.694000000000017</v>
      </c>
      <c r="AC22" s="148">
        <f>AB22*'Interactive Effects'!$B$10</f>
        <v>35.387880000000017</v>
      </c>
      <c r="AD22" s="203">
        <f>AB22*'Interactive Effects'!$D$10</f>
        <v>-0.78755380000000041</v>
      </c>
      <c r="AE22" s="202">
        <f t="shared" si="3"/>
        <v>-0.1641974492205947</v>
      </c>
      <c r="AF22" s="195"/>
      <c r="AG22" s="148">
        <v>29.2</v>
      </c>
      <c r="AH22" s="214">
        <v>6.3299999999999997E-3</v>
      </c>
      <c r="AI22" s="203">
        <v>-0.78800000000000003</v>
      </c>
      <c r="AJ22" s="148">
        <f t="shared" si="5"/>
        <v>42.339999999999996</v>
      </c>
      <c r="AK22" s="214">
        <f t="shared" si="6"/>
        <v>9.1784999999999992E-3</v>
      </c>
      <c r="AL22" s="204">
        <f t="shared" si="6"/>
        <v>-1.1426000000000001</v>
      </c>
    </row>
    <row r="23" spans="1:38" ht="17.100000000000001" customHeight="1">
      <c r="A23" s="546"/>
      <c r="B23" s="528" t="s">
        <v>125</v>
      </c>
      <c r="C23" s="190" t="s">
        <v>140</v>
      </c>
      <c r="D23" s="191">
        <v>11</v>
      </c>
      <c r="E23" s="192"/>
      <c r="F23" s="531" t="s">
        <v>126</v>
      </c>
      <c r="G23" s="146" t="s">
        <v>46</v>
      </c>
      <c r="H23" s="146">
        <f>10.24*D23+148.1</f>
        <v>260.74</v>
      </c>
      <c r="I23" s="192"/>
      <c r="J23" s="531" t="s">
        <v>135</v>
      </c>
      <c r="K23" s="146" t="s">
        <v>46</v>
      </c>
      <c r="L23" s="146">
        <f>9.22*D23+133.3</f>
        <v>234.72000000000003</v>
      </c>
      <c r="M23" s="192"/>
      <c r="N23" s="531" t="s">
        <v>159</v>
      </c>
      <c r="O23" s="146" t="str">
        <f>K23</f>
        <v>NA</v>
      </c>
      <c r="P23" s="146">
        <f t="shared" si="7"/>
        <v>222.98400000000001</v>
      </c>
      <c r="Q23" s="192"/>
      <c r="R23" s="190" t="s">
        <v>137</v>
      </c>
      <c r="S23" s="192"/>
      <c r="T23" s="146" t="s">
        <v>46</v>
      </c>
      <c r="U23" s="146" t="s">
        <v>46</v>
      </c>
      <c r="V23" s="192"/>
      <c r="W23" s="146">
        <f t="shared" si="8"/>
        <v>26.019999999999982</v>
      </c>
      <c r="X23" s="146">
        <f>W23*'Interactive Effects'!$B$10</f>
        <v>26.54039999999998</v>
      </c>
      <c r="Y23" s="146">
        <f>W23*'Interactive Effects'!$D$10</f>
        <v>-0.59065399999999968</v>
      </c>
      <c r="Z23" s="193">
        <f t="shared" si="9"/>
        <v>-0.11532000000000066</v>
      </c>
      <c r="AA23" s="192"/>
      <c r="AB23" s="146">
        <f t="shared" si="10"/>
        <v>37.756</v>
      </c>
      <c r="AC23" s="146">
        <f>AB23*'Interactive Effects'!$B$10</f>
        <v>38.511119999999998</v>
      </c>
      <c r="AD23" s="194">
        <f>AB23*'Interactive Effects'!$D$10</f>
        <v>-0.85706120000000008</v>
      </c>
      <c r="AE23" s="193">
        <f t="shared" si="3"/>
        <v>-0.11468689655172418</v>
      </c>
      <c r="AF23" s="195"/>
      <c r="AG23" s="146">
        <v>30</v>
      </c>
      <c r="AH23" s="212">
        <v>6.5199999999999998E-3</v>
      </c>
      <c r="AI23" s="194">
        <v>-0.81100000000000005</v>
      </c>
      <c r="AJ23" s="146">
        <f t="shared" si="5"/>
        <v>43.5</v>
      </c>
      <c r="AK23" s="212">
        <f t="shared" si="6"/>
        <v>9.4539999999999989E-3</v>
      </c>
      <c r="AL23" s="336">
        <f t="shared" si="6"/>
        <v>-1.1759500000000001</v>
      </c>
    </row>
    <row r="24" spans="1:38">
      <c r="A24" s="546"/>
      <c r="B24" s="529"/>
      <c r="C24" s="196" t="s">
        <v>139</v>
      </c>
      <c r="D24" s="197">
        <f>AVERAGE(13,16)</f>
        <v>14.5</v>
      </c>
      <c r="E24" s="192"/>
      <c r="F24" s="532"/>
      <c r="G24" s="147" t="s">
        <v>46</v>
      </c>
      <c r="H24" s="147">
        <f>10.24*D24+148.1</f>
        <v>296.58</v>
      </c>
      <c r="I24" s="192"/>
      <c r="J24" s="532"/>
      <c r="K24" s="147" t="s">
        <v>46</v>
      </c>
      <c r="L24" s="147">
        <f>9.22*D24+133.3</f>
        <v>266.99</v>
      </c>
      <c r="M24" s="192"/>
      <c r="N24" s="532"/>
      <c r="O24" s="147" t="str">
        <f>K24</f>
        <v>NA</v>
      </c>
      <c r="P24" s="147">
        <f t="shared" si="7"/>
        <v>253.6405</v>
      </c>
      <c r="Q24" s="192"/>
      <c r="R24" s="196" t="s">
        <v>137</v>
      </c>
      <c r="S24" s="192"/>
      <c r="T24" s="147" t="s">
        <v>46</v>
      </c>
      <c r="U24" s="198" t="s">
        <v>46</v>
      </c>
      <c r="V24" s="192"/>
      <c r="W24" s="147">
        <f t="shared" si="8"/>
        <v>29.589999999999975</v>
      </c>
      <c r="X24" s="147">
        <f>W24*'Interactive Effects'!$B$10</f>
        <v>30.181799999999974</v>
      </c>
      <c r="Y24" s="147">
        <f>W24*'Interactive Effects'!$D$10</f>
        <v>-0.67169299999999943</v>
      </c>
      <c r="Z24" s="198">
        <f t="shared" si="9"/>
        <v>-0.14256250000000081</v>
      </c>
      <c r="AA24" s="192"/>
      <c r="AB24" s="147">
        <f t="shared" si="10"/>
        <v>42.939499999999981</v>
      </c>
      <c r="AC24" s="147">
        <f>AB24*'Interactive Effects'!$B$10</f>
        <v>43.79828999999998</v>
      </c>
      <c r="AD24" s="199">
        <f>AB24*'Interactive Effects'!$D$10</f>
        <v>-0.97472664999999958</v>
      </c>
      <c r="AE24" s="198">
        <f t="shared" si="3"/>
        <v>-0.14188303291536086</v>
      </c>
      <c r="AF24" s="195"/>
      <c r="AG24" s="147">
        <v>35.200000000000003</v>
      </c>
      <c r="AH24" s="213">
        <v>7.6400000000000001E-3</v>
      </c>
      <c r="AI24" s="199">
        <v>-0.95</v>
      </c>
      <c r="AJ24" s="147">
        <f t="shared" si="5"/>
        <v>51.04</v>
      </c>
      <c r="AK24" s="213">
        <f t="shared" si="6"/>
        <v>1.1077999999999999E-2</v>
      </c>
      <c r="AL24" s="337">
        <f t="shared" si="6"/>
        <v>-1.3774999999999999</v>
      </c>
    </row>
    <row r="25" spans="1:38" ht="16.5" thickBot="1">
      <c r="A25" s="547"/>
      <c r="B25" s="530"/>
      <c r="C25" s="200" t="s">
        <v>141</v>
      </c>
      <c r="D25" s="201">
        <v>18</v>
      </c>
      <c r="E25" s="207"/>
      <c r="F25" s="533"/>
      <c r="G25" s="148" t="s">
        <v>46</v>
      </c>
      <c r="H25" s="148">
        <f>10.24*D25+148.1</f>
        <v>332.41999999999996</v>
      </c>
      <c r="I25" s="207"/>
      <c r="J25" s="533"/>
      <c r="K25" s="148" t="s">
        <v>46</v>
      </c>
      <c r="L25" s="148">
        <f>9.22*D25+133.3</f>
        <v>299.26</v>
      </c>
      <c r="M25" s="207"/>
      <c r="N25" s="533"/>
      <c r="O25" s="148" t="str">
        <f>K25</f>
        <v>NA</v>
      </c>
      <c r="P25" s="148">
        <f t="shared" si="7"/>
        <v>284.29699999999997</v>
      </c>
      <c r="Q25" s="207"/>
      <c r="R25" s="200" t="s">
        <v>137</v>
      </c>
      <c r="S25" s="207"/>
      <c r="T25" s="148" t="s">
        <v>46</v>
      </c>
      <c r="U25" s="202" t="s">
        <v>46</v>
      </c>
      <c r="V25" s="207"/>
      <c r="W25" s="148">
        <f t="shared" si="8"/>
        <v>33.159999999999968</v>
      </c>
      <c r="X25" s="148">
        <f>W25*'Interactive Effects'!$B$10</f>
        <v>33.823199999999972</v>
      </c>
      <c r="Y25" s="148">
        <f>W25*'Interactive Effects'!$D$10</f>
        <v>-0.75273199999999929</v>
      </c>
      <c r="Z25" s="202">
        <f t="shared" si="9"/>
        <v>-0.16071464019851181</v>
      </c>
      <c r="AA25" s="207"/>
      <c r="AB25" s="148">
        <f t="shared" si="10"/>
        <v>48.12299999999999</v>
      </c>
      <c r="AC25" s="148">
        <f>AB25*'Interactive Effects'!$B$10</f>
        <v>49.085459999999991</v>
      </c>
      <c r="AD25" s="203">
        <f>AB25*'Interactive Effects'!$D$10</f>
        <v>-1.0923920999999999</v>
      </c>
      <c r="AE25" s="202">
        <f t="shared" si="3"/>
        <v>-0.15999897321810569</v>
      </c>
      <c r="AF25" s="208"/>
      <c r="AG25" s="148">
        <v>40.299999999999997</v>
      </c>
      <c r="AH25" s="214">
        <v>8.7600000000000004E-3</v>
      </c>
      <c r="AI25" s="203">
        <v>-1.0900000000000001</v>
      </c>
      <c r="AJ25" s="148">
        <f t="shared" si="5"/>
        <v>58.434999999999995</v>
      </c>
      <c r="AK25" s="214">
        <f t="shared" si="6"/>
        <v>1.2702E-2</v>
      </c>
      <c r="AL25" s="204">
        <f t="shared" si="6"/>
        <v>-1.5805</v>
      </c>
    </row>
    <row r="26" spans="1:38">
      <c r="A26" s="545" t="s">
        <v>62</v>
      </c>
      <c r="B26" s="528" t="s">
        <v>113</v>
      </c>
      <c r="C26" s="190" t="s">
        <v>140</v>
      </c>
      <c r="D26" s="191"/>
      <c r="E26" s="205"/>
      <c r="F26" s="531"/>
      <c r="G26" s="146"/>
      <c r="H26" s="146"/>
      <c r="I26" s="205"/>
      <c r="J26" s="531"/>
      <c r="K26" s="146"/>
      <c r="L26" s="146"/>
      <c r="M26" s="205"/>
      <c r="N26" s="531"/>
      <c r="O26" s="146"/>
      <c r="P26" s="146"/>
      <c r="Q26" s="205"/>
      <c r="R26" s="190"/>
      <c r="S26" s="205"/>
      <c r="T26" s="146"/>
      <c r="U26" s="146"/>
      <c r="V26" s="205"/>
      <c r="W26" s="146"/>
      <c r="X26" s="146"/>
      <c r="Y26" s="146"/>
      <c r="Z26" s="193"/>
      <c r="AA26" s="205"/>
      <c r="AB26" s="146"/>
      <c r="AC26" s="146"/>
      <c r="AD26" s="194"/>
      <c r="AE26" s="193"/>
      <c r="AF26" s="206"/>
      <c r="AG26" s="146">
        <v>28.8</v>
      </c>
      <c r="AH26" s="212">
        <v>5.7200000000000003E-3</v>
      </c>
      <c r="AI26" s="194">
        <v>-0.56999999999999995</v>
      </c>
      <c r="AJ26" s="209">
        <f t="shared" si="5"/>
        <v>41.76</v>
      </c>
      <c r="AK26" s="333">
        <f>AH26*1.45</f>
        <v>8.2939999999999993E-3</v>
      </c>
      <c r="AL26" s="338">
        <f>AI26*1.45</f>
        <v>-0.8264999999999999</v>
      </c>
    </row>
    <row r="27" spans="1:38">
      <c r="A27" s="546"/>
      <c r="B27" s="529"/>
      <c r="C27" s="196" t="s">
        <v>139</v>
      </c>
      <c r="D27" s="197"/>
      <c r="E27" s="192"/>
      <c r="F27" s="532"/>
      <c r="G27" s="147"/>
      <c r="H27" s="147"/>
      <c r="I27" s="192"/>
      <c r="J27" s="532"/>
      <c r="K27" s="147"/>
      <c r="L27" s="147"/>
      <c r="M27" s="192"/>
      <c r="N27" s="532"/>
      <c r="O27" s="147"/>
      <c r="P27" s="147"/>
      <c r="Q27" s="192"/>
      <c r="R27" s="196"/>
      <c r="S27" s="192"/>
      <c r="T27" s="147"/>
      <c r="U27" s="198"/>
      <c r="V27" s="192"/>
      <c r="W27" s="147"/>
      <c r="X27" s="147"/>
      <c r="Y27" s="147"/>
      <c r="Z27" s="198"/>
      <c r="AA27" s="192"/>
      <c r="AB27" s="147"/>
      <c r="AC27" s="147"/>
      <c r="AD27" s="199"/>
      <c r="AE27" s="198"/>
      <c r="AF27" s="195"/>
      <c r="AG27" s="147">
        <v>32.700000000000003</v>
      </c>
      <c r="AH27" s="213">
        <v>6.4900000000000001E-3</v>
      </c>
      <c r="AI27" s="199">
        <v>-0.64500000000000002</v>
      </c>
      <c r="AJ27" s="210">
        <f t="shared" si="5"/>
        <v>47.414999999999999</v>
      </c>
      <c r="AK27" s="334">
        <f>AH27*1.45</f>
        <v>9.4105000000000005E-3</v>
      </c>
      <c r="AL27" s="339">
        <f>AI27*1.45</f>
        <v>-0.93525000000000003</v>
      </c>
    </row>
    <row r="28" spans="1:38" ht="16.5" thickBot="1">
      <c r="A28" s="546"/>
      <c r="B28" s="530"/>
      <c r="C28" s="200" t="s">
        <v>141</v>
      </c>
      <c r="D28" s="201"/>
      <c r="E28" s="192"/>
      <c r="F28" s="533"/>
      <c r="G28" s="148"/>
      <c r="H28" s="148"/>
      <c r="I28" s="192"/>
      <c r="J28" s="533"/>
      <c r="K28" s="148"/>
      <c r="L28" s="148"/>
      <c r="M28" s="192"/>
      <c r="N28" s="533"/>
      <c r="O28" s="148"/>
      <c r="P28" s="148"/>
      <c r="Q28" s="192"/>
      <c r="R28" s="200"/>
      <c r="S28" s="192"/>
      <c r="T28" s="148"/>
      <c r="U28" s="202"/>
      <c r="V28" s="192"/>
      <c r="W28" s="148"/>
      <c r="X28" s="148"/>
      <c r="Y28" s="148"/>
      <c r="Z28" s="202"/>
      <c r="AA28" s="192"/>
      <c r="AB28" s="148"/>
      <c r="AC28" s="148"/>
      <c r="AD28" s="203"/>
      <c r="AE28" s="202"/>
      <c r="AF28" s="195"/>
      <c r="AG28" s="148">
        <v>35.6</v>
      </c>
      <c r="AH28" s="214">
        <v>7.0600000000000003E-3</v>
      </c>
      <c r="AI28" s="203">
        <v>-0.70199999999999996</v>
      </c>
      <c r="AJ28" s="211">
        <f t="shared" si="5"/>
        <v>51.62</v>
      </c>
      <c r="AK28" s="335">
        <f t="shared" si="6"/>
        <v>1.0237E-2</v>
      </c>
      <c r="AL28" s="340">
        <f t="shared" si="6"/>
        <v>-1.0178999999999998</v>
      </c>
    </row>
    <row r="29" spans="1:38">
      <c r="A29" s="546"/>
      <c r="B29" s="528" t="s">
        <v>115</v>
      </c>
      <c r="C29" s="190" t="s">
        <v>140</v>
      </c>
      <c r="D29" s="191"/>
      <c r="E29" s="192"/>
      <c r="F29" s="531"/>
      <c r="G29" s="146"/>
      <c r="H29" s="146"/>
      <c r="I29" s="192"/>
      <c r="J29" s="531"/>
      <c r="K29" s="146"/>
      <c r="L29" s="146"/>
      <c r="M29" s="192"/>
      <c r="N29" s="531"/>
      <c r="O29" s="146"/>
      <c r="P29" s="146"/>
      <c r="Q29" s="192"/>
      <c r="R29" s="190"/>
      <c r="S29" s="192"/>
      <c r="T29" s="146"/>
      <c r="U29" s="146"/>
      <c r="V29" s="192"/>
      <c r="W29" s="146"/>
      <c r="X29" s="146"/>
      <c r="Y29" s="146"/>
      <c r="Z29" s="193"/>
      <c r="AA29" s="192"/>
      <c r="AB29" s="146"/>
      <c r="AC29" s="146"/>
      <c r="AD29" s="194"/>
      <c r="AE29" s="193"/>
      <c r="AF29" s="195"/>
      <c r="AG29" s="146">
        <v>38.4</v>
      </c>
      <c r="AH29" s="212">
        <v>7.6299999999999996E-3</v>
      </c>
      <c r="AI29" s="194">
        <v>-0.75900000000000001</v>
      </c>
      <c r="AJ29" s="209">
        <f t="shared" si="5"/>
        <v>55.68</v>
      </c>
      <c r="AK29" s="333">
        <f t="shared" si="6"/>
        <v>1.1063499999999999E-2</v>
      </c>
      <c r="AL29" s="338">
        <f>AI29*1.45</f>
        <v>-1.1005499999999999</v>
      </c>
    </row>
    <row r="30" spans="1:38">
      <c r="A30" s="546"/>
      <c r="B30" s="529"/>
      <c r="C30" s="196" t="s">
        <v>139</v>
      </c>
      <c r="D30" s="197"/>
      <c r="E30" s="192"/>
      <c r="F30" s="532"/>
      <c r="G30" s="147"/>
      <c r="H30" s="147"/>
      <c r="I30" s="192"/>
      <c r="J30" s="532"/>
      <c r="K30" s="147"/>
      <c r="L30" s="147"/>
      <c r="M30" s="192"/>
      <c r="N30" s="532"/>
      <c r="O30" s="147"/>
      <c r="P30" s="147"/>
      <c r="Q30" s="192"/>
      <c r="R30" s="196"/>
      <c r="S30" s="192"/>
      <c r="T30" s="147"/>
      <c r="U30" s="198"/>
      <c r="V30" s="192"/>
      <c r="W30" s="147"/>
      <c r="X30" s="147"/>
      <c r="Y30" s="147"/>
      <c r="Z30" s="198"/>
      <c r="AA30" s="192"/>
      <c r="AB30" s="147"/>
      <c r="AC30" s="147"/>
      <c r="AD30" s="199"/>
      <c r="AE30" s="198"/>
      <c r="AF30" s="195"/>
      <c r="AG30" s="147">
        <v>43.2</v>
      </c>
      <c r="AH30" s="213">
        <v>8.5900000000000004E-3</v>
      </c>
      <c r="AI30" s="199">
        <v>-0.85399999999999998</v>
      </c>
      <c r="AJ30" s="210">
        <f>AG30*1.45</f>
        <v>62.64</v>
      </c>
      <c r="AK30" s="334">
        <f>AH30*1.45</f>
        <v>1.24555E-2</v>
      </c>
      <c r="AL30" s="339">
        <f>AI30*1.45</f>
        <v>-1.2383</v>
      </c>
    </row>
    <row r="31" spans="1:38" ht="16.5" thickBot="1">
      <c r="A31" s="546"/>
      <c r="B31" s="530"/>
      <c r="C31" s="200" t="s">
        <v>141</v>
      </c>
      <c r="D31" s="201"/>
      <c r="E31" s="192"/>
      <c r="F31" s="533"/>
      <c r="G31" s="148"/>
      <c r="H31" s="148"/>
      <c r="I31" s="192"/>
      <c r="J31" s="533"/>
      <c r="K31" s="148"/>
      <c r="L31" s="148"/>
      <c r="M31" s="192"/>
      <c r="N31" s="533"/>
      <c r="O31" s="148"/>
      <c r="P31" s="148"/>
      <c r="Q31" s="192"/>
      <c r="R31" s="200"/>
      <c r="S31" s="192"/>
      <c r="T31" s="148"/>
      <c r="U31" s="202"/>
      <c r="V31" s="192"/>
      <c r="W31" s="148"/>
      <c r="X31" s="148"/>
      <c r="Y31" s="148"/>
      <c r="Z31" s="202"/>
      <c r="AA31" s="192"/>
      <c r="AB31" s="148"/>
      <c r="AC31" s="148"/>
      <c r="AD31" s="203"/>
      <c r="AE31" s="202"/>
      <c r="AF31" s="195"/>
      <c r="AG31" s="148">
        <v>48</v>
      </c>
      <c r="AH31" s="214">
        <v>9.5399999999999999E-3</v>
      </c>
      <c r="AI31" s="203">
        <v>-0.94899999999999995</v>
      </c>
      <c r="AJ31" s="211">
        <f t="shared" si="5"/>
        <v>69.599999999999994</v>
      </c>
      <c r="AK31" s="335">
        <f t="shared" si="6"/>
        <v>1.3833E-2</v>
      </c>
      <c r="AL31" s="340">
        <f t="shared" si="6"/>
        <v>-1.37605</v>
      </c>
    </row>
    <row r="32" spans="1:38">
      <c r="A32" s="546"/>
      <c r="B32" s="528" t="s">
        <v>123</v>
      </c>
      <c r="C32" s="190" t="s">
        <v>140</v>
      </c>
      <c r="D32" s="191"/>
      <c r="E32" s="192"/>
      <c r="F32" s="531"/>
      <c r="G32" s="146"/>
      <c r="H32" s="146">
        <f>5.57*0.95</f>
        <v>5.2915000000000001</v>
      </c>
      <c r="I32" s="192"/>
      <c r="J32" s="531"/>
      <c r="K32" s="146"/>
      <c r="L32" s="146"/>
      <c r="M32" s="192"/>
      <c r="N32" s="531"/>
      <c r="O32" s="146"/>
      <c r="P32" s="146"/>
      <c r="Q32" s="192"/>
      <c r="R32" s="190"/>
      <c r="S32" s="192"/>
      <c r="T32" s="146"/>
      <c r="U32" s="146"/>
      <c r="V32" s="192"/>
      <c r="W32" s="146"/>
      <c r="X32" s="146"/>
      <c r="Y32" s="146"/>
      <c r="Z32" s="193"/>
      <c r="AA32" s="192"/>
      <c r="AB32" s="146"/>
      <c r="AC32" s="146"/>
      <c r="AD32" s="194"/>
      <c r="AE32" s="193"/>
      <c r="AF32" s="195"/>
      <c r="AG32" s="146">
        <v>24</v>
      </c>
      <c r="AH32" s="212">
        <v>4.7699999999999999E-3</v>
      </c>
      <c r="AI32" s="194">
        <v>-0.47499999999999998</v>
      </c>
      <c r="AJ32" s="209">
        <f t="shared" si="5"/>
        <v>34.799999999999997</v>
      </c>
      <c r="AK32" s="333">
        <f t="shared" si="6"/>
        <v>6.9164999999999999E-3</v>
      </c>
      <c r="AL32" s="338">
        <f t="shared" si="6"/>
        <v>-0.68874999999999997</v>
      </c>
    </row>
    <row r="33" spans="1:38">
      <c r="A33" s="546"/>
      <c r="B33" s="529"/>
      <c r="C33" s="196" t="s">
        <v>139</v>
      </c>
      <c r="D33" s="197"/>
      <c r="E33" s="192"/>
      <c r="F33" s="532"/>
      <c r="G33" s="147"/>
      <c r="H33" s="147"/>
      <c r="I33" s="192"/>
      <c r="J33" s="532"/>
      <c r="K33" s="147"/>
      <c r="L33" s="147"/>
      <c r="M33" s="192"/>
      <c r="N33" s="532"/>
      <c r="O33" s="147"/>
      <c r="P33" s="147"/>
      <c r="Q33" s="192"/>
      <c r="R33" s="196"/>
      <c r="S33" s="192"/>
      <c r="T33" s="147"/>
      <c r="U33" s="198"/>
      <c r="V33" s="192"/>
      <c r="W33" s="147"/>
      <c r="X33" s="147"/>
      <c r="Y33" s="147"/>
      <c r="Z33" s="198"/>
      <c r="AA33" s="192"/>
      <c r="AB33" s="147"/>
      <c r="AC33" s="147"/>
      <c r="AD33" s="199"/>
      <c r="AE33" s="198"/>
      <c r="AF33" s="195"/>
      <c r="AG33" s="147">
        <v>27.9</v>
      </c>
      <c r="AH33" s="213">
        <v>5.5300000000000002E-3</v>
      </c>
      <c r="AI33" s="199">
        <v>-0.55100000000000005</v>
      </c>
      <c r="AJ33" s="210">
        <f t="shared" si="5"/>
        <v>40.454999999999998</v>
      </c>
      <c r="AK33" s="334">
        <f t="shared" si="6"/>
        <v>8.0184999999999996E-3</v>
      </c>
      <c r="AL33" s="339">
        <f t="shared" si="6"/>
        <v>-0.79895000000000005</v>
      </c>
    </row>
    <row r="34" spans="1:38" ht="16.5" thickBot="1">
      <c r="A34" s="546"/>
      <c r="B34" s="530"/>
      <c r="C34" s="200" t="s">
        <v>141</v>
      </c>
      <c r="D34" s="201"/>
      <c r="E34" s="192"/>
      <c r="F34" s="533"/>
      <c r="G34" s="148"/>
      <c r="H34" s="148"/>
      <c r="I34" s="192"/>
      <c r="J34" s="533"/>
      <c r="K34" s="148"/>
      <c r="L34" s="148"/>
      <c r="M34" s="192"/>
      <c r="N34" s="533"/>
      <c r="O34" s="148"/>
      <c r="P34" s="148"/>
      <c r="Q34" s="192"/>
      <c r="R34" s="200"/>
      <c r="S34" s="192"/>
      <c r="T34" s="148"/>
      <c r="U34" s="202"/>
      <c r="V34" s="192"/>
      <c r="W34" s="148"/>
      <c r="X34" s="148"/>
      <c r="Y34" s="148"/>
      <c r="Z34" s="202"/>
      <c r="AA34" s="192"/>
      <c r="AB34" s="148"/>
      <c r="AC34" s="148"/>
      <c r="AD34" s="203"/>
      <c r="AE34" s="202"/>
      <c r="AF34" s="195"/>
      <c r="AG34" s="148">
        <v>32.700000000000003</v>
      </c>
      <c r="AH34" s="214">
        <v>6.4900000000000001E-3</v>
      </c>
      <c r="AI34" s="203">
        <v>-0.64500000000000002</v>
      </c>
      <c r="AJ34" s="211">
        <f t="shared" si="5"/>
        <v>47.414999999999999</v>
      </c>
      <c r="AK34" s="335">
        <f t="shared" si="6"/>
        <v>9.4105000000000005E-3</v>
      </c>
      <c r="AL34" s="340">
        <f t="shared" si="6"/>
        <v>-0.93525000000000003</v>
      </c>
    </row>
    <row r="35" spans="1:38">
      <c r="A35" s="546"/>
      <c r="B35" s="528" t="s">
        <v>125</v>
      </c>
      <c r="C35" s="190" t="s">
        <v>140</v>
      </c>
      <c r="D35" s="191"/>
      <c r="E35" s="192"/>
      <c r="F35" s="531"/>
      <c r="G35" s="146"/>
      <c r="H35" s="146"/>
      <c r="I35" s="192"/>
      <c r="J35" s="531"/>
      <c r="K35" s="146"/>
      <c r="L35" s="146"/>
      <c r="M35" s="192"/>
      <c r="N35" s="531"/>
      <c r="O35" s="146"/>
      <c r="P35" s="146"/>
      <c r="Q35" s="192"/>
      <c r="R35" s="190"/>
      <c r="S35" s="192"/>
      <c r="T35" s="146"/>
      <c r="U35" s="146"/>
      <c r="V35" s="192"/>
      <c r="W35" s="146"/>
      <c r="X35" s="146"/>
      <c r="Y35" s="146"/>
      <c r="Z35" s="193"/>
      <c r="AA35" s="192"/>
      <c r="AB35" s="146"/>
      <c r="AC35" s="146"/>
      <c r="AD35" s="194"/>
      <c r="AE35" s="193"/>
      <c r="AF35" s="195"/>
      <c r="AG35" s="146">
        <v>33.6</v>
      </c>
      <c r="AH35" s="212">
        <v>6.6800000000000002E-3</v>
      </c>
      <c r="AI35" s="194">
        <v>-0.66400000000000003</v>
      </c>
      <c r="AJ35" s="209">
        <f t="shared" si="5"/>
        <v>48.72</v>
      </c>
      <c r="AK35" s="333">
        <f t="shared" si="6"/>
        <v>9.6860000000000002E-3</v>
      </c>
      <c r="AL35" s="338">
        <f t="shared" si="6"/>
        <v>-0.96279999999999999</v>
      </c>
    </row>
    <row r="36" spans="1:38">
      <c r="A36" s="546"/>
      <c r="B36" s="529"/>
      <c r="C36" s="196" t="s">
        <v>139</v>
      </c>
      <c r="D36" s="197"/>
      <c r="E36" s="192"/>
      <c r="F36" s="532"/>
      <c r="G36" s="147"/>
      <c r="H36" s="147"/>
      <c r="I36" s="192"/>
      <c r="J36" s="532"/>
      <c r="K36" s="147"/>
      <c r="L36" s="147"/>
      <c r="M36" s="192"/>
      <c r="N36" s="532"/>
      <c r="O36" s="147"/>
      <c r="P36" s="147"/>
      <c r="Q36" s="192"/>
      <c r="R36" s="196"/>
      <c r="S36" s="192"/>
      <c r="T36" s="147"/>
      <c r="U36" s="198"/>
      <c r="V36" s="192"/>
      <c r="W36" s="147"/>
      <c r="X36" s="147"/>
      <c r="Y36" s="147"/>
      <c r="Z36" s="198"/>
      <c r="AA36" s="192"/>
      <c r="AB36" s="147"/>
      <c r="AC36" s="147"/>
      <c r="AD36" s="199"/>
      <c r="AE36" s="198"/>
      <c r="AF36" s="195"/>
      <c r="AG36" s="147">
        <v>39.4</v>
      </c>
      <c r="AH36" s="213">
        <v>7.8200000000000006E-3</v>
      </c>
      <c r="AI36" s="199">
        <v>-0.77800000000000002</v>
      </c>
      <c r="AJ36" s="210">
        <f t="shared" si="5"/>
        <v>57.129999999999995</v>
      </c>
      <c r="AK36" s="334">
        <f t="shared" si="6"/>
        <v>1.1339E-2</v>
      </c>
      <c r="AL36" s="339">
        <f t="shared" si="6"/>
        <v>-1.1281000000000001</v>
      </c>
    </row>
    <row r="37" spans="1:38" ht="16.5" thickBot="1">
      <c r="A37" s="547"/>
      <c r="B37" s="530"/>
      <c r="C37" s="200" t="s">
        <v>141</v>
      </c>
      <c r="D37" s="201"/>
      <c r="E37" s="207"/>
      <c r="F37" s="533"/>
      <c r="G37" s="148"/>
      <c r="H37" s="148"/>
      <c r="I37" s="207"/>
      <c r="J37" s="533"/>
      <c r="K37" s="148"/>
      <c r="L37" s="148"/>
      <c r="M37" s="207"/>
      <c r="N37" s="533"/>
      <c r="O37" s="148"/>
      <c r="P37" s="148"/>
      <c r="Q37" s="207"/>
      <c r="R37" s="200"/>
      <c r="S37" s="207"/>
      <c r="T37" s="148"/>
      <c r="U37" s="202"/>
      <c r="V37" s="207"/>
      <c r="W37" s="148"/>
      <c r="X37" s="148"/>
      <c r="Y37" s="148"/>
      <c r="Z37" s="202"/>
      <c r="AA37" s="207"/>
      <c r="AB37" s="148"/>
      <c r="AC37" s="148"/>
      <c r="AD37" s="203"/>
      <c r="AE37" s="202"/>
      <c r="AF37" s="208"/>
      <c r="AG37" s="148">
        <v>45.2</v>
      </c>
      <c r="AH37" s="214">
        <v>8.9700000000000005E-3</v>
      </c>
      <c r="AI37" s="203">
        <v>-0.89200000000000002</v>
      </c>
      <c r="AJ37" s="211">
        <f t="shared" si="5"/>
        <v>65.540000000000006</v>
      </c>
      <c r="AK37" s="335">
        <f t="shared" si="6"/>
        <v>1.3006500000000001E-2</v>
      </c>
      <c r="AL37" s="340">
        <f t="shared" si="6"/>
        <v>-1.2933999999999999</v>
      </c>
    </row>
    <row r="38" spans="1:38">
      <c r="A38" s="545" t="s">
        <v>63</v>
      </c>
      <c r="B38" s="528" t="s">
        <v>113</v>
      </c>
      <c r="C38" s="190" t="s">
        <v>140</v>
      </c>
      <c r="D38" s="191"/>
      <c r="E38" s="205"/>
      <c r="F38" s="531"/>
      <c r="G38" s="146"/>
      <c r="H38" s="146"/>
      <c r="I38" s="205"/>
      <c r="J38" s="531"/>
      <c r="K38" s="146"/>
      <c r="L38" s="146"/>
      <c r="M38" s="205"/>
      <c r="N38" s="531"/>
      <c r="O38" s="146"/>
      <c r="P38" s="146"/>
      <c r="Q38" s="205"/>
      <c r="R38" s="190"/>
      <c r="S38" s="205"/>
      <c r="T38" s="146"/>
      <c r="U38" s="146"/>
      <c r="V38" s="205"/>
      <c r="W38" s="146"/>
      <c r="X38" s="146"/>
      <c r="Y38" s="146"/>
      <c r="Z38" s="193"/>
      <c r="AA38" s="205"/>
      <c r="AB38" s="146"/>
      <c r="AC38" s="146"/>
      <c r="AD38" s="194"/>
      <c r="AE38" s="193"/>
      <c r="AF38" s="206"/>
      <c r="AG38" s="146">
        <v>28.7</v>
      </c>
      <c r="AH38" s="212">
        <v>5.5599999999999998E-3</v>
      </c>
      <c r="AI38" s="194">
        <v>-0.56699999999999995</v>
      </c>
      <c r="AJ38" s="209">
        <f t="shared" si="5"/>
        <v>41.614999999999995</v>
      </c>
      <c r="AK38" s="333">
        <f>AH38*1.45</f>
        <v>8.0619999999999997E-3</v>
      </c>
      <c r="AL38" s="338">
        <f>AI38*1.45</f>
        <v>-0.82214999999999994</v>
      </c>
    </row>
    <row r="39" spans="1:38">
      <c r="A39" s="546"/>
      <c r="B39" s="529"/>
      <c r="C39" s="196" t="s">
        <v>139</v>
      </c>
      <c r="D39" s="197"/>
      <c r="E39" s="192"/>
      <c r="F39" s="532"/>
      <c r="G39" s="147"/>
      <c r="H39" s="147"/>
      <c r="I39" s="192"/>
      <c r="J39" s="532"/>
      <c r="K39" s="147"/>
      <c r="L39" s="147"/>
      <c r="M39" s="192"/>
      <c r="N39" s="532"/>
      <c r="O39" s="147"/>
      <c r="P39" s="147"/>
      <c r="Q39" s="192"/>
      <c r="R39" s="196"/>
      <c r="S39" s="192"/>
      <c r="T39" s="147"/>
      <c r="U39" s="198"/>
      <c r="V39" s="192"/>
      <c r="W39" s="147"/>
      <c r="X39" s="147"/>
      <c r="Y39" s="147"/>
      <c r="Z39" s="198"/>
      <c r="AA39" s="192"/>
      <c r="AB39" s="147"/>
      <c r="AC39" s="147"/>
      <c r="AD39" s="199"/>
      <c r="AE39" s="198"/>
      <c r="AF39" s="195"/>
      <c r="AG39" s="147">
        <v>32.5</v>
      </c>
      <c r="AH39" s="213">
        <v>6.3E-3</v>
      </c>
      <c r="AI39" s="199">
        <v>-0.64200000000000002</v>
      </c>
      <c r="AJ39" s="210">
        <f t="shared" si="5"/>
        <v>47.125</v>
      </c>
      <c r="AK39" s="334">
        <f t="shared" si="6"/>
        <v>9.134999999999999E-3</v>
      </c>
      <c r="AL39" s="339">
        <f t="shared" si="6"/>
        <v>-0.93089999999999995</v>
      </c>
    </row>
    <row r="40" spans="1:38" ht="16.5" thickBot="1">
      <c r="A40" s="546"/>
      <c r="B40" s="530"/>
      <c r="C40" s="200" t="s">
        <v>141</v>
      </c>
      <c r="D40" s="201"/>
      <c r="E40" s="192"/>
      <c r="F40" s="533"/>
      <c r="G40" s="148"/>
      <c r="H40" s="148"/>
      <c r="I40" s="192"/>
      <c r="J40" s="533"/>
      <c r="K40" s="148"/>
      <c r="L40" s="148"/>
      <c r="M40" s="192"/>
      <c r="N40" s="533"/>
      <c r="O40" s="148"/>
      <c r="P40" s="148"/>
      <c r="Q40" s="192"/>
      <c r="R40" s="200"/>
      <c r="S40" s="192"/>
      <c r="T40" s="148"/>
      <c r="U40" s="202"/>
      <c r="V40" s="192"/>
      <c r="W40" s="148"/>
      <c r="X40" s="148"/>
      <c r="Y40" s="148"/>
      <c r="Z40" s="202"/>
      <c r="AA40" s="192"/>
      <c r="AB40" s="148"/>
      <c r="AC40" s="148"/>
      <c r="AD40" s="203"/>
      <c r="AE40" s="202"/>
      <c r="AF40" s="195"/>
      <c r="AG40" s="148">
        <v>35.4</v>
      </c>
      <c r="AH40" s="214">
        <v>6.8500000000000002E-3</v>
      </c>
      <c r="AI40" s="203">
        <v>-0.69899999999999995</v>
      </c>
      <c r="AJ40" s="211">
        <f t="shared" si="5"/>
        <v>51.33</v>
      </c>
      <c r="AK40" s="335">
        <f t="shared" si="6"/>
        <v>9.9325000000000004E-3</v>
      </c>
      <c r="AL40" s="340">
        <f>AI40*1.45</f>
        <v>-1.01355</v>
      </c>
    </row>
    <row r="41" spans="1:38">
      <c r="A41" s="546"/>
      <c r="B41" s="528" t="s">
        <v>115</v>
      </c>
      <c r="C41" s="190" t="s">
        <v>140</v>
      </c>
      <c r="D41" s="191"/>
      <c r="E41" s="192"/>
      <c r="F41" s="531"/>
      <c r="G41" s="146"/>
      <c r="H41" s="146"/>
      <c r="I41" s="192"/>
      <c r="J41" s="531"/>
      <c r="K41" s="146"/>
      <c r="L41" s="146"/>
      <c r="M41" s="192"/>
      <c r="N41" s="531"/>
      <c r="O41" s="146"/>
      <c r="P41" s="146"/>
      <c r="Q41" s="192"/>
      <c r="R41" s="190"/>
      <c r="S41" s="192"/>
      <c r="T41" s="146"/>
      <c r="U41" s="146"/>
      <c r="V41" s="192"/>
      <c r="W41" s="146"/>
      <c r="X41" s="146"/>
      <c r="Y41" s="146"/>
      <c r="Z41" s="193"/>
      <c r="AA41" s="192"/>
      <c r="AB41" s="146"/>
      <c r="AC41" s="146"/>
      <c r="AD41" s="194"/>
      <c r="AE41" s="193"/>
      <c r="AF41" s="195"/>
      <c r="AG41" s="146">
        <v>38.299999999999997</v>
      </c>
      <c r="AH41" s="212">
        <v>7.4099999999999999E-3</v>
      </c>
      <c r="AI41" s="194">
        <v>-0.755</v>
      </c>
      <c r="AJ41" s="209">
        <f t="shared" si="5"/>
        <v>55.534999999999997</v>
      </c>
      <c r="AK41" s="333">
        <f t="shared" si="6"/>
        <v>1.0744499999999999E-2</v>
      </c>
      <c r="AL41" s="338">
        <f t="shared" si="6"/>
        <v>-1.0947499999999999</v>
      </c>
    </row>
    <row r="42" spans="1:38">
      <c r="A42" s="546"/>
      <c r="B42" s="529"/>
      <c r="C42" s="196" t="s">
        <v>139</v>
      </c>
      <c r="D42" s="197"/>
      <c r="E42" s="192"/>
      <c r="F42" s="532"/>
      <c r="G42" s="147"/>
      <c r="H42" s="147"/>
      <c r="I42" s="192"/>
      <c r="J42" s="532"/>
      <c r="K42" s="147"/>
      <c r="L42" s="147"/>
      <c r="M42" s="192"/>
      <c r="N42" s="532"/>
      <c r="O42" s="147"/>
      <c r="P42" s="147"/>
      <c r="Q42" s="192"/>
      <c r="R42" s="196"/>
      <c r="S42" s="192"/>
      <c r="T42" s="147"/>
      <c r="U42" s="198"/>
      <c r="V42" s="192"/>
      <c r="W42" s="147"/>
      <c r="X42" s="147"/>
      <c r="Y42" s="147"/>
      <c r="Z42" s="198"/>
      <c r="AA42" s="192"/>
      <c r="AB42" s="147"/>
      <c r="AC42" s="147"/>
      <c r="AD42" s="199"/>
      <c r="AE42" s="198"/>
      <c r="AF42" s="195"/>
      <c r="AG42" s="147">
        <v>43</v>
      </c>
      <c r="AH42" s="213">
        <v>8.3300000000000006E-3</v>
      </c>
      <c r="AI42" s="199">
        <v>-0.85</v>
      </c>
      <c r="AJ42" s="210">
        <f t="shared" si="5"/>
        <v>62.35</v>
      </c>
      <c r="AK42" s="334">
        <f t="shared" si="6"/>
        <v>1.2078500000000001E-2</v>
      </c>
      <c r="AL42" s="339">
        <f t="shared" si="6"/>
        <v>-1.2324999999999999</v>
      </c>
    </row>
    <row r="43" spans="1:38" ht="16.5" thickBot="1">
      <c r="A43" s="546"/>
      <c r="B43" s="530"/>
      <c r="C43" s="200" t="s">
        <v>141</v>
      </c>
      <c r="D43" s="201"/>
      <c r="E43" s="192"/>
      <c r="F43" s="533"/>
      <c r="G43" s="148"/>
      <c r="H43" s="148"/>
      <c r="I43" s="192"/>
      <c r="J43" s="533"/>
      <c r="K43" s="148"/>
      <c r="L43" s="148"/>
      <c r="M43" s="192"/>
      <c r="N43" s="533"/>
      <c r="O43" s="148"/>
      <c r="P43" s="148"/>
      <c r="Q43" s="192"/>
      <c r="R43" s="200"/>
      <c r="S43" s="192"/>
      <c r="T43" s="148"/>
      <c r="U43" s="202"/>
      <c r="V43" s="192"/>
      <c r="W43" s="148"/>
      <c r="X43" s="148"/>
      <c r="Y43" s="148"/>
      <c r="Z43" s="202"/>
      <c r="AA43" s="192"/>
      <c r="AB43" s="148"/>
      <c r="AC43" s="148"/>
      <c r="AD43" s="203"/>
      <c r="AE43" s="202"/>
      <c r="AF43" s="195"/>
      <c r="AG43" s="148">
        <v>47.8</v>
      </c>
      <c r="AH43" s="214">
        <v>9.2599999999999991E-3</v>
      </c>
      <c r="AI43" s="203">
        <v>-0.94399999999999995</v>
      </c>
      <c r="AJ43" s="211">
        <f t="shared" si="5"/>
        <v>69.309999999999988</v>
      </c>
      <c r="AK43" s="335">
        <f t="shared" si="6"/>
        <v>1.3426999999999998E-2</v>
      </c>
      <c r="AL43" s="340">
        <f t="shared" si="6"/>
        <v>-1.3687999999999998</v>
      </c>
    </row>
    <row r="44" spans="1:38">
      <c r="A44" s="546"/>
      <c r="B44" s="528" t="s">
        <v>123</v>
      </c>
      <c r="C44" s="190" t="s">
        <v>140</v>
      </c>
      <c r="D44" s="191"/>
      <c r="E44" s="192"/>
      <c r="F44" s="531"/>
      <c r="G44" s="146"/>
      <c r="H44" s="146"/>
      <c r="I44" s="192"/>
      <c r="J44" s="531"/>
      <c r="K44" s="146"/>
      <c r="L44" s="146"/>
      <c r="M44" s="192"/>
      <c r="N44" s="531"/>
      <c r="O44" s="146"/>
      <c r="P44" s="146"/>
      <c r="Q44" s="192"/>
      <c r="R44" s="190"/>
      <c r="S44" s="192"/>
      <c r="T44" s="146"/>
      <c r="U44" s="146"/>
      <c r="V44" s="192"/>
      <c r="W44" s="146"/>
      <c r="X44" s="146"/>
      <c r="Y44" s="146"/>
      <c r="Z44" s="193"/>
      <c r="AA44" s="192"/>
      <c r="AB44" s="146"/>
      <c r="AC44" s="146"/>
      <c r="AD44" s="194"/>
      <c r="AE44" s="193"/>
      <c r="AF44" s="195"/>
      <c r="AG44" s="146">
        <v>23.9</v>
      </c>
      <c r="AH44" s="212">
        <v>4.6299999999999996E-3</v>
      </c>
      <c r="AI44" s="194">
        <v>-0.47199999999999998</v>
      </c>
      <c r="AJ44" s="209">
        <f t="shared" si="5"/>
        <v>34.654999999999994</v>
      </c>
      <c r="AK44" s="333">
        <f t="shared" si="6"/>
        <v>6.713499999999999E-3</v>
      </c>
      <c r="AL44" s="338">
        <f t="shared" si="6"/>
        <v>-0.6843999999999999</v>
      </c>
    </row>
    <row r="45" spans="1:38">
      <c r="A45" s="546"/>
      <c r="B45" s="529"/>
      <c r="C45" s="196" t="s">
        <v>139</v>
      </c>
      <c r="D45" s="197"/>
      <c r="E45" s="192"/>
      <c r="F45" s="532"/>
      <c r="G45" s="147"/>
      <c r="H45" s="147"/>
      <c r="I45" s="192"/>
      <c r="J45" s="532"/>
      <c r="K45" s="147"/>
      <c r="L45" s="147"/>
      <c r="M45" s="192"/>
      <c r="N45" s="532"/>
      <c r="O45" s="147"/>
      <c r="P45" s="147"/>
      <c r="Q45" s="192"/>
      <c r="R45" s="196"/>
      <c r="S45" s="192"/>
      <c r="T45" s="147"/>
      <c r="U45" s="198"/>
      <c r="V45" s="192"/>
      <c r="W45" s="147"/>
      <c r="X45" s="147"/>
      <c r="Y45" s="147"/>
      <c r="Z45" s="198"/>
      <c r="AA45" s="192"/>
      <c r="AB45" s="147"/>
      <c r="AC45" s="147"/>
      <c r="AD45" s="199"/>
      <c r="AE45" s="198"/>
      <c r="AF45" s="195"/>
      <c r="AG45" s="147">
        <v>27.7</v>
      </c>
      <c r="AH45" s="213">
        <v>5.3699999999999998E-3</v>
      </c>
      <c r="AI45" s="199">
        <v>-0.54800000000000004</v>
      </c>
      <c r="AJ45" s="210">
        <f t="shared" si="5"/>
        <v>40.164999999999999</v>
      </c>
      <c r="AK45" s="334">
        <f t="shared" si="6"/>
        <v>7.7864999999999992E-3</v>
      </c>
      <c r="AL45" s="339">
        <f t="shared" si="6"/>
        <v>-0.79460000000000008</v>
      </c>
    </row>
    <row r="46" spans="1:38" ht="16.5" thickBot="1">
      <c r="A46" s="546"/>
      <c r="B46" s="530"/>
      <c r="C46" s="200" t="s">
        <v>141</v>
      </c>
      <c r="D46" s="201"/>
      <c r="E46" s="192"/>
      <c r="F46" s="533"/>
      <c r="G46" s="148"/>
      <c r="H46" s="148"/>
      <c r="I46" s="192"/>
      <c r="J46" s="533"/>
      <c r="K46" s="148"/>
      <c r="L46" s="148"/>
      <c r="M46" s="192"/>
      <c r="N46" s="533"/>
      <c r="O46" s="148"/>
      <c r="P46" s="148"/>
      <c r="Q46" s="192"/>
      <c r="R46" s="200"/>
      <c r="S46" s="192"/>
      <c r="T46" s="148"/>
      <c r="U46" s="202"/>
      <c r="V46" s="192"/>
      <c r="W46" s="148"/>
      <c r="X46" s="148"/>
      <c r="Y46" s="148"/>
      <c r="Z46" s="202"/>
      <c r="AA46" s="192"/>
      <c r="AB46" s="148"/>
      <c r="AC46" s="148"/>
      <c r="AD46" s="203"/>
      <c r="AE46" s="202"/>
      <c r="AF46" s="195"/>
      <c r="AG46" s="148">
        <v>32.5</v>
      </c>
      <c r="AH46" s="214">
        <v>6.3E-3</v>
      </c>
      <c r="AI46" s="203">
        <v>-0.64200000000000002</v>
      </c>
      <c r="AJ46" s="211">
        <f t="shared" si="5"/>
        <v>47.125</v>
      </c>
      <c r="AK46" s="335">
        <f t="shared" si="6"/>
        <v>9.134999999999999E-3</v>
      </c>
      <c r="AL46" s="340">
        <f t="shared" si="6"/>
        <v>-0.93089999999999995</v>
      </c>
    </row>
    <row r="47" spans="1:38">
      <c r="A47" s="546"/>
      <c r="B47" s="528" t="s">
        <v>125</v>
      </c>
      <c r="C47" s="190" t="s">
        <v>140</v>
      </c>
      <c r="D47" s="191"/>
      <c r="E47" s="192"/>
      <c r="F47" s="531"/>
      <c r="G47" s="146"/>
      <c r="H47" s="146"/>
      <c r="I47" s="192"/>
      <c r="J47" s="531"/>
      <c r="K47" s="146"/>
      <c r="L47" s="146"/>
      <c r="M47" s="192"/>
      <c r="N47" s="531"/>
      <c r="O47" s="146"/>
      <c r="P47" s="146"/>
      <c r="Q47" s="192"/>
      <c r="R47" s="190"/>
      <c r="S47" s="192"/>
      <c r="T47" s="146"/>
      <c r="U47" s="146"/>
      <c r="V47" s="192"/>
      <c r="W47" s="146"/>
      <c r="X47" s="146"/>
      <c r="Y47" s="146"/>
      <c r="Z47" s="193"/>
      <c r="AA47" s="192"/>
      <c r="AB47" s="146"/>
      <c r="AC47" s="146"/>
      <c r="AD47" s="194"/>
      <c r="AE47" s="193"/>
      <c r="AF47" s="195"/>
      <c r="AG47" s="146">
        <v>33.5</v>
      </c>
      <c r="AH47" s="212">
        <v>6.4799999999999996E-3</v>
      </c>
      <c r="AI47" s="194">
        <v>-0.66100000000000003</v>
      </c>
      <c r="AJ47" s="209">
        <f t="shared" si="5"/>
        <v>48.574999999999996</v>
      </c>
      <c r="AK47" s="333">
        <f t="shared" si="6"/>
        <v>9.3959999999999998E-3</v>
      </c>
      <c r="AL47" s="338">
        <f t="shared" si="6"/>
        <v>-0.95845000000000002</v>
      </c>
    </row>
    <row r="48" spans="1:38">
      <c r="A48" s="546"/>
      <c r="B48" s="529"/>
      <c r="C48" s="196" t="s">
        <v>139</v>
      </c>
      <c r="D48" s="197"/>
      <c r="E48" s="192"/>
      <c r="F48" s="532"/>
      <c r="G48" s="147"/>
      <c r="H48" s="147"/>
      <c r="I48" s="192"/>
      <c r="J48" s="532"/>
      <c r="K48" s="147"/>
      <c r="L48" s="147"/>
      <c r="M48" s="192"/>
      <c r="N48" s="532"/>
      <c r="O48" s="147"/>
      <c r="P48" s="147"/>
      <c r="Q48" s="192"/>
      <c r="R48" s="196"/>
      <c r="S48" s="192"/>
      <c r="T48" s="147"/>
      <c r="U48" s="198"/>
      <c r="V48" s="192"/>
      <c r="W48" s="147"/>
      <c r="X48" s="147"/>
      <c r="Y48" s="147"/>
      <c r="Z48" s="198"/>
      <c r="AA48" s="192"/>
      <c r="AB48" s="147"/>
      <c r="AC48" s="147"/>
      <c r="AD48" s="199"/>
      <c r="AE48" s="198"/>
      <c r="AF48" s="195"/>
      <c r="AG48" s="147">
        <v>39.200000000000003</v>
      </c>
      <c r="AH48" s="213">
        <v>7.5900000000000004E-3</v>
      </c>
      <c r="AI48" s="199">
        <v>-0.77400000000000002</v>
      </c>
      <c r="AJ48" s="210">
        <f t="shared" si="5"/>
        <v>56.84</v>
      </c>
      <c r="AK48" s="334">
        <f t="shared" si="6"/>
        <v>1.10055E-2</v>
      </c>
      <c r="AL48" s="339">
        <f t="shared" si="6"/>
        <v>-1.1223000000000001</v>
      </c>
    </row>
    <row r="49" spans="1:38" ht="16.5" thickBot="1">
      <c r="A49" s="547"/>
      <c r="B49" s="530"/>
      <c r="C49" s="200" t="s">
        <v>141</v>
      </c>
      <c r="D49" s="201"/>
      <c r="E49" s="207"/>
      <c r="F49" s="533"/>
      <c r="G49" s="148"/>
      <c r="H49" s="148"/>
      <c r="I49" s="207"/>
      <c r="J49" s="533"/>
      <c r="K49" s="148"/>
      <c r="L49" s="148"/>
      <c r="M49" s="207"/>
      <c r="N49" s="533"/>
      <c r="O49" s="148"/>
      <c r="P49" s="148"/>
      <c r="Q49" s="207"/>
      <c r="R49" s="200"/>
      <c r="S49" s="207"/>
      <c r="T49" s="148"/>
      <c r="U49" s="202"/>
      <c r="V49" s="207"/>
      <c r="W49" s="148"/>
      <c r="X49" s="148"/>
      <c r="Y49" s="148"/>
      <c r="Z49" s="202"/>
      <c r="AA49" s="207"/>
      <c r="AB49" s="148"/>
      <c r="AC49" s="148"/>
      <c r="AD49" s="203"/>
      <c r="AE49" s="202"/>
      <c r="AF49" s="208"/>
      <c r="AG49" s="148">
        <v>45</v>
      </c>
      <c r="AH49" s="214">
        <v>8.6999999999999994E-3</v>
      </c>
      <c r="AI49" s="203">
        <v>-0.88800000000000001</v>
      </c>
      <c r="AJ49" s="211">
        <f t="shared" si="5"/>
        <v>65.25</v>
      </c>
      <c r="AK49" s="335">
        <f t="shared" si="6"/>
        <v>1.2614999999999999E-2</v>
      </c>
      <c r="AL49" s="340">
        <f t="shared" si="6"/>
        <v>-1.2876000000000001</v>
      </c>
    </row>
    <row r="50" spans="1:38">
      <c r="A50" s="545" t="s">
        <v>64</v>
      </c>
      <c r="B50" s="528" t="s">
        <v>113</v>
      </c>
      <c r="C50" s="190" t="s">
        <v>140</v>
      </c>
      <c r="D50" s="191"/>
      <c r="E50" s="205"/>
      <c r="F50" s="531"/>
      <c r="G50" s="146"/>
      <c r="H50" s="146"/>
      <c r="I50" s="205"/>
      <c r="J50" s="531"/>
      <c r="K50" s="146"/>
      <c r="L50" s="146"/>
      <c r="M50" s="205"/>
      <c r="N50" s="531"/>
      <c r="O50" s="146"/>
      <c r="P50" s="146"/>
      <c r="Q50" s="205"/>
      <c r="R50" s="190"/>
      <c r="S50" s="205"/>
      <c r="T50" s="146"/>
      <c r="U50" s="146"/>
      <c r="V50" s="205"/>
      <c r="W50" s="146"/>
      <c r="X50" s="146"/>
      <c r="Y50" s="146"/>
      <c r="Z50" s="193"/>
      <c r="AA50" s="205"/>
      <c r="AB50" s="146"/>
      <c r="AC50" s="146"/>
      <c r="AD50" s="194"/>
      <c r="AE50" s="193"/>
      <c r="AF50" s="206"/>
      <c r="AG50" s="146">
        <v>27.2</v>
      </c>
      <c r="AH50" s="212">
        <v>5.0800000000000003E-3</v>
      </c>
      <c r="AI50" s="194">
        <v>-0.54600000000000004</v>
      </c>
      <c r="AJ50" s="209">
        <f t="shared" si="5"/>
        <v>39.44</v>
      </c>
      <c r="AK50" s="333">
        <f t="shared" si="6"/>
        <v>7.3660000000000002E-3</v>
      </c>
      <c r="AL50" s="338">
        <f t="shared" si="6"/>
        <v>-0.79170000000000007</v>
      </c>
    </row>
    <row r="51" spans="1:38">
      <c r="A51" s="546"/>
      <c r="B51" s="529"/>
      <c r="C51" s="196" t="s">
        <v>139</v>
      </c>
      <c r="D51" s="197"/>
      <c r="E51" s="192"/>
      <c r="F51" s="532"/>
      <c r="G51" s="147"/>
      <c r="H51" s="147"/>
      <c r="I51" s="192"/>
      <c r="J51" s="532"/>
      <c r="K51" s="147"/>
      <c r="L51" s="147"/>
      <c r="M51" s="192"/>
      <c r="N51" s="532"/>
      <c r="O51" s="147"/>
      <c r="P51" s="147"/>
      <c r="Q51" s="192"/>
      <c r="R51" s="196"/>
      <c r="S51" s="192"/>
      <c r="T51" s="147"/>
      <c r="U51" s="198"/>
      <c r="V51" s="192"/>
      <c r="W51" s="147"/>
      <c r="X51" s="147"/>
      <c r="Y51" s="147"/>
      <c r="Z51" s="198"/>
      <c r="AA51" s="192"/>
      <c r="AB51" s="147"/>
      <c r="AC51" s="147"/>
      <c r="AD51" s="199"/>
      <c r="AE51" s="198"/>
      <c r="AF51" s="195"/>
      <c r="AG51" s="147">
        <v>30.8</v>
      </c>
      <c r="AH51" s="213">
        <v>5.7499999999999999E-3</v>
      </c>
      <c r="AI51" s="199">
        <v>-0.61899999999999999</v>
      </c>
      <c r="AJ51" s="210">
        <f t="shared" si="5"/>
        <v>44.66</v>
      </c>
      <c r="AK51" s="334">
        <f t="shared" si="6"/>
        <v>8.3374999999999994E-3</v>
      </c>
      <c r="AL51" s="339">
        <f t="shared" si="6"/>
        <v>-0.89754999999999996</v>
      </c>
    </row>
    <row r="52" spans="1:38" ht="16.5" thickBot="1">
      <c r="A52" s="546"/>
      <c r="B52" s="530"/>
      <c r="C52" s="200" t="s">
        <v>141</v>
      </c>
      <c r="D52" s="201"/>
      <c r="E52" s="192"/>
      <c r="F52" s="533"/>
      <c r="G52" s="148"/>
      <c r="H52" s="148"/>
      <c r="I52" s="192"/>
      <c r="J52" s="533"/>
      <c r="K52" s="148"/>
      <c r="L52" s="148"/>
      <c r="M52" s="192"/>
      <c r="N52" s="533"/>
      <c r="O52" s="148"/>
      <c r="P52" s="148"/>
      <c r="Q52" s="192"/>
      <c r="R52" s="200"/>
      <c r="S52" s="192"/>
      <c r="T52" s="148"/>
      <c r="U52" s="202"/>
      <c r="V52" s="192"/>
      <c r="W52" s="148"/>
      <c r="X52" s="148"/>
      <c r="Y52" s="148"/>
      <c r="Z52" s="202"/>
      <c r="AA52" s="192"/>
      <c r="AB52" s="148"/>
      <c r="AC52" s="148"/>
      <c r="AD52" s="203"/>
      <c r="AE52" s="202"/>
      <c r="AF52" s="195"/>
      <c r="AG52" s="148">
        <v>33.5</v>
      </c>
      <c r="AH52" s="214">
        <v>6.2599999999999999E-3</v>
      </c>
      <c r="AI52" s="203">
        <v>-0.67400000000000004</v>
      </c>
      <c r="AJ52" s="211">
        <f t="shared" si="5"/>
        <v>48.574999999999996</v>
      </c>
      <c r="AK52" s="335">
        <f t="shared" si="6"/>
        <v>9.077E-3</v>
      </c>
      <c r="AL52" s="340">
        <f t="shared" si="6"/>
        <v>-0.97730000000000006</v>
      </c>
    </row>
    <row r="53" spans="1:38">
      <c r="A53" s="546"/>
      <c r="B53" s="528" t="s">
        <v>115</v>
      </c>
      <c r="C53" s="190" t="s">
        <v>140</v>
      </c>
      <c r="D53" s="191"/>
      <c r="E53" s="192"/>
      <c r="F53" s="531"/>
      <c r="G53" s="146"/>
      <c r="H53" s="146"/>
      <c r="I53" s="192"/>
      <c r="J53" s="531"/>
      <c r="K53" s="146"/>
      <c r="L53" s="146"/>
      <c r="M53" s="192"/>
      <c r="N53" s="531"/>
      <c r="O53" s="146"/>
      <c r="P53" s="146"/>
      <c r="Q53" s="192"/>
      <c r="R53" s="190"/>
      <c r="S53" s="192"/>
      <c r="T53" s="146"/>
      <c r="U53" s="146"/>
      <c r="V53" s="192"/>
      <c r="W53" s="146"/>
      <c r="X53" s="146"/>
      <c r="Y53" s="146"/>
      <c r="Z53" s="193"/>
      <c r="AA53" s="192"/>
      <c r="AB53" s="146"/>
      <c r="AC53" s="146"/>
      <c r="AD53" s="194"/>
      <c r="AE53" s="193"/>
      <c r="AF53" s="195"/>
      <c r="AG53" s="146">
        <v>36.200000000000003</v>
      </c>
      <c r="AH53" s="212">
        <v>6.77E-3</v>
      </c>
      <c r="AI53" s="194">
        <v>-0.72799999999999998</v>
      </c>
      <c r="AJ53" s="209">
        <f t="shared" si="5"/>
        <v>52.49</v>
      </c>
      <c r="AK53" s="333">
        <f t="shared" si="6"/>
        <v>9.8164999999999988E-3</v>
      </c>
      <c r="AL53" s="338">
        <f t="shared" si="6"/>
        <v>-1.0555999999999999</v>
      </c>
    </row>
    <row r="54" spans="1:38">
      <c r="A54" s="546"/>
      <c r="B54" s="529"/>
      <c r="C54" s="196" t="s">
        <v>139</v>
      </c>
      <c r="D54" s="197"/>
      <c r="E54" s="192"/>
      <c r="F54" s="532"/>
      <c r="G54" s="147"/>
      <c r="H54" s="147"/>
      <c r="I54" s="192"/>
      <c r="J54" s="532"/>
      <c r="K54" s="147"/>
      <c r="L54" s="147"/>
      <c r="M54" s="192"/>
      <c r="N54" s="532"/>
      <c r="O54" s="147"/>
      <c r="P54" s="147"/>
      <c r="Q54" s="192"/>
      <c r="R54" s="196"/>
      <c r="S54" s="192"/>
      <c r="T54" s="147"/>
      <c r="U54" s="198"/>
      <c r="V54" s="192"/>
      <c r="W54" s="147"/>
      <c r="X54" s="147"/>
      <c r="Y54" s="147"/>
      <c r="Z54" s="198"/>
      <c r="AA54" s="192"/>
      <c r="AB54" s="147"/>
      <c r="AC54" s="147"/>
      <c r="AD54" s="199"/>
      <c r="AE54" s="198"/>
      <c r="AF54" s="195"/>
      <c r="AG54" s="147">
        <v>40.799999999999997</v>
      </c>
      <c r="AH54" s="213">
        <v>7.6099999999999996E-3</v>
      </c>
      <c r="AI54" s="199">
        <v>-0.81899999999999995</v>
      </c>
      <c r="AJ54" s="210">
        <f t="shared" si="5"/>
        <v>59.16</v>
      </c>
      <c r="AK54" s="334">
        <f t="shared" si="6"/>
        <v>1.1034499999999999E-2</v>
      </c>
      <c r="AL54" s="339">
        <f t="shared" si="6"/>
        <v>-1.1875499999999999</v>
      </c>
    </row>
    <row r="55" spans="1:38" ht="16.5" thickBot="1">
      <c r="A55" s="546"/>
      <c r="B55" s="530"/>
      <c r="C55" s="200" t="s">
        <v>141</v>
      </c>
      <c r="D55" s="201"/>
      <c r="E55" s="192"/>
      <c r="F55" s="533"/>
      <c r="G55" s="148"/>
      <c r="H55" s="148"/>
      <c r="I55" s="192"/>
      <c r="J55" s="533"/>
      <c r="K55" s="148"/>
      <c r="L55" s="148"/>
      <c r="M55" s="192"/>
      <c r="N55" s="533"/>
      <c r="O55" s="148"/>
      <c r="P55" s="148"/>
      <c r="Q55" s="192"/>
      <c r="R55" s="200"/>
      <c r="S55" s="192"/>
      <c r="T55" s="148"/>
      <c r="U55" s="202"/>
      <c r="V55" s="192"/>
      <c r="W55" s="148"/>
      <c r="X55" s="148"/>
      <c r="Y55" s="148"/>
      <c r="Z55" s="202"/>
      <c r="AA55" s="192"/>
      <c r="AB55" s="148"/>
      <c r="AC55" s="148"/>
      <c r="AD55" s="203"/>
      <c r="AE55" s="202"/>
      <c r="AF55" s="195"/>
      <c r="AG55" s="148">
        <v>45.3</v>
      </c>
      <c r="AH55" s="214">
        <v>8.4600000000000005E-3</v>
      </c>
      <c r="AI55" s="203">
        <v>-0.91</v>
      </c>
      <c r="AJ55" s="211">
        <f t="shared" si="5"/>
        <v>65.684999999999988</v>
      </c>
      <c r="AK55" s="335">
        <f t="shared" si="6"/>
        <v>1.2267E-2</v>
      </c>
      <c r="AL55" s="340">
        <f t="shared" si="6"/>
        <v>-1.3194999999999999</v>
      </c>
    </row>
    <row r="56" spans="1:38">
      <c r="A56" s="546"/>
      <c r="B56" s="528" t="s">
        <v>123</v>
      </c>
      <c r="C56" s="190" t="s">
        <v>140</v>
      </c>
      <c r="D56" s="191"/>
      <c r="E56" s="192"/>
      <c r="F56" s="531"/>
      <c r="G56" s="146"/>
      <c r="H56" s="146"/>
      <c r="I56" s="192"/>
      <c r="J56" s="531"/>
      <c r="K56" s="146"/>
      <c r="L56" s="146"/>
      <c r="M56" s="192"/>
      <c r="N56" s="531"/>
      <c r="O56" s="146"/>
      <c r="P56" s="146"/>
      <c r="Q56" s="192"/>
      <c r="R56" s="190"/>
      <c r="S56" s="192"/>
      <c r="T56" s="146"/>
      <c r="U56" s="146"/>
      <c r="V56" s="192"/>
      <c r="W56" s="146"/>
      <c r="X56" s="146"/>
      <c r="Y56" s="146"/>
      <c r="Z56" s="193"/>
      <c r="AA56" s="192"/>
      <c r="AB56" s="146"/>
      <c r="AC56" s="146"/>
      <c r="AD56" s="194"/>
      <c r="AE56" s="193"/>
      <c r="AF56" s="195"/>
      <c r="AG56" s="146">
        <v>22.6</v>
      </c>
      <c r="AH56" s="212">
        <v>4.2300000000000003E-3</v>
      </c>
      <c r="AI56" s="194">
        <v>-0.45500000000000002</v>
      </c>
      <c r="AJ56" s="209">
        <f t="shared" si="5"/>
        <v>32.770000000000003</v>
      </c>
      <c r="AK56" s="333">
        <f t="shared" si="6"/>
        <v>6.1335000000000001E-3</v>
      </c>
      <c r="AL56" s="338">
        <f t="shared" si="6"/>
        <v>-0.65974999999999995</v>
      </c>
    </row>
    <row r="57" spans="1:38">
      <c r="A57" s="546"/>
      <c r="B57" s="529"/>
      <c r="C57" s="196" t="s">
        <v>139</v>
      </c>
      <c r="D57" s="197"/>
      <c r="E57" s="192"/>
      <c r="F57" s="532"/>
      <c r="G57" s="147"/>
      <c r="H57" s="147"/>
      <c r="I57" s="192"/>
      <c r="J57" s="532"/>
      <c r="K57" s="147"/>
      <c r="L57" s="147"/>
      <c r="M57" s="192"/>
      <c r="N57" s="532"/>
      <c r="O57" s="147"/>
      <c r="P57" s="147"/>
      <c r="Q57" s="192"/>
      <c r="R57" s="196"/>
      <c r="S57" s="192"/>
      <c r="T57" s="147"/>
      <c r="U57" s="198"/>
      <c r="V57" s="192"/>
      <c r="W57" s="147"/>
      <c r="X57" s="147"/>
      <c r="Y57" s="147"/>
      <c r="Z57" s="198"/>
      <c r="AA57" s="192"/>
      <c r="AB57" s="147"/>
      <c r="AC57" s="147"/>
      <c r="AD57" s="199"/>
      <c r="AE57" s="198"/>
      <c r="AF57" s="195"/>
      <c r="AG57" s="147">
        <v>26.3</v>
      </c>
      <c r="AH57" s="213">
        <v>4.9100000000000003E-3</v>
      </c>
      <c r="AI57" s="199">
        <v>-0.52800000000000002</v>
      </c>
      <c r="AJ57" s="210">
        <f t="shared" si="5"/>
        <v>38.134999999999998</v>
      </c>
      <c r="AK57" s="334">
        <f t="shared" si="6"/>
        <v>7.1195E-3</v>
      </c>
      <c r="AL57" s="339">
        <f t="shared" si="6"/>
        <v>-0.76560000000000006</v>
      </c>
    </row>
    <row r="58" spans="1:38" ht="16.5" thickBot="1">
      <c r="A58" s="546"/>
      <c r="B58" s="530"/>
      <c r="C58" s="200" t="s">
        <v>141</v>
      </c>
      <c r="D58" s="201"/>
      <c r="E58" s="192"/>
      <c r="F58" s="533"/>
      <c r="G58" s="148"/>
      <c r="H58" s="148"/>
      <c r="I58" s="192"/>
      <c r="J58" s="533"/>
      <c r="K58" s="148"/>
      <c r="L58" s="148"/>
      <c r="M58" s="192"/>
      <c r="N58" s="533"/>
      <c r="O58" s="148"/>
      <c r="P58" s="148"/>
      <c r="Q58" s="192"/>
      <c r="R58" s="200"/>
      <c r="S58" s="192"/>
      <c r="T58" s="148"/>
      <c r="U58" s="202"/>
      <c r="V58" s="192"/>
      <c r="W58" s="148"/>
      <c r="X58" s="148"/>
      <c r="Y58" s="148"/>
      <c r="Z58" s="202"/>
      <c r="AA58" s="192"/>
      <c r="AB58" s="148"/>
      <c r="AC58" s="148"/>
      <c r="AD58" s="203"/>
      <c r="AE58" s="202"/>
      <c r="AF58" s="195"/>
      <c r="AG58" s="148">
        <v>30.8</v>
      </c>
      <c r="AH58" s="214">
        <v>5.7499999999999999E-3</v>
      </c>
      <c r="AI58" s="203">
        <v>-0.61899999999999999</v>
      </c>
      <c r="AJ58" s="211">
        <f t="shared" si="5"/>
        <v>44.66</v>
      </c>
      <c r="AK58" s="335">
        <f t="shared" si="6"/>
        <v>8.3374999999999994E-3</v>
      </c>
      <c r="AL58" s="340">
        <f t="shared" si="6"/>
        <v>-0.89754999999999996</v>
      </c>
    </row>
    <row r="59" spans="1:38">
      <c r="A59" s="546"/>
      <c r="B59" s="528" t="s">
        <v>125</v>
      </c>
      <c r="C59" s="190" t="s">
        <v>140</v>
      </c>
      <c r="D59" s="191"/>
      <c r="E59" s="192"/>
      <c r="F59" s="531"/>
      <c r="G59" s="146"/>
      <c r="H59" s="146"/>
      <c r="I59" s="192"/>
      <c r="J59" s="531"/>
      <c r="K59" s="146"/>
      <c r="L59" s="146"/>
      <c r="M59" s="192"/>
      <c r="N59" s="531"/>
      <c r="O59" s="146"/>
      <c r="P59" s="146"/>
      <c r="Q59" s="192"/>
      <c r="R59" s="190"/>
      <c r="S59" s="192"/>
      <c r="T59" s="146"/>
      <c r="U59" s="146"/>
      <c r="V59" s="192"/>
      <c r="W59" s="146"/>
      <c r="X59" s="146"/>
      <c r="Y59" s="146"/>
      <c r="Z59" s="193"/>
      <c r="AA59" s="192"/>
      <c r="AB59" s="146"/>
      <c r="AC59" s="146"/>
      <c r="AD59" s="194"/>
      <c r="AE59" s="193"/>
      <c r="AF59" s="195"/>
      <c r="AG59" s="146">
        <v>31.7</v>
      </c>
      <c r="AH59" s="212">
        <v>5.9199999999999999E-3</v>
      </c>
      <c r="AI59" s="194">
        <v>-0.63700000000000001</v>
      </c>
      <c r="AJ59" s="209">
        <f t="shared" si="5"/>
        <v>45.964999999999996</v>
      </c>
      <c r="AK59" s="333">
        <f t="shared" si="6"/>
        <v>8.5839999999999996E-3</v>
      </c>
      <c r="AL59" s="338">
        <f t="shared" si="6"/>
        <v>-0.92364999999999997</v>
      </c>
    </row>
    <row r="60" spans="1:38">
      <c r="A60" s="546"/>
      <c r="B60" s="529"/>
      <c r="C60" s="196" t="s">
        <v>139</v>
      </c>
      <c r="D60" s="197"/>
      <c r="E60" s="192"/>
      <c r="F60" s="532"/>
      <c r="G60" s="147"/>
      <c r="H60" s="147"/>
      <c r="I60" s="192"/>
      <c r="J60" s="532"/>
      <c r="K60" s="147"/>
      <c r="L60" s="147"/>
      <c r="M60" s="192"/>
      <c r="N60" s="532"/>
      <c r="O60" s="147"/>
      <c r="P60" s="147"/>
      <c r="Q60" s="192"/>
      <c r="R60" s="196"/>
      <c r="S60" s="192"/>
      <c r="T60" s="147"/>
      <c r="U60" s="198"/>
      <c r="V60" s="192"/>
      <c r="W60" s="147"/>
      <c r="X60" s="147"/>
      <c r="Y60" s="147"/>
      <c r="Z60" s="198"/>
      <c r="AA60" s="192"/>
      <c r="AB60" s="147"/>
      <c r="AC60" s="147"/>
      <c r="AD60" s="199"/>
      <c r="AE60" s="198"/>
      <c r="AF60" s="195"/>
      <c r="AG60" s="147">
        <v>37.1</v>
      </c>
      <c r="AH60" s="213">
        <v>6.94E-3</v>
      </c>
      <c r="AI60" s="199">
        <v>-0.747</v>
      </c>
      <c r="AJ60" s="210">
        <f t="shared" si="5"/>
        <v>53.795000000000002</v>
      </c>
      <c r="AK60" s="334">
        <f t="shared" si="6"/>
        <v>1.0062999999999999E-2</v>
      </c>
      <c r="AL60" s="339">
        <f t="shared" si="6"/>
        <v>-1.0831500000000001</v>
      </c>
    </row>
    <row r="61" spans="1:38" ht="16.5" thickBot="1">
      <c r="A61" s="547"/>
      <c r="B61" s="530"/>
      <c r="C61" s="200" t="s">
        <v>141</v>
      </c>
      <c r="D61" s="201"/>
      <c r="E61" s="207"/>
      <c r="F61" s="533"/>
      <c r="G61" s="148"/>
      <c r="H61" s="148"/>
      <c r="I61" s="207"/>
      <c r="J61" s="533"/>
      <c r="K61" s="148"/>
      <c r="L61" s="148"/>
      <c r="M61" s="207"/>
      <c r="N61" s="533"/>
      <c r="O61" s="148"/>
      <c r="P61" s="148"/>
      <c r="Q61" s="207"/>
      <c r="R61" s="200"/>
      <c r="S61" s="207"/>
      <c r="T61" s="148"/>
      <c r="U61" s="202"/>
      <c r="V61" s="207"/>
      <c r="W61" s="148"/>
      <c r="X61" s="148"/>
      <c r="Y61" s="148"/>
      <c r="Z61" s="202"/>
      <c r="AA61" s="207"/>
      <c r="AB61" s="148"/>
      <c r="AC61" s="148"/>
      <c r="AD61" s="203"/>
      <c r="AE61" s="202"/>
      <c r="AF61" s="208"/>
      <c r="AG61" s="148">
        <v>42.6</v>
      </c>
      <c r="AH61" s="214">
        <v>7.9500000000000005E-3</v>
      </c>
      <c r="AI61" s="203">
        <v>-0.85599999999999998</v>
      </c>
      <c r="AJ61" s="211">
        <f t="shared" si="5"/>
        <v>61.77</v>
      </c>
      <c r="AK61" s="335">
        <f t="shared" si="6"/>
        <v>1.15275E-2</v>
      </c>
      <c r="AL61" s="340">
        <f t="shared" si="6"/>
        <v>-1.2411999999999999</v>
      </c>
    </row>
  </sheetData>
  <mergeCells count="105">
    <mergeCell ref="AG2:AI3"/>
    <mergeCell ref="AJ2:AL3"/>
    <mergeCell ref="F56:F58"/>
    <mergeCell ref="J56:J58"/>
    <mergeCell ref="N56:N58"/>
    <mergeCell ref="F59:F61"/>
    <mergeCell ref="J59:J61"/>
    <mergeCell ref="N59:N61"/>
    <mergeCell ref="F50:F52"/>
    <mergeCell ref="J50:J52"/>
    <mergeCell ref="N50:N52"/>
    <mergeCell ref="F53:F55"/>
    <mergeCell ref="J53:J55"/>
    <mergeCell ref="N53:N55"/>
    <mergeCell ref="F44:F46"/>
    <mergeCell ref="J44:J46"/>
    <mergeCell ref="N44:N46"/>
    <mergeCell ref="F47:F49"/>
    <mergeCell ref="J47:J49"/>
    <mergeCell ref="N47:N49"/>
    <mergeCell ref="F38:F40"/>
    <mergeCell ref="J38:J40"/>
    <mergeCell ref="N38:N40"/>
    <mergeCell ref="F41:F43"/>
    <mergeCell ref="J41:J43"/>
    <mergeCell ref="N41:N43"/>
    <mergeCell ref="F32:F34"/>
    <mergeCell ref="J32:J34"/>
    <mergeCell ref="N32:N34"/>
    <mergeCell ref="F35:F37"/>
    <mergeCell ref="J35:J37"/>
    <mergeCell ref="N35:N37"/>
    <mergeCell ref="F26:F28"/>
    <mergeCell ref="J26:J28"/>
    <mergeCell ref="N26:N28"/>
    <mergeCell ref="F29:F31"/>
    <mergeCell ref="J29:J31"/>
    <mergeCell ref="N29:N31"/>
    <mergeCell ref="B50:B52"/>
    <mergeCell ref="B53:B55"/>
    <mergeCell ref="B56:B58"/>
    <mergeCell ref="B59:B61"/>
    <mergeCell ref="A50:A61"/>
    <mergeCell ref="A26:A37"/>
    <mergeCell ref="B41:B43"/>
    <mergeCell ref="B44:B46"/>
    <mergeCell ref="B47:B49"/>
    <mergeCell ref="A38:A49"/>
    <mergeCell ref="A5:A25"/>
    <mergeCell ref="B1:AK1"/>
    <mergeCell ref="A2:A4"/>
    <mergeCell ref="C2:C3"/>
    <mergeCell ref="B26:B28"/>
    <mergeCell ref="B29:B31"/>
    <mergeCell ref="B38:B40"/>
    <mergeCell ref="B32:B34"/>
    <mergeCell ref="B35:B37"/>
    <mergeCell ref="AC3:AD3"/>
    <mergeCell ref="AB2:AD2"/>
    <mergeCell ref="AE2:AE4"/>
    <mergeCell ref="N23:N25"/>
    <mergeCell ref="D2:D4"/>
    <mergeCell ref="N5:N7"/>
    <mergeCell ref="N8:N10"/>
    <mergeCell ref="N11:N13"/>
    <mergeCell ref="N14:N16"/>
    <mergeCell ref="N17:N19"/>
    <mergeCell ref="R2:R3"/>
    <mergeCell ref="J2:L2"/>
    <mergeCell ref="F2:H2"/>
    <mergeCell ref="X3:Y3"/>
    <mergeCell ref="W2:Y2"/>
    <mergeCell ref="N2:P2"/>
    <mergeCell ref="O3:O4"/>
    <mergeCell ref="P3:P4"/>
    <mergeCell ref="N20:N22"/>
    <mergeCell ref="U2:U4"/>
    <mergeCell ref="Z2:Z4"/>
    <mergeCell ref="T2:T3"/>
    <mergeCell ref="B8:B10"/>
    <mergeCell ref="F8:F10"/>
    <mergeCell ref="J8:J10"/>
    <mergeCell ref="B5:B7"/>
    <mergeCell ref="F5:F7"/>
    <mergeCell ref="J5:J7"/>
    <mergeCell ref="H3:H4"/>
    <mergeCell ref="L3:L4"/>
    <mergeCell ref="G3:G4"/>
    <mergeCell ref="K3:K4"/>
    <mergeCell ref="B2:B4"/>
    <mergeCell ref="B11:B13"/>
    <mergeCell ref="F11:F13"/>
    <mergeCell ref="J11:J13"/>
    <mergeCell ref="B14:B16"/>
    <mergeCell ref="F14:F16"/>
    <mergeCell ref="J14:J16"/>
    <mergeCell ref="B23:B25"/>
    <mergeCell ref="F23:F25"/>
    <mergeCell ref="J23:J25"/>
    <mergeCell ref="B17:B19"/>
    <mergeCell ref="F17:F19"/>
    <mergeCell ref="J17:J19"/>
    <mergeCell ref="B20:B22"/>
    <mergeCell ref="F20:F22"/>
    <mergeCell ref="J20:J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7"/>
  <sheetViews>
    <sheetView workbookViewId="0">
      <selection activeCell="D33" sqref="C33:D33"/>
    </sheetView>
  </sheetViews>
  <sheetFormatPr defaultRowHeight="15.75"/>
  <cols>
    <col min="1" max="1" width="27.375" style="345" bestFit="1" customWidth="1"/>
    <col min="2" max="2" width="17.625" customWidth="1"/>
  </cols>
  <sheetData>
    <row r="1" spans="1:33">
      <c r="C1" s="382" t="s">
        <v>232</v>
      </c>
    </row>
    <row r="3" spans="1:33">
      <c r="B3" s="385" t="s">
        <v>234</v>
      </c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385"/>
      <c r="S3" s="385"/>
      <c r="T3" s="385"/>
      <c r="U3" s="385"/>
      <c r="V3" s="385"/>
      <c r="W3" s="385"/>
      <c r="X3" s="385"/>
      <c r="Y3" s="385"/>
      <c r="Z3" s="385"/>
      <c r="AA3" s="385"/>
      <c r="AB3" s="385"/>
      <c r="AC3" s="385"/>
      <c r="AD3" s="385"/>
      <c r="AE3" s="385"/>
      <c r="AF3" s="385"/>
      <c r="AG3" s="385"/>
    </row>
    <row r="4" spans="1:33">
      <c r="B4" s="385" t="s">
        <v>235</v>
      </c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  <c r="AE4" s="385"/>
      <c r="AF4" s="385"/>
      <c r="AG4" s="385"/>
    </row>
    <row r="5" spans="1:33">
      <c r="B5" s="385" t="s">
        <v>236</v>
      </c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  <c r="AC5" s="385"/>
      <c r="AD5" s="385"/>
      <c r="AE5" s="385"/>
      <c r="AF5" s="385"/>
      <c r="AG5" s="385"/>
    </row>
    <row r="6" spans="1:33">
      <c r="B6" s="345"/>
      <c r="C6" s="345"/>
      <c r="D6" s="345"/>
      <c r="E6" s="345"/>
      <c r="F6" s="345"/>
      <c r="G6" s="345"/>
      <c r="H6" s="345"/>
      <c r="I6" s="345"/>
      <c r="J6" s="345"/>
      <c r="K6" s="345"/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  <c r="AB6" s="345"/>
      <c r="AC6" s="345"/>
      <c r="AD6" s="345"/>
      <c r="AE6" s="345"/>
      <c r="AF6" s="345"/>
      <c r="AG6" s="345"/>
    </row>
    <row r="7" spans="1:33">
      <c r="A7" s="345" t="s">
        <v>285</v>
      </c>
      <c r="B7" s="385" t="s">
        <v>237</v>
      </c>
      <c r="C7" s="385" t="s">
        <v>238</v>
      </c>
      <c r="D7" s="385" t="s">
        <v>239</v>
      </c>
      <c r="E7" s="385" t="s">
        <v>240</v>
      </c>
      <c r="F7" s="385" t="s">
        <v>241</v>
      </c>
      <c r="G7" s="385" t="s">
        <v>242</v>
      </c>
      <c r="H7" s="385" t="s">
        <v>243</v>
      </c>
      <c r="I7" s="385" t="s">
        <v>244</v>
      </c>
      <c r="J7" s="385" t="s">
        <v>245</v>
      </c>
      <c r="K7" s="385" t="s">
        <v>246</v>
      </c>
      <c r="L7" s="385" t="s">
        <v>247</v>
      </c>
      <c r="M7" s="385" t="s">
        <v>248</v>
      </c>
      <c r="N7" s="385" t="s">
        <v>249</v>
      </c>
      <c r="O7" s="385" t="s">
        <v>250</v>
      </c>
      <c r="P7" s="385" t="s">
        <v>251</v>
      </c>
      <c r="Q7" s="385" t="s">
        <v>252</v>
      </c>
      <c r="R7" s="385" t="s">
        <v>253</v>
      </c>
      <c r="S7" s="385" t="s">
        <v>254</v>
      </c>
      <c r="T7" s="385" t="s">
        <v>255</v>
      </c>
      <c r="U7" s="385" t="s">
        <v>256</v>
      </c>
      <c r="V7" s="385" t="s">
        <v>257</v>
      </c>
      <c r="W7" s="385" t="s">
        <v>258</v>
      </c>
      <c r="X7" s="385" t="s">
        <v>259</v>
      </c>
      <c r="Y7" s="385" t="s">
        <v>260</v>
      </c>
      <c r="Z7" s="385" t="s">
        <v>261</v>
      </c>
      <c r="AA7" s="385" t="s">
        <v>262</v>
      </c>
      <c r="AB7" s="385" t="s">
        <v>263</v>
      </c>
      <c r="AC7" s="385" t="s">
        <v>264</v>
      </c>
      <c r="AD7" s="385" t="s">
        <v>265</v>
      </c>
      <c r="AE7" s="385" t="s">
        <v>266</v>
      </c>
      <c r="AF7" s="385" t="s">
        <v>267</v>
      </c>
      <c r="AG7" s="385" t="s">
        <v>268</v>
      </c>
    </row>
    <row r="8" spans="1:33">
      <c r="A8" s="345" t="s">
        <v>233</v>
      </c>
      <c r="B8" s="385" t="s">
        <v>269</v>
      </c>
      <c r="C8" s="385" t="s">
        <v>270</v>
      </c>
      <c r="D8" s="385" t="s">
        <v>271</v>
      </c>
      <c r="E8" s="386">
        <v>42599.973067129627</v>
      </c>
      <c r="F8" s="385" t="s">
        <v>272</v>
      </c>
      <c r="G8" s="385" t="s">
        <v>273</v>
      </c>
      <c r="H8" s="385" t="s">
        <v>274</v>
      </c>
      <c r="I8" s="385" t="s">
        <v>275</v>
      </c>
      <c r="J8" s="385" t="s">
        <v>276</v>
      </c>
      <c r="K8" s="385" t="s">
        <v>277</v>
      </c>
      <c r="L8" s="385">
        <v>1</v>
      </c>
      <c r="M8" s="385">
        <v>1630</v>
      </c>
      <c r="N8" s="385" t="s">
        <v>278</v>
      </c>
      <c r="O8" s="385">
        <v>0</v>
      </c>
      <c r="P8" s="385">
        <v>0</v>
      </c>
      <c r="Q8" s="385">
        <v>0</v>
      </c>
      <c r="R8" s="385">
        <v>0</v>
      </c>
      <c r="S8" s="385">
        <v>0</v>
      </c>
      <c r="T8" s="385">
        <v>0</v>
      </c>
      <c r="U8" s="385">
        <v>0</v>
      </c>
      <c r="V8" s="385">
        <v>0</v>
      </c>
      <c r="W8" s="385">
        <v>0</v>
      </c>
      <c r="X8" s="385">
        <v>48.9</v>
      </c>
      <c r="Y8" s="385">
        <v>9.1400000000000006E-3</v>
      </c>
      <c r="Z8" s="385">
        <v>-0.98299999999999998</v>
      </c>
      <c r="AA8" s="385" t="s">
        <v>279</v>
      </c>
      <c r="AB8" s="385" t="s">
        <v>280</v>
      </c>
      <c r="AC8" s="385">
        <v>2</v>
      </c>
      <c r="AD8" s="385" t="s">
        <v>281</v>
      </c>
      <c r="AE8" s="385" t="s">
        <v>282</v>
      </c>
      <c r="AF8" s="385" t="s">
        <v>283</v>
      </c>
      <c r="AG8" s="385" t="s">
        <v>64</v>
      </c>
    </row>
    <row r="9" spans="1:33">
      <c r="A9" s="345" t="s">
        <v>233</v>
      </c>
      <c r="B9" s="385" t="s">
        <v>269</v>
      </c>
      <c r="C9" s="385" t="s">
        <v>270</v>
      </c>
      <c r="D9" s="385" t="s">
        <v>271</v>
      </c>
      <c r="E9" s="386">
        <v>42599.973067129627</v>
      </c>
      <c r="F9" s="385" t="s">
        <v>62</v>
      </c>
      <c r="G9" s="385" t="s">
        <v>273</v>
      </c>
      <c r="H9" s="385" t="s">
        <v>274</v>
      </c>
      <c r="I9" s="385" t="s">
        <v>275</v>
      </c>
      <c r="J9" s="385" t="s">
        <v>276</v>
      </c>
      <c r="K9" s="385" t="s">
        <v>277</v>
      </c>
      <c r="L9" s="385">
        <v>1</v>
      </c>
      <c r="M9" s="385">
        <v>1560</v>
      </c>
      <c r="N9" s="385" t="s">
        <v>278</v>
      </c>
      <c r="O9" s="385">
        <v>0</v>
      </c>
      <c r="P9" s="385">
        <v>0</v>
      </c>
      <c r="Q9" s="385">
        <v>0</v>
      </c>
      <c r="R9" s="385">
        <v>0</v>
      </c>
      <c r="S9" s="385">
        <v>0</v>
      </c>
      <c r="T9" s="385">
        <v>0</v>
      </c>
      <c r="U9" s="385">
        <v>0</v>
      </c>
      <c r="V9" s="385">
        <v>0</v>
      </c>
      <c r="W9" s="385">
        <v>0</v>
      </c>
      <c r="X9" s="385">
        <v>51.9</v>
      </c>
      <c r="Y9" s="385">
        <v>1.03E-2</v>
      </c>
      <c r="Z9" s="385">
        <v>-1.03</v>
      </c>
      <c r="AA9" s="385" t="s">
        <v>279</v>
      </c>
      <c r="AB9" s="385" t="s">
        <v>280</v>
      </c>
      <c r="AC9" s="385">
        <v>2</v>
      </c>
      <c r="AD9" s="385" t="s">
        <v>281</v>
      </c>
      <c r="AE9" s="385" t="s">
        <v>282</v>
      </c>
      <c r="AF9" s="385" t="s">
        <v>283</v>
      </c>
      <c r="AG9" s="385" t="s">
        <v>62</v>
      </c>
    </row>
    <row r="10" spans="1:33">
      <c r="A10" s="345" t="s">
        <v>233</v>
      </c>
      <c r="B10" s="385" t="s">
        <v>269</v>
      </c>
      <c r="C10" s="385" t="s">
        <v>270</v>
      </c>
      <c r="D10" s="385" t="s">
        <v>271</v>
      </c>
      <c r="E10" s="386">
        <v>42599.973067129627</v>
      </c>
      <c r="F10" s="385" t="s">
        <v>66</v>
      </c>
      <c r="G10" s="385" t="s">
        <v>273</v>
      </c>
      <c r="H10" s="385" t="s">
        <v>274</v>
      </c>
      <c r="I10" s="385" t="s">
        <v>275</v>
      </c>
      <c r="J10" s="385" t="s">
        <v>276</v>
      </c>
      <c r="K10" s="385" t="s">
        <v>277</v>
      </c>
      <c r="L10" s="385">
        <v>1</v>
      </c>
      <c r="M10" s="385">
        <v>1500</v>
      </c>
      <c r="N10" s="385" t="s">
        <v>278</v>
      </c>
      <c r="O10" s="385">
        <v>0</v>
      </c>
      <c r="P10" s="385">
        <v>0</v>
      </c>
      <c r="Q10" s="385">
        <v>0</v>
      </c>
      <c r="R10" s="385">
        <v>0</v>
      </c>
      <c r="S10" s="385">
        <v>0</v>
      </c>
      <c r="T10" s="385">
        <v>0</v>
      </c>
      <c r="U10" s="385">
        <v>0</v>
      </c>
      <c r="V10" s="385">
        <v>0</v>
      </c>
      <c r="W10" s="385">
        <v>0</v>
      </c>
      <c r="X10" s="385">
        <v>46.3</v>
      </c>
      <c r="Y10" s="385">
        <v>1.01E-2</v>
      </c>
      <c r="Z10" s="385">
        <v>-1.25</v>
      </c>
      <c r="AA10" s="385" t="s">
        <v>279</v>
      </c>
      <c r="AB10" s="385" t="s">
        <v>280</v>
      </c>
      <c r="AC10" s="385">
        <v>2</v>
      </c>
      <c r="AD10" s="385" t="s">
        <v>281</v>
      </c>
      <c r="AE10" s="385" t="s">
        <v>282</v>
      </c>
      <c r="AF10" s="385" t="s">
        <v>283</v>
      </c>
      <c r="AG10" s="385" t="s">
        <v>61</v>
      </c>
    </row>
    <row r="11" spans="1:33">
      <c r="A11" s="345" t="s">
        <v>233</v>
      </c>
      <c r="B11" s="385" t="s">
        <v>269</v>
      </c>
      <c r="C11" s="385" t="s">
        <v>270</v>
      </c>
      <c r="D11" s="385" t="s">
        <v>271</v>
      </c>
      <c r="E11" s="386">
        <v>42599.973067129627</v>
      </c>
      <c r="F11" s="385" t="s">
        <v>63</v>
      </c>
      <c r="G11" s="385" t="s">
        <v>273</v>
      </c>
      <c r="H11" s="385" t="s">
        <v>274</v>
      </c>
      <c r="I11" s="385" t="s">
        <v>275</v>
      </c>
      <c r="J11" s="385" t="s">
        <v>276</v>
      </c>
      <c r="K11" s="385" t="s">
        <v>277</v>
      </c>
      <c r="L11" s="385">
        <v>1</v>
      </c>
      <c r="M11" s="385">
        <v>1560</v>
      </c>
      <c r="N11" s="385" t="s">
        <v>278</v>
      </c>
      <c r="O11" s="385">
        <v>0</v>
      </c>
      <c r="P11" s="385">
        <v>0</v>
      </c>
      <c r="Q11" s="385">
        <v>0</v>
      </c>
      <c r="R11" s="385">
        <v>0</v>
      </c>
      <c r="S11" s="385">
        <v>0</v>
      </c>
      <c r="T11" s="385">
        <v>0</v>
      </c>
      <c r="U11" s="385">
        <v>0</v>
      </c>
      <c r="V11" s="385">
        <v>0</v>
      </c>
      <c r="W11" s="385">
        <v>0</v>
      </c>
      <c r="X11" s="385">
        <v>51.7</v>
      </c>
      <c r="Y11" s="385">
        <v>0.01</v>
      </c>
      <c r="Z11" s="385">
        <v>-1.02</v>
      </c>
      <c r="AA11" s="385" t="s">
        <v>279</v>
      </c>
      <c r="AB11" s="385" t="s">
        <v>280</v>
      </c>
      <c r="AC11" s="385">
        <v>2</v>
      </c>
      <c r="AD11" s="385" t="s">
        <v>281</v>
      </c>
      <c r="AE11" s="385" t="s">
        <v>282</v>
      </c>
      <c r="AF11" s="385" t="s">
        <v>283</v>
      </c>
      <c r="AG11" s="385" t="s">
        <v>63</v>
      </c>
    </row>
    <row r="13" spans="1:33">
      <c r="A13" s="345" t="s">
        <v>284</v>
      </c>
      <c r="B13" s="383" t="s">
        <v>241</v>
      </c>
      <c r="C13" s="385" t="s">
        <v>259</v>
      </c>
      <c r="D13" s="385" t="s">
        <v>260</v>
      </c>
      <c r="E13" s="385" t="s">
        <v>261</v>
      </c>
    </row>
    <row r="14" spans="1:33">
      <c r="A14" s="345" t="s">
        <v>286</v>
      </c>
      <c r="B14" t="str">
        <f>F8</f>
        <v>SDG</v>
      </c>
      <c r="C14">
        <f>ROUND(X8*1.5,1)</f>
        <v>73.400000000000006</v>
      </c>
      <c r="D14" s="345">
        <f>ROUND(Y8*1.5,4)</f>
        <v>1.37E-2</v>
      </c>
      <c r="E14" s="345">
        <f>ROUND(Z8*1.5,2)</f>
        <v>-1.47</v>
      </c>
    </row>
    <row r="15" spans="1:33">
      <c r="A15" s="345" t="s">
        <v>286</v>
      </c>
      <c r="B15" s="345" t="str">
        <f t="shared" ref="B15:B17" si="0">F9</f>
        <v>SCE</v>
      </c>
      <c r="C15" s="345">
        <f t="shared" ref="C15:C17" si="1">ROUND(X9*1.5,1)</f>
        <v>77.900000000000006</v>
      </c>
      <c r="D15" s="345">
        <f t="shared" ref="D15:D17" si="2">ROUND(Y9*1.5,4)</f>
        <v>1.55E-2</v>
      </c>
      <c r="E15" s="345">
        <f t="shared" ref="E15:E17" si="3">ROUND(Z9*1.5,2)</f>
        <v>-1.55</v>
      </c>
    </row>
    <row r="16" spans="1:33">
      <c r="A16" s="345" t="s">
        <v>286</v>
      </c>
      <c r="B16" s="345" t="str">
        <f t="shared" si="0"/>
        <v>PGE</v>
      </c>
      <c r="C16" s="345">
        <f t="shared" si="1"/>
        <v>69.5</v>
      </c>
      <c r="D16" s="345">
        <f t="shared" si="2"/>
        <v>1.52E-2</v>
      </c>
      <c r="E16" s="345">
        <f t="shared" si="3"/>
        <v>-1.88</v>
      </c>
    </row>
    <row r="17" spans="1:5">
      <c r="A17" s="345" t="s">
        <v>286</v>
      </c>
      <c r="B17" s="345" t="str">
        <f t="shared" si="0"/>
        <v>SCG</v>
      </c>
      <c r="C17" s="345">
        <f t="shared" si="1"/>
        <v>77.599999999999994</v>
      </c>
      <c r="D17" s="345">
        <f t="shared" si="2"/>
        <v>1.4999999999999999E-2</v>
      </c>
      <c r="E17" s="345">
        <f t="shared" si="3"/>
        <v>-1.53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E19" sqref="E19"/>
    </sheetView>
  </sheetViews>
  <sheetFormatPr defaultColWidth="11" defaultRowHeight="15.75"/>
  <sheetData>
    <row r="1" spans="1:9" s="345" customFormat="1">
      <c r="A1" s="382" t="s">
        <v>287</v>
      </c>
    </row>
    <row r="2" spans="1:9">
      <c r="A2" s="43"/>
      <c r="B2" s="42"/>
      <c r="C2" s="42"/>
      <c r="D2" s="42"/>
      <c r="E2" s="42"/>
      <c r="F2" s="42"/>
      <c r="G2" s="42"/>
      <c r="H2" s="42"/>
      <c r="I2" s="42"/>
    </row>
    <row r="3" spans="1:9">
      <c r="A3" s="44" t="s">
        <v>52</v>
      </c>
      <c r="B3" s="42"/>
      <c r="C3" s="42"/>
      <c r="D3" s="42" t="s">
        <v>53</v>
      </c>
      <c r="E3" s="42"/>
      <c r="F3" s="42"/>
      <c r="G3" s="42"/>
      <c r="H3" s="42"/>
      <c r="I3" s="42"/>
    </row>
    <row r="4" spans="1:9">
      <c r="A4" s="44" t="s">
        <v>54</v>
      </c>
      <c r="B4" s="42"/>
      <c r="C4" s="42"/>
      <c r="D4" s="42" t="s">
        <v>55</v>
      </c>
      <c r="E4" s="42"/>
      <c r="F4" s="42"/>
      <c r="G4" s="384" t="s">
        <v>288</v>
      </c>
      <c r="H4" s="42"/>
      <c r="I4" s="42"/>
    </row>
    <row r="5" spans="1:9">
      <c r="A5" s="44"/>
      <c r="B5" s="42"/>
      <c r="C5" s="42"/>
      <c r="D5" s="42"/>
      <c r="E5" s="42"/>
      <c r="F5" s="42"/>
      <c r="G5" s="42"/>
      <c r="H5" s="42"/>
      <c r="I5" s="42"/>
    </row>
    <row r="6" spans="1:9">
      <c r="A6" s="44" t="s">
        <v>56</v>
      </c>
      <c r="B6" s="42"/>
      <c r="C6" s="42"/>
      <c r="D6" s="42"/>
      <c r="E6" s="42"/>
      <c r="F6" s="42"/>
      <c r="G6" s="42"/>
      <c r="H6" s="42"/>
      <c r="I6" s="42"/>
    </row>
    <row r="8" spans="1:9">
      <c r="A8" s="45"/>
      <c r="B8" s="556" t="s">
        <v>57</v>
      </c>
      <c r="C8" s="556"/>
      <c r="D8" s="556"/>
    </row>
    <row r="9" spans="1:9">
      <c r="A9" s="45"/>
      <c r="B9" s="46" t="s">
        <v>58</v>
      </c>
      <c r="C9" s="46" t="s">
        <v>59</v>
      </c>
      <c r="D9" s="46" t="s">
        <v>60</v>
      </c>
    </row>
    <row r="10" spans="1:9">
      <c r="A10" s="46" t="s">
        <v>61</v>
      </c>
      <c r="B10" s="47">
        <v>1.02</v>
      </c>
      <c r="C10" s="47">
        <v>1.5</v>
      </c>
      <c r="D10" s="47">
        <v>-2.2700000000000001E-2</v>
      </c>
    </row>
    <row r="11" spans="1:9">
      <c r="A11" s="46" t="s">
        <v>62</v>
      </c>
      <c r="B11" s="47">
        <v>1.07</v>
      </c>
      <c r="C11" s="47">
        <v>1.53</v>
      </c>
      <c r="D11" s="47">
        <v>-1.77E-2</v>
      </c>
    </row>
    <row r="12" spans="1:9">
      <c r="A12" s="46" t="s">
        <v>63</v>
      </c>
      <c r="B12" s="47">
        <v>1.07</v>
      </c>
      <c r="C12" s="47">
        <v>1.53</v>
      </c>
      <c r="D12" s="47">
        <v>-1.77E-2</v>
      </c>
    </row>
    <row r="13" spans="1:9">
      <c r="A13" s="46" t="s">
        <v>64</v>
      </c>
      <c r="B13" s="47">
        <v>1.03</v>
      </c>
      <c r="C13" s="47">
        <v>1.38</v>
      </c>
      <c r="D13" s="47">
        <v>-1.61E-2</v>
      </c>
    </row>
  </sheetData>
  <mergeCells count="1">
    <mergeCell ref="B8:D8"/>
  </mergeCells>
  <pageMargins left="0.75" right="0.75" top="1" bottom="1" header="0.5" footer="0.5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workbookViewId="0">
      <selection activeCell="AA25" sqref="AA25"/>
    </sheetView>
  </sheetViews>
  <sheetFormatPr defaultRowHeight="15.75"/>
  <cols>
    <col min="1" max="1" width="12.625" style="345" bestFit="1" customWidth="1"/>
    <col min="2" max="2" width="26.375" bestFit="1" customWidth="1"/>
    <col min="3" max="3" width="65.5" style="345" bestFit="1" customWidth="1"/>
    <col min="6" max="6" width="13" bestFit="1" customWidth="1"/>
  </cols>
  <sheetData>
    <row r="1" spans="1:34" s="345" customFormat="1">
      <c r="A1" s="382" t="s">
        <v>326</v>
      </c>
    </row>
    <row r="2" spans="1:34">
      <c r="B2" s="409" t="s">
        <v>234</v>
      </c>
      <c r="C2" s="411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W2" s="409"/>
      <c r="X2" s="409"/>
      <c r="Y2" s="409"/>
      <c r="Z2" s="409"/>
      <c r="AA2" s="409"/>
      <c r="AB2" s="409"/>
      <c r="AC2" s="409"/>
      <c r="AD2" s="409"/>
      <c r="AE2" s="409"/>
      <c r="AF2" s="409"/>
      <c r="AG2" s="409"/>
      <c r="AH2" s="409"/>
    </row>
    <row r="3" spans="1:34">
      <c r="B3" s="409" t="s">
        <v>319</v>
      </c>
      <c r="C3" s="411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  <c r="Q3" s="409"/>
      <c r="R3" s="409"/>
      <c r="S3" s="409"/>
      <c r="T3" s="409"/>
      <c r="U3" s="409"/>
      <c r="V3" s="409"/>
      <c r="W3" s="409"/>
      <c r="X3" s="409"/>
      <c r="Y3" s="409"/>
      <c r="Z3" s="409"/>
      <c r="AA3" s="409"/>
      <c r="AB3" s="409"/>
      <c r="AC3" s="409"/>
      <c r="AD3" s="409"/>
      <c r="AE3" s="409"/>
      <c r="AF3" s="409"/>
      <c r="AG3" s="409"/>
      <c r="AH3" s="409"/>
    </row>
    <row r="4" spans="1:34">
      <c r="B4" s="409" t="s">
        <v>236</v>
      </c>
      <c r="C4" s="411"/>
      <c r="D4" s="409"/>
      <c r="E4" s="409"/>
      <c r="F4" s="409"/>
      <c r="G4" s="409"/>
      <c r="H4" s="409"/>
      <c r="I4" s="409"/>
      <c r="J4" s="409"/>
      <c r="K4" s="409"/>
      <c r="L4" s="409"/>
      <c r="M4" s="409"/>
      <c r="N4" s="409"/>
      <c r="O4" s="409"/>
      <c r="P4" s="409"/>
      <c r="Q4" s="409"/>
      <c r="R4" s="409"/>
      <c r="S4" s="409"/>
      <c r="T4" s="409"/>
      <c r="U4" s="409"/>
      <c r="V4" s="409"/>
      <c r="W4" s="409"/>
      <c r="X4" s="409"/>
      <c r="Y4" s="409"/>
      <c r="Z4" s="409"/>
      <c r="AA4" s="409"/>
      <c r="AB4" s="409"/>
      <c r="AC4" s="409"/>
      <c r="AD4" s="409"/>
      <c r="AE4" s="409"/>
      <c r="AF4" s="409"/>
      <c r="AG4" s="409"/>
      <c r="AH4" s="409"/>
    </row>
    <row r="6" spans="1:34">
      <c r="A6" s="345" t="s">
        <v>328</v>
      </c>
      <c r="B6" s="409" t="s">
        <v>237</v>
      </c>
      <c r="C6" s="411" t="s">
        <v>323</v>
      </c>
      <c r="D6" s="409" t="s">
        <v>238</v>
      </c>
      <c r="E6" s="409" t="s">
        <v>239</v>
      </c>
      <c r="F6" s="409" t="s">
        <v>240</v>
      </c>
      <c r="G6" s="409" t="s">
        <v>241</v>
      </c>
      <c r="H6" s="409" t="s">
        <v>242</v>
      </c>
      <c r="I6" s="409" t="s">
        <v>243</v>
      </c>
      <c r="J6" s="409" t="s">
        <v>244</v>
      </c>
      <c r="K6" s="409" t="s">
        <v>245</v>
      </c>
      <c r="L6" s="409" t="s">
        <v>246</v>
      </c>
      <c r="M6" s="409" t="s">
        <v>247</v>
      </c>
      <c r="N6" s="409" t="s">
        <v>248</v>
      </c>
      <c r="O6" s="409" t="s">
        <v>249</v>
      </c>
      <c r="P6" s="409" t="s">
        <v>250</v>
      </c>
      <c r="Q6" s="409" t="s">
        <v>251</v>
      </c>
      <c r="R6" s="409" t="s">
        <v>252</v>
      </c>
      <c r="S6" s="409" t="s">
        <v>253</v>
      </c>
      <c r="T6" s="409" t="s">
        <v>254</v>
      </c>
      <c r="U6" s="409" t="s">
        <v>255</v>
      </c>
      <c r="V6" s="409" t="s">
        <v>256</v>
      </c>
      <c r="W6" s="409" t="s">
        <v>257</v>
      </c>
      <c r="X6" s="409" t="s">
        <v>258</v>
      </c>
      <c r="Y6" s="409" t="s">
        <v>259</v>
      </c>
      <c r="Z6" s="409" t="s">
        <v>260</v>
      </c>
      <c r="AA6" s="409" t="s">
        <v>261</v>
      </c>
      <c r="AB6" s="409" t="s">
        <v>262</v>
      </c>
      <c r="AC6" s="409" t="s">
        <v>263</v>
      </c>
      <c r="AD6" s="409" t="s">
        <v>264</v>
      </c>
      <c r="AE6" s="409" t="s">
        <v>265</v>
      </c>
      <c r="AF6" s="409" t="s">
        <v>266</v>
      </c>
      <c r="AG6" s="409" t="s">
        <v>267</v>
      </c>
      <c r="AH6" s="409" t="s">
        <v>268</v>
      </c>
    </row>
    <row r="7" spans="1:34" s="405" customFormat="1">
      <c r="A7" s="405" t="s">
        <v>329</v>
      </c>
      <c r="B7" s="404" t="s">
        <v>316</v>
      </c>
      <c r="C7" s="404" t="s">
        <v>324</v>
      </c>
      <c r="D7" s="404" t="s">
        <v>270</v>
      </c>
      <c r="E7" s="404" t="s">
        <v>318</v>
      </c>
      <c r="F7" s="407">
        <v>43000.707280092596</v>
      </c>
      <c r="G7" s="404" t="s">
        <v>66</v>
      </c>
      <c r="H7" s="404" t="s">
        <v>273</v>
      </c>
      <c r="I7" s="404" t="s">
        <v>274</v>
      </c>
      <c r="J7" s="404" t="s">
        <v>317</v>
      </c>
      <c r="K7" s="404" t="s">
        <v>276</v>
      </c>
      <c r="L7" s="404" t="s">
        <v>277</v>
      </c>
      <c r="M7" s="404">
        <v>1</v>
      </c>
      <c r="N7" s="404">
        <v>1500</v>
      </c>
      <c r="O7" s="404" t="s">
        <v>278</v>
      </c>
      <c r="P7" s="404">
        <v>129</v>
      </c>
      <c r="Q7" s="404">
        <v>1.9800000000000002E-2</v>
      </c>
      <c r="R7" s="404">
        <v>4.22</v>
      </c>
      <c r="S7" s="404">
        <v>129</v>
      </c>
      <c r="T7" s="404">
        <v>1.9800000000000002E-2</v>
      </c>
      <c r="U7" s="404">
        <v>4.22</v>
      </c>
      <c r="V7" s="404">
        <v>118</v>
      </c>
      <c r="W7" s="404">
        <v>1.77E-2</v>
      </c>
      <c r="X7" s="404">
        <v>4.92</v>
      </c>
      <c r="Y7" s="404">
        <v>118</v>
      </c>
      <c r="Z7" s="404">
        <v>1.77E-2</v>
      </c>
      <c r="AA7" s="404">
        <v>4.0999999999999996</v>
      </c>
      <c r="AB7" s="404" t="s">
        <v>320</v>
      </c>
      <c r="AC7" s="404" t="s">
        <v>280</v>
      </c>
      <c r="AD7" s="404">
        <v>2</v>
      </c>
      <c r="AE7" s="404" t="s">
        <v>281</v>
      </c>
      <c r="AF7" s="404" t="s">
        <v>282</v>
      </c>
      <c r="AG7" s="404" t="s">
        <v>283</v>
      </c>
      <c r="AH7" s="404" t="s">
        <v>61</v>
      </c>
    </row>
    <row r="8" spans="1:34">
      <c r="A8" s="345" t="s">
        <v>231</v>
      </c>
      <c r="B8" s="409" t="s">
        <v>316</v>
      </c>
      <c r="C8" s="411" t="s">
        <v>324</v>
      </c>
      <c r="D8" s="409" t="s">
        <v>270</v>
      </c>
      <c r="E8" s="409" t="s">
        <v>318</v>
      </c>
      <c r="F8" s="410">
        <v>43000.707280092596</v>
      </c>
      <c r="G8" s="409" t="s">
        <v>62</v>
      </c>
      <c r="H8" s="409" t="s">
        <v>273</v>
      </c>
      <c r="I8" s="409" t="s">
        <v>274</v>
      </c>
      <c r="J8" s="409" t="s">
        <v>317</v>
      </c>
      <c r="K8" s="409" t="s">
        <v>276</v>
      </c>
      <c r="L8" s="409" t="s">
        <v>277</v>
      </c>
      <c r="M8" s="409">
        <v>1</v>
      </c>
      <c r="N8" s="409">
        <v>1560</v>
      </c>
      <c r="O8" s="409" t="s">
        <v>278</v>
      </c>
      <c r="P8" s="409">
        <v>43.4</v>
      </c>
      <c r="Q8" s="409">
        <v>7.6400000000000001E-3</v>
      </c>
      <c r="R8" s="409">
        <v>7.67</v>
      </c>
      <c r="S8" s="409">
        <v>43.4</v>
      </c>
      <c r="T8" s="409">
        <v>7.6400000000000001E-3</v>
      </c>
      <c r="U8" s="409">
        <v>7.67</v>
      </c>
      <c r="V8" s="409">
        <v>37.700000000000003</v>
      </c>
      <c r="W8" s="409">
        <v>6.6E-3</v>
      </c>
      <c r="X8" s="409">
        <v>6.53</v>
      </c>
      <c r="Y8" s="409">
        <v>37.700000000000003</v>
      </c>
      <c r="Z8" s="409">
        <v>6.6E-3</v>
      </c>
      <c r="AA8" s="409">
        <v>7.31</v>
      </c>
      <c r="AB8" s="409" t="s">
        <v>320</v>
      </c>
      <c r="AC8" s="409" t="s">
        <v>280</v>
      </c>
      <c r="AD8" s="409">
        <v>2</v>
      </c>
      <c r="AE8" s="409" t="s">
        <v>281</v>
      </c>
      <c r="AF8" s="409" t="s">
        <v>282</v>
      </c>
      <c r="AG8" s="409" t="s">
        <v>283</v>
      </c>
      <c r="AH8" s="409" t="s">
        <v>62</v>
      </c>
    </row>
    <row r="9" spans="1:34">
      <c r="A9" s="345" t="s">
        <v>231</v>
      </c>
      <c r="B9" s="409" t="s">
        <v>316</v>
      </c>
      <c r="C9" s="411" t="s">
        <v>324</v>
      </c>
      <c r="D9" s="409" t="s">
        <v>270</v>
      </c>
      <c r="E9" s="409" t="s">
        <v>318</v>
      </c>
      <c r="F9" s="410">
        <v>43000.707280092596</v>
      </c>
      <c r="G9" s="409" t="s">
        <v>63</v>
      </c>
      <c r="H9" s="409" t="s">
        <v>273</v>
      </c>
      <c r="I9" s="409" t="s">
        <v>274</v>
      </c>
      <c r="J9" s="409" t="s">
        <v>317</v>
      </c>
      <c r="K9" s="409" t="s">
        <v>276</v>
      </c>
      <c r="L9" s="409" t="s">
        <v>277</v>
      </c>
      <c r="M9" s="409">
        <v>1</v>
      </c>
      <c r="N9" s="409">
        <v>1560</v>
      </c>
      <c r="O9" s="409" t="s">
        <v>278</v>
      </c>
      <c r="P9" s="409">
        <v>39</v>
      </c>
      <c r="Q9" s="409">
        <v>7.0600000000000003E-3</v>
      </c>
      <c r="R9" s="409">
        <v>7.79</v>
      </c>
      <c r="S9" s="409">
        <v>39</v>
      </c>
      <c r="T9" s="409">
        <v>7.0600000000000003E-3</v>
      </c>
      <c r="U9" s="409">
        <v>7.79</v>
      </c>
      <c r="V9" s="409">
        <v>33.6</v>
      </c>
      <c r="W9" s="409">
        <v>6.0699999999999999E-3</v>
      </c>
      <c r="X9" s="409">
        <v>6.33</v>
      </c>
      <c r="Y9" s="409">
        <v>33.6</v>
      </c>
      <c r="Z9" s="409">
        <v>6.0699999999999999E-3</v>
      </c>
      <c r="AA9" s="409">
        <v>7.42</v>
      </c>
      <c r="AB9" s="409" t="s">
        <v>320</v>
      </c>
      <c r="AC9" s="409" t="s">
        <v>280</v>
      </c>
      <c r="AD9" s="409">
        <v>2</v>
      </c>
      <c r="AE9" s="409" t="s">
        <v>281</v>
      </c>
      <c r="AF9" s="409" t="s">
        <v>282</v>
      </c>
      <c r="AG9" s="409" t="s">
        <v>283</v>
      </c>
      <c r="AH9" s="409" t="s">
        <v>63</v>
      </c>
    </row>
    <row r="10" spans="1:34">
      <c r="A10" s="345" t="s">
        <v>231</v>
      </c>
      <c r="B10" s="409" t="s">
        <v>316</v>
      </c>
      <c r="C10" s="411" t="s">
        <v>324</v>
      </c>
      <c r="D10" s="409" t="s">
        <v>270</v>
      </c>
      <c r="E10" s="409" t="s">
        <v>318</v>
      </c>
      <c r="F10" s="410">
        <v>43000.707280092596</v>
      </c>
      <c r="G10" s="409" t="s">
        <v>272</v>
      </c>
      <c r="H10" s="409" t="s">
        <v>273</v>
      </c>
      <c r="I10" s="409" t="s">
        <v>274</v>
      </c>
      <c r="J10" s="409" t="s">
        <v>317</v>
      </c>
      <c r="K10" s="409" t="s">
        <v>276</v>
      </c>
      <c r="L10" s="409" t="s">
        <v>277</v>
      </c>
      <c r="M10" s="409">
        <v>1</v>
      </c>
      <c r="N10" s="409">
        <v>1630</v>
      </c>
      <c r="O10" s="409" t="s">
        <v>278</v>
      </c>
      <c r="P10" s="409">
        <v>82.2</v>
      </c>
      <c r="Q10" s="409">
        <v>1.32E-2</v>
      </c>
      <c r="R10" s="409">
        <v>6.14</v>
      </c>
      <c r="S10" s="409">
        <v>82.2</v>
      </c>
      <c r="T10" s="409">
        <v>1.32E-2</v>
      </c>
      <c r="U10" s="409">
        <v>6.14</v>
      </c>
      <c r="V10" s="409">
        <v>73.900000000000006</v>
      </c>
      <c r="W10" s="409">
        <v>1.18E-2</v>
      </c>
      <c r="X10" s="409">
        <v>6.01</v>
      </c>
      <c r="Y10" s="409">
        <v>73.900000000000006</v>
      </c>
      <c r="Z10" s="409">
        <v>1.18E-2</v>
      </c>
      <c r="AA10" s="409">
        <v>5.87</v>
      </c>
      <c r="AB10" s="409" t="s">
        <v>320</v>
      </c>
      <c r="AC10" s="409" t="s">
        <v>280</v>
      </c>
      <c r="AD10" s="409">
        <v>2</v>
      </c>
      <c r="AE10" s="409" t="s">
        <v>281</v>
      </c>
      <c r="AF10" s="409" t="s">
        <v>282</v>
      </c>
      <c r="AG10" s="409" t="s">
        <v>283</v>
      </c>
      <c r="AH10" s="409" t="s">
        <v>64</v>
      </c>
    </row>
    <row r="12" spans="1:34" s="345" customFormat="1">
      <c r="A12" s="408" t="s">
        <v>327</v>
      </c>
    </row>
    <row r="13" spans="1:34">
      <c r="B13" s="411" t="s">
        <v>234</v>
      </c>
      <c r="C13" s="411"/>
      <c r="D13" s="411"/>
      <c r="E13" s="411"/>
      <c r="F13" s="411"/>
      <c r="G13" s="411"/>
      <c r="H13" s="411"/>
      <c r="I13" s="411"/>
      <c r="J13" s="411"/>
      <c r="K13" s="411"/>
      <c r="L13" s="411"/>
      <c r="M13" s="411"/>
      <c r="N13" s="411"/>
      <c r="O13" s="411"/>
      <c r="P13" s="411"/>
      <c r="Q13" s="411"/>
      <c r="R13" s="411"/>
      <c r="S13" s="411"/>
      <c r="T13" s="411"/>
      <c r="U13" s="411"/>
      <c r="V13" s="411"/>
      <c r="W13" s="411"/>
      <c r="X13" s="411"/>
      <c r="Y13" s="411"/>
      <c r="Z13" s="411"/>
      <c r="AA13" s="411"/>
      <c r="AB13" s="411"/>
      <c r="AC13" s="411"/>
      <c r="AD13" s="411"/>
      <c r="AE13" s="411"/>
      <c r="AF13" s="411"/>
      <c r="AG13" s="411"/>
      <c r="AH13" s="411"/>
    </row>
    <row r="14" spans="1:34">
      <c r="B14" s="411" t="s">
        <v>321</v>
      </c>
      <c r="C14" s="411"/>
      <c r="D14" s="411"/>
      <c r="E14" s="411"/>
      <c r="F14" s="411"/>
      <c r="G14" s="411"/>
      <c r="H14" s="411"/>
      <c r="I14" s="411"/>
      <c r="J14" s="411"/>
      <c r="K14" s="411"/>
      <c r="L14" s="411"/>
      <c r="M14" s="411"/>
      <c r="N14" s="411"/>
      <c r="O14" s="411"/>
      <c r="P14" s="411"/>
      <c r="Q14" s="411"/>
      <c r="R14" s="411"/>
      <c r="S14" s="411"/>
      <c r="T14" s="411"/>
      <c r="U14" s="411"/>
      <c r="V14" s="411"/>
      <c r="W14" s="411"/>
      <c r="X14" s="411"/>
      <c r="Y14" s="411"/>
      <c r="Z14" s="411"/>
      <c r="AA14" s="411"/>
      <c r="AB14" s="411"/>
      <c r="AC14" s="411"/>
      <c r="AD14" s="411"/>
      <c r="AE14" s="411"/>
      <c r="AF14" s="411"/>
      <c r="AG14" s="411"/>
      <c r="AH14" s="411"/>
    </row>
    <row r="15" spans="1:34">
      <c r="B15" s="411" t="s">
        <v>236</v>
      </c>
      <c r="C15" s="411"/>
      <c r="D15" s="411"/>
      <c r="E15" s="411"/>
      <c r="F15" s="411"/>
      <c r="G15" s="411"/>
      <c r="H15" s="411"/>
      <c r="I15" s="411"/>
      <c r="J15" s="411"/>
      <c r="K15" s="411"/>
      <c r="L15" s="411"/>
      <c r="M15" s="411"/>
      <c r="N15" s="411"/>
      <c r="O15" s="411"/>
      <c r="P15" s="411"/>
      <c r="Q15" s="411"/>
      <c r="R15" s="411"/>
      <c r="S15" s="411"/>
      <c r="T15" s="411"/>
      <c r="U15" s="411"/>
      <c r="V15" s="411"/>
      <c r="W15" s="411"/>
      <c r="X15" s="411"/>
      <c r="Y15" s="411"/>
      <c r="Z15" s="411"/>
      <c r="AA15" s="411"/>
      <c r="AB15" s="411"/>
      <c r="AC15" s="411"/>
      <c r="AD15" s="411"/>
      <c r="AE15" s="411"/>
      <c r="AF15" s="411"/>
      <c r="AG15" s="411"/>
      <c r="AH15" s="411"/>
    </row>
    <row r="17" spans="1:34">
      <c r="A17" s="345" t="s">
        <v>328</v>
      </c>
      <c r="B17" s="411" t="s">
        <v>237</v>
      </c>
      <c r="C17" s="411" t="s">
        <v>323</v>
      </c>
      <c r="D17" s="411" t="s">
        <v>238</v>
      </c>
      <c r="E17" s="411" t="s">
        <v>239</v>
      </c>
      <c r="F17" s="411" t="s">
        <v>240</v>
      </c>
      <c r="G17" s="411" t="s">
        <v>241</v>
      </c>
      <c r="H17" s="411" t="s">
        <v>242</v>
      </c>
      <c r="I17" s="411" t="s">
        <v>243</v>
      </c>
      <c r="J17" s="411" t="s">
        <v>244</v>
      </c>
      <c r="K17" s="411" t="s">
        <v>245</v>
      </c>
      <c r="L17" s="411" t="s">
        <v>246</v>
      </c>
      <c r="M17" s="411" t="s">
        <v>247</v>
      </c>
      <c r="N17" s="411" t="s">
        <v>248</v>
      </c>
      <c r="O17" s="411" t="s">
        <v>249</v>
      </c>
      <c r="P17" s="411" t="s">
        <v>250</v>
      </c>
      <c r="Q17" s="411" t="s">
        <v>251</v>
      </c>
      <c r="R17" s="411" t="s">
        <v>252</v>
      </c>
      <c r="S17" s="411" t="s">
        <v>253</v>
      </c>
      <c r="T17" s="411" t="s">
        <v>254</v>
      </c>
      <c r="U17" s="411" t="s">
        <v>255</v>
      </c>
      <c r="V17" s="411" t="s">
        <v>256</v>
      </c>
      <c r="W17" s="411" t="s">
        <v>257</v>
      </c>
      <c r="X17" s="411" t="s">
        <v>258</v>
      </c>
      <c r="Y17" s="411" t="s">
        <v>259</v>
      </c>
      <c r="Z17" s="411" t="s">
        <v>260</v>
      </c>
      <c r="AA17" s="411" t="s">
        <v>261</v>
      </c>
      <c r="AB17" s="411" t="s">
        <v>262</v>
      </c>
      <c r="AC17" s="411" t="s">
        <v>263</v>
      </c>
      <c r="AD17" s="411" t="s">
        <v>264</v>
      </c>
      <c r="AE17" s="411" t="s">
        <v>265</v>
      </c>
      <c r="AF17" s="411" t="s">
        <v>266</v>
      </c>
      <c r="AG17" s="411" t="s">
        <v>267</v>
      </c>
      <c r="AH17" s="411" t="s">
        <v>268</v>
      </c>
    </row>
    <row r="18" spans="1:34">
      <c r="A18" s="345" t="s">
        <v>231</v>
      </c>
      <c r="B18" s="411" t="s">
        <v>322</v>
      </c>
      <c r="C18" s="411" t="s">
        <v>325</v>
      </c>
      <c r="D18" s="411" t="s">
        <v>270</v>
      </c>
      <c r="E18" s="411" t="s">
        <v>318</v>
      </c>
      <c r="F18" s="412">
        <v>43000.707233796296</v>
      </c>
      <c r="G18" s="411" t="s">
        <v>66</v>
      </c>
      <c r="H18" s="411" t="s">
        <v>273</v>
      </c>
      <c r="I18" s="411" t="s">
        <v>274</v>
      </c>
      <c r="J18" s="411" t="s">
        <v>317</v>
      </c>
      <c r="K18" s="411" t="s">
        <v>276</v>
      </c>
      <c r="L18" s="411" t="s">
        <v>277</v>
      </c>
      <c r="M18" s="411">
        <v>1</v>
      </c>
      <c r="N18" s="411">
        <v>1500</v>
      </c>
      <c r="O18" s="411" t="s">
        <v>278</v>
      </c>
      <c r="P18" s="411">
        <v>330</v>
      </c>
      <c r="Q18" s="411">
        <v>5.9799999999999999E-2</v>
      </c>
      <c r="R18" s="411">
        <v>7.49</v>
      </c>
      <c r="S18" s="411">
        <v>330</v>
      </c>
      <c r="T18" s="411">
        <v>5.9799999999999999E-2</v>
      </c>
      <c r="U18" s="411">
        <v>7.49</v>
      </c>
      <c r="V18" s="411">
        <v>240</v>
      </c>
      <c r="W18" s="411">
        <v>4.3400000000000001E-2</v>
      </c>
      <c r="X18" s="411">
        <v>4.99</v>
      </c>
      <c r="Y18" s="411">
        <v>240</v>
      </c>
      <c r="Z18" s="411">
        <v>4.3400000000000001E-2</v>
      </c>
      <c r="AA18" s="411">
        <v>5.6</v>
      </c>
      <c r="AB18" s="411" t="s">
        <v>320</v>
      </c>
      <c r="AC18" s="411" t="s">
        <v>280</v>
      </c>
      <c r="AD18" s="411">
        <v>2</v>
      </c>
      <c r="AE18" s="411" t="s">
        <v>281</v>
      </c>
      <c r="AF18" s="411" t="s">
        <v>282</v>
      </c>
      <c r="AG18" s="411" t="s">
        <v>283</v>
      </c>
      <c r="AH18" s="411" t="s">
        <v>61</v>
      </c>
    </row>
    <row r="19" spans="1:34">
      <c r="A19" s="345" t="s">
        <v>231</v>
      </c>
      <c r="B19" s="411" t="s">
        <v>322</v>
      </c>
      <c r="C19" s="411" t="s">
        <v>325</v>
      </c>
      <c r="D19" s="411" t="s">
        <v>270</v>
      </c>
      <c r="E19" s="411" t="s">
        <v>318</v>
      </c>
      <c r="F19" s="412">
        <v>43000.707233796296</v>
      </c>
      <c r="G19" s="411" t="s">
        <v>62</v>
      </c>
      <c r="H19" s="411" t="s">
        <v>273</v>
      </c>
      <c r="I19" s="411" t="s">
        <v>274</v>
      </c>
      <c r="J19" s="411" t="s">
        <v>317</v>
      </c>
      <c r="K19" s="411" t="s">
        <v>276</v>
      </c>
      <c r="L19" s="411" t="s">
        <v>277</v>
      </c>
      <c r="M19" s="411">
        <v>1</v>
      </c>
      <c r="N19" s="411">
        <v>1560</v>
      </c>
      <c r="O19" s="411" t="s">
        <v>278</v>
      </c>
      <c r="P19" s="411">
        <v>189</v>
      </c>
      <c r="Q19" s="411">
        <v>3.7499999999999999E-2</v>
      </c>
      <c r="R19" s="411">
        <v>13.9</v>
      </c>
      <c r="S19" s="411">
        <v>189</v>
      </c>
      <c r="T19" s="411">
        <v>3.7499999999999999E-2</v>
      </c>
      <c r="U19" s="411">
        <v>13.9</v>
      </c>
      <c r="V19" s="411">
        <v>137</v>
      </c>
      <c r="W19" s="411">
        <v>2.7199999999999998E-2</v>
      </c>
      <c r="X19" s="411">
        <v>9.68</v>
      </c>
      <c r="Y19" s="411">
        <v>137</v>
      </c>
      <c r="Z19" s="411">
        <v>2.7199999999999998E-2</v>
      </c>
      <c r="AA19" s="411">
        <v>10.3</v>
      </c>
      <c r="AB19" s="411" t="s">
        <v>320</v>
      </c>
      <c r="AC19" s="411" t="s">
        <v>280</v>
      </c>
      <c r="AD19" s="411">
        <v>2</v>
      </c>
      <c r="AE19" s="411" t="s">
        <v>281</v>
      </c>
      <c r="AF19" s="411" t="s">
        <v>282</v>
      </c>
      <c r="AG19" s="411" t="s">
        <v>283</v>
      </c>
      <c r="AH19" s="411" t="s">
        <v>62</v>
      </c>
    </row>
    <row r="20" spans="1:34">
      <c r="A20" s="345" t="s">
        <v>231</v>
      </c>
      <c r="B20" s="411" t="s">
        <v>322</v>
      </c>
      <c r="C20" s="411" t="s">
        <v>325</v>
      </c>
      <c r="D20" s="411" t="s">
        <v>270</v>
      </c>
      <c r="E20" s="411" t="s">
        <v>318</v>
      </c>
      <c r="F20" s="412">
        <v>43000.707233796296</v>
      </c>
      <c r="G20" s="411" t="s">
        <v>63</v>
      </c>
      <c r="H20" s="411" t="s">
        <v>273</v>
      </c>
      <c r="I20" s="411" t="s">
        <v>274</v>
      </c>
      <c r="J20" s="411" t="s">
        <v>317</v>
      </c>
      <c r="K20" s="411" t="s">
        <v>276</v>
      </c>
      <c r="L20" s="411" t="s">
        <v>277</v>
      </c>
      <c r="M20" s="411">
        <v>1</v>
      </c>
      <c r="N20" s="411">
        <v>1560</v>
      </c>
      <c r="O20" s="411" t="s">
        <v>278</v>
      </c>
      <c r="P20" s="411">
        <v>178</v>
      </c>
      <c r="Q20" s="411">
        <v>3.5799999999999998E-2</v>
      </c>
      <c r="R20" s="411">
        <v>14.2</v>
      </c>
      <c r="S20" s="411">
        <v>178</v>
      </c>
      <c r="T20" s="411">
        <v>3.5799999999999998E-2</v>
      </c>
      <c r="U20" s="411">
        <v>14.2</v>
      </c>
      <c r="V20" s="411">
        <v>129</v>
      </c>
      <c r="W20" s="411">
        <v>2.5899999999999999E-2</v>
      </c>
      <c r="X20" s="411">
        <v>10.1</v>
      </c>
      <c r="Y20" s="411">
        <v>129</v>
      </c>
      <c r="Z20" s="411">
        <v>2.5899999999999999E-2</v>
      </c>
      <c r="AA20" s="411">
        <v>10.5</v>
      </c>
      <c r="AB20" s="411" t="s">
        <v>320</v>
      </c>
      <c r="AC20" s="411" t="s">
        <v>280</v>
      </c>
      <c r="AD20" s="411">
        <v>2</v>
      </c>
      <c r="AE20" s="411" t="s">
        <v>281</v>
      </c>
      <c r="AF20" s="411" t="s">
        <v>282</v>
      </c>
      <c r="AG20" s="411" t="s">
        <v>283</v>
      </c>
      <c r="AH20" s="411" t="s">
        <v>63</v>
      </c>
    </row>
    <row r="21" spans="1:34">
      <c r="A21" s="345" t="s">
        <v>231</v>
      </c>
      <c r="B21" s="411" t="s">
        <v>322</v>
      </c>
      <c r="C21" s="411" t="s">
        <v>325</v>
      </c>
      <c r="D21" s="411" t="s">
        <v>270</v>
      </c>
      <c r="E21" s="411" t="s">
        <v>318</v>
      </c>
      <c r="F21" s="412">
        <v>43000.707233796296</v>
      </c>
      <c r="G21" s="411" t="s">
        <v>272</v>
      </c>
      <c r="H21" s="411" t="s">
        <v>273</v>
      </c>
      <c r="I21" s="411" t="s">
        <v>274</v>
      </c>
      <c r="J21" s="411" t="s">
        <v>317</v>
      </c>
      <c r="K21" s="411" t="s">
        <v>276</v>
      </c>
      <c r="L21" s="411" t="s">
        <v>277</v>
      </c>
      <c r="M21" s="411">
        <v>1</v>
      </c>
      <c r="N21" s="411">
        <v>1630</v>
      </c>
      <c r="O21" s="411" t="s">
        <v>278</v>
      </c>
      <c r="P21" s="411">
        <v>253</v>
      </c>
      <c r="Q21" s="411">
        <v>4.7800000000000002E-2</v>
      </c>
      <c r="R21" s="411">
        <v>11.4</v>
      </c>
      <c r="S21" s="411">
        <v>253</v>
      </c>
      <c r="T21" s="411">
        <v>4.7800000000000002E-2</v>
      </c>
      <c r="U21" s="411">
        <v>11.4</v>
      </c>
      <c r="V21" s="411">
        <v>183</v>
      </c>
      <c r="W21" s="411">
        <v>3.4500000000000003E-2</v>
      </c>
      <c r="X21" s="411">
        <v>8.08</v>
      </c>
      <c r="Y21" s="411">
        <v>183</v>
      </c>
      <c r="Z21" s="411">
        <v>3.4500000000000003E-2</v>
      </c>
      <c r="AA21" s="411">
        <v>8.4</v>
      </c>
      <c r="AB21" s="411" t="s">
        <v>320</v>
      </c>
      <c r="AC21" s="411" t="s">
        <v>280</v>
      </c>
      <c r="AD21" s="411">
        <v>2</v>
      </c>
      <c r="AE21" s="411" t="s">
        <v>281</v>
      </c>
      <c r="AF21" s="411" t="s">
        <v>282</v>
      </c>
      <c r="AG21" s="411" t="s">
        <v>283</v>
      </c>
      <c r="AH21" s="411" t="s">
        <v>64</v>
      </c>
    </row>
    <row r="22" spans="1:34" s="405" customFormat="1">
      <c r="A22" s="405" t="s">
        <v>330</v>
      </c>
      <c r="B22" s="404" t="s">
        <v>331</v>
      </c>
      <c r="C22" s="404" t="s">
        <v>332</v>
      </c>
      <c r="D22" s="405" t="s">
        <v>333</v>
      </c>
      <c r="E22" s="405" t="s">
        <v>334</v>
      </c>
      <c r="G22" s="404" t="s">
        <v>66</v>
      </c>
      <c r="H22" s="404" t="s">
        <v>273</v>
      </c>
      <c r="I22" s="404" t="s">
        <v>274</v>
      </c>
      <c r="J22" s="404" t="s">
        <v>317</v>
      </c>
      <c r="K22" s="404" t="s">
        <v>276</v>
      </c>
      <c r="L22" s="404" t="s">
        <v>277</v>
      </c>
      <c r="M22" s="404">
        <v>1</v>
      </c>
      <c r="N22" s="404">
        <v>1500</v>
      </c>
      <c r="O22" s="404" t="s">
        <v>278</v>
      </c>
      <c r="P22" s="404"/>
      <c r="Q22" s="404"/>
      <c r="R22" s="404"/>
      <c r="S22" s="404"/>
      <c r="T22" s="404"/>
      <c r="U22" s="404"/>
      <c r="V22" s="404"/>
      <c r="W22" s="404"/>
      <c r="X22" s="404"/>
      <c r="Y22" s="406">
        <f>(1/1.29-1/2.92)/(1/1.29-1/2.76)*Y18</f>
        <v>251.54039698071014</v>
      </c>
      <c r="Z22" s="403">
        <f t="shared" ref="Z22:AA22" si="0">(1/1.29-1/2.92)/(1/1.29-1/2.76)*Z18</f>
        <v>4.5486888454011755E-2</v>
      </c>
      <c r="AA22" s="402">
        <f t="shared" si="0"/>
        <v>5.8692759295499028</v>
      </c>
      <c r="AB22" s="404" t="s">
        <v>320</v>
      </c>
      <c r="AC22" s="404" t="s">
        <v>280</v>
      </c>
      <c r="AD22" s="404">
        <v>2</v>
      </c>
      <c r="AE22" s="404" t="s">
        <v>281</v>
      </c>
      <c r="AF22" s="404" t="s">
        <v>282</v>
      </c>
      <c r="AG22" s="404" t="s">
        <v>283</v>
      </c>
      <c r="AH22" s="404" t="s">
        <v>61</v>
      </c>
    </row>
    <row r="23" spans="1:34" s="405" customFormat="1">
      <c r="B23" s="404" t="s">
        <v>331</v>
      </c>
      <c r="C23" s="404" t="s">
        <v>332</v>
      </c>
      <c r="D23" s="405" t="s">
        <v>333</v>
      </c>
      <c r="E23" s="405" t="s">
        <v>334</v>
      </c>
      <c r="G23" s="404" t="s">
        <v>62</v>
      </c>
      <c r="H23" s="404" t="s">
        <v>273</v>
      </c>
      <c r="I23" s="404" t="s">
        <v>274</v>
      </c>
      <c r="J23" s="404" t="s">
        <v>317</v>
      </c>
      <c r="K23" s="404" t="s">
        <v>276</v>
      </c>
      <c r="L23" s="404" t="s">
        <v>277</v>
      </c>
      <c r="M23" s="404">
        <v>1</v>
      </c>
      <c r="N23" s="404">
        <v>1560</v>
      </c>
      <c r="O23" s="404" t="s">
        <v>278</v>
      </c>
      <c r="Y23" s="406">
        <f t="shared" ref="Y23:AA23" si="1">(1/1.29-1/2.92)/(1/1.29-1/2.76)*Y19</f>
        <v>143.58764327648871</v>
      </c>
      <c r="Z23" s="403">
        <f t="shared" si="1"/>
        <v>2.8507911657813814E-2</v>
      </c>
      <c r="AA23" s="402">
        <f t="shared" si="1"/>
        <v>10.795275370422145</v>
      </c>
      <c r="AB23" s="404" t="s">
        <v>320</v>
      </c>
      <c r="AC23" s="404" t="s">
        <v>280</v>
      </c>
      <c r="AD23" s="404">
        <v>2</v>
      </c>
      <c r="AE23" s="404" t="s">
        <v>281</v>
      </c>
      <c r="AF23" s="404" t="s">
        <v>282</v>
      </c>
      <c r="AG23" s="404" t="s">
        <v>283</v>
      </c>
      <c r="AH23" s="404" t="s">
        <v>62</v>
      </c>
    </row>
    <row r="24" spans="1:34" s="405" customFormat="1">
      <c r="B24" s="404" t="s">
        <v>331</v>
      </c>
      <c r="C24" s="404" t="s">
        <v>332</v>
      </c>
      <c r="D24" s="405" t="s">
        <v>333</v>
      </c>
      <c r="E24" s="405" t="s">
        <v>334</v>
      </c>
      <c r="G24" s="404" t="s">
        <v>63</v>
      </c>
      <c r="H24" s="404" t="s">
        <v>273</v>
      </c>
      <c r="I24" s="404" t="s">
        <v>274</v>
      </c>
      <c r="J24" s="404" t="s">
        <v>317</v>
      </c>
      <c r="K24" s="404" t="s">
        <v>276</v>
      </c>
      <c r="L24" s="404" t="s">
        <v>277</v>
      </c>
      <c r="M24" s="404">
        <v>1</v>
      </c>
      <c r="N24" s="404">
        <v>1560</v>
      </c>
      <c r="O24" s="404" t="s">
        <v>278</v>
      </c>
      <c r="Y24" s="406">
        <f t="shared" ref="Y24:AA24" si="2">(1/1.29-1/2.92)/(1/1.29-1/2.76)*Y20</f>
        <v>135.20296337713171</v>
      </c>
      <c r="Z24" s="403">
        <f t="shared" si="2"/>
        <v>2.7145401174168304E-2</v>
      </c>
      <c r="AA24" s="402">
        <f t="shared" si="2"/>
        <v>11.00489236790607</v>
      </c>
      <c r="AB24" s="404" t="s">
        <v>320</v>
      </c>
      <c r="AC24" s="404" t="s">
        <v>280</v>
      </c>
      <c r="AD24" s="404">
        <v>2</v>
      </c>
      <c r="AE24" s="404" t="s">
        <v>281</v>
      </c>
      <c r="AF24" s="404" t="s">
        <v>282</v>
      </c>
      <c r="AG24" s="404" t="s">
        <v>283</v>
      </c>
      <c r="AH24" s="404" t="s">
        <v>63</v>
      </c>
    </row>
    <row r="25" spans="1:34" s="405" customFormat="1">
      <c r="B25" s="404" t="s">
        <v>331</v>
      </c>
      <c r="C25" s="404" t="s">
        <v>332</v>
      </c>
      <c r="D25" s="405" t="s">
        <v>333</v>
      </c>
      <c r="E25" s="405" t="s">
        <v>334</v>
      </c>
      <c r="G25" s="404" t="s">
        <v>272</v>
      </c>
      <c r="H25" s="404" t="s">
        <v>273</v>
      </c>
      <c r="I25" s="404" t="s">
        <v>274</v>
      </c>
      <c r="J25" s="404" t="s">
        <v>317</v>
      </c>
      <c r="K25" s="404" t="s">
        <v>276</v>
      </c>
      <c r="L25" s="404" t="s">
        <v>277</v>
      </c>
      <c r="M25" s="404">
        <v>1</v>
      </c>
      <c r="N25" s="404">
        <v>1630</v>
      </c>
      <c r="O25" s="404" t="s">
        <v>278</v>
      </c>
      <c r="Y25" s="406">
        <f t="shared" ref="Y25:AA25" si="3">(1/1.29-1/2.92)/(1/1.29-1/2.76)*Y21</f>
        <v>191.79955269779148</v>
      </c>
      <c r="Z25" s="403">
        <f t="shared" si="3"/>
        <v>3.615893206597709E-2</v>
      </c>
      <c r="AA25" s="402">
        <f t="shared" si="3"/>
        <v>8.8039138943248556</v>
      </c>
      <c r="AB25" s="404" t="s">
        <v>320</v>
      </c>
      <c r="AC25" s="404" t="s">
        <v>280</v>
      </c>
      <c r="AD25" s="404">
        <v>2</v>
      </c>
      <c r="AE25" s="404" t="s">
        <v>281</v>
      </c>
      <c r="AF25" s="404" t="s">
        <v>282</v>
      </c>
      <c r="AG25" s="404" t="s">
        <v>283</v>
      </c>
      <c r="AH25" s="404" t="s">
        <v>64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Dryers</vt:lpstr>
      <vt:lpstr>Soundbars</vt:lpstr>
      <vt:lpstr>Room Air Cleaners</vt:lpstr>
      <vt:lpstr>Room Air Conditioners</vt:lpstr>
      <vt:lpstr>Freezers</vt:lpstr>
      <vt:lpstr>Refrigerators</vt:lpstr>
      <vt:lpstr>Interactive Effects</vt:lpstr>
      <vt:lpstr>Clothes Washers</vt:lpstr>
    </vt:vector>
  </TitlesOfParts>
  <Company>EMI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Salazar</dc:creator>
  <cp:lastModifiedBy>Huang, Jia Chang</cp:lastModifiedBy>
  <dcterms:created xsi:type="dcterms:W3CDTF">2015-01-28T20:23:17Z</dcterms:created>
  <dcterms:modified xsi:type="dcterms:W3CDTF">2017-12-19T17:39:20Z</dcterms:modified>
</cp:coreProperties>
</file>