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45" windowWidth="11295" windowHeight="7200"/>
  </bookViews>
  <sheets>
    <sheet name="Clothes Washers User Inputs" sheetId="16" r:id="rId1"/>
    <sheet name="Federal Code Requirements" sheetId="17" r:id="rId2"/>
    <sheet name="SFM. MFM In-Unit Energy Savings" sheetId="4" r:id="rId3"/>
    <sheet name="Nonres Energy Savings" sheetId="6" r:id="rId4"/>
    <sheet name="MFM Common Area Energy Savings" sheetId="7" r:id="rId5"/>
    <sheet name="Base Case Energy" sheetId="2" r:id="rId6"/>
    <sheet name="Measure Case Energy" sheetId="3" r:id="rId7"/>
    <sheet name="Cycle Energy Use" sheetId="1" r:id="rId8"/>
    <sheet name="Interactive Effects" sheetId="8" r:id="rId9"/>
    <sheet name="2009 RASS" sheetId="5" r:id="rId10"/>
  </sheets>
  <externalReferences>
    <externalReference r:id="rId11"/>
  </externalReferences>
  <definedNames>
    <definedName name="Addition">[1]Sheet1!$A$1:$A$3</definedName>
  </definedNames>
  <calcPr calcId="145621"/>
</workbook>
</file>

<file path=xl/calcChain.xml><?xml version="1.0" encoding="utf-8"?>
<calcChain xmlns="http://schemas.openxmlformats.org/spreadsheetml/2006/main">
  <c r="N22" i="16" l="1"/>
  <c r="M22" i="16"/>
  <c r="L22" i="16"/>
  <c r="L21" i="16"/>
  <c r="M21" i="16"/>
  <c r="N21" i="16"/>
  <c r="G8" i="2"/>
  <c r="G7" i="2"/>
  <c r="E8" i="2"/>
  <c r="E7" i="2"/>
  <c r="D8" i="2"/>
  <c r="D7" i="2"/>
  <c r="C8" i="2"/>
  <c r="C7" i="2"/>
  <c r="D55" i="1"/>
  <c r="J55" i="1" s="1"/>
  <c r="I55" i="1"/>
  <c r="N55" i="1" s="1"/>
  <c r="L55" i="1"/>
  <c r="M55" i="1"/>
  <c r="D56" i="1"/>
  <c r="J56" i="1" s="1"/>
  <c r="I56" i="1"/>
  <c r="N56" i="1" s="1"/>
  <c r="L56" i="1"/>
  <c r="M56" i="1"/>
  <c r="B8" i="2"/>
  <c r="B7" i="2"/>
  <c r="O56" i="1" l="1"/>
  <c r="K56" i="1"/>
  <c r="O55" i="1"/>
  <c r="K55" i="1"/>
  <c r="J19" i="16"/>
  <c r="K19" i="16"/>
  <c r="I19" i="16"/>
  <c r="M18" i="1"/>
  <c r="N18" i="1"/>
  <c r="O18" i="1"/>
  <c r="F18" i="1"/>
  <c r="G18" i="1"/>
  <c r="E18" i="1"/>
  <c r="K18" i="1"/>
  <c r="L18" i="1"/>
  <c r="J18" i="1"/>
  <c r="I18" i="1"/>
  <c r="D29" i="3" l="1"/>
  <c r="D29" i="2"/>
  <c r="J57" i="1" l="1"/>
  <c r="K57" i="1"/>
  <c r="L57" i="1"/>
  <c r="J58" i="1"/>
  <c r="K58" i="1"/>
  <c r="L58" i="1"/>
  <c r="J49" i="1"/>
  <c r="K49" i="1"/>
  <c r="L49" i="1"/>
  <c r="J50" i="1"/>
  <c r="K50" i="1"/>
  <c r="L50" i="1"/>
  <c r="K48" i="1"/>
  <c r="L48" i="1"/>
  <c r="J48" i="1"/>
  <c r="M15" i="7"/>
  <c r="L15" i="7"/>
  <c r="K15" i="7"/>
  <c r="L12" i="7"/>
  <c r="M15" i="6"/>
  <c r="L15" i="6"/>
  <c r="K15" i="6"/>
  <c r="M15" i="4"/>
  <c r="L15" i="4"/>
  <c r="K15" i="4"/>
  <c r="L12" i="6"/>
  <c r="L12" i="4"/>
  <c r="G62" i="8"/>
  <c r="H62" i="8"/>
  <c r="F62" i="8"/>
  <c r="D62" i="8"/>
  <c r="E62" i="8"/>
  <c r="C62" i="8"/>
  <c r="G61" i="8"/>
  <c r="H61" i="8"/>
  <c r="F61" i="8"/>
  <c r="D61" i="8"/>
  <c r="E61" i="8"/>
  <c r="C61" i="8"/>
  <c r="G60" i="8"/>
  <c r="H60" i="8"/>
  <c r="F60" i="8"/>
  <c r="D60" i="8"/>
  <c r="E60" i="8"/>
  <c r="C60" i="8"/>
  <c r="G59" i="8"/>
  <c r="H59" i="8"/>
  <c r="F59" i="8"/>
  <c r="D59" i="8"/>
  <c r="E59" i="8"/>
  <c r="C59" i="8"/>
  <c r="L7" i="2" l="1"/>
  <c r="L7" i="3" s="1"/>
  <c r="L6" i="2"/>
  <c r="L6" i="3" s="1"/>
  <c r="K7" i="2"/>
  <c r="K6" i="2"/>
  <c r="E80" i="5"/>
  <c r="E81" i="5"/>
  <c r="E82" i="5"/>
  <c r="E83" i="5"/>
  <c r="D83" i="5"/>
  <c r="D82" i="5"/>
  <c r="D81" i="5"/>
  <c r="D80" i="5"/>
  <c r="E77" i="5"/>
  <c r="E78" i="5"/>
  <c r="E79" i="5"/>
  <c r="E76" i="5"/>
  <c r="D79" i="5"/>
  <c r="D78" i="5"/>
  <c r="D77" i="5"/>
  <c r="D76" i="5"/>
  <c r="K6" i="3" l="1"/>
  <c r="K7" i="3"/>
  <c r="Q67" i="5"/>
  <c r="O70" i="5" s="1"/>
  <c r="G67" i="5"/>
  <c r="E70" i="5" s="1"/>
  <c r="N71" i="5" l="1"/>
  <c r="O71" i="5"/>
  <c r="N70" i="5"/>
  <c r="D71" i="5"/>
  <c r="E71" i="5"/>
  <c r="D70" i="5"/>
  <c r="N36" i="5"/>
  <c r="Q32" i="5"/>
  <c r="N35" i="5" s="1"/>
  <c r="G32" i="5"/>
  <c r="D36" i="5" s="1"/>
  <c r="O35" i="5" l="1"/>
  <c r="O36" i="5"/>
  <c r="E36" i="5"/>
  <c r="E35" i="5"/>
  <c r="D35" i="5"/>
  <c r="D13" i="2"/>
  <c r="O57" i="1"/>
  <c r="O58" i="1"/>
  <c r="N57" i="1"/>
  <c r="N58" i="1"/>
  <c r="M57" i="1"/>
  <c r="M58" i="1"/>
  <c r="D57" i="1"/>
  <c r="D58" i="1"/>
  <c r="I57" i="1"/>
  <c r="I58" i="1"/>
  <c r="O49" i="1"/>
  <c r="N50" i="1"/>
  <c r="I49" i="1"/>
  <c r="N49" i="1" s="1"/>
  <c r="I50" i="1"/>
  <c r="M50" i="1" s="1"/>
  <c r="I48" i="1"/>
  <c r="N48" i="1" s="1"/>
  <c r="D49" i="1"/>
  <c r="D50" i="1"/>
  <c r="D48" i="1"/>
  <c r="O48" i="1" l="1"/>
  <c r="O50" i="1"/>
  <c r="M48" i="1"/>
  <c r="M49" i="1"/>
  <c r="E7" i="17" l="1"/>
  <c r="D9" i="4"/>
  <c r="C8" i="3" l="1"/>
  <c r="C33" i="3" s="1"/>
  <c r="C7" i="3"/>
  <c r="C32" i="3" s="1"/>
  <c r="D53" i="8"/>
  <c r="E53" i="8"/>
  <c r="C53" i="8"/>
  <c r="D52" i="8"/>
  <c r="E52" i="8"/>
  <c r="C52" i="8"/>
  <c r="J47" i="8"/>
  <c r="K47" i="8"/>
  <c r="I47" i="8"/>
  <c r="J46" i="8"/>
  <c r="K46" i="8"/>
  <c r="I46" i="8"/>
  <c r="G47" i="8"/>
  <c r="H47" i="8"/>
  <c r="F47" i="8"/>
  <c r="G46" i="8"/>
  <c r="H46" i="8"/>
  <c r="F46" i="8"/>
  <c r="D47" i="8"/>
  <c r="E47" i="8"/>
  <c r="C47" i="8"/>
  <c r="D46" i="8"/>
  <c r="E46" i="8"/>
  <c r="C46" i="8"/>
  <c r="C14" i="3" l="1"/>
  <c r="C26" i="3"/>
  <c r="C20" i="3"/>
  <c r="C13" i="3"/>
  <c r="C25" i="3"/>
  <c r="C19" i="3"/>
  <c r="D5" i="6"/>
  <c r="D5" i="7"/>
  <c r="D5" i="4"/>
  <c r="E9" i="7" l="1"/>
  <c r="D9" i="7"/>
  <c r="E9" i="6"/>
  <c r="D9" i="6"/>
  <c r="D10" i="6" s="1"/>
  <c r="E10" i="6" l="1"/>
  <c r="D10" i="7"/>
  <c r="C25" i="7" s="1"/>
  <c r="E10" i="7"/>
  <c r="C26" i="7" s="1"/>
  <c r="D26" i="7" s="1"/>
  <c r="E9" i="4"/>
  <c r="D10" i="4"/>
  <c r="B8" i="3"/>
  <c r="B7" i="3"/>
  <c r="L33" i="1"/>
  <c r="L35" i="1"/>
  <c r="N20" i="16" s="1"/>
  <c r="L36" i="1"/>
  <c r="K33" i="1"/>
  <c r="K35" i="1"/>
  <c r="M20" i="16" s="1"/>
  <c r="K36" i="1"/>
  <c r="J33" i="1"/>
  <c r="J35" i="1"/>
  <c r="L20" i="16" s="1"/>
  <c r="J36" i="1"/>
  <c r="I35" i="1"/>
  <c r="N35" i="1" s="1"/>
  <c r="I36" i="1"/>
  <c r="O36" i="1" s="1"/>
  <c r="I33" i="1"/>
  <c r="O33" i="1" s="1"/>
  <c r="M18" i="16" l="1"/>
  <c r="M19" i="16"/>
  <c r="N33" i="1"/>
  <c r="L17" i="16"/>
  <c r="L19" i="16"/>
  <c r="M33" i="1"/>
  <c r="M17" i="16"/>
  <c r="N18" i="16"/>
  <c r="N19" i="16"/>
  <c r="M35" i="1"/>
  <c r="L18" i="16"/>
  <c r="N17" i="16"/>
  <c r="N36" i="1"/>
  <c r="M36" i="1"/>
  <c r="O35" i="1"/>
  <c r="D8" i="3"/>
  <c r="E8" i="3"/>
  <c r="G8" i="3"/>
  <c r="C25" i="6"/>
  <c r="D25" i="6" s="1"/>
  <c r="C25" i="4"/>
  <c r="D25" i="4" s="1"/>
  <c r="C26" i="6"/>
  <c r="D26" i="6" s="1"/>
  <c r="E10" i="4"/>
  <c r="C26" i="4"/>
  <c r="D26" i="4" s="1"/>
  <c r="C27" i="7"/>
  <c r="D25" i="7"/>
  <c r="D27" i="7" s="1"/>
  <c r="F10" i="16" s="1"/>
  <c r="C25" i="2"/>
  <c r="C27" i="4" l="1"/>
  <c r="D27" i="4"/>
  <c r="F9" i="16" s="1"/>
  <c r="C27" i="6"/>
  <c r="D27" i="6"/>
  <c r="F11" i="16" s="1"/>
  <c r="C13" i="2"/>
  <c r="C19" i="2"/>
  <c r="C32" i="2"/>
  <c r="B32" i="2"/>
  <c r="B25" i="2"/>
  <c r="B19" i="2"/>
  <c r="B13" i="2"/>
  <c r="A13" i="4" l="1"/>
  <c r="J25" i="1"/>
  <c r="K25" i="1"/>
  <c r="L25" i="1"/>
  <c r="J26" i="1"/>
  <c r="K26" i="1"/>
  <c r="L26" i="1"/>
  <c r="J27" i="1"/>
  <c r="K27" i="1"/>
  <c r="L27" i="1"/>
  <c r="J28" i="1"/>
  <c r="K28" i="1"/>
  <c r="L28" i="1"/>
  <c r="J29" i="1"/>
  <c r="K29" i="1"/>
  <c r="L29" i="1"/>
  <c r="J30" i="1"/>
  <c r="K30" i="1"/>
  <c r="L30" i="1"/>
  <c r="J31" i="1"/>
  <c r="K31" i="1"/>
  <c r="L31" i="1"/>
  <c r="J32" i="1"/>
  <c r="K32" i="1"/>
  <c r="L32" i="1"/>
  <c r="K24" i="1"/>
  <c r="L24" i="1"/>
  <c r="J24" i="1"/>
  <c r="J10" i="1"/>
  <c r="K10" i="1"/>
  <c r="L10" i="1"/>
  <c r="J11" i="1"/>
  <c r="K11" i="1"/>
  <c r="L11" i="1"/>
  <c r="J12" i="1"/>
  <c r="K12" i="1"/>
  <c r="L12" i="1"/>
  <c r="J13" i="1"/>
  <c r="K13" i="1"/>
  <c r="L13" i="1"/>
  <c r="J14" i="1"/>
  <c r="K14" i="1"/>
  <c r="L14" i="1"/>
  <c r="J15" i="1"/>
  <c r="K15" i="1"/>
  <c r="L15" i="1"/>
  <c r="J16" i="1"/>
  <c r="K16" i="1"/>
  <c r="L16" i="1"/>
  <c r="J17" i="1"/>
  <c r="K17" i="1"/>
  <c r="L17" i="1"/>
  <c r="K9" i="1"/>
  <c r="L9" i="1"/>
  <c r="J9" i="1"/>
  <c r="I16" i="16" l="1"/>
  <c r="I18" i="16"/>
  <c r="D7" i="3" s="1"/>
  <c r="K16" i="16"/>
  <c r="K18" i="16"/>
  <c r="G7" i="3" s="1"/>
  <c r="J18" i="16"/>
  <c r="E7" i="3" s="1"/>
  <c r="J16" i="16"/>
  <c r="F9" i="17"/>
  <c r="F8" i="17"/>
  <c r="F7" i="17"/>
  <c r="F6" i="17"/>
  <c r="E9" i="17"/>
  <c r="E8" i="17"/>
  <c r="E6" i="17"/>
  <c r="A13" i="7" l="1"/>
  <c r="A13" i="6"/>
  <c r="C9" i="1" l="1"/>
  <c r="C10" i="1"/>
  <c r="C11" i="1"/>
  <c r="C12" i="1"/>
  <c r="C13" i="1"/>
  <c r="C14" i="1"/>
  <c r="K14" i="3" l="1"/>
  <c r="K14" i="2"/>
  <c r="D34" i="1" l="1"/>
  <c r="B34" i="1"/>
  <c r="D19" i="1"/>
  <c r="B19" i="1"/>
  <c r="C19" i="1" l="1"/>
  <c r="C25" i="1"/>
  <c r="I25" i="1" s="1"/>
  <c r="O25" i="1" s="1"/>
  <c r="C26" i="1"/>
  <c r="I26" i="1" s="1"/>
  <c r="M26" i="1" s="1"/>
  <c r="C27" i="1"/>
  <c r="I27" i="1" s="1"/>
  <c r="M27" i="1" s="1"/>
  <c r="C28" i="1"/>
  <c r="I28" i="1" s="1"/>
  <c r="C29" i="1"/>
  <c r="I29" i="1" s="1"/>
  <c r="C30" i="1"/>
  <c r="I30" i="1" s="1"/>
  <c r="M30" i="1" s="1"/>
  <c r="C31" i="1"/>
  <c r="I31" i="1" s="1"/>
  <c r="M31" i="1" s="1"/>
  <c r="C32" i="1"/>
  <c r="I32" i="1" s="1"/>
  <c r="C24" i="1"/>
  <c r="I24" i="1" s="1"/>
  <c r="I10" i="1"/>
  <c r="N10" i="1" s="1"/>
  <c r="I11" i="1"/>
  <c r="M11" i="1" s="1"/>
  <c r="I12" i="1"/>
  <c r="I13" i="1"/>
  <c r="O13" i="1" s="1"/>
  <c r="I14" i="1"/>
  <c r="N14" i="1" s="1"/>
  <c r="C15" i="1"/>
  <c r="I15" i="1" s="1"/>
  <c r="M15" i="1" s="1"/>
  <c r="C16" i="1"/>
  <c r="I16" i="1" s="1"/>
  <c r="C17" i="1"/>
  <c r="I17" i="1" s="1"/>
  <c r="O17" i="1" s="1"/>
  <c r="I9" i="1"/>
  <c r="O9" i="1" s="1"/>
  <c r="B26" i="2" l="1"/>
  <c r="B20" i="2"/>
  <c r="B33" i="2"/>
  <c r="B14" i="2"/>
  <c r="B26" i="3"/>
  <c r="B33" i="3"/>
  <c r="B20" i="3"/>
  <c r="B14" i="3"/>
  <c r="C34" i="1"/>
  <c r="I34" i="1" s="1"/>
  <c r="O29" i="1"/>
  <c r="N29" i="1"/>
  <c r="N25" i="1"/>
  <c r="N16" i="1"/>
  <c r="M16" i="1"/>
  <c r="N12" i="1"/>
  <c r="M12" i="1"/>
  <c r="N32" i="1"/>
  <c r="M32" i="1"/>
  <c r="N28" i="1"/>
  <c r="M28" i="1"/>
  <c r="M24" i="1"/>
  <c r="O24" i="1"/>
  <c r="M9" i="1"/>
  <c r="O14" i="1"/>
  <c r="O10" i="1"/>
  <c r="N9" i="1"/>
  <c r="M14" i="1"/>
  <c r="M10" i="1"/>
  <c r="O31" i="1"/>
  <c r="O27" i="1"/>
  <c r="I19" i="1"/>
  <c r="G19" i="1" s="1"/>
  <c r="L19" i="1" s="1"/>
  <c r="N31" i="1"/>
  <c r="N27" i="1"/>
  <c r="N17" i="1"/>
  <c r="O30" i="1"/>
  <c r="O26" i="1"/>
  <c r="M17" i="1"/>
  <c r="O15" i="1"/>
  <c r="M13" i="1"/>
  <c r="O11" i="1"/>
  <c r="N24" i="1"/>
  <c r="N30" i="1"/>
  <c r="M29" i="1"/>
  <c r="N26" i="1"/>
  <c r="M25" i="1"/>
  <c r="N13" i="1"/>
  <c r="O16" i="1"/>
  <c r="N15" i="1"/>
  <c r="O12" i="1"/>
  <c r="N11" i="1"/>
  <c r="O32" i="1"/>
  <c r="O28" i="1"/>
  <c r="D19" i="2"/>
  <c r="D13" i="3"/>
  <c r="B13" i="3"/>
  <c r="B19" i="3"/>
  <c r="B25" i="3"/>
  <c r="B32" i="3"/>
  <c r="G13" i="2" l="1"/>
  <c r="H25" i="2"/>
  <c r="G13" i="3"/>
  <c r="H25" i="3"/>
  <c r="F13" i="2"/>
  <c r="F25" i="2"/>
  <c r="F25" i="3"/>
  <c r="F13" i="3"/>
  <c r="F34" i="1"/>
  <c r="E34" i="1"/>
  <c r="G34" i="1"/>
  <c r="D14" i="3"/>
  <c r="C20" i="2"/>
  <c r="C14" i="2"/>
  <c r="C33" i="2"/>
  <c r="C26" i="2"/>
  <c r="E19" i="1"/>
  <c r="J19" i="1" s="1"/>
  <c r="F19" i="1"/>
  <c r="K19" i="1" s="1"/>
  <c r="E19" i="2"/>
  <c r="E32" i="2" s="1"/>
  <c r="D32" i="3"/>
  <c r="D25" i="3"/>
  <c r="E19" i="3"/>
  <c r="E32" i="3" s="1"/>
  <c r="D19" i="3"/>
  <c r="D25" i="2"/>
  <c r="D32" i="2"/>
  <c r="H19" i="2" l="1"/>
  <c r="H32" i="2" s="1"/>
  <c r="G32" i="2"/>
  <c r="F32" i="2"/>
  <c r="F32" i="3"/>
  <c r="H19" i="3"/>
  <c r="H32" i="3" s="1"/>
  <c r="G32" i="3"/>
  <c r="O34" i="1"/>
  <c r="L34" i="1"/>
  <c r="M34" i="1"/>
  <c r="J34" i="1"/>
  <c r="N34" i="1"/>
  <c r="K34" i="1"/>
  <c r="H26" i="3"/>
  <c r="F14" i="3"/>
  <c r="F26" i="3"/>
  <c r="G14" i="2"/>
  <c r="H26" i="2"/>
  <c r="E20" i="3"/>
  <c r="E33" i="3" s="1"/>
  <c r="D33" i="3"/>
  <c r="D20" i="3"/>
  <c r="D26" i="3"/>
  <c r="F33" i="3" l="1"/>
  <c r="H20" i="2"/>
  <c r="H33" i="2" s="1"/>
  <c r="G33" i="2"/>
  <c r="G14" i="3"/>
  <c r="F14" i="2"/>
  <c r="F26" i="2"/>
  <c r="E20" i="2"/>
  <c r="E33" i="2" s="1"/>
  <c r="D14" i="2"/>
  <c r="D26" i="2"/>
  <c r="D33" i="2"/>
  <c r="D20" i="2"/>
  <c r="F33" i="2" l="1"/>
  <c r="C15" i="4"/>
  <c r="G33" i="3"/>
  <c r="C16" i="7" s="1"/>
  <c r="E16" i="7" s="1"/>
  <c r="C15" i="6"/>
  <c r="C15" i="7"/>
  <c r="H20" i="3"/>
  <c r="H33" i="3" s="1"/>
  <c r="D16" i="6" s="1"/>
  <c r="C16" i="6" l="1"/>
  <c r="E16" i="6" s="1"/>
  <c r="H16" i="6" s="1"/>
  <c r="G16" i="6" s="1"/>
  <c r="C16" i="4"/>
  <c r="E16" i="4" s="1"/>
  <c r="H16" i="4" s="1"/>
  <c r="G16" i="4" s="1"/>
  <c r="C20" i="7"/>
  <c r="E20" i="7" s="1"/>
  <c r="H20" i="7" s="1"/>
  <c r="D10" i="16" s="1"/>
  <c r="D15" i="6"/>
  <c r="D15" i="4"/>
  <c r="D16" i="4"/>
  <c r="F16" i="4" s="1"/>
  <c r="H16" i="7"/>
  <c r="G16" i="7" s="1"/>
  <c r="E15" i="7"/>
  <c r="D16" i="7"/>
  <c r="F16" i="7" s="1"/>
  <c r="I16" i="7" s="1"/>
  <c r="F16" i="6"/>
  <c r="E15" i="6"/>
  <c r="H15" i="6" s="1"/>
  <c r="G15" i="6" s="1"/>
  <c r="D15" i="7"/>
  <c r="E15" i="4"/>
  <c r="H15" i="4" s="1"/>
  <c r="G15" i="4" s="1"/>
  <c r="C20" i="6" l="1"/>
  <c r="E20" i="6" s="1"/>
  <c r="H20" i="6" s="1"/>
  <c r="D11" i="16" s="1"/>
  <c r="I16" i="6"/>
  <c r="I16" i="4"/>
  <c r="C20" i="4"/>
  <c r="E20" i="4" s="1"/>
  <c r="H20" i="4" s="1"/>
  <c r="D9" i="16" s="1"/>
  <c r="H15" i="7"/>
  <c r="G15" i="7" s="1"/>
  <c r="G20" i="7" s="1"/>
  <c r="C10" i="16" s="1"/>
  <c r="D20" i="6"/>
  <c r="F20" i="6" s="1"/>
  <c r="F15" i="6"/>
  <c r="I15" i="6" s="1"/>
  <c r="D20" i="4"/>
  <c r="F20" i="4" s="1"/>
  <c r="F15" i="4"/>
  <c r="I15" i="4" s="1"/>
  <c r="D20" i="7"/>
  <c r="F20" i="7" s="1"/>
  <c r="F15" i="7"/>
  <c r="I15" i="7" s="1"/>
  <c r="I20" i="6" l="1"/>
  <c r="E11" i="16" s="1"/>
  <c r="I20" i="7"/>
  <c r="E10" i="16" s="1"/>
  <c r="I20" i="4"/>
  <c r="E9" i="16" s="1"/>
  <c r="G20" i="6"/>
  <c r="C11" i="16" s="1"/>
  <c r="G20" i="4"/>
  <c r="C9" i="16" s="1"/>
</calcChain>
</file>

<file path=xl/sharedStrings.xml><?xml version="1.0" encoding="utf-8"?>
<sst xmlns="http://schemas.openxmlformats.org/spreadsheetml/2006/main" count="1265" uniqueCount="314">
  <si>
    <t>MEF</t>
  </si>
  <si>
    <t>Volume</t>
  </si>
  <si>
    <t>Machine</t>
  </si>
  <si>
    <t>Dryer</t>
  </si>
  <si>
    <t>Water Heat</t>
  </si>
  <si>
    <t>Energy Use (kWh/cycle)</t>
  </si>
  <si>
    <t>Source: 2012 DOE Technical Support Document, Chapter 7 Table 7.2.1 and Table 7.2.2</t>
  </si>
  <si>
    <t>Electric DHW / Electric Dryer</t>
  </si>
  <si>
    <t>Electric DHW / Gas Dryer</t>
  </si>
  <si>
    <t>Machine (kWh)</t>
  </si>
  <si>
    <t>Dryer (kWh)</t>
  </si>
  <si>
    <t>Water Heat (kWh)</t>
  </si>
  <si>
    <t>Dryer (therms)</t>
  </si>
  <si>
    <t>Gas DHW / Electric Dryer</t>
  </si>
  <si>
    <t>Water Heat (therms)</t>
  </si>
  <si>
    <t>Gas DHW / Gas Dryer</t>
  </si>
  <si>
    <t>kWh to therm conversion:</t>
  </si>
  <si>
    <t>W/H and Dryer Population Weights</t>
  </si>
  <si>
    <t>Gas WH</t>
  </si>
  <si>
    <t>Electric WH</t>
  </si>
  <si>
    <t>Gas Dryer</t>
  </si>
  <si>
    <t>Electric Dryer</t>
  </si>
  <si>
    <t xml:space="preserve">Population Weighted </t>
  </si>
  <si>
    <t>peak kW</t>
  </si>
  <si>
    <t>kWh</t>
  </si>
  <si>
    <t>therms</t>
  </si>
  <si>
    <t>Measure</t>
  </si>
  <si>
    <t xml:space="preserve">cycles / year: </t>
  </si>
  <si>
    <t>Single Family and Mulitfamily in-unit</t>
  </si>
  <si>
    <t>      * Results represent a sample of fewer than 25 households.</t>
  </si>
  <si>
    <t>DHW Fuel</t>
  </si>
  <si>
    <t>NO DRYER</t>
  </si>
  <si>
    <t>NATURAL GAS DRYER</t>
  </si>
  <si>
    <t>ELECTRIC DRYER</t>
  </si>
  <si>
    <t>BOTTLED GAS DRYER</t>
  </si>
  <si>
    <t>NO RESPONSE</t>
  </si>
  <si>
    <t>NOT APPLICABLE</t>
  </si>
  <si>
    <t>Total</t>
  </si>
  <si>
    <t>Natural Gas</t>
  </si>
  <si>
    <t>0.1%*</t>
  </si>
  <si>
    <t>Electric</t>
  </si>
  <si>
    <t>Propane</t>
  </si>
  <si>
    <t>Solar</t>
  </si>
  <si>
    <t>Other</t>
  </si>
  <si>
    <t>Total population for gas/electric dry, gas/electric DHW:</t>
  </si>
  <si>
    <t>http://www1.eere.energy.gov/buildings/appliance_standards/residential/pdfs/rcw_dfr_tsd_ch7.pdf</t>
  </si>
  <si>
    <t>source: DOE TSD 2012, Ch 7 page 7-6</t>
  </si>
  <si>
    <t>Source: 2009 RASS (see "References" tab)</t>
  </si>
  <si>
    <t>Nonresidential Clothes Washer Energy Savings</t>
  </si>
  <si>
    <t>Multifamily Clothes Washer Energy Savings</t>
  </si>
  <si>
    <t>Base</t>
  </si>
  <si>
    <t>Energy Impacts per ΔWatt Lighting</t>
  </si>
  <si>
    <t>Building</t>
  </si>
  <si>
    <t>Energy</t>
  </si>
  <si>
    <t>Demand</t>
  </si>
  <si>
    <t>Gas</t>
  </si>
  <si>
    <t>Type</t>
  </si>
  <si>
    <t>Vintage</t>
  </si>
  <si>
    <t>kWh/ΔW</t>
  </si>
  <si>
    <t>Watt/ΔW</t>
  </si>
  <si>
    <t>kBTU/ΔW</t>
  </si>
  <si>
    <t>kWh/kWh</t>
  </si>
  <si>
    <t>kW/kW</t>
  </si>
  <si>
    <t>therm/kWh</t>
  </si>
  <si>
    <t>CFL</t>
  </si>
  <si>
    <t>Asm</t>
  </si>
  <si>
    <t>Ex</t>
  </si>
  <si>
    <t>EPr</t>
  </si>
  <si>
    <t>ESe</t>
  </si>
  <si>
    <t>ECC</t>
  </si>
  <si>
    <t>EUn</t>
  </si>
  <si>
    <t>ERC</t>
  </si>
  <si>
    <t>Gro</t>
  </si>
  <si>
    <t>Hsp</t>
  </si>
  <si>
    <t>Nrs</t>
  </si>
  <si>
    <t>Htl</t>
  </si>
  <si>
    <t>Mtl</t>
  </si>
  <si>
    <t>MBT</t>
  </si>
  <si>
    <t>MLI</t>
  </si>
  <si>
    <t>OfL</t>
  </si>
  <si>
    <t>OfS</t>
  </si>
  <si>
    <t>RSD</t>
  </si>
  <si>
    <t>RFF</t>
  </si>
  <si>
    <t>Rt3</t>
  </si>
  <si>
    <t>RtL</t>
  </si>
  <si>
    <t>RtS</t>
  </si>
  <si>
    <t>SCn</t>
  </si>
  <si>
    <t>SUn</t>
  </si>
  <si>
    <t>WRf</t>
  </si>
  <si>
    <t>Com</t>
  </si>
  <si>
    <t>SFm</t>
  </si>
  <si>
    <t>MFm</t>
  </si>
  <si>
    <t>DMo</t>
  </si>
  <si>
    <t>Res</t>
  </si>
  <si>
    <t xml:space="preserve">IOU: </t>
  </si>
  <si>
    <t>PG&amp;E</t>
  </si>
  <si>
    <t>Vintage:</t>
  </si>
  <si>
    <t>Existing</t>
  </si>
  <si>
    <t>Climate Zone:</t>
  </si>
  <si>
    <t>IOU Territory</t>
  </si>
  <si>
    <t xml:space="preserve">Lighting Type: </t>
  </si>
  <si>
    <t>SCE</t>
  </si>
  <si>
    <t>Building Type</t>
  </si>
  <si>
    <t>Small Office</t>
  </si>
  <si>
    <t>SCE HVAC Factors</t>
  </si>
  <si>
    <t>PG&amp;E HVAC Factors</t>
  </si>
  <si>
    <t>Statewide Average HVAC Factors</t>
  </si>
  <si>
    <t>Average CFL Average Interactive Effect Factors for PG&amp;E and SCE</t>
  </si>
  <si>
    <t>Small Office (MFM common area, commercial)</t>
  </si>
  <si>
    <t>Energy Savings per year
Whole Building</t>
  </si>
  <si>
    <t>Energy Savings per year
End Use</t>
  </si>
  <si>
    <t>IMEF</t>
  </si>
  <si>
    <t>Note: Relationship between MEF and IMEF is obtained from Engineering Analysis (Ch. 5) of Technical Support Document.</t>
  </si>
  <si>
    <t>Total Energy Use (kWh/cycle)</t>
  </si>
  <si>
    <t>% of Total Energy Use</t>
  </si>
  <si>
    <t>Tier 3 Measure</t>
  </si>
  <si>
    <t>Energy Consumption 
per year</t>
  </si>
  <si>
    <t>Gas Dryer Correction Factor</t>
  </si>
  <si>
    <t>source: DOE TSD 2012, Ch 7 page 7-2</t>
  </si>
  <si>
    <t>Gas Water Heater Correction Factor</t>
  </si>
  <si>
    <t>efficiency of electric water heater</t>
  </si>
  <si>
    <t>efficiency of gas water heater</t>
  </si>
  <si>
    <t>source: DOE TSD 2012, Ch 7 page 7-1</t>
  </si>
  <si>
    <t>`</t>
  </si>
  <si>
    <t>Clothes Washers Energy Savings Calculations</t>
  </si>
  <si>
    <t>IWF</t>
  </si>
  <si>
    <t>Product Class</t>
  </si>
  <si>
    <r>
      <t>Integrated Modified Energy Factor (ft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/kWh/cycle)</t>
    </r>
  </si>
  <si>
    <r>
      <t>Integrated Water Factor (gal/cycle/ft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</t>
    </r>
  </si>
  <si>
    <t>(minimum values)</t>
  </si>
  <si>
    <t>(maximum values)</t>
  </si>
  <si>
    <r>
      <t>1. Top-loading, Compact (less than 1.6 ft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capacity)</t>
    </r>
  </si>
  <si>
    <r>
      <t>2. Top-loading, Standard (1.6 ft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or greater capacity)</t>
    </r>
  </si>
  <si>
    <r>
      <t>3. Front-loading, Compact (less than 1.6 ft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capacity)</t>
    </r>
  </si>
  <si>
    <r>
      <t>4. Front-loading, Standard (1.6 ft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or greater capacity)</t>
    </r>
  </si>
  <si>
    <t>Equivalent Modified Energy Factor (MEF)</t>
  </si>
  <si>
    <t>Equivalent Water Factor (WF)</t>
  </si>
  <si>
    <t>Top Loading</t>
  </si>
  <si>
    <t>Front Loading</t>
  </si>
  <si>
    <t>IMEF = 0.998*MEF - 0.4051</t>
  </si>
  <si>
    <t>IMEF = 0.8979*MEF - 0.1311</t>
  </si>
  <si>
    <t>MEF = (IMEF + 0.4051) / 0.998</t>
  </si>
  <si>
    <t>MEF = (IMEF + 0.1311) / 0.8979</t>
  </si>
  <si>
    <t>IWF = 0.9874*WF + 0.5411</t>
  </si>
  <si>
    <t>IWF = 1.0242*WF + 0.1172</t>
  </si>
  <si>
    <t>WF = (IWF - 0.5411) / 0.9874</t>
  </si>
  <si>
    <t>WF = (IWF - 0.1172) / 1.0242</t>
  </si>
  <si>
    <t xml:space="preserve">cubic feet / year: </t>
  </si>
  <si>
    <t>Energy Use Per Capacity (kWh/ft^3)</t>
  </si>
  <si>
    <t>Energy Star</t>
  </si>
  <si>
    <t>Configuration</t>
  </si>
  <si>
    <t>Top-Loading</t>
  </si>
  <si>
    <t>Front-Loading</t>
  </si>
  <si>
    <t>Energy Star Top-Loading</t>
  </si>
  <si>
    <t>Calculation Inputs</t>
  </si>
  <si>
    <t>Energy Star Front-Loading</t>
  </si>
  <si>
    <t>CEE Tier 3</t>
  </si>
  <si>
    <t>Baseline % Top-Loading</t>
  </si>
  <si>
    <t>Measure % Top-Loading</t>
  </si>
  <si>
    <t>Front-Loading IMEF</t>
  </si>
  <si>
    <t>Top-Loading IMEF</t>
  </si>
  <si>
    <t>Top-Loading IWF</t>
  </si>
  <si>
    <t>Front-Loading IWF</t>
  </si>
  <si>
    <t>Base Case Shipment Share</t>
  </si>
  <si>
    <t>Measure Case Shipment Share</t>
  </si>
  <si>
    <t>cycles/year:</t>
  </si>
  <si>
    <t>Independent Values</t>
  </si>
  <si>
    <t>Pre-Existing</t>
  </si>
  <si>
    <t>HVAC Interactive Effects Factors</t>
  </si>
  <si>
    <t>Climate</t>
  </si>
  <si>
    <r>
      <t>HOU</t>
    </r>
    <r>
      <rPr>
        <vertAlign val="subscript"/>
        <sz val="11"/>
        <color theme="1"/>
        <rFont val="Calibri"/>
        <family val="2"/>
        <scheme val="minor"/>
      </rPr>
      <t>pre</t>
    </r>
  </si>
  <si>
    <r>
      <t>CDF</t>
    </r>
    <r>
      <rPr>
        <vertAlign val="subscript"/>
        <sz val="11"/>
        <color theme="1"/>
        <rFont val="Calibri"/>
        <family val="2"/>
        <scheme val="minor"/>
      </rPr>
      <t>pre</t>
    </r>
  </si>
  <si>
    <r>
      <t>HOU</t>
    </r>
    <r>
      <rPr>
        <vertAlign val="subscript"/>
        <sz val="11"/>
        <color theme="1"/>
        <rFont val="Calibri"/>
        <family val="2"/>
        <scheme val="minor"/>
      </rPr>
      <t>std</t>
    </r>
  </si>
  <si>
    <r>
      <t>CDF</t>
    </r>
    <r>
      <rPr>
        <vertAlign val="subscript"/>
        <sz val="11"/>
        <color theme="1"/>
        <rFont val="Calibri"/>
        <family val="2"/>
        <scheme val="minor"/>
      </rPr>
      <t>std</t>
    </r>
  </si>
  <si>
    <t>Above Pre-Existing</t>
  </si>
  <si>
    <t>Above Code/Standard</t>
  </si>
  <si>
    <t>IOU</t>
  </si>
  <si>
    <t>Zone</t>
  </si>
  <si>
    <t>hours</t>
  </si>
  <si>
    <t>PGE</t>
  </si>
  <si>
    <t>SDG&amp;E</t>
  </si>
  <si>
    <t>DEER2014: CFL Lighting Energy Impacts for San Diego Gas &amp; Electric</t>
  </si>
  <si>
    <t>Occupancy sensor scenario: No occupancy sensors</t>
  </si>
  <si>
    <t>SDG</t>
  </si>
  <si>
    <t>DEER2014: CFL Lighting Energy Impacts for Pacific Gas &amp; Electric</t>
  </si>
  <si>
    <t>DEER2014: CFL Lighting Energy Impacts for Southern California Edison</t>
  </si>
  <si>
    <t>HVAC Interactive Effects for PG&amp;E, SCE, and SDG&amp;E</t>
  </si>
  <si>
    <t>Source: DEER2014 Lighting Measures HVAC Interactive Effects, 17Feb2014</t>
  </si>
  <si>
    <t>SDG&amp;E HVAC Factors</t>
  </si>
  <si>
    <t>108*</t>
  </si>
  <si>
    <t>Energy Savings</t>
  </si>
  <si>
    <t>Water Savings</t>
  </si>
  <si>
    <t>gallons</t>
  </si>
  <si>
    <t xml:space="preserve">Water Savings </t>
  </si>
  <si>
    <t>gallons per year</t>
  </si>
  <si>
    <t>Energy Use per Cycle per Cubic Foot Capacity</t>
  </si>
  <si>
    <t>Energy Consumption 
per cycle per cubic foot</t>
  </si>
  <si>
    <t>Energy Savings per cycle per cubic foot End Use</t>
  </si>
  <si>
    <t>gallons per cycle per cubic foot</t>
  </si>
  <si>
    <t>Top-Loading Energy Use per Capacity (kWh/cycle/ft^3)</t>
  </si>
  <si>
    <t>Front-Loading Energy Use per Capacity (kWh/cycle/ft^3)</t>
  </si>
  <si>
    <t xml:space="preserve">2009 RASS Saturation table accessed 2/23/15 from http://websafe.kemainc.com/rass2009/Query.aspx?QType=1&amp;tabid=1 </t>
  </si>
  <si>
    <t>SCG</t>
  </si>
  <si>
    <t>Energy Star Commercial</t>
  </si>
  <si>
    <r>
      <t>(ft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/kWh/cycle)</t>
    </r>
  </si>
  <si>
    <r>
      <t>(gal/ft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/cycle)</t>
    </r>
  </si>
  <si>
    <t>1. Top-loading</t>
  </si>
  <si>
    <t>2. Front-loading</t>
  </si>
  <si>
    <t>Equivalent Modified Energy Factor</t>
  </si>
  <si>
    <t>Equivalent Water Factor</t>
  </si>
  <si>
    <t>Integrated Water Factor</t>
  </si>
  <si>
    <t>MEF_J2</t>
  </si>
  <si>
    <t>Residential Clothes Washer per Cycle Energy Usage</t>
  </si>
  <si>
    <t>Commercial Clothes Washer per Cycle Energy Usage</t>
  </si>
  <si>
    <t>Source: 2014 DOE Technical Support Document, Chapter 7 Table 7.2.2 and Table 7.2.3</t>
  </si>
  <si>
    <t>http://www.regulations.gov/#!documentDetail;D=EERE-2012-BT-STD-0020-0036</t>
  </si>
  <si>
    <t>.</t>
  </si>
  <si>
    <t>Top Loading Residential Standard Capacity Energy Use by Cycle</t>
  </si>
  <si>
    <t>Front Loading Residential Standard Capacity Energy Use by Cycle</t>
  </si>
  <si>
    <t>Water Use (gal/cycle)</t>
  </si>
  <si>
    <t>Top Loading Commercial Clothes Washers: Per-Cycle Energy and Water Use</t>
  </si>
  <si>
    <t>Front Loading Commercial Clothes Washers: Per-Cycle Energy and Water Use</t>
  </si>
  <si>
    <t>Note: MEF_J2 is the modified energy factor evaluated using the amended J2 test procedure, but does not incorporate standby and off mode power.</t>
  </si>
  <si>
    <t>Federal Minimum</t>
  </si>
  <si>
    <t>0.2%*</t>
  </si>
  <si>
    <t>100.0%*</t>
  </si>
  <si>
    <t>Report Year:  2009</t>
  </si>
  <si>
    <t>Report View:  DHW Fuel</t>
  </si>
  <si>
    <t>Survey Section:  Laundry</t>
  </si>
  <si>
    <t>Survey Question:  Type of clothes dryer - E5</t>
  </si>
  <si>
    <t>Report Detail:  Weighted, Include No Response, Include Not-Applicable</t>
  </si>
  <si>
    <t>Filtered By:    Electric Utility:PG&amp;E;  Gas Utility:PG&amp;E;</t>
  </si>
  <si>
    <t>The query returns 5,927 records, representing 3,636,499 Population.</t>
  </si>
  <si>
    <t>Survey Question: Type of clothes dryer - E5</t>
  </si>
  <si>
    <t>Filtered By:    Electric Utility:SDG&amp;E;  Gas Utility:SDG&amp;E;</t>
  </si>
  <si>
    <t>The query returns 3,073 records, representing 912,743 Population.</t>
  </si>
  <si>
    <t>118*</t>
  </si>
  <si>
    <t>474*</t>
  </si>
  <si>
    <t>0.0%*</t>
  </si>
  <si>
    <t>442*</t>
  </si>
  <si>
    <t>7,203*</t>
  </si>
  <si>
    <t>2.0%*</t>
  </si>
  <si>
    <t>25.9%*</t>
  </si>
  <si>
    <t>31.8%*</t>
  </si>
  <si>
    <t>120*</t>
  </si>
  <si>
    <t>355*</t>
  </si>
  <si>
    <t>20.6%*</t>
  </si>
  <si>
    <t>18.5%*</t>
  </si>
  <si>
    <t>60.9%*</t>
  </si>
  <si>
    <t>Report Detail:  Non-Weighted, Include No Response, Include Not-Applicable</t>
  </si>
  <si>
    <t>3*</t>
  </si>
  <si>
    <t>10*</t>
  </si>
  <si>
    <t>15*</t>
  </si>
  <si>
    <t>11.0%*</t>
  </si>
  <si>
    <t>7.4%*</t>
  </si>
  <si>
    <t>4*</t>
  </si>
  <si>
    <t>2*</t>
  </si>
  <si>
    <t>7*</t>
  </si>
  <si>
    <t>5*</t>
  </si>
  <si>
    <t>9*</t>
  </si>
  <si>
    <t>14.8%*</t>
  </si>
  <si>
    <t>33.3%*</t>
  </si>
  <si>
    <t>1*</t>
  </si>
  <si>
    <t>50.0%*</t>
  </si>
  <si>
    <t>Filtered By:    Electric Utility:SCE;</t>
  </si>
  <si>
    <t>The query returns 11,136 records, representing 4,371,616 Population.</t>
  </si>
  <si>
    <t>17*</t>
  </si>
  <si>
    <t>21*</t>
  </si>
  <si>
    <t>11*</t>
  </si>
  <si>
    <t>1.1%*</t>
  </si>
  <si>
    <t>1.2%*</t>
  </si>
  <si>
    <t>6*</t>
  </si>
  <si>
    <t>12.5%*</t>
  </si>
  <si>
    <t>75.0%*</t>
  </si>
  <si>
    <t>Filtered By:    Gas Utility:So Cal Gas;</t>
  </si>
  <si>
    <t>The query returns 10,546 records, representing 4,499,490 Population.</t>
  </si>
  <si>
    <t>22*</t>
  </si>
  <si>
    <t>11.6%*</t>
  </si>
  <si>
    <t>40.0%*</t>
  </si>
  <si>
    <t>20.0%*</t>
  </si>
  <si>
    <t>14.3%*</t>
  </si>
  <si>
    <t>71.4%*</t>
  </si>
  <si>
    <t>Pick Efficiency Tier from drop down</t>
  </si>
  <si>
    <t>Pick Utility</t>
  </si>
  <si>
    <t>Dryer Type / DHW Fuel Type Distribution</t>
  </si>
  <si>
    <t>Lookup</t>
  </si>
  <si>
    <t>Res Interactive Effects</t>
  </si>
  <si>
    <t>Energy Consumption per year
Whole Building</t>
  </si>
  <si>
    <t>Small Office Interactive Effects</t>
  </si>
  <si>
    <t>source: DOE TSD 2014 (commercial clothes washers), Ch 7 page 7-6, http://www.regulations.gov/#!documentDetail;D=EERE-2012-BT-STD-0020-0036</t>
  </si>
  <si>
    <t>Base Case Clothes Washer Energy Consumption</t>
  </si>
  <si>
    <t>Measure Case Clothes Washer Energy Consumption</t>
  </si>
  <si>
    <t>Clothes Washer Energy Savings</t>
  </si>
  <si>
    <t>Unit in commercial facility (ie, salon)</t>
  </si>
  <si>
    <t>Unit in multifamily common area</t>
  </si>
  <si>
    <t>Conversion Formulas (from chapter 5 of 2012 Residential CWs DOE Technical Support Document)</t>
  </si>
  <si>
    <t>gas DHW</t>
  </si>
  <si>
    <t>electric DHW</t>
  </si>
  <si>
    <t>Select DHW fuel source</t>
  </si>
  <si>
    <t>all</t>
  </si>
  <si>
    <t>for</t>
  </si>
  <si>
    <t>Energy Star Most Efficient / CEE Tier 2</t>
  </si>
  <si>
    <t>CEE Tier 1</t>
  </si>
  <si>
    <t>Energy Star Most Efficient/ CEE Tier 2</t>
  </si>
  <si>
    <t>Energy Star/ CEE Tier 1</t>
  </si>
  <si>
    <t>SFM. MFM In-Unit</t>
  </si>
  <si>
    <t>MFM Common Area</t>
  </si>
  <si>
    <t>Nonres</t>
  </si>
  <si>
    <t>CDF:</t>
  </si>
  <si>
    <t>DEER coincident demand factor for individual dwelling installations. Source: http://energy.gov/eere/buildings/building-america-analysis-spreadsheets</t>
  </si>
  <si>
    <t>DEER coincident demand factor for multifamily common area. Source: http://energy.gov/eere/buildings/building-america-analysis-spreadsheets</t>
  </si>
  <si>
    <t>Energy Conservation Standards for Commercial Clothes Washers (Effective January 1, 2018)</t>
  </si>
  <si>
    <t>N/A</t>
  </si>
  <si>
    <t>Energy Conservation Standards for Residential Clothes Washers (Effective January 1,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</si>
</sst>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"/>
    <numFmt numFmtId="166" formatCode="0.0"/>
    <numFmt numFmtId="167" formatCode="0.000000"/>
    <numFmt numFmtId="168" formatCode="[$-409]mmmm\-yy;@"/>
  </numFmts>
  <fonts count="67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1"/>
      <color indexed="23"/>
      <name val="Calibri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2"/>
      <color theme="1"/>
      <name val="Arial"/>
      <family val="2"/>
    </font>
    <font>
      <b/>
      <sz val="10"/>
      <color rgb="FFFFFFFF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sz val="14"/>
      <color theme="1"/>
      <name val="Arial"/>
      <family val="2"/>
    </font>
    <font>
      <b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돋움"/>
      <family val="3"/>
    </font>
    <font>
      <u/>
      <sz val="10"/>
      <color indexed="12"/>
      <name val="Arial"/>
      <family val="2"/>
    </font>
    <font>
      <b/>
      <i/>
      <sz val="12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color theme="1"/>
      <name val="Arial"/>
      <family val="2"/>
    </font>
    <font>
      <vertAlign val="superscript"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i/>
      <sz val="11"/>
      <color rgb="FF0070C0"/>
      <name val="Calibri"/>
      <family val="2"/>
    </font>
    <font>
      <vertAlign val="subscript"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i/>
      <sz val="11"/>
      <color rgb="FF7F7F7F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</fonts>
  <fills count="7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gradientFill>
        <stop position="0">
          <color theme="0"/>
        </stop>
        <stop position="1">
          <color theme="4"/>
        </stop>
      </gradient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gradientFill degree="90">
        <stop position="0">
          <color theme="0"/>
        </stop>
        <stop position="1">
          <color theme="4"/>
        </stop>
      </gradient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rgb="FF000000"/>
      </left>
      <right style="medium">
        <color rgb="FF808080"/>
      </right>
      <top style="thin">
        <color rgb="FF00000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thin">
        <color rgb="FF000000"/>
      </top>
      <bottom style="medium">
        <color rgb="FF808080"/>
      </bottom>
      <diagonal/>
    </border>
    <border>
      <left style="medium">
        <color rgb="FF808080"/>
      </left>
      <right style="thin">
        <color rgb="FF000000"/>
      </right>
      <top style="thin">
        <color rgb="FF000000"/>
      </top>
      <bottom style="medium">
        <color rgb="FF808080"/>
      </bottom>
      <diagonal/>
    </border>
    <border>
      <left style="thin">
        <color rgb="FF00000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thin">
        <color rgb="FF000000"/>
      </right>
      <top style="medium">
        <color rgb="FF808080"/>
      </top>
      <bottom style="medium">
        <color rgb="FF808080"/>
      </bottom>
      <diagonal/>
    </border>
    <border>
      <left style="thin">
        <color rgb="FF000000"/>
      </left>
      <right style="medium">
        <color rgb="FF808080"/>
      </right>
      <top style="medium">
        <color rgb="FF808080"/>
      </top>
      <bottom style="thin">
        <color rgb="FF00000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thin">
        <color rgb="FF000000"/>
      </bottom>
      <diagonal/>
    </border>
    <border>
      <left style="medium">
        <color rgb="FF808080"/>
      </left>
      <right style="thin">
        <color rgb="FF000000"/>
      </right>
      <top style="medium">
        <color rgb="FF80808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98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25" fillId="0" borderId="0"/>
    <xf numFmtId="0" fontId="25" fillId="0" borderId="0" applyNumberFormat="0" applyFill="0" applyBorder="0" applyAlignment="0" applyProtection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5" fillId="0" borderId="0"/>
    <xf numFmtId="0" fontId="27" fillId="0" borderId="0">
      <alignment vertical="center"/>
    </xf>
    <xf numFmtId="0" fontId="25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6" fillId="0" borderId="0"/>
    <xf numFmtId="0" fontId="7" fillId="0" borderId="0" applyNumberFormat="0" applyFill="0" applyBorder="0" applyAlignment="0" applyProtection="0"/>
    <xf numFmtId="0" fontId="27" fillId="0" borderId="0">
      <alignment vertical="center"/>
    </xf>
    <xf numFmtId="0" fontId="6" fillId="0" borderId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9" borderId="0" applyNumberFormat="0" applyBorder="0" applyAlignment="0" applyProtection="0"/>
    <xf numFmtId="0" fontId="32" fillId="13" borderId="0" applyNumberFormat="0" applyBorder="0" applyAlignment="0" applyProtection="0"/>
    <xf numFmtId="0" fontId="33" fillId="30" borderId="70" applyNumberFormat="0" applyAlignment="0" applyProtection="0"/>
    <xf numFmtId="0" fontId="34" fillId="31" borderId="71" applyNumberFormat="0" applyAlignment="0" applyProtection="0"/>
    <xf numFmtId="44" fontId="7" fillId="0" borderId="0" applyFont="0" applyFill="0" applyBorder="0" applyAlignment="0" applyProtection="0"/>
    <xf numFmtId="0" fontId="35" fillId="14" borderId="0" applyNumberFormat="0" applyBorder="0" applyAlignment="0" applyProtection="0"/>
    <xf numFmtId="0" fontId="36" fillId="0" borderId="72" applyNumberFormat="0" applyFill="0" applyAlignment="0" applyProtection="0"/>
    <xf numFmtId="0" fontId="37" fillId="0" borderId="73" applyNumberFormat="0" applyFill="0" applyAlignment="0" applyProtection="0"/>
    <xf numFmtId="0" fontId="38" fillId="0" borderId="74" applyNumberFormat="0" applyFill="0" applyAlignment="0" applyProtection="0"/>
    <xf numFmtId="0" fontId="38" fillId="0" borderId="0" applyNumberFormat="0" applyFill="0" applyBorder="0" applyAlignment="0" applyProtection="0"/>
    <xf numFmtId="0" fontId="39" fillId="17" borderId="70" applyNumberFormat="0" applyAlignment="0" applyProtection="0"/>
    <xf numFmtId="0" fontId="40" fillId="0" borderId="75" applyNumberFormat="0" applyFill="0" applyAlignment="0" applyProtection="0"/>
    <xf numFmtId="0" fontId="41" fillId="3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33" borderId="76" applyNumberFormat="0" applyFont="0" applyAlignment="0" applyProtection="0"/>
    <xf numFmtId="0" fontId="42" fillId="30" borderId="77" applyNumberFormat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78" applyNumberFormat="0" applyFill="0" applyAlignment="0" applyProtection="0"/>
    <xf numFmtId="0" fontId="45" fillId="0" borderId="0" applyNumberFormat="0" applyFill="0" applyBorder="0" applyAlignment="0" applyProtection="0"/>
    <xf numFmtId="0" fontId="6" fillId="0" borderId="0"/>
    <xf numFmtId="0" fontId="25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25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5" fillId="0" borderId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 applyNumberFormat="0" applyFill="0" applyBorder="0" applyAlignment="0" applyProtection="0"/>
    <xf numFmtId="0" fontId="2" fillId="0" borderId="0"/>
    <xf numFmtId="0" fontId="51" fillId="0" borderId="0"/>
    <xf numFmtId="0" fontId="54" fillId="0" borderId="93" applyNumberFormat="0" applyFill="0" applyAlignment="0" applyProtection="0"/>
    <xf numFmtId="0" fontId="55" fillId="0" borderId="94" applyNumberFormat="0" applyFill="0" applyAlignment="0" applyProtection="0"/>
    <xf numFmtId="0" fontId="56" fillId="0" borderId="95" applyNumberFormat="0" applyFill="0" applyAlignment="0" applyProtection="0"/>
    <xf numFmtId="0" fontId="56" fillId="0" borderId="0" applyNumberFormat="0" applyFill="0" applyBorder="0" applyAlignment="0" applyProtection="0"/>
    <xf numFmtId="0" fontId="57" fillId="38" borderId="0" applyNumberFormat="0" applyBorder="0" applyAlignment="0" applyProtection="0"/>
    <xf numFmtId="0" fontId="58" fillId="39" borderId="0" applyNumberFormat="0" applyBorder="0" applyAlignment="0" applyProtection="0"/>
    <xf numFmtId="0" fontId="59" fillId="40" borderId="0" applyNumberFormat="0" applyBorder="0" applyAlignment="0" applyProtection="0"/>
    <xf numFmtId="0" fontId="60" fillId="41" borderId="96" applyNumberFormat="0" applyAlignment="0" applyProtection="0"/>
    <xf numFmtId="0" fontId="61" fillId="42" borderId="97" applyNumberFormat="0" applyAlignment="0" applyProtection="0"/>
    <xf numFmtId="0" fontId="62" fillId="42" borderId="96" applyNumberFormat="0" applyAlignment="0" applyProtection="0"/>
    <xf numFmtId="0" fontId="63" fillId="0" borderId="98" applyNumberFormat="0" applyFill="0" applyAlignment="0" applyProtection="0"/>
    <xf numFmtId="0" fontId="64" fillId="43" borderId="99" applyNumberFormat="0" applyAlignment="0" applyProtection="0"/>
    <xf numFmtId="0" fontId="12" fillId="0" borderId="0" applyNumberFormat="0" applyFill="0" applyBorder="0" applyAlignment="0" applyProtection="0"/>
    <xf numFmtId="0" fontId="51" fillId="44" borderId="100" applyNumberFormat="0" applyFont="0" applyAlignment="0" applyProtection="0"/>
    <xf numFmtId="0" fontId="65" fillId="0" borderId="0" applyNumberFormat="0" applyFill="0" applyBorder="0" applyAlignment="0" applyProtection="0"/>
    <xf numFmtId="0" fontId="11" fillId="0" borderId="101" applyNumberFormat="0" applyFill="0" applyAlignment="0" applyProtection="0"/>
    <xf numFmtId="0" fontId="66" fillId="45" borderId="0" applyNumberFormat="0" applyBorder="0" applyAlignment="0" applyProtection="0"/>
    <xf numFmtId="0" fontId="51" fillId="46" borderId="0" applyNumberFormat="0" applyBorder="0" applyAlignment="0" applyProtection="0"/>
    <xf numFmtId="0" fontId="51" fillId="47" borderId="0" applyNumberFormat="0" applyBorder="0" applyAlignment="0" applyProtection="0"/>
    <xf numFmtId="0" fontId="66" fillId="48" borderId="0" applyNumberFormat="0" applyBorder="0" applyAlignment="0" applyProtection="0"/>
    <xf numFmtId="0" fontId="66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51" borderId="0" applyNumberFormat="0" applyBorder="0" applyAlignment="0" applyProtection="0"/>
    <xf numFmtId="0" fontId="66" fillId="52" borderId="0" applyNumberFormat="0" applyBorder="0" applyAlignment="0" applyProtection="0"/>
    <xf numFmtId="0" fontId="66" fillId="53" borderId="0" applyNumberFormat="0" applyBorder="0" applyAlignment="0" applyProtection="0"/>
    <xf numFmtId="0" fontId="51" fillId="54" borderId="0" applyNumberFormat="0" applyBorder="0" applyAlignment="0" applyProtection="0"/>
    <xf numFmtId="0" fontId="51" fillId="55" borderId="0" applyNumberFormat="0" applyBorder="0" applyAlignment="0" applyProtection="0"/>
    <xf numFmtId="0" fontId="66" fillId="56" borderId="0" applyNumberFormat="0" applyBorder="0" applyAlignment="0" applyProtection="0"/>
    <xf numFmtId="0" fontId="66" fillId="57" borderId="0" applyNumberFormat="0" applyBorder="0" applyAlignment="0" applyProtection="0"/>
    <xf numFmtId="0" fontId="51" fillId="58" borderId="0" applyNumberFormat="0" applyBorder="0" applyAlignment="0" applyProtection="0"/>
    <xf numFmtId="0" fontId="51" fillId="59" borderId="0" applyNumberFormat="0" applyBorder="0" applyAlignment="0" applyProtection="0"/>
    <xf numFmtId="0" fontId="66" fillId="60" borderId="0" applyNumberFormat="0" applyBorder="0" applyAlignment="0" applyProtection="0"/>
    <xf numFmtId="0" fontId="66" fillId="61" borderId="0" applyNumberFormat="0" applyBorder="0" applyAlignment="0" applyProtection="0"/>
    <xf numFmtId="0" fontId="51" fillId="62" borderId="0" applyNumberFormat="0" applyBorder="0" applyAlignment="0" applyProtection="0"/>
    <xf numFmtId="0" fontId="51" fillId="63" borderId="0" applyNumberFormat="0" applyBorder="0" applyAlignment="0" applyProtection="0"/>
    <xf numFmtId="0" fontId="66" fillId="64" borderId="0" applyNumberFormat="0" applyBorder="0" applyAlignment="0" applyProtection="0"/>
    <xf numFmtId="0" fontId="66" fillId="65" borderId="0" applyNumberFormat="0" applyBorder="0" applyAlignment="0" applyProtection="0"/>
    <xf numFmtId="0" fontId="51" fillId="66" borderId="0" applyNumberFormat="0" applyBorder="0" applyAlignment="0" applyProtection="0"/>
    <xf numFmtId="0" fontId="51" fillId="67" borderId="0" applyNumberFormat="0" applyBorder="0" applyAlignment="0" applyProtection="0"/>
    <xf numFmtId="0" fontId="66" fillId="68" borderId="0" applyNumberFormat="0" applyBorder="0" applyAlignment="0" applyProtection="0"/>
    <xf numFmtId="0" fontId="2" fillId="0" borderId="0"/>
    <xf numFmtId="44" fontId="30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168" fontId="7" fillId="0" borderId="0"/>
    <xf numFmtId="168" fontId="30" fillId="13" borderId="0" applyNumberFormat="0" applyBorder="0" applyAlignment="0" applyProtection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30" fillId="15" borderId="0" applyNumberFormat="0" applyBorder="0" applyAlignment="0" applyProtection="0"/>
    <xf numFmtId="168" fontId="7" fillId="0" borderId="0"/>
    <xf numFmtId="168" fontId="7" fillId="0" borderId="0"/>
    <xf numFmtId="168" fontId="7" fillId="0" borderId="0"/>
    <xf numFmtId="168" fontId="7" fillId="0" borderId="0"/>
    <xf numFmtId="168" fontId="30" fillId="16" borderId="0" applyNumberFormat="0" applyBorder="0" applyAlignment="0" applyProtection="0"/>
    <xf numFmtId="168" fontId="7" fillId="0" borderId="0"/>
    <xf numFmtId="168" fontId="30" fillId="12" borderId="0" applyNumberFormat="0" applyBorder="0" applyAlignment="0" applyProtection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30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30" fillId="16" borderId="0" applyNumberFormat="0" applyBorder="0" applyAlignment="0" applyProtection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30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41" fillId="32" borderId="0" applyNumberFormat="0" applyBorder="0" applyAlignment="0" applyProtection="0"/>
    <xf numFmtId="168" fontId="41" fillId="32" borderId="0" applyNumberFormat="0" applyBorder="0" applyAlignment="0" applyProtection="0"/>
    <xf numFmtId="168" fontId="40" fillId="0" borderId="75" applyNumberFormat="0" applyFill="0" applyAlignment="0" applyProtection="0"/>
    <xf numFmtId="168" fontId="40" fillId="0" borderId="75" applyNumberFormat="0" applyFill="0" applyAlignment="0" applyProtection="0"/>
    <xf numFmtId="168" fontId="39" fillId="17" borderId="70" applyNumberFormat="0" applyAlignment="0" applyProtection="0"/>
    <xf numFmtId="168" fontId="39" fillId="17" borderId="70" applyNumberFormat="0" applyAlignment="0" applyProtection="0"/>
    <xf numFmtId="168" fontId="38" fillId="0" borderId="0" applyNumberFormat="0" applyFill="0" applyBorder="0" applyAlignment="0" applyProtection="0"/>
    <xf numFmtId="168" fontId="38" fillId="0" borderId="0" applyNumberFormat="0" applyFill="0" applyBorder="0" applyAlignment="0" applyProtection="0"/>
    <xf numFmtId="168" fontId="38" fillId="0" borderId="74" applyNumberFormat="0" applyFill="0" applyAlignment="0" applyProtection="0"/>
    <xf numFmtId="168" fontId="38" fillId="0" borderId="74" applyNumberFormat="0" applyFill="0" applyAlignment="0" applyProtection="0"/>
    <xf numFmtId="168" fontId="37" fillId="0" borderId="73" applyNumberFormat="0" applyFill="0" applyAlignment="0" applyProtection="0"/>
    <xf numFmtId="168" fontId="37" fillId="0" borderId="73" applyNumberFormat="0" applyFill="0" applyAlignment="0" applyProtection="0"/>
    <xf numFmtId="168" fontId="36" fillId="0" borderId="72" applyNumberFormat="0" applyFill="0" applyAlignment="0" applyProtection="0"/>
    <xf numFmtId="168" fontId="36" fillId="0" borderId="72" applyNumberFormat="0" applyFill="0" applyAlignment="0" applyProtection="0"/>
    <xf numFmtId="168" fontId="35" fillId="14" borderId="0" applyNumberFormat="0" applyBorder="0" applyAlignment="0" applyProtection="0"/>
    <xf numFmtId="168" fontId="35" fillId="14" borderId="0" applyNumberFormat="0" applyBorder="0" applyAlignment="0" applyProtection="0"/>
    <xf numFmtId="168" fontId="9" fillId="0" borderId="0" applyNumberFormat="0" applyFill="0" applyBorder="0" applyAlignment="0" applyProtection="0"/>
    <xf numFmtId="168" fontId="9" fillId="0" borderId="0" applyNumberFormat="0" applyFill="0" applyBorder="0" applyAlignment="0" applyProtection="0"/>
    <xf numFmtId="44" fontId="7" fillId="0" borderId="0" applyFont="0" applyFill="0" applyBorder="0" applyAlignment="0" applyProtection="0"/>
    <xf numFmtId="168" fontId="34" fillId="31" borderId="71" applyNumberFormat="0" applyAlignment="0" applyProtection="0"/>
    <xf numFmtId="168" fontId="34" fillId="31" borderId="71" applyNumberFormat="0" applyAlignment="0" applyProtection="0"/>
    <xf numFmtId="168" fontId="33" fillId="30" borderId="70" applyNumberFormat="0" applyAlignment="0" applyProtection="0"/>
    <xf numFmtId="168" fontId="33" fillId="30" borderId="70" applyNumberFormat="0" applyAlignment="0" applyProtection="0"/>
    <xf numFmtId="168" fontId="32" fillId="13" borderId="0" applyNumberFormat="0" applyBorder="0" applyAlignment="0" applyProtection="0"/>
    <xf numFmtId="168" fontId="32" fillId="13" borderId="0" applyNumberFormat="0" applyBorder="0" applyAlignment="0" applyProtection="0"/>
    <xf numFmtId="168" fontId="31" fillId="29" borderId="0" applyNumberFormat="0" applyBorder="0" applyAlignment="0" applyProtection="0"/>
    <xf numFmtId="168" fontId="31" fillId="29" borderId="0" applyNumberFormat="0" applyBorder="0" applyAlignment="0" applyProtection="0"/>
    <xf numFmtId="168" fontId="31" fillId="24" borderId="0" applyNumberFormat="0" applyBorder="0" applyAlignment="0" applyProtection="0"/>
    <xf numFmtId="168" fontId="31" fillId="24" borderId="0" applyNumberFormat="0" applyBorder="0" applyAlignment="0" applyProtection="0"/>
    <xf numFmtId="168" fontId="31" fillId="23" borderId="0" applyNumberFormat="0" applyBorder="0" applyAlignment="0" applyProtection="0"/>
    <xf numFmtId="168" fontId="31" fillId="23" borderId="0" applyNumberFormat="0" applyBorder="0" applyAlignment="0" applyProtection="0"/>
    <xf numFmtId="168" fontId="31" fillId="28" borderId="0" applyNumberFormat="0" applyBorder="0" applyAlignment="0" applyProtection="0"/>
    <xf numFmtId="168" fontId="31" fillId="28" borderId="0" applyNumberFormat="0" applyBorder="0" applyAlignment="0" applyProtection="0"/>
    <xf numFmtId="168" fontId="31" fillId="27" borderId="0" applyNumberFormat="0" applyBorder="0" applyAlignment="0" applyProtection="0"/>
    <xf numFmtId="168" fontId="31" fillId="27" borderId="0" applyNumberFormat="0" applyBorder="0" applyAlignment="0" applyProtection="0"/>
    <xf numFmtId="168" fontId="31" fillId="26" borderId="0" applyNumberFormat="0" applyBorder="0" applyAlignment="0" applyProtection="0"/>
    <xf numFmtId="168" fontId="31" fillId="26" borderId="0" applyNumberFormat="0" applyBorder="0" applyAlignment="0" applyProtection="0"/>
    <xf numFmtId="168" fontId="31" fillId="25" borderId="0" applyNumberFormat="0" applyBorder="0" applyAlignment="0" applyProtection="0"/>
    <xf numFmtId="168" fontId="31" fillId="25" borderId="0" applyNumberFormat="0" applyBorder="0" applyAlignment="0" applyProtection="0"/>
    <xf numFmtId="168" fontId="31" fillId="24" borderId="0" applyNumberFormat="0" applyBorder="0" applyAlignment="0" applyProtection="0"/>
    <xf numFmtId="168" fontId="31" fillId="24" borderId="0" applyNumberFormat="0" applyBorder="0" applyAlignment="0" applyProtection="0"/>
    <xf numFmtId="168" fontId="31" fillId="23" borderId="0" applyNumberFormat="0" applyBorder="0" applyAlignment="0" applyProtection="0"/>
    <xf numFmtId="168" fontId="31" fillId="23" borderId="0" applyNumberFormat="0" applyBorder="0" applyAlignment="0" applyProtection="0"/>
    <xf numFmtId="168" fontId="31" fillId="20" borderId="0" applyNumberFormat="0" applyBorder="0" applyAlignment="0" applyProtection="0"/>
    <xf numFmtId="168" fontId="31" fillId="20" borderId="0" applyNumberFormat="0" applyBorder="0" applyAlignment="0" applyProtection="0"/>
    <xf numFmtId="168" fontId="31" fillId="19" borderId="0" applyNumberFormat="0" applyBorder="0" applyAlignment="0" applyProtection="0"/>
    <xf numFmtId="168" fontId="31" fillId="19" borderId="0" applyNumberFormat="0" applyBorder="0" applyAlignment="0" applyProtection="0"/>
    <xf numFmtId="168" fontId="31" fillId="22" borderId="0" applyNumberFormat="0" applyBorder="0" applyAlignment="0" applyProtection="0"/>
    <xf numFmtId="168" fontId="31" fillId="22" borderId="0" applyNumberFormat="0" applyBorder="0" applyAlignment="0" applyProtection="0"/>
    <xf numFmtId="168" fontId="30" fillId="21" borderId="0" applyNumberFormat="0" applyBorder="0" applyAlignment="0" applyProtection="0"/>
    <xf numFmtId="168" fontId="30" fillId="21" borderId="0" applyNumberFormat="0" applyBorder="0" applyAlignment="0" applyProtection="0"/>
    <xf numFmtId="168" fontId="30" fillId="18" borderId="0" applyNumberFormat="0" applyBorder="0" applyAlignment="0" applyProtection="0"/>
    <xf numFmtId="168" fontId="30" fillId="18" borderId="0" applyNumberFormat="0" applyBorder="0" applyAlignment="0" applyProtection="0"/>
    <xf numFmtId="168" fontId="30" fillId="15" borderId="0" applyNumberFormat="0" applyBorder="0" applyAlignment="0" applyProtection="0"/>
    <xf numFmtId="168" fontId="30" fillId="15" borderId="0" applyNumberFormat="0" applyBorder="0" applyAlignment="0" applyProtection="0"/>
    <xf numFmtId="168" fontId="30" fillId="20" borderId="0" applyNumberFormat="0" applyBorder="0" applyAlignment="0" applyProtection="0"/>
    <xf numFmtId="168" fontId="30" fillId="20" borderId="0" applyNumberFormat="0" applyBorder="0" applyAlignment="0" applyProtection="0"/>
    <xf numFmtId="168" fontId="30" fillId="19" borderId="0" applyNumberFormat="0" applyBorder="0" applyAlignment="0" applyProtection="0"/>
    <xf numFmtId="168" fontId="30" fillId="19" borderId="0" applyNumberFormat="0" applyBorder="0" applyAlignment="0" applyProtection="0"/>
    <xf numFmtId="168" fontId="30" fillId="18" borderId="0" applyNumberFormat="0" applyBorder="0" applyAlignment="0" applyProtection="0"/>
    <xf numFmtId="168" fontId="30" fillId="18" borderId="0" applyNumberFormat="0" applyBorder="0" applyAlignment="0" applyProtection="0"/>
    <xf numFmtId="168" fontId="30" fillId="17" borderId="0" applyNumberFormat="0" applyBorder="0" applyAlignment="0" applyProtection="0"/>
    <xf numFmtId="168" fontId="30" fillId="17" borderId="0" applyNumberFormat="0" applyBorder="0" applyAlignment="0" applyProtection="0"/>
    <xf numFmtId="168" fontId="30" fillId="15" borderId="0" applyNumberFormat="0" applyBorder="0" applyAlignment="0" applyProtection="0"/>
    <xf numFmtId="168" fontId="30" fillId="14" borderId="0" applyNumberFormat="0" applyBorder="0" applyAlignment="0" applyProtection="0"/>
    <xf numFmtId="168" fontId="30" fillId="14" borderId="0" applyNumberFormat="0" applyBorder="0" applyAlignment="0" applyProtection="0"/>
    <xf numFmtId="168" fontId="30" fillId="13" borderId="0" applyNumberFormat="0" applyBorder="0" applyAlignment="0" applyProtection="0"/>
    <xf numFmtId="168" fontId="30" fillId="12" borderId="0" applyNumberFormat="0" applyBorder="0" applyAlignment="0" applyProtection="0"/>
    <xf numFmtId="168" fontId="51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7" fillId="0" borderId="0"/>
    <xf numFmtId="168" fontId="30" fillId="0" borderId="0"/>
    <xf numFmtId="168" fontId="30" fillId="0" borderId="0"/>
    <xf numFmtId="168" fontId="30" fillId="0" borderId="0"/>
    <xf numFmtId="168" fontId="30" fillId="0" borderId="0"/>
    <xf numFmtId="168" fontId="30" fillId="0" borderId="0"/>
    <xf numFmtId="168" fontId="30" fillId="0" borderId="0"/>
    <xf numFmtId="168" fontId="7" fillId="0" borderId="0"/>
    <xf numFmtId="168" fontId="30" fillId="33" borderId="76" applyNumberFormat="0" applyFont="0" applyAlignment="0" applyProtection="0"/>
    <xf numFmtId="168" fontId="7" fillId="33" borderId="76" applyNumberFormat="0" applyFont="0" applyAlignment="0" applyProtection="0"/>
    <xf numFmtId="168" fontId="42" fillId="30" borderId="77" applyNumberFormat="0" applyAlignment="0" applyProtection="0"/>
    <xf numFmtId="168" fontId="42" fillId="30" borderId="77" applyNumberFormat="0" applyAlignment="0" applyProtection="0"/>
    <xf numFmtId="168" fontId="43" fillId="0" borderId="0" applyNumberFormat="0" applyFill="0" applyBorder="0" applyAlignment="0" applyProtection="0"/>
    <xf numFmtId="168" fontId="43" fillId="0" borderId="0" applyNumberFormat="0" applyFill="0" applyBorder="0" applyAlignment="0" applyProtection="0"/>
    <xf numFmtId="168" fontId="44" fillId="0" borderId="78" applyNumberFormat="0" applyFill="0" applyAlignment="0" applyProtection="0"/>
    <xf numFmtId="168" fontId="44" fillId="0" borderId="78" applyNumberFormat="0" applyFill="0" applyAlignment="0" applyProtection="0"/>
    <xf numFmtId="168" fontId="45" fillId="0" borderId="0" applyNumberFormat="0" applyFill="0" applyBorder="0" applyAlignment="0" applyProtection="0"/>
    <xf numFmtId="168" fontId="45" fillId="0" borderId="0" applyNumberFormat="0" applyFill="0" applyBorder="0" applyAlignment="0" applyProtection="0"/>
    <xf numFmtId="168" fontId="51" fillId="0" borderId="0"/>
    <xf numFmtId="168" fontId="2" fillId="0" borderId="0"/>
    <xf numFmtId="43" fontId="2" fillId="0" borderId="0" applyFont="0" applyFill="0" applyBorder="0" applyAlignment="0" applyProtection="0"/>
    <xf numFmtId="168" fontId="53" fillId="0" borderId="0" applyNumberFormat="0" applyFill="0" applyBorder="0" applyAlignment="0" applyProtection="0"/>
    <xf numFmtId="168" fontId="30" fillId="0" borderId="0"/>
    <xf numFmtId="168" fontId="30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9" fontId="2" fillId="0" borderId="0" applyFont="0" applyFill="0" applyBorder="0" applyAlignment="0" applyProtection="0"/>
    <xf numFmtId="168" fontId="7" fillId="0" borderId="0"/>
    <xf numFmtId="44" fontId="7" fillId="0" borderId="0" applyFont="0" applyFill="0" applyBorder="0" applyAlignment="0" applyProtection="0"/>
    <xf numFmtId="168" fontId="30" fillId="0" borderId="0"/>
    <xf numFmtId="168" fontId="30" fillId="0" borderId="0"/>
    <xf numFmtId="168" fontId="30" fillId="0" borderId="0"/>
    <xf numFmtId="168" fontId="30" fillId="0" borderId="0"/>
    <xf numFmtId="168" fontId="30" fillId="0" borderId="0"/>
    <xf numFmtId="168" fontId="30" fillId="33" borderId="76" applyNumberFormat="0" applyFont="0" applyAlignment="0" applyProtection="0"/>
    <xf numFmtId="168" fontId="51" fillId="0" borderId="0"/>
    <xf numFmtId="168" fontId="7" fillId="0" borderId="0"/>
    <xf numFmtId="168" fontId="51" fillId="0" borderId="0"/>
    <xf numFmtId="0" fontId="51" fillId="0" borderId="0"/>
    <xf numFmtId="0" fontId="51" fillId="0" borderId="0"/>
    <xf numFmtId="0" fontId="51" fillId="0" borderId="0"/>
    <xf numFmtId="168" fontId="51" fillId="0" borderId="0"/>
    <xf numFmtId="168" fontId="51" fillId="0" borderId="0"/>
    <xf numFmtId="0" fontId="51" fillId="0" borderId="0"/>
    <xf numFmtId="0" fontId="2" fillId="0" borderId="0"/>
    <xf numFmtId="0" fontId="2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168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548">
    <xf numFmtId="0" fontId="0" fillId="0" borderId="0" xfId="0"/>
    <xf numFmtId="0" fontId="0" fillId="0" borderId="0" xfId="0" applyAlignment="1">
      <alignment horizontal="center"/>
    </xf>
    <xf numFmtId="44" fontId="0" fillId="0" borderId="0" xfId="0" applyNumberFormat="1"/>
    <xf numFmtId="0" fontId="11" fillId="2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Alignment="1"/>
    <xf numFmtId="0" fontId="8" fillId="4" borderId="0" xfId="3" applyFont="1" applyFill="1" applyAlignment="1">
      <alignment vertical="center"/>
    </xf>
    <xf numFmtId="0" fontId="7" fillId="4" borderId="0" xfId="3" applyFill="1" applyAlignment="1">
      <alignment vertical="center"/>
    </xf>
    <xf numFmtId="2" fontId="0" fillId="0" borderId="2" xfId="0" applyNumberFormat="1" applyFill="1" applyBorder="1" applyAlignment="1">
      <alignment horizontal="center"/>
    </xf>
    <xf numFmtId="0" fontId="13" fillId="0" borderId="0" xfId="0" applyFont="1" applyAlignment="1">
      <alignment horizontal="right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center" wrapText="1"/>
    </xf>
    <xf numFmtId="2" fontId="0" fillId="0" borderId="4" xfId="0" applyNumberFormat="1" applyFill="1" applyBorder="1" applyAlignment="1">
      <alignment horizontal="center" wrapText="1"/>
    </xf>
    <xf numFmtId="0" fontId="8" fillId="5" borderId="2" xfId="3" applyFont="1" applyFill="1" applyBorder="1" applyAlignment="1">
      <alignment vertical="center" wrapText="1"/>
    </xf>
    <xf numFmtId="0" fontId="7" fillId="5" borderId="1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center" wrapText="1"/>
    </xf>
    <xf numFmtId="9" fontId="7" fillId="0" borderId="1" xfId="3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 wrapText="1"/>
    </xf>
    <xf numFmtId="2" fontId="0" fillId="0" borderId="10" xfId="0" applyNumberFormat="1" applyFill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2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3"/>
    <xf numFmtId="0" fontId="7" fillId="0" borderId="0" xfId="3" applyFont="1"/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/>
    <xf numFmtId="0" fontId="19" fillId="0" borderId="0" xfId="2" applyFont="1" applyAlignment="1">
      <alignment horizontal="left"/>
    </xf>
    <xf numFmtId="164" fontId="0" fillId="3" borderId="13" xfId="0" applyNumberForma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center" vertical="center"/>
    </xf>
    <xf numFmtId="0" fontId="20" fillId="0" borderId="0" xfId="0" applyFont="1" applyAlignment="1"/>
    <xf numFmtId="0" fontId="18" fillId="0" borderId="0" xfId="0" applyFont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21" fillId="2" borderId="21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vertical="center"/>
    </xf>
    <xf numFmtId="164" fontId="22" fillId="0" borderId="16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165" fontId="22" fillId="0" borderId="13" xfId="0" applyNumberFormat="1" applyFont="1" applyFill="1" applyBorder="1" applyAlignment="1">
      <alignment horizontal="center" vertical="center"/>
    </xf>
    <xf numFmtId="164" fontId="22" fillId="0" borderId="14" xfId="0" applyNumberFormat="1" applyFont="1" applyFill="1" applyBorder="1" applyAlignment="1">
      <alignment horizontal="center" vertical="center"/>
    </xf>
    <xf numFmtId="164" fontId="22" fillId="0" borderId="13" xfId="0" applyNumberFormat="1" applyFont="1" applyFill="1" applyBorder="1" applyAlignment="1">
      <alignment horizontal="center" vertical="center"/>
    </xf>
    <xf numFmtId="165" fontId="0" fillId="3" borderId="15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1" fillId="0" borderId="0" xfId="0" applyFont="1" applyFill="1" applyBorder="1" applyAlignment="1">
      <alignment horizontal="left" vertical="center"/>
    </xf>
    <xf numFmtId="0" fontId="11" fillId="2" borderId="44" xfId="0" applyFont="1" applyFill="1" applyBorder="1" applyAlignment="1">
      <alignment vertical="center"/>
    </xf>
    <xf numFmtId="0" fontId="11" fillId="2" borderId="23" xfId="0" applyFont="1" applyFill="1" applyBorder="1" applyAlignment="1">
      <alignment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0" fillId="0" borderId="23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24" xfId="0" applyBorder="1" applyAlignment="1">
      <alignment horizontal="right" vertical="center"/>
    </xf>
    <xf numFmtId="0" fontId="0" fillId="0" borderId="45" xfId="0" applyBorder="1" applyAlignment="1">
      <alignment horizontal="center" vertical="center"/>
    </xf>
    <xf numFmtId="0" fontId="0" fillId="0" borderId="24" xfId="0" applyBorder="1" applyAlignment="1">
      <alignment horizontal="right" vertical="center" wrapText="1"/>
    </xf>
    <xf numFmtId="0" fontId="15" fillId="0" borderId="0" xfId="0" applyFont="1"/>
    <xf numFmtId="164" fontId="0" fillId="0" borderId="15" xfId="0" applyNumberFormat="1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1" fillId="2" borderId="19" xfId="0" applyFont="1" applyFill="1" applyBorder="1" applyAlignment="1">
      <alignment horizontal="center" vertical="center" wrapText="1"/>
    </xf>
    <xf numFmtId="0" fontId="21" fillId="2" borderId="46" xfId="0" applyFont="1" applyFill="1" applyBorder="1" applyAlignment="1">
      <alignment horizontal="center" vertical="center" wrapText="1"/>
    </xf>
    <xf numFmtId="164" fontId="22" fillId="0" borderId="2" xfId="0" applyNumberFormat="1" applyFont="1" applyFill="1" applyBorder="1" applyAlignment="1">
      <alignment horizontal="center" vertical="center"/>
    </xf>
    <xf numFmtId="164" fontId="22" fillId="0" borderId="47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164" fontId="22" fillId="0" borderId="19" xfId="0" applyNumberFormat="1" applyFont="1" applyFill="1" applyBorder="1" applyAlignment="1">
      <alignment horizontal="center" vertical="center"/>
    </xf>
    <xf numFmtId="164" fontId="22" fillId="0" borderId="15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1" xfId="0" applyFill="1" applyBorder="1" applyAlignment="1">
      <alignment horizontal="center"/>
    </xf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2" fontId="0" fillId="11" borderId="0" xfId="0" applyNumberFormat="1" applyFill="1" applyAlignment="1">
      <alignment horizontal="center"/>
    </xf>
    <xf numFmtId="164" fontId="0" fillId="11" borderId="0" xfId="0" applyNumberFormat="1" applyFill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3" fillId="0" borderId="0" xfId="0" applyFont="1" applyAlignment="1">
      <alignment horizontal="left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center" wrapText="1"/>
    </xf>
    <xf numFmtId="2" fontId="0" fillId="0" borderId="4" xfId="0" applyNumberFormat="1" applyFill="1" applyBorder="1" applyAlignment="1">
      <alignment horizontal="center" wrapText="1"/>
    </xf>
    <xf numFmtId="2" fontId="0" fillId="0" borderId="6" xfId="0" applyNumberFormat="1" applyFill="1" applyBorder="1" applyAlignment="1">
      <alignment horizontal="center" wrapText="1"/>
    </xf>
    <xf numFmtId="2" fontId="0" fillId="0" borderId="7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 wrapText="1"/>
    </xf>
    <xf numFmtId="2" fontId="0" fillId="0" borderId="10" xfId="0" applyNumberFormat="1" applyFill="1" applyBorder="1" applyAlignment="1">
      <alignment horizontal="center" wrapText="1"/>
    </xf>
    <xf numFmtId="2" fontId="0" fillId="0" borderId="12" xfId="0" applyNumberFormat="1" applyFill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/>
    <xf numFmtId="0" fontId="19" fillId="0" borderId="0" xfId="2" applyFont="1" applyAlignment="1">
      <alignment horizontal="left"/>
    </xf>
    <xf numFmtId="2" fontId="0" fillId="0" borderId="0" xfId="0" applyNumberFormat="1" applyAlignment="1">
      <alignment horizontal="center"/>
    </xf>
    <xf numFmtId="0" fontId="0" fillId="3" borderId="0" xfId="0" applyFill="1"/>
    <xf numFmtId="0" fontId="0" fillId="11" borderId="0" xfId="0" applyFill="1"/>
    <xf numFmtId="0" fontId="11" fillId="2" borderId="1" xfId="0" applyFont="1" applyFill="1" applyBorder="1" applyAlignment="1">
      <alignment horizontal="center"/>
    </xf>
    <xf numFmtId="0" fontId="29" fillId="0" borderId="0" xfId="0" applyFont="1"/>
    <xf numFmtId="164" fontId="0" fillId="0" borderId="6" xfId="0" applyNumberFormat="1" applyBorder="1" applyAlignment="1">
      <alignment horizontal="center" vertical="center"/>
    </xf>
    <xf numFmtId="0" fontId="11" fillId="2" borderId="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wrapText="1"/>
    </xf>
    <xf numFmtId="2" fontId="0" fillId="0" borderId="7" xfId="0" applyNumberFormat="1" applyBorder="1" applyAlignment="1">
      <alignment horizontal="center" vertical="center"/>
    </xf>
    <xf numFmtId="0" fontId="21" fillId="0" borderId="81" xfId="0" applyFont="1" applyFill="1" applyBorder="1" applyAlignment="1">
      <alignment horizontal="center" vertical="center" wrapText="1"/>
    </xf>
    <xf numFmtId="0" fontId="21" fillId="0" borderId="82" xfId="0" applyFont="1" applyFill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0" fontId="0" fillId="0" borderId="0" xfId="0" applyFill="1"/>
    <xf numFmtId="0" fontId="27" fillId="0" borderId="0" xfId="11">
      <alignment vertical="center"/>
    </xf>
    <xf numFmtId="167" fontId="25" fillId="0" borderId="0" xfId="2023" applyNumberFormat="1" applyFill="1" applyAlignment="1">
      <alignment horizontal="center" vertical="center"/>
    </xf>
    <xf numFmtId="164" fontId="13" fillId="0" borderId="5" xfId="0" applyNumberFormat="1" applyFont="1" applyFill="1" applyBorder="1" applyAlignment="1">
      <alignment horizontal="center" wrapText="1"/>
    </xf>
    <xf numFmtId="164" fontId="13" fillId="0" borderId="11" xfId="0" applyNumberFormat="1" applyFont="1" applyFill="1" applyBorder="1" applyAlignment="1">
      <alignment horizontal="center" wrapText="1"/>
    </xf>
    <xf numFmtId="164" fontId="13" fillId="0" borderId="2" xfId="0" applyNumberFormat="1" applyFont="1" applyFill="1" applyBorder="1" applyAlignment="1">
      <alignment horizontal="center" wrapText="1"/>
    </xf>
    <xf numFmtId="164" fontId="13" fillId="0" borderId="8" xfId="0" applyNumberFormat="1" applyFont="1" applyFill="1" applyBorder="1" applyAlignment="1">
      <alignment horizontal="center" wrapText="1"/>
    </xf>
    <xf numFmtId="164" fontId="13" fillId="0" borderId="6" xfId="0" applyNumberFormat="1" applyFont="1" applyFill="1" applyBorder="1" applyAlignment="1">
      <alignment horizontal="center" wrapText="1"/>
    </xf>
    <xf numFmtId="164" fontId="13" fillId="0" borderId="12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13" fillId="0" borderId="0" xfId="0" applyFont="1" applyAlignment="1">
      <alignment wrapText="1"/>
    </xf>
    <xf numFmtId="164" fontId="13" fillId="0" borderId="0" xfId="0" applyNumberFormat="1" applyFont="1"/>
    <xf numFmtId="165" fontId="13" fillId="0" borderId="0" xfId="0" applyNumberFormat="1" applyFont="1" applyAlignment="1">
      <alignment horizontal="right" wrapText="1"/>
    </xf>
    <xf numFmtId="0" fontId="13" fillId="0" borderId="0" xfId="0" applyFont="1"/>
    <xf numFmtId="0" fontId="0" fillId="34" borderId="1" xfId="0" applyFill="1" applyBorder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Border="1"/>
    <xf numFmtId="0" fontId="11" fillId="0" borderId="1" xfId="0" applyFont="1" applyBorder="1"/>
    <xf numFmtId="0" fontId="0" fillId="0" borderId="0" xfId="0" applyBorder="1"/>
    <xf numFmtId="0" fontId="46" fillId="0" borderId="0" xfId="0" applyFont="1"/>
    <xf numFmtId="0" fontId="11" fillId="0" borderId="0" xfId="0" applyFont="1"/>
    <xf numFmtId="0" fontId="0" fillId="0" borderId="1" xfId="0" applyFill="1" applyBorder="1"/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2" fontId="0" fillId="0" borderId="1" xfId="0" applyNumberFormat="1" applyBorder="1"/>
    <xf numFmtId="166" fontId="0" fillId="0" borderId="0" xfId="0" applyNumberFormat="1"/>
    <xf numFmtId="166" fontId="0" fillId="0" borderId="1" xfId="0" applyNumberFormat="1" applyBorder="1"/>
    <xf numFmtId="0" fontId="0" fillId="3" borderId="0" xfId="0" applyFill="1"/>
    <xf numFmtId="0" fontId="0" fillId="0" borderId="1" xfId="0" applyBorder="1"/>
    <xf numFmtId="0" fontId="0" fillId="35" borderId="1" xfId="0" applyFill="1" applyBorder="1"/>
    <xf numFmtId="2" fontId="0" fillId="3" borderId="0" xfId="0" applyNumberFormat="1" applyFill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0" fillId="0" borderId="3" xfId="0" applyNumberFormat="1" applyFill="1" applyBorder="1" applyAlignment="1">
      <alignment horizontal="center" wrapText="1"/>
    </xf>
    <xf numFmtId="2" fontId="0" fillId="0" borderId="6" xfId="0" applyNumberFormat="1" applyFill="1" applyBorder="1" applyAlignment="1">
      <alignment horizontal="center" wrapText="1"/>
    </xf>
    <xf numFmtId="2" fontId="0" fillId="0" borderId="7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 wrapText="1"/>
    </xf>
    <xf numFmtId="2" fontId="0" fillId="0" borderId="10" xfId="0" applyNumberFormat="1" applyFill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10" xfId="0" applyBorder="1" applyAlignment="1">
      <alignment wrapText="1"/>
    </xf>
    <xf numFmtId="2" fontId="0" fillId="0" borderId="12" xfId="0" applyNumberForma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165" fontId="22" fillId="0" borderId="1" xfId="0" applyNumberFormat="1" applyFont="1" applyFill="1" applyBorder="1" applyAlignment="1">
      <alignment horizontal="center" vertical="center"/>
    </xf>
    <xf numFmtId="164" fontId="22" fillId="0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Fill="1" applyBorder="1" applyAlignment="1">
      <alignment horizontal="center" vertical="center"/>
    </xf>
    <xf numFmtId="164" fontId="22" fillId="0" borderId="1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164" fontId="22" fillId="0" borderId="19" xfId="0" applyNumberFormat="1" applyFont="1" applyFill="1" applyBorder="1" applyAlignment="1">
      <alignment horizontal="center" vertical="center"/>
    </xf>
    <xf numFmtId="164" fontId="22" fillId="0" borderId="15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2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10" fontId="0" fillId="11" borderId="1" xfId="0" applyNumberFormat="1" applyFill="1" applyBorder="1" applyAlignment="1">
      <alignment horizontal="center"/>
    </xf>
    <xf numFmtId="0" fontId="0" fillId="11" borderId="0" xfId="0" applyFill="1" applyAlignment="1">
      <alignment horizontal="center"/>
    </xf>
    <xf numFmtId="9" fontId="0" fillId="0" borderId="1" xfId="0" applyNumberFormat="1" applyBorder="1"/>
    <xf numFmtId="0" fontId="0" fillId="37" borderId="1" xfId="0" applyFill="1" applyBorder="1"/>
    <xf numFmtId="0" fontId="0" fillId="34" borderId="1" xfId="0" applyFill="1" applyBorder="1" applyAlignment="1">
      <alignment wrapText="1"/>
    </xf>
    <xf numFmtId="0" fontId="11" fillId="0" borderId="0" xfId="0" applyFont="1" applyBorder="1"/>
    <xf numFmtId="0" fontId="0" fillId="0" borderId="1" xfId="0" applyBorder="1" applyAlignment="1">
      <alignment vertical="center"/>
    </xf>
    <xf numFmtId="167" fontId="8" fillId="2" borderId="1" xfId="2023" applyNumberFormat="1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3" fillId="3" borderId="0" xfId="2056" applyNumberFormat="1" applyFill="1" applyBorder="1" applyAlignment="1">
      <alignment horizontal="center"/>
    </xf>
    <xf numFmtId="0" fontId="3" fillId="3" borderId="32" xfId="2056" applyNumberFormat="1" applyFill="1" applyBorder="1" applyAlignment="1">
      <alignment horizontal="center"/>
    </xf>
    <xf numFmtId="0" fontId="3" fillId="3" borderId="0" xfId="2056" applyFill="1" applyBorder="1" applyAlignment="1">
      <alignment horizontal="center"/>
    </xf>
    <xf numFmtId="0" fontId="3" fillId="3" borderId="34" xfId="2056" applyFill="1" applyBorder="1" applyAlignment="1">
      <alignment horizontal="center"/>
    </xf>
    <xf numFmtId="0" fontId="3" fillId="3" borderId="34" xfId="2056" applyNumberFormat="1" applyFill="1" applyBorder="1" applyAlignment="1">
      <alignment horizontal="center"/>
    </xf>
    <xf numFmtId="0" fontId="3" fillId="3" borderId="37" xfId="2056" applyNumberFormat="1" applyFill="1" applyBorder="1" applyAlignment="1">
      <alignment horizontal="center"/>
    </xf>
    <xf numFmtId="0" fontId="3" fillId="3" borderId="0" xfId="2068" applyFill="1" applyBorder="1" applyAlignment="1">
      <alignment horizontal="center"/>
    </xf>
    <xf numFmtId="0" fontId="3" fillId="3" borderId="34" xfId="2068" applyFill="1" applyBorder="1" applyAlignment="1">
      <alignment horizontal="center"/>
    </xf>
    <xf numFmtId="0" fontId="3" fillId="3" borderId="0" xfId="2068" applyNumberFormat="1" applyFill="1" applyBorder="1" applyAlignment="1">
      <alignment horizontal="center"/>
    </xf>
    <xf numFmtId="0" fontId="3" fillId="3" borderId="32" xfId="2068" applyNumberFormat="1" applyFill="1" applyBorder="1" applyAlignment="1">
      <alignment horizontal="center"/>
    </xf>
    <xf numFmtId="0" fontId="3" fillId="3" borderId="34" xfId="2068" applyNumberFormat="1" applyFill="1" applyBorder="1" applyAlignment="1">
      <alignment horizontal="center"/>
    </xf>
    <xf numFmtId="0" fontId="3" fillId="3" borderId="37" xfId="2068" applyNumberFormat="1" applyFill="1" applyBorder="1" applyAlignment="1">
      <alignment horizontal="center"/>
    </xf>
    <xf numFmtId="0" fontId="3" fillId="3" borderId="0" xfId="2066" applyFill="1" applyBorder="1" applyAlignment="1">
      <alignment horizontal="center"/>
    </xf>
    <xf numFmtId="0" fontId="3" fillId="3" borderId="34" xfId="2066" applyFill="1" applyBorder="1" applyAlignment="1">
      <alignment horizontal="center"/>
    </xf>
    <xf numFmtId="0" fontId="3" fillId="3" borderId="0" xfId="2066" applyNumberFormat="1" applyFill="1" applyBorder="1" applyAlignment="1">
      <alignment horizontal="center"/>
    </xf>
    <xf numFmtId="0" fontId="3" fillId="3" borderId="32" xfId="2066" applyNumberFormat="1" applyFill="1" applyBorder="1" applyAlignment="1">
      <alignment horizontal="center"/>
    </xf>
    <xf numFmtId="0" fontId="3" fillId="3" borderId="34" xfId="2066" applyNumberFormat="1" applyFill="1" applyBorder="1" applyAlignment="1">
      <alignment horizontal="center"/>
    </xf>
    <xf numFmtId="0" fontId="12" fillId="6" borderId="59" xfId="0" applyFont="1" applyFill="1" applyBorder="1" applyAlignment="1">
      <alignment horizontal="right" vertical="center" wrapText="1"/>
    </xf>
    <xf numFmtId="10" fontId="0" fillId="6" borderId="59" xfId="0" applyNumberFormat="1" applyFill="1" applyBorder="1" applyAlignment="1">
      <alignment horizontal="right" vertical="center" wrapText="1"/>
    </xf>
    <xf numFmtId="3" fontId="0" fillId="7" borderId="59" xfId="0" applyNumberFormat="1" applyFill="1" applyBorder="1" applyAlignment="1">
      <alignment horizontal="right" vertical="center" wrapText="1"/>
    </xf>
    <xf numFmtId="0" fontId="16" fillId="8" borderId="60" xfId="0" applyFont="1" applyFill="1" applyBorder="1" applyAlignment="1">
      <alignment vertical="center" wrapText="1"/>
    </xf>
    <xf numFmtId="0" fontId="16" fillId="8" borderId="61" xfId="0" applyFont="1" applyFill="1" applyBorder="1" applyAlignment="1">
      <alignment horizontal="right" vertical="center" wrapText="1"/>
    </xf>
    <xf numFmtId="0" fontId="16" fillId="8" borderId="62" xfId="0" applyFont="1" applyFill="1" applyBorder="1" applyAlignment="1">
      <alignment horizontal="right" vertical="center" wrapText="1"/>
    </xf>
    <xf numFmtId="0" fontId="0" fillId="6" borderId="63" xfId="0" applyFill="1" applyBorder="1" applyAlignment="1">
      <alignment vertical="center" wrapText="1"/>
    </xf>
    <xf numFmtId="3" fontId="0" fillId="9" borderId="64" xfId="0" applyNumberFormat="1" applyFill="1" applyBorder="1" applyAlignment="1">
      <alignment horizontal="right" vertical="center" wrapText="1"/>
    </xf>
    <xf numFmtId="9" fontId="0" fillId="9" borderId="64" xfId="0" applyNumberFormat="1" applyFill="1" applyBorder="1" applyAlignment="1">
      <alignment horizontal="right" vertical="center" wrapText="1"/>
    </xf>
    <xf numFmtId="0" fontId="0" fillId="9" borderId="64" xfId="0" applyFill="1" applyBorder="1" applyAlignment="1">
      <alignment horizontal="right" vertical="center" wrapText="1"/>
    </xf>
    <xf numFmtId="0" fontId="0" fillId="7" borderId="63" xfId="0" applyFill="1" applyBorder="1" applyAlignment="1">
      <alignment vertical="center" wrapText="1"/>
    </xf>
    <xf numFmtId="3" fontId="0" fillId="7" borderId="64" xfId="0" applyNumberFormat="1" applyFill="1" applyBorder="1" applyAlignment="1">
      <alignment horizontal="right" vertical="center" wrapText="1"/>
    </xf>
    <xf numFmtId="0" fontId="0" fillId="7" borderId="65" xfId="0" applyFill="1" applyBorder="1" applyAlignment="1">
      <alignment vertical="center" wrapText="1"/>
    </xf>
    <xf numFmtId="10" fontId="0" fillId="7" borderId="66" xfId="0" applyNumberFormat="1" applyFill="1" applyBorder="1" applyAlignment="1">
      <alignment horizontal="right" vertical="center" wrapText="1"/>
    </xf>
    <xf numFmtId="9" fontId="0" fillId="7" borderId="67" xfId="0" applyNumberFormat="1" applyFill="1" applyBorder="1" applyAlignment="1">
      <alignment horizontal="right" vertical="center" wrapText="1"/>
    </xf>
    <xf numFmtId="0" fontId="0" fillId="0" borderId="1" xfId="0" applyFill="1" applyBorder="1" applyAlignment="1">
      <alignment vertical="center" wrapText="1"/>
    </xf>
    <xf numFmtId="2" fontId="0" fillId="0" borderId="1" xfId="0" applyNumberFormat="1" applyFill="1" applyBorder="1"/>
    <xf numFmtId="166" fontId="0" fillId="0" borderId="1" xfId="0" applyNumberFormat="1" applyFill="1" applyBorder="1"/>
    <xf numFmtId="0" fontId="11" fillId="0" borderId="1" xfId="0" applyFont="1" applyFill="1" applyBorder="1"/>
    <xf numFmtId="0" fontId="0" fillId="36" borderId="1" xfId="0" applyFill="1" applyBorder="1"/>
    <xf numFmtId="0" fontId="11" fillId="37" borderId="1" xfId="0" applyFont="1" applyFill="1" applyBorder="1"/>
    <xf numFmtId="0" fontId="11" fillId="0" borderId="0" xfId="0" applyFont="1" applyFill="1" applyBorder="1"/>
    <xf numFmtId="164" fontId="0" fillId="0" borderId="0" xfId="0" applyNumberFormat="1" applyBorder="1"/>
    <xf numFmtId="2" fontId="0" fillId="0" borderId="84" xfId="0" applyNumberFormat="1" applyFill="1" applyBorder="1" applyAlignment="1">
      <alignment horizontal="center"/>
    </xf>
    <xf numFmtId="2" fontId="0" fillId="0" borderId="89" xfId="0" applyNumberFormat="1" applyFill="1" applyBorder="1" applyAlignment="1">
      <alignment horizontal="center"/>
    </xf>
    <xf numFmtId="2" fontId="0" fillId="0" borderId="89" xfId="0" applyNumberFormat="1" applyBorder="1" applyAlignment="1">
      <alignment horizontal="center" vertical="center"/>
    </xf>
    <xf numFmtId="0" fontId="0" fillId="11" borderId="1" xfId="0" applyFill="1" applyBorder="1" applyAlignment="1">
      <alignment vertical="center"/>
    </xf>
    <xf numFmtId="0" fontId="11" fillId="11" borderId="1" xfId="0" applyFont="1" applyFill="1" applyBorder="1" applyAlignment="1">
      <alignment vertical="center" wrapText="1"/>
    </xf>
    <xf numFmtId="0" fontId="11" fillId="11" borderId="1" xfId="0" applyFont="1" applyFill="1" applyBorder="1" applyAlignment="1">
      <alignment vertical="center"/>
    </xf>
    <xf numFmtId="0" fontId="0" fillId="35" borderId="2" xfId="0" applyFill="1" applyBorder="1"/>
    <xf numFmtId="0" fontId="0" fillId="35" borderId="92" xfId="0" applyFill="1" applyBorder="1"/>
    <xf numFmtId="165" fontId="0" fillId="0" borderId="1" xfId="0" applyNumberFormat="1" applyFill="1" applyBorder="1"/>
    <xf numFmtId="3" fontId="0" fillId="6" borderId="59" xfId="0" applyNumberFormat="1" applyFill="1" applyBorder="1" applyAlignment="1">
      <alignment horizontal="right" vertical="center" wrapText="1"/>
    </xf>
    <xf numFmtId="0" fontId="3" fillId="3" borderId="37" xfId="2066" applyNumberFormat="1" applyFill="1" applyBorder="1" applyAlignment="1">
      <alignment horizontal="center"/>
    </xf>
    <xf numFmtId="0" fontId="3" fillId="0" borderId="0" xfId="2066"/>
    <xf numFmtId="0" fontId="3" fillId="0" borderId="0" xfId="2066" applyAlignment="1">
      <alignment horizontal="center"/>
    </xf>
    <xf numFmtId="0" fontId="3" fillId="0" borderId="0" xfId="2066" applyBorder="1" applyAlignment="1">
      <alignment horizontal="center"/>
    </xf>
    <xf numFmtId="0" fontId="3" fillId="0" borderId="34" xfId="2066" applyBorder="1" applyAlignment="1">
      <alignment horizontal="center"/>
    </xf>
    <xf numFmtId="0" fontId="23" fillId="0" borderId="0" xfId="2066" applyFont="1"/>
    <xf numFmtId="0" fontId="3" fillId="0" borderId="40" xfId="2066" applyBorder="1" applyAlignment="1">
      <alignment horizontal="center"/>
    </xf>
    <xf numFmtId="2" fontId="3" fillId="0" borderId="31" xfId="2066" applyNumberFormat="1" applyBorder="1" applyAlignment="1">
      <alignment horizontal="center"/>
    </xf>
    <xf numFmtId="0" fontId="3" fillId="10" borderId="29" xfId="2066" applyFill="1" applyBorder="1" applyAlignment="1">
      <alignment horizontal="center"/>
    </xf>
    <xf numFmtId="0" fontId="3" fillId="0" borderId="33" xfId="2066" applyBorder="1" applyAlignment="1">
      <alignment horizontal="center"/>
    </xf>
    <xf numFmtId="0" fontId="3" fillId="0" borderId="39" xfId="2066" applyBorder="1" applyAlignment="1">
      <alignment horizontal="center"/>
    </xf>
    <xf numFmtId="2" fontId="3" fillId="0" borderId="42" xfId="2066" applyNumberFormat="1" applyBorder="1" applyAlignment="1">
      <alignment horizontal="center"/>
    </xf>
    <xf numFmtId="2" fontId="3" fillId="0" borderId="28" xfId="2066" applyNumberFormat="1" applyBorder="1" applyAlignment="1">
      <alignment horizontal="center"/>
    </xf>
    <xf numFmtId="0" fontId="3" fillId="10" borderId="32" xfId="2066" applyFont="1" applyFill="1" applyBorder="1" applyAlignment="1">
      <alignment horizontal="center"/>
    </xf>
    <xf numFmtId="0" fontId="24" fillId="10" borderId="36" xfId="2066" applyFont="1" applyFill="1" applyBorder="1" applyAlignment="1">
      <alignment horizontal="center" wrapText="1"/>
    </xf>
    <xf numFmtId="0" fontId="24" fillId="10" borderId="35" xfId="2066" applyFont="1" applyFill="1" applyBorder="1" applyAlignment="1">
      <alignment horizontal="center" wrapText="1"/>
    </xf>
    <xf numFmtId="0" fontId="24" fillId="10" borderId="34" xfId="2066" applyFont="1" applyFill="1" applyBorder="1" applyAlignment="1">
      <alignment horizontal="center" wrapText="1"/>
    </xf>
    <xf numFmtId="0" fontId="24" fillId="10" borderId="37" xfId="2066" applyFont="1" applyFill="1" applyBorder="1" applyAlignment="1">
      <alignment horizontal="center" wrapText="1"/>
    </xf>
    <xf numFmtId="0" fontId="3" fillId="10" borderId="33" xfId="2066" applyFill="1" applyBorder="1" applyAlignment="1">
      <alignment horizontal="center" wrapText="1"/>
    </xf>
    <xf numFmtId="0" fontId="3" fillId="10" borderId="34" xfId="2066" applyFill="1" applyBorder="1" applyAlignment="1">
      <alignment horizontal="center" wrapText="1"/>
    </xf>
    <xf numFmtId="0" fontId="3" fillId="10" borderId="35" xfId="2066" applyFill="1" applyBorder="1" applyAlignment="1">
      <alignment horizontal="center" wrapText="1"/>
    </xf>
    <xf numFmtId="0" fontId="3" fillId="10" borderId="36" xfId="2066" applyFill="1" applyBorder="1" applyAlignment="1">
      <alignment horizontal="center" wrapText="1"/>
    </xf>
    <xf numFmtId="0" fontId="3" fillId="0" borderId="29" xfId="2066" applyBorder="1" applyAlignment="1">
      <alignment horizontal="center"/>
    </xf>
    <xf numFmtId="0" fontId="3" fillId="0" borderId="26" xfId="2066" applyBorder="1" applyAlignment="1">
      <alignment horizontal="center"/>
    </xf>
    <xf numFmtId="0" fontId="3" fillId="0" borderId="25" xfId="2066" applyBorder="1" applyAlignment="1">
      <alignment horizontal="center"/>
    </xf>
    <xf numFmtId="0" fontId="3" fillId="10" borderId="0" xfId="2066" applyFill="1" applyBorder="1" applyAlignment="1">
      <alignment horizontal="center"/>
    </xf>
    <xf numFmtId="0" fontId="3" fillId="10" borderId="31" xfId="2066" applyFill="1" applyBorder="1" applyAlignment="1">
      <alignment horizontal="center"/>
    </xf>
    <xf numFmtId="0" fontId="3" fillId="10" borderId="30" xfId="2066" applyFill="1" applyBorder="1" applyAlignment="1">
      <alignment horizontal="center"/>
    </xf>
    <xf numFmtId="0" fontId="3" fillId="0" borderId="40" xfId="2066" applyNumberFormat="1" applyBorder="1" applyAlignment="1">
      <alignment horizontal="center"/>
    </xf>
    <xf numFmtId="0" fontId="3" fillId="0" borderId="0" xfId="2066" applyNumberFormat="1" applyBorder="1" applyAlignment="1">
      <alignment horizontal="center"/>
    </xf>
    <xf numFmtId="0" fontId="49" fillId="0" borderId="0" xfId="1" applyFont="1"/>
    <xf numFmtId="164" fontId="3" fillId="0" borderId="0" xfId="2066" applyNumberFormat="1" applyBorder="1" applyAlignment="1">
      <alignment horizontal="center"/>
    </xf>
    <xf numFmtId="164" fontId="3" fillId="0" borderId="40" xfId="2066" applyNumberFormat="1" applyBorder="1" applyAlignment="1">
      <alignment horizontal="center"/>
    </xf>
    <xf numFmtId="164" fontId="3" fillId="0" borderId="34" xfId="2066" applyNumberFormat="1" applyBorder="1" applyAlignment="1">
      <alignment horizontal="center"/>
    </xf>
    <xf numFmtId="0" fontId="3" fillId="0" borderId="26" xfId="2066" applyNumberFormat="1" applyBorder="1" applyAlignment="1">
      <alignment horizontal="center"/>
    </xf>
    <xf numFmtId="0" fontId="3" fillId="0" borderId="38" xfId="2066" applyNumberFormat="1" applyBorder="1" applyAlignment="1">
      <alignment horizontal="center"/>
    </xf>
    <xf numFmtId="0" fontId="3" fillId="0" borderId="32" xfId="2066" applyNumberFormat="1" applyBorder="1" applyAlignment="1">
      <alignment horizontal="center"/>
    </xf>
    <xf numFmtId="0" fontId="3" fillId="0" borderId="43" xfId="2066" applyNumberFormat="1" applyBorder="1" applyAlignment="1">
      <alignment horizontal="center"/>
    </xf>
    <xf numFmtId="164" fontId="3" fillId="0" borderId="41" xfId="2066" applyNumberFormat="1" applyBorder="1" applyAlignment="1">
      <alignment horizontal="center"/>
    </xf>
    <xf numFmtId="2" fontId="3" fillId="0" borderId="87" xfId="2066" applyNumberFormat="1" applyBorder="1" applyAlignment="1">
      <alignment horizontal="center"/>
    </xf>
    <xf numFmtId="2" fontId="3" fillId="0" borderId="36" xfId="2066" applyNumberFormat="1" applyBorder="1" applyAlignment="1">
      <alignment horizontal="center"/>
    </xf>
    <xf numFmtId="0" fontId="3" fillId="0" borderId="27" xfId="2066" applyNumberFormat="1" applyBorder="1" applyAlignment="1">
      <alignment horizontal="center"/>
    </xf>
    <xf numFmtId="0" fontId="3" fillId="0" borderId="28" xfId="2066" applyNumberFormat="1" applyBorder="1" applyAlignment="1">
      <alignment horizontal="center"/>
    </xf>
    <xf numFmtId="0" fontId="3" fillId="0" borderId="30" xfId="2066" applyNumberFormat="1" applyBorder="1" applyAlignment="1">
      <alignment horizontal="center"/>
    </xf>
    <xf numFmtId="0" fontId="3" fillId="0" borderId="31" xfId="2066" applyNumberFormat="1" applyBorder="1" applyAlignment="1">
      <alignment horizontal="center"/>
    </xf>
    <xf numFmtId="0" fontId="3" fillId="0" borderId="41" xfId="2066" applyNumberFormat="1" applyBorder="1" applyAlignment="1">
      <alignment horizontal="center"/>
    </xf>
    <xf numFmtId="0" fontId="3" fillId="0" borderId="42" xfId="2066" applyNumberFormat="1" applyBorder="1" applyAlignment="1">
      <alignment horizontal="center"/>
    </xf>
    <xf numFmtId="0" fontId="3" fillId="0" borderId="35" xfId="2066" applyNumberFormat="1" applyBorder="1" applyAlignment="1">
      <alignment horizontal="center"/>
    </xf>
    <xf numFmtId="0" fontId="3" fillId="0" borderId="36" xfId="2066" applyNumberFormat="1" applyBorder="1" applyAlignment="1">
      <alignment horizontal="center"/>
    </xf>
    <xf numFmtId="0" fontId="0" fillId="6" borderId="59" xfId="0" applyFill="1" applyBorder="1" applyAlignment="1">
      <alignment horizontal="right" vertical="center" wrapText="1"/>
    </xf>
    <xf numFmtId="0" fontId="3" fillId="0" borderId="0" xfId="2056"/>
    <xf numFmtId="0" fontId="3" fillId="0" borderId="0" xfId="2056" applyAlignment="1">
      <alignment horizontal="center"/>
    </xf>
    <xf numFmtId="0" fontId="3" fillId="0" borderId="0" xfId="2056" applyBorder="1" applyAlignment="1">
      <alignment horizontal="center"/>
    </xf>
    <xf numFmtId="0" fontId="3" fillId="0" borderId="34" xfId="2056" applyBorder="1" applyAlignment="1">
      <alignment horizontal="center"/>
    </xf>
    <xf numFmtId="0" fontId="23" fillId="0" borderId="0" xfId="2056" applyFont="1"/>
    <xf numFmtId="0" fontId="3" fillId="0" borderId="40" xfId="2056" applyBorder="1" applyAlignment="1">
      <alignment horizontal="center"/>
    </xf>
    <xf numFmtId="2" fontId="3" fillId="0" borderId="31" xfId="2056" applyNumberFormat="1" applyBorder="1" applyAlignment="1">
      <alignment horizontal="center"/>
    </xf>
    <xf numFmtId="0" fontId="3" fillId="10" borderId="29" xfId="2056" applyFill="1" applyBorder="1" applyAlignment="1">
      <alignment horizontal="center"/>
    </xf>
    <xf numFmtId="0" fontId="3" fillId="0" borderId="33" xfId="2056" applyBorder="1" applyAlignment="1">
      <alignment horizontal="center"/>
    </xf>
    <xf numFmtId="0" fontId="3" fillId="0" borderId="39" xfId="2056" applyBorder="1" applyAlignment="1">
      <alignment horizontal="center"/>
    </xf>
    <xf numFmtId="2" fontId="3" fillId="0" borderId="42" xfId="2056" applyNumberFormat="1" applyBorder="1" applyAlignment="1">
      <alignment horizontal="center"/>
    </xf>
    <xf numFmtId="2" fontId="3" fillId="0" borderId="28" xfId="2056" applyNumberFormat="1" applyBorder="1" applyAlignment="1">
      <alignment horizontal="center"/>
    </xf>
    <xf numFmtId="0" fontId="3" fillId="10" borderId="32" xfId="2056" applyFont="1" applyFill="1" applyBorder="1" applyAlignment="1">
      <alignment horizontal="center"/>
    </xf>
    <xf numFmtId="0" fontId="24" fillId="10" borderId="36" xfId="2056" applyFont="1" applyFill="1" applyBorder="1" applyAlignment="1">
      <alignment horizontal="center" wrapText="1"/>
    </xf>
    <xf numFmtId="0" fontId="24" fillId="10" borderId="35" xfId="2056" applyFont="1" applyFill="1" applyBorder="1" applyAlignment="1">
      <alignment horizontal="center" wrapText="1"/>
    </xf>
    <xf numFmtId="0" fontId="24" fillId="10" borderId="34" xfId="2056" applyFont="1" applyFill="1" applyBorder="1" applyAlignment="1">
      <alignment horizontal="center" wrapText="1"/>
    </xf>
    <xf numFmtId="0" fontId="24" fillId="10" borderId="37" xfId="2056" applyFont="1" applyFill="1" applyBorder="1" applyAlignment="1">
      <alignment horizontal="center" wrapText="1"/>
    </xf>
    <xf numFmtId="0" fontId="3" fillId="10" borderId="33" xfId="2056" applyFill="1" applyBorder="1" applyAlignment="1">
      <alignment horizontal="center" wrapText="1"/>
    </xf>
    <xf numFmtId="0" fontId="3" fillId="10" borderId="34" xfId="2056" applyFill="1" applyBorder="1" applyAlignment="1">
      <alignment horizontal="center" wrapText="1"/>
    </xf>
    <xf numFmtId="0" fontId="3" fillId="10" borderId="35" xfId="2056" applyFill="1" applyBorder="1" applyAlignment="1">
      <alignment horizontal="center" wrapText="1"/>
    </xf>
    <xf numFmtId="0" fontId="3" fillId="10" borderId="36" xfId="2056" applyFill="1" applyBorder="1" applyAlignment="1">
      <alignment horizontal="center" wrapText="1"/>
    </xf>
    <xf numFmtId="0" fontId="3" fillId="0" borderId="29" xfId="2056" applyBorder="1" applyAlignment="1">
      <alignment horizontal="center"/>
    </xf>
    <xf numFmtId="0" fontId="3" fillId="0" borderId="26" xfId="2056" applyBorder="1" applyAlignment="1">
      <alignment horizontal="center"/>
    </xf>
    <xf numFmtId="0" fontId="3" fillId="0" borderId="25" xfId="2056" applyBorder="1" applyAlignment="1">
      <alignment horizontal="center"/>
    </xf>
    <xf numFmtId="0" fontId="3" fillId="10" borderId="0" xfId="2056" applyFill="1" applyBorder="1" applyAlignment="1">
      <alignment horizontal="center"/>
    </xf>
    <xf numFmtId="0" fontId="3" fillId="10" borderId="31" xfId="2056" applyFill="1" applyBorder="1" applyAlignment="1">
      <alignment horizontal="center"/>
    </xf>
    <xf numFmtId="0" fontId="3" fillId="10" borderId="30" xfId="2056" applyFill="1" applyBorder="1" applyAlignment="1">
      <alignment horizontal="center"/>
    </xf>
    <xf numFmtId="0" fontId="3" fillId="0" borderId="40" xfId="2056" applyNumberFormat="1" applyBorder="1" applyAlignment="1">
      <alignment horizontal="center"/>
    </xf>
    <xf numFmtId="0" fontId="3" fillId="0" borderId="0" xfId="2056" applyNumberFormat="1" applyBorder="1" applyAlignment="1">
      <alignment horizontal="center"/>
    </xf>
    <xf numFmtId="0" fontId="49" fillId="0" borderId="0" xfId="1" applyFont="1"/>
    <xf numFmtId="164" fontId="3" fillId="0" borderId="0" xfId="2056" applyNumberFormat="1" applyBorder="1" applyAlignment="1">
      <alignment horizontal="center"/>
    </xf>
    <xf numFmtId="164" fontId="3" fillId="0" borderId="40" xfId="2056" applyNumberFormat="1" applyBorder="1" applyAlignment="1">
      <alignment horizontal="center"/>
    </xf>
    <xf numFmtId="164" fontId="3" fillId="0" borderId="34" xfId="2056" applyNumberFormat="1" applyBorder="1" applyAlignment="1">
      <alignment horizontal="center"/>
    </xf>
    <xf numFmtId="0" fontId="3" fillId="0" borderId="26" xfId="2056" applyNumberFormat="1" applyBorder="1" applyAlignment="1">
      <alignment horizontal="center"/>
    </xf>
    <xf numFmtId="0" fontId="3" fillId="0" borderId="38" xfId="2056" applyNumberFormat="1" applyBorder="1" applyAlignment="1">
      <alignment horizontal="center"/>
    </xf>
    <xf numFmtId="0" fontId="3" fillId="0" borderId="32" xfId="2056" applyNumberFormat="1" applyBorder="1" applyAlignment="1">
      <alignment horizontal="center"/>
    </xf>
    <xf numFmtId="0" fontId="3" fillId="0" borderId="43" xfId="2056" applyNumberFormat="1" applyBorder="1" applyAlignment="1">
      <alignment horizontal="center"/>
    </xf>
    <xf numFmtId="164" fontId="3" fillId="0" borderId="41" xfId="2056" applyNumberFormat="1" applyBorder="1" applyAlignment="1">
      <alignment horizontal="center"/>
    </xf>
    <xf numFmtId="2" fontId="3" fillId="0" borderId="87" xfId="2056" applyNumberFormat="1" applyBorder="1" applyAlignment="1">
      <alignment horizontal="center"/>
    </xf>
    <xf numFmtId="2" fontId="3" fillId="0" borderId="36" xfId="2056" applyNumberFormat="1" applyBorder="1" applyAlignment="1">
      <alignment horizontal="center"/>
    </xf>
    <xf numFmtId="0" fontId="3" fillId="0" borderId="27" xfId="2056" applyNumberFormat="1" applyBorder="1" applyAlignment="1">
      <alignment horizontal="center"/>
    </xf>
    <xf numFmtId="0" fontId="3" fillId="0" borderId="28" xfId="2056" applyNumberFormat="1" applyBorder="1" applyAlignment="1">
      <alignment horizontal="center"/>
    </xf>
    <xf numFmtId="0" fontId="3" fillId="0" borderId="30" xfId="2056" applyNumberFormat="1" applyBorder="1" applyAlignment="1">
      <alignment horizontal="center"/>
    </xf>
    <xf numFmtId="0" fontId="3" fillId="0" borderId="31" xfId="2056" applyNumberFormat="1" applyBorder="1" applyAlignment="1">
      <alignment horizontal="center"/>
    </xf>
    <xf numFmtId="0" fontId="3" fillId="0" borderId="41" xfId="2056" applyNumberFormat="1" applyBorder="1" applyAlignment="1">
      <alignment horizontal="center"/>
    </xf>
    <xf numFmtId="0" fontId="3" fillId="0" borderId="42" xfId="2056" applyNumberFormat="1" applyBorder="1" applyAlignment="1">
      <alignment horizontal="center"/>
    </xf>
    <xf numFmtId="0" fontId="3" fillId="0" borderId="35" xfId="2056" applyNumberFormat="1" applyBorder="1" applyAlignment="1">
      <alignment horizontal="center"/>
    </xf>
    <xf numFmtId="0" fontId="3" fillId="0" borderId="36" xfId="2056" applyNumberFormat="1" applyBorder="1" applyAlignment="1">
      <alignment horizontal="center"/>
    </xf>
    <xf numFmtId="0" fontId="3" fillId="0" borderId="0" xfId="2068"/>
    <xf numFmtId="0" fontId="3" fillId="0" borderId="0" xfId="2068" applyAlignment="1">
      <alignment horizontal="center"/>
    </xf>
    <xf numFmtId="0" fontId="3" fillId="0" borderId="0" xfId="2068" applyBorder="1" applyAlignment="1">
      <alignment horizontal="center"/>
    </xf>
    <xf numFmtId="0" fontId="3" fillId="0" borderId="34" xfId="2068" applyBorder="1" applyAlignment="1">
      <alignment horizontal="center"/>
    </xf>
    <xf numFmtId="0" fontId="23" fillId="0" borderId="0" xfId="2068" applyFont="1"/>
    <xf numFmtId="0" fontId="3" fillId="0" borderId="40" xfId="2068" applyBorder="1" applyAlignment="1">
      <alignment horizontal="center"/>
    </xf>
    <xf numFmtId="2" fontId="3" fillId="0" borderId="31" xfId="2068" applyNumberFormat="1" applyBorder="1" applyAlignment="1">
      <alignment horizontal="center"/>
    </xf>
    <xf numFmtId="0" fontId="3" fillId="10" borderId="29" xfId="2068" applyFill="1" applyBorder="1" applyAlignment="1">
      <alignment horizontal="center"/>
    </xf>
    <xf numFmtId="0" fontId="3" fillId="0" borderId="33" xfId="2068" applyBorder="1" applyAlignment="1">
      <alignment horizontal="center"/>
    </xf>
    <xf numFmtId="0" fontId="3" fillId="0" borderId="39" xfId="2068" applyBorder="1" applyAlignment="1">
      <alignment horizontal="center"/>
    </xf>
    <xf numFmtId="2" fontId="3" fillId="0" borderId="42" xfId="2068" applyNumberFormat="1" applyBorder="1" applyAlignment="1">
      <alignment horizontal="center"/>
    </xf>
    <xf numFmtId="2" fontId="3" fillId="0" borderId="28" xfId="2068" applyNumberFormat="1" applyBorder="1" applyAlignment="1">
      <alignment horizontal="center"/>
    </xf>
    <xf numFmtId="0" fontId="3" fillId="10" borderId="32" xfId="2068" applyFont="1" applyFill="1" applyBorder="1" applyAlignment="1">
      <alignment horizontal="center"/>
    </xf>
    <xf numFmtId="0" fontId="24" fillId="10" borderId="36" xfId="2068" applyFont="1" applyFill="1" applyBorder="1" applyAlignment="1">
      <alignment horizontal="center" wrapText="1"/>
    </xf>
    <xf numFmtId="0" fontId="24" fillId="10" borderId="35" xfId="2068" applyFont="1" applyFill="1" applyBorder="1" applyAlignment="1">
      <alignment horizontal="center" wrapText="1"/>
    </xf>
    <xf numFmtId="0" fontId="24" fillId="10" borderId="34" xfId="2068" applyFont="1" applyFill="1" applyBorder="1" applyAlignment="1">
      <alignment horizontal="center" wrapText="1"/>
    </xf>
    <xf numFmtId="0" fontId="24" fillId="10" borderId="37" xfId="2068" applyFont="1" applyFill="1" applyBorder="1" applyAlignment="1">
      <alignment horizontal="center" wrapText="1"/>
    </xf>
    <xf numFmtId="0" fontId="3" fillId="10" borderId="33" xfId="2068" applyFill="1" applyBorder="1" applyAlignment="1">
      <alignment horizontal="center" wrapText="1"/>
    </xf>
    <xf numFmtId="0" fontId="3" fillId="10" borderId="34" xfId="2068" applyFill="1" applyBorder="1" applyAlignment="1">
      <alignment horizontal="center" wrapText="1"/>
    </xf>
    <xf numFmtId="0" fontId="3" fillId="10" borderId="35" xfId="2068" applyFill="1" applyBorder="1" applyAlignment="1">
      <alignment horizontal="center" wrapText="1"/>
    </xf>
    <xf numFmtId="0" fontId="3" fillId="10" borderId="36" xfId="2068" applyFill="1" applyBorder="1" applyAlignment="1">
      <alignment horizontal="center" wrapText="1"/>
    </xf>
    <xf numFmtId="0" fontId="3" fillId="0" borderId="29" xfId="2068" applyBorder="1" applyAlignment="1">
      <alignment horizontal="center"/>
    </xf>
    <xf numFmtId="0" fontId="3" fillId="0" borderId="26" xfId="2068" applyBorder="1" applyAlignment="1">
      <alignment horizontal="center"/>
    </xf>
    <xf numFmtId="0" fontId="3" fillId="0" borderId="25" xfId="2068" applyBorder="1" applyAlignment="1">
      <alignment horizontal="center"/>
    </xf>
    <xf numFmtId="0" fontId="3" fillId="10" borderId="0" xfId="2068" applyFill="1" applyBorder="1" applyAlignment="1">
      <alignment horizontal="center"/>
    </xf>
    <xf numFmtId="0" fontId="3" fillId="10" borderId="31" xfId="2068" applyFill="1" applyBorder="1" applyAlignment="1">
      <alignment horizontal="center"/>
    </xf>
    <xf numFmtId="0" fontId="3" fillId="10" borderId="30" xfId="2068" applyFill="1" applyBorder="1" applyAlignment="1">
      <alignment horizontal="center"/>
    </xf>
    <xf numFmtId="0" fontId="3" fillId="0" borderId="40" xfId="2068" applyNumberFormat="1" applyBorder="1" applyAlignment="1">
      <alignment horizontal="center"/>
    </xf>
    <xf numFmtId="0" fontId="3" fillId="0" borderId="0" xfId="2068" applyNumberFormat="1" applyBorder="1" applyAlignment="1">
      <alignment horizontal="center"/>
    </xf>
    <xf numFmtId="0" fontId="49" fillId="0" borderId="0" xfId="1" applyFont="1"/>
    <xf numFmtId="164" fontId="3" fillId="0" borderId="0" xfId="2068" applyNumberFormat="1" applyBorder="1" applyAlignment="1">
      <alignment horizontal="center"/>
    </xf>
    <xf numFmtId="164" fontId="3" fillId="0" borderId="40" xfId="2068" applyNumberFormat="1" applyBorder="1" applyAlignment="1">
      <alignment horizontal="center"/>
    </xf>
    <xf numFmtId="164" fontId="3" fillId="0" borderId="34" xfId="2068" applyNumberFormat="1" applyBorder="1" applyAlignment="1">
      <alignment horizontal="center"/>
    </xf>
    <xf numFmtId="0" fontId="3" fillId="0" borderId="26" xfId="2068" applyNumberFormat="1" applyBorder="1" applyAlignment="1">
      <alignment horizontal="center"/>
    </xf>
    <xf numFmtId="0" fontId="3" fillId="0" borderId="38" xfId="2068" applyNumberFormat="1" applyBorder="1" applyAlignment="1">
      <alignment horizontal="center"/>
    </xf>
    <xf numFmtId="0" fontId="3" fillId="0" borderId="32" xfId="2068" applyNumberFormat="1" applyBorder="1" applyAlignment="1">
      <alignment horizontal="center"/>
    </xf>
    <xf numFmtId="0" fontId="3" fillId="0" borderId="43" xfId="2068" applyNumberFormat="1" applyBorder="1" applyAlignment="1">
      <alignment horizontal="center"/>
    </xf>
    <xf numFmtId="164" fontId="3" fillId="0" borderId="41" xfId="2068" applyNumberFormat="1" applyBorder="1" applyAlignment="1">
      <alignment horizontal="center"/>
    </xf>
    <xf numFmtId="2" fontId="3" fillId="0" borderId="87" xfId="2068" applyNumberFormat="1" applyBorder="1" applyAlignment="1">
      <alignment horizontal="center"/>
    </xf>
    <xf numFmtId="2" fontId="3" fillId="0" borderId="36" xfId="2068" applyNumberFormat="1" applyBorder="1" applyAlignment="1">
      <alignment horizontal="center"/>
    </xf>
    <xf numFmtId="0" fontId="3" fillId="0" borderId="27" xfId="2068" applyNumberFormat="1" applyBorder="1" applyAlignment="1">
      <alignment horizontal="center"/>
    </xf>
    <xf numFmtId="0" fontId="3" fillId="0" borderId="28" xfId="2068" applyNumberFormat="1" applyBorder="1" applyAlignment="1">
      <alignment horizontal="center"/>
    </xf>
    <xf numFmtId="0" fontId="3" fillId="0" borderId="30" xfId="2068" applyNumberFormat="1" applyBorder="1" applyAlignment="1">
      <alignment horizontal="center"/>
    </xf>
    <xf numFmtId="0" fontId="3" fillId="0" borderId="31" xfId="2068" applyNumberFormat="1" applyBorder="1" applyAlignment="1">
      <alignment horizontal="center"/>
    </xf>
    <xf numFmtId="0" fontId="3" fillId="0" borderId="41" xfId="2068" applyNumberFormat="1" applyBorder="1" applyAlignment="1">
      <alignment horizontal="center"/>
    </xf>
    <xf numFmtId="0" fontId="3" fillId="0" borderId="42" xfId="2068" applyNumberFormat="1" applyBorder="1" applyAlignment="1">
      <alignment horizontal="center"/>
    </xf>
    <xf numFmtId="0" fontId="3" fillId="0" borderId="35" xfId="2068" applyNumberFormat="1" applyBorder="1" applyAlignment="1">
      <alignment horizontal="center"/>
    </xf>
    <xf numFmtId="0" fontId="3" fillId="0" borderId="36" xfId="2068" applyNumberFormat="1" applyBorder="1" applyAlignment="1">
      <alignment horizontal="center"/>
    </xf>
    <xf numFmtId="0" fontId="0" fillId="0" borderId="102" xfId="0" applyBorder="1"/>
    <xf numFmtId="2" fontId="0" fillId="0" borderId="102" xfId="0" applyNumberFormat="1" applyBorder="1"/>
    <xf numFmtId="0" fontId="0" fillId="0" borderId="102" xfId="0" applyFill="1" applyBorder="1"/>
    <xf numFmtId="9" fontId="0" fillId="0" borderId="102" xfId="0" applyNumberFormat="1" applyBorder="1"/>
    <xf numFmtId="2" fontId="0" fillId="0" borderId="2" xfId="0" applyNumberFormat="1" applyFill="1" applyBorder="1"/>
    <xf numFmtId="166" fontId="0" fillId="0" borderId="9" xfId="0" applyNumberFormat="1" applyFill="1" applyBorder="1"/>
    <xf numFmtId="166" fontId="0" fillId="0" borderId="3" xfId="0" applyNumberFormat="1" applyFill="1" applyBorder="1"/>
    <xf numFmtId="0" fontId="11" fillId="0" borderId="102" xfId="0" applyFont="1" applyBorder="1" applyAlignment="1">
      <alignment horizontal="center" vertical="center" wrapText="1"/>
    </xf>
    <xf numFmtId="0" fontId="0" fillId="0" borderId="102" xfId="0" applyBorder="1" applyAlignment="1">
      <alignment vertical="center" wrapText="1"/>
    </xf>
    <xf numFmtId="0" fontId="11" fillId="0" borderId="102" xfId="0" applyFont="1" applyBorder="1" applyAlignment="1">
      <alignment horizontal="center" vertical="center"/>
    </xf>
    <xf numFmtId="166" fontId="0" fillId="0" borderId="102" xfId="0" applyNumberFormat="1" applyBorder="1"/>
    <xf numFmtId="166" fontId="0" fillId="0" borderId="102" xfId="0" applyNumberFormat="1" applyBorder="1" applyAlignment="1">
      <alignment horizontal="right" vertical="center" wrapText="1"/>
    </xf>
    <xf numFmtId="2" fontId="0" fillId="0" borderId="102" xfId="0" applyNumberFormat="1" applyBorder="1" applyAlignment="1">
      <alignment horizontal="right" vertical="center" wrapText="1"/>
    </xf>
    <xf numFmtId="0" fontId="11" fillId="2" borderId="102" xfId="0" applyFont="1" applyFill="1" applyBorder="1" applyAlignment="1">
      <alignment horizontal="center"/>
    </xf>
    <xf numFmtId="2" fontId="0" fillId="4" borderId="102" xfId="0" applyNumberFormat="1" applyFill="1" applyBorder="1" applyAlignment="1">
      <alignment horizontal="center"/>
    </xf>
    <xf numFmtId="164" fontId="0" fillId="0" borderId="0" xfId="0" applyNumberFormat="1"/>
    <xf numFmtId="164" fontId="0" fillId="4" borderId="102" xfId="0" applyNumberFormat="1" applyFill="1" applyBorder="1" applyAlignment="1">
      <alignment horizontal="center"/>
    </xf>
    <xf numFmtId="164" fontId="0" fillId="0" borderId="102" xfId="0" applyNumberFormat="1" applyBorder="1"/>
    <xf numFmtId="10" fontId="0" fillId="0" borderId="102" xfId="0" applyNumberFormat="1" applyBorder="1" applyAlignment="1">
      <alignment horizontal="center"/>
    </xf>
    <xf numFmtId="2" fontId="0" fillId="3" borderId="102" xfId="0" applyNumberFormat="1" applyFill="1" applyBorder="1" applyAlignment="1">
      <alignment horizontal="center"/>
    </xf>
    <xf numFmtId="164" fontId="0" fillId="3" borderId="102" xfId="0" applyNumberFormat="1" applyFill="1" applyBorder="1" applyAlignment="1">
      <alignment horizontal="center"/>
    </xf>
    <xf numFmtId="0" fontId="0" fillId="3" borderId="102" xfId="0" applyFill="1" applyBorder="1"/>
    <xf numFmtId="2" fontId="0" fillId="3" borderId="102" xfId="0" applyNumberFormat="1" applyFill="1" applyBorder="1"/>
    <xf numFmtId="164" fontId="0" fillId="3" borderId="102" xfId="0" applyNumberFormat="1" applyFill="1" applyBorder="1"/>
    <xf numFmtId="10" fontId="0" fillId="3" borderId="102" xfId="0" applyNumberFormat="1" applyFill="1" applyBorder="1" applyAlignment="1">
      <alignment horizontal="center"/>
    </xf>
    <xf numFmtId="166" fontId="0" fillId="3" borderId="102" xfId="0" applyNumberFormat="1" applyFill="1" applyBorder="1"/>
    <xf numFmtId="2" fontId="0" fillId="11" borderId="102" xfId="0" applyNumberFormat="1" applyFill="1" applyBorder="1" applyAlignment="1">
      <alignment horizontal="center"/>
    </xf>
    <xf numFmtId="164" fontId="0" fillId="11" borderId="102" xfId="0" applyNumberFormat="1" applyFill="1" applyBorder="1" applyAlignment="1">
      <alignment horizontal="center"/>
    </xf>
    <xf numFmtId="166" fontId="0" fillId="11" borderId="102" xfId="0" applyNumberFormat="1" applyFill="1" applyBorder="1"/>
    <xf numFmtId="164" fontId="0" fillId="11" borderId="102" xfId="0" applyNumberFormat="1" applyFill="1" applyBorder="1"/>
    <xf numFmtId="2" fontId="0" fillId="11" borderId="102" xfId="0" applyNumberFormat="1" applyFill="1" applyBorder="1"/>
    <xf numFmtId="10" fontId="0" fillId="11" borderId="102" xfId="0" applyNumberFormat="1" applyFill="1" applyBorder="1" applyAlignment="1">
      <alignment horizontal="center"/>
    </xf>
    <xf numFmtId="2" fontId="0" fillId="0" borderId="102" xfId="0" applyNumberFormat="1" applyFill="1" applyBorder="1" applyAlignment="1">
      <alignment horizontal="center"/>
    </xf>
    <xf numFmtId="164" fontId="0" fillId="0" borderId="102" xfId="0" applyNumberFormat="1" applyFill="1" applyBorder="1" applyAlignment="1">
      <alignment horizontal="center"/>
    </xf>
    <xf numFmtId="166" fontId="0" fillId="0" borderId="102" xfId="0" applyNumberFormat="1" applyFill="1" applyBorder="1"/>
    <xf numFmtId="164" fontId="0" fillId="0" borderId="102" xfId="0" applyNumberFormat="1" applyFill="1" applyBorder="1"/>
    <xf numFmtId="2" fontId="0" fillId="0" borderId="102" xfId="0" applyNumberFormat="1" applyFill="1" applyBorder="1"/>
    <xf numFmtId="10" fontId="0" fillId="0" borderId="102" xfId="0" applyNumberFormat="1" applyFill="1" applyBorder="1" applyAlignment="1">
      <alignment horizontal="center"/>
    </xf>
    <xf numFmtId="0" fontId="0" fillId="7" borderId="59" xfId="0" applyFill="1" applyBorder="1" applyAlignment="1">
      <alignment horizontal="right" vertical="center" wrapText="1"/>
    </xf>
    <xf numFmtId="3" fontId="12" fillId="6" borderId="59" xfId="0" applyNumberFormat="1" applyFont="1" applyFill="1" applyBorder="1" applyAlignment="1">
      <alignment horizontal="right" vertical="center" wrapText="1"/>
    </xf>
    <xf numFmtId="0" fontId="8" fillId="0" borderId="0" xfId="3" applyFont="1" applyFill="1" applyBorder="1" applyAlignment="1">
      <alignment horizontal="center" wrapText="1"/>
    </xf>
    <xf numFmtId="0" fontId="11" fillId="0" borderId="102" xfId="0" applyFont="1" applyBorder="1"/>
    <xf numFmtId="0" fontId="0" fillId="0" borderId="102" xfId="0" applyFill="1" applyBorder="1" applyAlignment="1">
      <alignment vertical="center"/>
    </xf>
    <xf numFmtId="0" fontId="0" fillId="0" borderId="0" xfId="0"/>
    <xf numFmtId="3" fontId="7" fillId="0" borderId="0" xfId="3" applyNumberFormat="1"/>
    <xf numFmtId="0" fontId="7" fillId="0" borderId="0" xfId="3" applyFont="1" applyAlignment="1">
      <alignment horizontal="right"/>
    </xf>
    <xf numFmtId="0" fontId="0" fillId="0" borderId="0" xfId="0"/>
    <xf numFmtId="0" fontId="11" fillId="2" borderId="10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102" xfId="3" applyFont="1" applyFill="1" applyBorder="1" applyAlignment="1">
      <alignment horizontal="center" wrapText="1"/>
    </xf>
    <xf numFmtId="9" fontId="7" fillId="0" borderId="102" xfId="3" applyNumberFormat="1" applyFont="1" applyFill="1" applyBorder="1" applyAlignment="1">
      <alignment horizontal="center" wrapText="1"/>
    </xf>
    <xf numFmtId="3" fontId="7" fillId="0" borderId="0" xfId="3" applyNumberFormat="1"/>
    <xf numFmtId="0" fontId="8" fillId="0" borderId="102" xfId="3" applyFont="1" applyBorder="1" applyAlignment="1">
      <alignment horizontal="center" wrapText="1"/>
    </xf>
    <xf numFmtId="0" fontId="7" fillId="0" borderId="0" xfId="3" applyFont="1" applyAlignment="1">
      <alignment horizontal="right"/>
    </xf>
    <xf numFmtId="0" fontId="18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wrapText="1"/>
    </xf>
    <xf numFmtId="0" fontId="0" fillId="69" borderId="102" xfId="0" applyFill="1" applyBorder="1"/>
    <xf numFmtId="2" fontId="25" fillId="0" borderId="0" xfId="2023" applyNumberFormat="1" applyFill="1" applyAlignment="1">
      <alignment horizontal="center" vertical="center"/>
    </xf>
    <xf numFmtId="164" fontId="25" fillId="0" borderId="0" xfId="2023" applyNumberFormat="1" applyFill="1" applyAlignment="1">
      <alignment horizontal="center" vertical="center"/>
    </xf>
    <xf numFmtId="0" fontId="0" fillId="37" borderId="1" xfId="0" applyFill="1" applyBorder="1" applyAlignment="1">
      <alignment horizontal="center" wrapText="1"/>
    </xf>
    <xf numFmtId="0" fontId="11" fillId="35" borderId="2" xfId="0" applyFont="1" applyFill="1" applyBorder="1" applyAlignment="1">
      <alignment horizontal="center" vertical="center" wrapText="1"/>
    </xf>
    <xf numFmtId="0" fontId="11" fillId="35" borderId="6" xfId="0" applyFont="1" applyFill="1" applyBorder="1" applyAlignment="1">
      <alignment horizontal="center" vertical="center" wrapText="1"/>
    </xf>
    <xf numFmtId="0" fontId="0" fillId="35" borderId="2" xfId="0" applyFill="1" applyBorder="1" applyAlignment="1">
      <alignment horizontal="center" vertical="center"/>
    </xf>
    <xf numFmtId="0" fontId="0" fillId="35" borderId="84" xfId="0" applyFill="1" applyBorder="1" applyAlignment="1">
      <alignment horizontal="center" vertical="center"/>
    </xf>
    <xf numFmtId="0" fontId="0" fillId="35" borderId="6" xfId="0" applyFill="1" applyBorder="1" applyAlignment="1">
      <alignment horizontal="center" vertical="center"/>
    </xf>
    <xf numFmtId="0" fontId="0" fillId="35" borderId="102" xfId="0" applyFill="1" applyBorder="1" applyAlignment="1">
      <alignment horizontal="center" vertical="center"/>
    </xf>
    <xf numFmtId="0" fontId="0" fillId="35" borderId="102" xfId="0" applyFill="1" applyBorder="1"/>
    <xf numFmtId="0" fontId="11" fillId="0" borderId="102" xfId="0" applyFont="1" applyBorder="1" applyAlignment="1">
      <alignment horizontal="center" vertical="center" wrapText="1"/>
    </xf>
    <xf numFmtId="0" fontId="11" fillId="2" borderId="102" xfId="0" applyFont="1" applyFill="1" applyBorder="1" applyAlignment="1">
      <alignment horizontal="center" vertical="center"/>
    </xf>
    <xf numFmtId="0" fontId="0" fillId="11" borderId="44" xfId="0" applyFont="1" applyFill="1" applyBorder="1" applyAlignment="1">
      <alignment horizontal="center" vertical="center" wrapText="1"/>
    </xf>
    <xf numFmtId="0" fontId="0" fillId="11" borderId="23" xfId="0" applyFont="1" applyFill="1" applyBorder="1" applyAlignment="1">
      <alignment horizontal="center" vertical="center" wrapText="1"/>
    </xf>
    <xf numFmtId="0" fontId="0" fillId="11" borderId="24" xfId="0" applyFont="1" applyFill="1" applyBorder="1" applyAlignment="1">
      <alignment horizontal="center" vertical="center" wrapText="1"/>
    </xf>
    <xf numFmtId="0" fontId="22" fillId="2" borderId="50" xfId="0" applyFont="1" applyFill="1" applyBorder="1" applyAlignment="1">
      <alignment horizontal="center" vertical="center"/>
    </xf>
    <xf numFmtId="0" fontId="22" fillId="2" borderId="80" xfId="0" applyFont="1" applyFill="1" applyBorder="1" applyAlignment="1">
      <alignment horizontal="center" vertical="center"/>
    </xf>
    <xf numFmtId="0" fontId="21" fillId="2" borderId="48" xfId="0" applyFont="1" applyFill="1" applyBorder="1" applyAlignment="1">
      <alignment horizontal="center" vertical="center" wrapText="1"/>
    </xf>
    <xf numFmtId="0" fontId="21" fillId="2" borderId="5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1" fillId="2" borderId="49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 wrapText="1"/>
    </xf>
    <xf numFmtId="0" fontId="11" fillId="2" borderId="49" xfId="0" applyFont="1" applyFill="1" applyBorder="1" applyAlignment="1">
      <alignment horizontal="center" vertical="center" wrapText="1"/>
    </xf>
    <xf numFmtId="0" fontId="11" fillId="2" borderId="50" xfId="0" applyFont="1" applyFill="1" applyBorder="1" applyAlignment="1">
      <alignment horizontal="center" vertical="center" wrapText="1"/>
    </xf>
    <xf numFmtId="0" fontId="11" fillId="2" borderId="4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0" fillId="11" borderId="57" xfId="0" applyFont="1" applyFill="1" applyBorder="1" applyAlignment="1">
      <alignment horizontal="center" vertical="center" wrapText="1"/>
    </xf>
    <xf numFmtId="0" fontId="0" fillId="11" borderId="85" xfId="0" applyFont="1" applyFill="1" applyBorder="1" applyAlignment="1">
      <alignment horizontal="center" vertical="center" wrapText="1"/>
    </xf>
    <xf numFmtId="0" fontId="0" fillId="11" borderId="86" xfId="0" applyFont="1" applyFill="1" applyBorder="1" applyAlignment="1">
      <alignment horizontal="center" vertical="center" wrapText="1"/>
    </xf>
    <xf numFmtId="0" fontId="0" fillId="11" borderId="57" xfId="0" quotePrefix="1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0" fillId="2" borderId="5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/>
    </xf>
    <xf numFmtId="0" fontId="11" fillId="2" borderId="79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wrapText="1"/>
    </xf>
    <xf numFmtId="0" fontId="11" fillId="2" borderId="54" xfId="0" applyFont="1" applyFill="1" applyBorder="1" applyAlignment="1">
      <alignment horizontal="center" wrapText="1"/>
    </xf>
    <xf numFmtId="0" fontId="11" fillId="2" borderId="90" xfId="0" applyFont="1" applyFill="1" applyBorder="1" applyAlignment="1">
      <alignment horizontal="center" vertical="center"/>
    </xf>
    <xf numFmtId="0" fontId="11" fillId="2" borderId="9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1" fillId="2" borderId="84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 vertical="center"/>
    </xf>
    <xf numFmtId="0" fontId="11" fillId="2" borderId="6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1" fillId="2" borderId="102" xfId="0" applyFont="1" applyFill="1" applyBorder="1" applyAlignment="1">
      <alignment horizontal="center"/>
    </xf>
    <xf numFmtId="0" fontId="11" fillId="2" borderId="102" xfId="0" applyFont="1" applyFill="1" applyBorder="1" applyAlignment="1">
      <alignment horizontal="center" wrapText="1"/>
    </xf>
    <xf numFmtId="0" fontId="3" fillId="10" borderId="49" xfId="2066" applyFill="1" applyBorder="1" applyAlignment="1">
      <alignment horizontal="center"/>
    </xf>
    <xf numFmtId="0" fontId="3" fillId="10" borderId="48" xfId="2066" applyFill="1" applyBorder="1" applyAlignment="1">
      <alignment horizontal="center"/>
    </xf>
    <xf numFmtId="0" fontId="3" fillId="10" borderId="56" xfId="2066" applyFill="1" applyBorder="1" applyAlignment="1">
      <alignment horizontal="center"/>
    </xf>
    <xf numFmtId="0" fontId="11" fillId="0" borderId="102" xfId="0" applyFont="1" applyBorder="1" applyAlignment="1">
      <alignment horizontal="center"/>
    </xf>
    <xf numFmtId="0" fontId="3" fillId="10" borderId="49" xfId="2056" applyFill="1" applyBorder="1" applyAlignment="1">
      <alignment horizontal="center"/>
    </xf>
    <xf numFmtId="0" fontId="3" fillId="10" borderId="48" xfId="2056" applyFill="1" applyBorder="1" applyAlignment="1">
      <alignment horizontal="center"/>
    </xf>
    <xf numFmtId="0" fontId="3" fillId="10" borderId="56" xfId="2056" applyFill="1" applyBorder="1" applyAlignment="1">
      <alignment horizontal="center"/>
    </xf>
    <xf numFmtId="0" fontId="3" fillId="10" borderId="30" xfId="2056" applyFill="1" applyBorder="1" applyAlignment="1">
      <alignment horizontal="center"/>
    </xf>
    <xf numFmtId="0" fontId="3" fillId="10" borderId="0" xfId="2056" applyFill="1" applyBorder="1" applyAlignment="1">
      <alignment horizontal="center"/>
    </xf>
    <xf numFmtId="0" fontId="3" fillId="10" borderId="31" xfId="2056" applyFill="1" applyBorder="1" applyAlignment="1">
      <alignment horizontal="center"/>
    </xf>
    <xf numFmtId="0" fontId="3" fillId="10" borderId="88" xfId="2056" applyFill="1" applyBorder="1" applyAlignment="1">
      <alignment horizontal="center"/>
    </xf>
    <xf numFmtId="0" fontId="3" fillId="10" borderId="27" xfId="2056" applyFill="1" applyBorder="1" applyAlignment="1">
      <alignment horizontal="center"/>
    </xf>
    <xf numFmtId="0" fontId="3" fillId="10" borderId="28" xfId="2056" applyFill="1" applyBorder="1" applyAlignment="1">
      <alignment horizontal="center"/>
    </xf>
    <xf numFmtId="0" fontId="11" fillId="2" borderId="56" xfId="0" applyFont="1" applyFill="1" applyBorder="1" applyAlignment="1">
      <alignment horizontal="center" vertical="center"/>
    </xf>
    <xf numFmtId="0" fontId="11" fillId="2" borderId="51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57" xfId="0" applyFont="1" applyFill="1" applyBorder="1" applyAlignment="1">
      <alignment horizontal="center" vertical="center"/>
    </xf>
    <xf numFmtId="0" fontId="11" fillId="2" borderId="58" xfId="0" applyFont="1" applyFill="1" applyBorder="1" applyAlignment="1">
      <alignment horizontal="center" vertical="center"/>
    </xf>
    <xf numFmtId="0" fontId="3" fillId="10" borderId="49" xfId="2068" applyFill="1" applyBorder="1" applyAlignment="1">
      <alignment horizontal="center"/>
    </xf>
    <xf numFmtId="0" fontId="3" fillId="10" borderId="48" xfId="2068" applyFill="1" applyBorder="1" applyAlignment="1">
      <alignment horizontal="center"/>
    </xf>
    <xf numFmtId="0" fontId="3" fillId="10" borderId="56" xfId="2068" applyFill="1" applyBorder="1" applyAlignment="1">
      <alignment horizontal="center"/>
    </xf>
    <xf numFmtId="0" fontId="3" fillId="10" borderId="30" xfId="2068" applyFill="1" applyBorder="1" applyAlignment="1">
      <alignment horizontal="center"/>
    </xf>
    <xf numFmtId="0" fontId="3" fillId="10" borderId="0" xfId="2068" applyFill="1" applyBorder="1" applyAlignment="1">
      <alignment horizontal="center"/>
    </xf>
    <xf numFmtId="0" fontId="3" fillId="10" borderId="31" xfId="2068" applyFill="1" applyBorder="1" applyAlignment="1">
      <alignment horizontal="center"/>
    </xf>
    <xf numFmtId="0" fontId="3" fillId="10" borderId="30" xfId="2066" applyFill="1" applyBorder="1" applyAlignment="1">
      <alignment horizontal="center"/>
    </xf>
    <xf numFmtId="0" fontId="3" fillId="10" borderId="0" xfId="2066" applyFill="1" applyBorder="1" applyAlignment="1">
      <alignment horizontal="center"/>
    </xf>
    <xf numFmtId="0" fontId="3" fillId="10" borderId="31" xfId="2066" applyFill="1" applyBorder="1" applyAlignment="1">
      <alignment horizontal="center"/>
    </xf>
    <xf numFmtId="0" fontId="3" fillId="10" borderId="88" xfId="2066" applyFill="1" applyBorder="1" applyAlignment="1">
      <alignment horizontal="center"/>
    </xf>
    <xf numFmtId="0" fontId="3" fillId="10" borderId="27" xfId="2066" applyFill="1" applyBorder="1" applyAlignment="1">
      <alignment horizontal="center"/>
    </xf>
    <xf numFmtId="0" fontId="3" fillId="10" borderId="26" xfId="2066" applyFill="1" applyBorder="1" applyAlignment="1">
      <alignment horizontal="center"/>
    </xf>
    <xf numFmtId="0" fontId="3" fillId="10" borderId="38" xfId="2066" applyFill="1" applyBorder="1" applyAlignment="1">
      <alignment horizontal="center"/>
    </xf>
    <xf numFmtId="0" fontId="3" fillId="10" borderId="28" xfId="2066" applyFill="1" applyBorder="1" applyAlignment="1">
      <alignment horizontal="center"/>
    </xf>
    <xf numFmtId="0" fontId="3" fillId="10" borderId="88" xfId="2068" applyFill="1" applyBorder="1" applyAlignment="1">
      <alignment horizontal="center"/>
    </xf>
    <xf numFmtId="0" fontId="3" fillId="10" borderId="26" xfId="2056" applyFill="1" applyBorder="1" applyAlignment="1">
      <alignment horizontal="center"/>
    </xf>
    <xf numFmtId="0" fontId="3" fillId="10" borderId="38" xfId="2056" applyFill="1" applyBorder="1" applyAlignment="1">
      <alignment horizontal="center"/>
    </xf>
    <xf numFmtId="0" fontId="3" fillId="10" borderId="27" xfId="2068" applyFill="1" applyBorder="1" applyAlignment="1">
      <alignment horizontal="center"/>
    </xf>
    <xf numFmtId="0" fontId="3" fillId="10" borderId="26" xfId="2068" applyFill="1" applyBorder="1" applyAlignment="1">
      <alignment horizontal="center"/>
    </xf>
    <xf numFmtId="0" fontId="3" fillId="10" borderId="38" xfId="2068" applyFill="1" applyBorder="1" applyAlignment="1">
      <alignment horizontal="center"/>
    </xf>
    <xf numFmtId="0" fontId="3" fillId="10" borderId="28" xfId="2068" applyFill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0" fillId="0" borderId="68" xfId="0" applyBorder="1" applyAlignment="1">
      <alignment horizontal="left" vertical="center" wrapText="1" indent="1"/>
    </xf>
    <xf numFmtId="0" fontId="12" fillId="0" borderId="0" xfId="0" applyFont="1" applyAlignment="1">
      <alignment vertical="center" wrapText="1"/>
    </xf>
  </cellXfs>
  <cellStyles count="4198">
    <cellStyle name="20% - Accent1 2" xfId="28"/>
    <cellStyle name="20% - Accent1 2 2" xfId="2134"/>
    <cellStyle name="20% - Accent1 3" xfId="2089"/>
    <cellStyle name="20% - Accent1 3 2" xfId="4098"/>
    <cellStyle name="20% - Accent2 2" xfId="29"/>
    <cellStyle name="20% - Accent2 2 2" xfId="2118"/>
    <cellStyle name="20% - Accent2 3" xfId="2093"/>
    <cellStyle name="20% - Accent2 3 2" xfId="4097"/>
    <cellStyle name="20% - Accent3 2" xfId="30"/>
    <cellStyle name="20% - Accent3 2 2" xfId="4095"/>
    <cellStyle name="20% - Accent3 3" xfId="2097"/>
    <cellStyle name="20% - Accent3 3 2" xfId="4096"/>
    <cellStyle name="20% - Accent4 2" xfId="31"/>
    <cellStyle name="20% - Accent4 2 2" xfId="4094"/>
    <cellStyle name="20% - Accent4 3" xfId="2101"/>
    <cellStyle name="20% - Accent4 3 2" xfId="2127"/>
    <cellStyle name="20% - Accent5 2" xfId="32"/>
    <cellStyle name="20% - Accent5 2 2" xfId="2159"/>
    <cellStyle name="20% - Accent5 3" xfId="2105"/>
    <cellStyle name="20% - Accent5 3 2" xfId="2132"/>
    <cellStyle name="20% - Accent6 2" xfId="33"/>
    <cellStyle name="20% - Accent6 2 2" xfId="4092"/>
    <cellStyle name="20% - Accent6 3" xfId="2109"/>
    <cellStyle name="20% - Accent6 3 2" xfId="4093"/>
    <cellStyle name="40% - Accent1 2" xfId="34"/>
    <cellStyle name="40% - Accent1 2 2" xfId="4090"/>
    <cellStyle name="40% - Accent1 3" xfId="2090"/>
    <cellStyle name="40% - Accent1 3 2" xfId="4091"/>
    <cellStyle name="40% - Accent2 2" xfId="35"/>
    <cellStyle name="40% - Accent2 2 2" xfId="4088"/>
    <cellStyle name="40% - Accent2 3" xfId="2094"/>
    <cellStyle name="40% - Accent2 3 2" xfId="4089"/>
    <cellStyle name="40% - Accent3 2" xfId="36"/>
    <cellStyle name="40% - Accent3 2 2" xfId="4086"/>
    <cellStyle name="40% - Accent3 3" xfId="2098"/>
    <cellStyle name="40% - Accent3 3 2" xfId="4087"/>
    <cellStyle name="40% - Accent4 2" xfId="37"/>
    <cellStyle name="40% - Accent4 2 2" xfId="4084"/>
    <cellStyle name="40% - Accent4 3" xfId="2102"/>
    <cellStyle name="40% - Accent4 3 2" xfId="4085"/>
    <cellStyle name="40% - Accent5 2" xfId="38"/>
    <cellStyle name="40% - Accent5 2 2" xfId="4082"/>
    <cellStyle name="40% - Accent5 3" xfId="2106"/>
    <cellStyle name="40% - Accent5 3 2" xfId="4083"/>
    <cellStyle name="40% - Accent6 2" xfId="39"/>
    <cellStyle name="40% - Accent6 2 2" xfId="4080"/>
    <cellStyle name="40% - Accent6 3" xfId="2110"/>
    <cellStyle name="40% - Accent6 3 2" xfId="4081"/>
    <cellStyle name="60% - Accent1 2" xfId="40"/>
    <cellStyle name="60% - Accent1 2 2" xfId="4078"/>
    <cellStyle name="60% - Accent1 3" xfId="2091"/>
    <cellStyle name="60% - Accent1 3 2" xfId="4079"/>
    <cellStyle name="60% - Accent2 2" xfId="41"/>
    <cellStyle name="60% - Accent2 2 2" xfId="4076"/>
    <cellStyle name="60% - Accent2 3" xfId="2095"/>
    <cellStyle name="60% - Accent2 3 2" xfId="4077"/>
    <cellStyle name="60% - Accent3 2" xfId="42"/>
    <cellStyle name="60% - Accent3 2 2" xfId="4074"/>
    <cellStyle name="60% - Accent3 3" xfId="2099"/>
    <cellStyle name="60% - Accent3 3 2" xfId="4075"/>
    <cellStyle name="60% - Accent4 2" xfId="43"/>
    <cellStyle name="60% - Accent4 2 2" xfId="4072"/>
    <cellStyle name="60% - Accent4 3" xfId="2103"/>
    <cellStyle name="60% - Accent4 3 2" xfId="4073"/>
    <cellStyle name="60% - Accent5 2" xfId="44"/>
    <cellStyle name="60% - Accent5 2 2" xfId="4070"/>
    <cellStyle name="60% - Accent5 3" xfId="2107"/>
    <cellStyle name="60% - Accent5 3 2" xfId="4071"/>
    <cellStyle name="60% - Accent6 2" xfId="45"/>
    <cellStyle name="60% - Accent6 2 2" xfId="4068"/>
    <cellStyle name="60% - Accent6 3" xfId="2111"/>
    <cellStyle name="60% - Accent6 3 2" xfId="4069"/>
    <cellStyle name="Accent1 2" xfId="46"/>
    <cellStyle name="Accent1 2 2" xfId="4066"/>
    <cellStyle name="Accent1 3" xfId="2088"/>
    <cellStyle name="Accent1 3 2" xfId="4067"/>
    <cellStyle name="Accent2 2" xfId="47"/>
    <cellStyle name="Accent2 2 2" xfId="4064"/>
    <cellStyle name="Accent2 3" xfId="2092"/>
    <cellStyle name="Accent2 3 2" xfId="4065"/>
    <cellStyle name="Accent3 2" xfId="48"/>
    <cellStyle name="Accent3 2 2" xfId="4062"/>
    <cellStyle name="Accent3 3" xfId="2096"/>
    <cellStyle name="Accent3 3 2" xfId="4063"/>
    <cellStyle name="Accent4 2" xfId="49"/>
    <cellStyle name="Accent4 2 2" xfId="4060"/>
    <cellStyle name="Accent4 3" xfId="2100"/>
    <cellStyle name="Accent4 3 2" xfId="4061"/>
    <cellStyle name="Accent5 2" xfId="50"/>
    <cellStyle name="Accent5 2 2" xfId="4058"/>
    <cellStyle name="Accent5 3" xfId="2104"/>
    <cellStyle name="Accent5 3 2" xfId="4059"/>
    <cellStyle name="Accent6 2" xfId="51"/>
    <cellStyle name="Accent6 2 2" xfId="4056"/>
    <cellStyle name="Accent6 3" xfId="2108"/>
    <cellStyle name="Accent6 3 2" xfId="4057"/>
    <cellStyle name="Bad 2" xfId="52"/>
    <cellStyle name="Bad 2 2" xfId="4054"/>
    <cellStyle name="Bad 3" xfId="2077"/>
    <cellStyle name="Bad 3 2" xfId="4055"/>
    <cellStyle name="Calculation 2" xfId="53"/>
    <cellStyle name="Calculation 2 2" xfId="4052"/>
    <cellStyle name="Calculation 3" xfId="2081"/>
    <cellStyle name="Calculation 3 2" xfId="4053"/>
    <cellStyle name="Check Cell 2" xfId="54"/>
    <cellStyle name="Check Cell 2 2" xfId="4050"/>
    <cellStyle name="Check Cell 3" xfId="2083"/>
    <cellStyle name="Check Cell 3 2" xfId="4051"/>
    <cellStyle name="Comma [0] 2" xfId="2017"/>
    <cellStyle name="Comma 2" xfId="2016"/>
    <cellStyle name="Comma 2 2" xfId="4140"/>
    <cellStyle name="Comma 3" xfId="2018"/>
    <cellStyle name="Comma 4" xfId="2022"/>
    <cellStyle name="Currency [0] 2" xfId="2019"/>
    <cellStyle name="Currency 2" xfId="2015"/>
    <cellStyle name="Currency 2 2" xfId="55"/>
    <cellStyle name="Currency 3" xfId="2021"/>
    <cellStyle name="Currency 3 2" xfId="4151"/>
    <cellStyle name="Currency 3 3" xfId="2113"/>
    <cellStyle name="Currency 4" xfId="4049"/>
    <cellStyle name="Explanatory Text 2" xfId="1"/>
    <cellStyle name="Explanatory Text 2 2" xfId="4047"/>
    <cellStyle name="Explanatory Text 3" xfId="2086"/>
    <cellStyle name="Explanatory Text 3 2" xfId="4141"/>
    <cellStyle name="Explanatory Text 4" xfId="4048"/>
    <cellStyle name="Good 2" xfId="56"/>
    <cellStyle name="Good 2 2" xfId="4045"/>
    <cellStyle name="Good 3" xfId="2076"/>
    <cellStyle name="Good 3 2" xfId="4046"/>
    <cellStyle name="Heading 1 2" xfId="57"/>
    <cellStyle name="Heading 1 2 2" xfId="4043"/>
    <cellStyle name="Heading 1 3" xfId="2072"/>
    <cellStyle name="Heading 1 3 2" xfId="4044"/>
    <cellStyle name="Heading 2 2" xfId="58"/>
    <cellStyle name="Heading 2 2 2" xfId="4041"/>
    <cellStyle name="Heading 2 3" xfId="2073"/>
    <cellStyle name="Heading 2 3 2" xfId="4042"/>
    <cellStyle name="Heading 3 2" xfId="59"/>
    <cellStyle name="Heading 3 2 2" xfId="4039"/>
    <cellStyle name="Heading 3 3" xfId="2074"/>
    <cellStyle name="Heading 3 3 2" xfId="4040"/>
    <cellStyle name="Heading 4 2" xfId="60"/>
    <cellStyle name="Heading 4 2 2" xfId="4037"/>
    <cellStyle name="Heading 4 3" xfId="2075"/>
    <cellStyle name="Heading 4 3 2" xfId="4038"/>
    <cellStyle name="Hyperlink" xfId="2" builtinId="8"/>
    <cellStyle name="Hyperlink 2" xfId="17"/>
    <cellStyle name="Input 2" xfId="61"/>
    <cellStyle name="Input 2 2" xfId="4035"/>
    <cellStyle name="Input 3" xfId="2079"/>
    <cellStyle name="Input 3 2" xfId="4036"/>
    <cellStyle name="Linked Cell 2" xfId="62"/>
    <cellStyle name="Linked Cell 2 2" xfId="4033"/>
    <cellStyle name="Linked Cell 3" xfId="2082"/>
    <cellStyle name="Linked Cell 3 2" xfId="4034"/>
    <cellStyle name="Neutral 2" xfId="63"/>
    <cellStyle name="Neutral 2 2" xfId="4031"/>
    <cellStyle name="Neutral 3" xfId="2078"/>
    <cellStyle name="Neutral 3 2" xfId="4032"/>
    <cellStyle name="Normal" xfId="0" builtinId="0"/>
    <cellStyle name="Normal 10" xfId="11"/>
    <cellStyle name="Normal 10 2" xfId="64"/>
    <cellStyle name="Normal 10 2 2" xfId="4168"/>
    <cellStyle name="Normal 10 3" xfId="4030"/>
    <cellStyle name="Normal 10 4" xfId="2116"/>
    <cellStyle name="Normal 11" xfId="18"/>
    <cellStyle name="Normal 11 2" xfId="65"/>
    <cellStyle name="Normal 11 2 2" xfId="4029"/>
    <cellStyle name="Normal 12" xfId="10"/>
    <cellStyle name="Normal 12 2" xfId="66"/>
    <cellStyle name="Normal 12 2 2" xfId="4028"/>
    <cellStyle name="Normal 12 3" xfId="2071"/>
    <cellStyle name="Normal 13" xfId="9"/>
    <cellStyle name="Normal 13 2" xfId="67"/>
    <cellStyle name="Normal 13 3" xfId="4027"/>
    <cellStyle name="Normal 14" xfId="8"/>
    <cellStyle name="Normal 14 2" xfId="68"/>
    <cellStyle name="Normal 14 3" xfId="4026"/>
    <cellStyle name="Normal 15" xfId="19"/>
    <cellStyle name="Normal 15 2" xfId="69"/>
    <cellStyle name="Normal 15 3" xfId="4025"/>
    <cellStyle name="Normal 16" xfId="20"/>
    <cellStyle name="Normal 16 2" xfId="4139"/>
    <cellStyle name="Normal 17" xfId="21"/>
    <cellStyle name="Normal 17 2" xfId="70"/>
    <cellStyle name="Normal 17 3" xfId="4024"/>
    <cellStyle name="Normal 18" xfId="22"/>
    <cellStyle name="Normal 18 2" xfId="71"/>
    <cellStyle name="Normal 18 3" xfId="4023"/>
    <cellStyle name="Normal 19" xfId="23"/>
    <cellStyle name="Normal 19 2" xfId="72"/>
    <cellStyle name="Normal 19 3" xfId="4022"/>
    <cellStyle name="Normal 2" xfId="3"/>
    <cellStyle name="Normal 2 10" xfId="73"/>
    <cellStyle name="Normal 2 10 10" xfId="74"/>
    <cellStyle name="Normal 2 10 10 2" xfId="4019"/>
    <cellStyle name="Normal 2 10 11" xfId="75"/>
    <cellStyle name="Normal 2 10 11 2" xfId="4018"/>
    <cellStyle name="Normal 2 10 12" xfId="76"/>
    <cellStyle name="Normal 2 10 12 2" xfId="4017"/>
    <cellStyle name="Normal 2 10 13" xfId="77"/>
    <cellStyle name="Normal 2 10 13 2" xfId="4016"/>
    <cellStyle name="Normal 2 10 14" xfId="78"/>
    <cellStyle name="Normal 2 10 14 2" xfId="4015"/>
    <cellStyle name="Normal 2 10 15" xfId="79"/>
    <cellStyle name="Normal 2 10 15 2" xfId="4014"/>
    <cellStyle name="Normal 2 10 16" xfId="80"/>
    <cellStyle name="Normal 2 10 16 2" xfId="4013"/>
    <cellStyle name="Normal 2 10 17" xfId="81"/>
    <cellStyle name="Normal 2 10 17 2" xfId="4012"/>
    <cellStyle name="Normal 2 10 18" xfId="82"/>
    <cellStyle name="Normal 2 10 18 2" xfId="4011"/>
    <cellStyle name="Normal 2 10 19" xfId="83"/>
    <cellStyle name="Normal 2 10 19 2" xfId="4010"/>
    <cellStyle name="Normal 2 10 2" xfId="84"/>
    <cellStyle name="Normal 2 10 2 2" xfId="4009"/>
    <cellStyle name="Normal 2 10 20" xfId="85"/>
    <cellStyle name="Normal 2 10 20 2" xfId="4008"/>
    <cellStyle name="Normal 2 10 21" xfId="86"/>
    <cellStyle name="Normal 2 10 21 2" xfId="4007"/>
    <cellStyle name="Normal 2 10 22" xfId="87"/>
    <cellStyle name="Normal 2 10 22 2" xfId="4006"/>
    <cellStyle name="Normal 2 10 23" xfId="88"/>
    <cellStyle name="Normal 2 10 23 2" xfId="4005"/>
    <cellStyle name="Normal 2 10 24" xfId="4020"/>
    <cellStyle name="Normal 2 10 3" xfId="89"/>
    <cellStyle name="Normal 2 10 3 2" xfId="4004"/>
    <cellStyle name="Normal 2 10 4" xfId="90"/>
    <cellStyle name="Normal 2 10 4 2" xfId="4003"/>
    <cellStyle name="Normal 2 10 5" xfId="91"/>
    <cellStyle name="Normal 2 10 5 2" xfId="4002"/>
    <cellStyle name="Normal 2 10 6" xfId="92"/>
    <cellStyle name="Normal 2 10 6 2" xfId="4001"/>
    <cellStyle name="Normal 2 10 7" xfId="93"/>
    <cellStyle name="Normal 2 10 7 2" xfId="4000"/>
    <cellStyle name="Normal 2 10 8" xfId="94"/>
    <cellStyle name="Normal 2 10 8 2" xfId="3999"/>
    <cellStyle name="Normal 2 10 9" xfId="95"/>
    <cellStyle name="Normal 2 10 9 2" xfId="3998"/>
    <cellStyle name="Normal 2 100" xfId="96"/>
    <cellStyle name="Normal 2 100 2" xfId="3997"/>
    <cellStyle name="Normal 2 101" xfId="97"/>
    <cellStyle name="Normal 2 101 2" xfId="3996"/>
    <cellStyle name="Normal 2 102" xfId="98"/>
    <cellStyle name="Normal 2 102 2" xfId="3995"/>
    <cellStyle name="Normal 2 103" xfId="99"/>
    <cellStyle name="Normal 2 103 2" xfId="3994"/>
    <cellStyle name="Normal 2 104" xfId="4021"/>
    <cellStyle name="Normal 2 11" xfId="100"/>
    <cellStyle name="Normal 2 11 10" xfId="101"/>
    <cellStyle name="Normal 2 11 10 2" xfId="3992"/>
    <cellStyle name="Normal 2 11 11" xfId="102"/>
    <cellStyle name="Normal 2 11 11 2" xfId="3991"/>
    <cellStyle name="Normal 2 11 12" xfId="103"/>
    <cellStyle name="Normal 2 11 12 2" xfId="3990"/>
    <cellStyle name="Normal 2 11 13" xfId="104"/>
    <cellStyle name="Normal 2 11 13 2" xfId="3989"/>
    <cellStyle name="Normal 2 11 14" xfId="105"/>
    <cellStyle name="Normal 2 11 14 2" xfId="3988"/>
    <cellStyle name="Normal 2 11 15" xfId="106"/>
    <cellStyle name="Normal 2 11 15 2" xfId="3987"/>
    <cellStyle name="Normal 2 11 16" xfId="107"/>
    <cellStyle name="Normal 2 11 16 2" xfId="3986"/>
    <cellStyle name="Normal 2 11 17" xfId="108"/>
    <cellStyle name="Normal 2 11 17 2" xfId="3985"/>
    <cellStyle name="Normal 2 11 18" xfId="109"/>
    <cellStyle name="Normal 2 11 18 2" xfId="3984"/>
    <cellStyle name="Normal 2 11 19" xfId="110"/>
    <cellStyle name="Normal 2 11 19 2" xfId="3983"/>
    <cellStyle name="Normal 2 11 2" xfId="111"/>
    <cellStyle name="Normal 2 11 2 2" xfId="3982"/>
    <cellStyle name="Normal 2 11 20" xfId="112"/>
    <cellStyle name="Normal 2 11 20 2" xfId="3981"/>
    <cellStyle name="Normal 2 11 21" xfId="113"/>
    <cellStyle name="Normal 2 11 21 2" xfId="3980"/>
    <cellStyle name="Normal 2 11 22" xfId="114"/>
    <cellStyle name="Normal 2 11 22 2" xfId="3979"/>
    <cellStyle name="Normal 2 11 23" xfId="115"/>
    <cellStyle name="Normal 2 11 23 2" xfId="3978"/>
    <cellStyle name="Normal 2 11 24" xfId="3993"/>
    <cellStyle name="Normal 2 11 3" xfId="116"/>
    <cellStyle name="Normal 2 11 3 2" xfId="3977"/>
    <cellStyle name="Normal 2 11 4" xfId="117"/>
    <cellStyle name="Normal 2 11 4 2" xfId="3976"/>
    <cellStyle name="Normal 2 11 5" xfId="118"/>
    <cellStyle name="Normal 2 11 5 2" xfId="3975"/>
    <cellStyle name="Normal 2 11 6" xfId="119"/>
    <cellStyle name="Normal 2 11 6 2" xfId="3974"/>
    <cellStyle name="Normal 2 11 7" xfId="120"/>
    <cellStyle name="Normal 2 11 7 2" xfId="3973"/>
    <cellStyle name="Normal 2 11 8" xfId="121"/>
    <cellStyle name="Normal 2 11 8 2" xfId="3972"/>
    <cellStyle name="Normal 2 11 9" xfId="122"/>
    <cellStyle name="Normal 2 11 9 2" xfId="3971"/>
    <cellStyle name="Normal 2 12" xfId="123"/>
    <cellStyle name="Normal 2 12 10" xfId="124"/>
    <cellStyle name="Normal 2 12 10 2" xfId="3969"/>
    <cellStyle name="Normal 2 12 11" xfId="125"/>
    <cellStyle name="Normal 2 12 11 2" xfId="3968"/>
    <cellStyle name="Normal 2 12 12" xfId="126"/>
    <cellStyle name="Normal 2 12 12 2" xfId="3967"/>
    <cellStyle name="Normal 2 12 13" xfId="127"/>
    <cellStyle name="Normal 2 12 13 2" xfId="3966"/>
    <cellStyle name="Normal 2 12 14" xfId="128"/>
    <cellStyle name="Normal 2 12 14 2" xfId="3965"/>
    <cellStyle name="Normal 2 12 15" xfId="129"/>
    <cellStyle name="Normal 2 12 15 2" xfId="3964"/>
    <cellStyle name="Normal 2 12 16" xfId="130"/>
    <cellStyle name="Normal 2 12 16 2" xfId="3963"/>
    <cellStyle name="Normal 2 12 17" xfId="131"/>
    <cellStyle name="Normal 2 12 17 2" xfId="3962"/>
    <cellStyle name="Normal 2 12 18" xfId="132"/>
    <cellStyle name="Normal 2 12 18 2" xfId="3961"/>
    <cellStyle name="Normal 2 12 19" xfId="133"/>
    <cellStyle name="Normal 2 12 19 2" xfId="3960"/>
    <cellStyle name="Normal 2 12 2" xfId="134"/>
    <cellStyle name="Normal 2 12 2 2" xfId="3959"/>
    <cellStyle name="Normal 2 12 20" xfId="135"/>
    <cellStyle name="Normal 2 12 20 2" xfId="3958"/>
    <cellStyle name="Normal 2 12 21" xfId="136"/>
    <cellStyle name="Normal 2 12 21 2" xfId="3957"/>
    <cellStyle name="Normal 2 12 22" xfId="137"/>
    <cellStyle name="Normal 2 12 22 2" xfId="3956"/>
    <cellStyle name="Normal 2 12 23" xfId="138"/>
    <cellStyle name="Normal 2 12 23 2" xfId="3955"/>
    <cellStyle name="Normal 2 12 24" xfId="3970"/>
    <cellStyle name="Normal 2 12 3" xfId="139"/>
    <cellStyle name="Normal 2 12 3 2" xfId="3954"/>
    <cellStyle name="Normal 2 12 4" xfId="140"/>
    <cellStyle name="Normal 2 12 4 2" xfId="3953"/>
    <cellStyle name="Normal 2 12 5" xfId="141"/>
    <cellStyle name="Normal 2 12 5 2" xfId="3952"/>
    <cellStyle name="Normal 2 12 6" xfId="142"/>
    <cellStyle name="Normal 2 12 6 2" xfId="3951"/>
    <cellStyle name="Normal 2 12 7" xfId="143"/>
    <cellStyle name="Normal 2 12 7 2" xfId="3950"/>
    <cellStyle name="Normal 2 12 8" xfId="144"/>
    <cellStyle name="Normal 2 12 8 2" xfId="3949"/>
    <cellStyle name="Normal 2 12 9" xfId="145"/>
    <cellStyle name="Normal 2 12 9 2" xfId="3948"/>
    <cellStyle name="Normal 2 13" xfId="146"/>
    <cellStyle name="Normal 2 13 10" xfId="147"/>
    <cellStyle name="Normal 2 13 10 2" xfId="3946"/>
    <cellStyle name="Normal 2 13 11" xfId="148"/>
    <cellStyle name="Normal 2 13 11 2" xfId="3945"/>
    <cellStyle name="Normal 2 13 12" xfId="149"/>
    <cellStyle name="Normal 2 13 12 2" xfId="3944"/>
    <cellStyle name="Normal 2 13 13" xfId="150"/>
    <cellStyle name="Normal 2 13 13 2" xfId="3943"/>
    <cellStyle name="Normal 2 13 14" xfId="151"/>
    <cellStyle name="Normal 2 13 14 2" xfId="3942"/>
    <cellStyle name="Normal 2 13 15" xfId="152"/>
    <cellStyle name="Normal 2 13 15 2" xfId="3941"/>
    <cellStyle name="Normal 2 13 16" xfId="153"/>
    <cellStyle name="Normal 2 13 16 2" xfId="3940"/>
    <cellStyle name="Normal 2 13 17" xfId="154"/>
    <cellStyle name="Normal 2 13 17 2" xfId="3939"/>
    <cellStyle name="Normal 2 13 18" xfId="155"/>
    <cellStyle name="Normal 2 13 18 2" xfId="3938"/>
    <cellStyle name="Normal 2 13 19" xfId="156"/>
    <cellStyle name="Normal 2 13 19 2" xfId="3937"/>
    <cellStyle name="Normal 2 13 2" xfId="157"/>
    <cellStyle name="Normal 2 13 2 2" xfId="3936"/>
    <cellStyle name="Normal 2 13 20" xfId="158"/>
    <cellStyle name="Normal 2 13 20 2" xfId="3935"/>
    <cellStyle name="Normal 2 13 21" xfId="159"/>
    <cellStyle name="Normal 2 13 21 2" xfId="3934"/>
    <cellStyle name="Normal 2 13 22" xfId="160"/>
    <cellStyle name="Normal 2 13 22 2" xfId="3933"/>
    <cellStyle name="Normal 2 13 23" xfId="161"/>
    <cellStyle name="Normal 2 13 23 2" xfId="3932"/>
    <cellStyle name="Normal 2 13 24" xfId="3947"/>
    <cellStyle name="Normal 2 13 3" xfId="162"/>
    <cellStyle name="Normal 2 13 3 2" xfId="3931"/>
    <cellStyle name="Normal 2 13 4" xfId="163"/>
    <cellStyle name="Normal 2 13 4 2" xfId="3930"/>
    <cellStyle name="Normal 2 13 5" xfId="164"/>
    <cellStyle name="Normal 2 13 5 2" xfId="3929"/>
    <cellStyle name="Normal 2 13 6" xfId="165"/>
    <cellStyle name="Normal 2 13 6 2" xfId="3928"/>
    <cellStyle name="Normal 2 13 7" xfId="166"/>
    <cellStyle name="Normal 2 13 7 2" xfId="3927"/>
    <cellStyle name="Normal 2 13 8" xfId="167"/>
    <cellStyle name="Normal 2 13 8 2" xfId="3926"/>
    <cellStyle name="Normal 2 13 9" xfId="168"/>
    <cellStyle name="Normal 2 13 9 2" xfId="3925"/>
    <cellStyle name="Normal 2 14" xfId="169"/>
    <cellStyle name="Normal 2 14 10" xfId="170"/>
    <cellStyle name="Normal 2 14 10 2" xfId="3923"/>
    <cellStyle name="Normal 2 14 11" xfId="171"/>
    <cellStyle name="Normal 2 14 11 2" xfId="3922"/>
    <cellStyle name="Normal 2 14 12" xfId="172"/>
    <cellStyle name="Normal 2 14 12 2" xfId="3921"/>
    <cellStyle name="Normal 2 14 13" xfId="173"/>
    <cellStyle name="Normal 2 14 13 2" xfId="3920"/>
    <cellStyle name="Normal 2 14 14" xfId="174"/>
    <cellStyle name="Normal 2 14 14 2" xfId="3919"/>
    <cellStyle name="Normal 2 14 15" xfId="175"/>
    <cellStyle name="Normal 2 14 15 2" xfId="3918"/>
    <cellStyle name="Normal 2 14 16" xfId="176"/>
    <cellStyle name="Normal 2 14 16 2" xfId="3917"/>
    <cellStyle name="Normal 2 14 17" xfId="177"/>
    <cellStyle name="Normal 2 14 17 2" xfId="3916"/>
    <cellStyle name="Normal 2 14 18" xfId="178"/>
    <cellStyle name="Normal 2 14 18 2" xfId="3915"/>
    <cellStyle name="Normal 2 14 19" xfId="179"/>
    <cellStyle name="Normal 2 14 19 2" xfId="3914"/>
    <cellStyle name="Normal 2 14 2" xfId="180"/>
    <cellStyle name="Normal 2 14 2 2" xfId="3913"/>
    <cellStyle name="Normal 2 14 20" xfId="181"/>
    <cellStyle name="Normal 2 14 20 2" xfId="3912"/>
    <cellStyle name="Normal 2 14 21" xfId="182"/>
    <cellStyle name="Normal 2 14 21 2" xfId="3911"/>
    <cellStyle name="Normal 2 14 22" xfId="183"/>
    <cellStyle name="Normal 2 14 22 2" xfId="3910"/>
    <cellStyle name="Normal 2 14 23" xfId="184"/>
    <cellStyle name="Normal 2 14 23 2" xfId="3909"/>
    <cellStyle name="Normal 2 14 24" xfId="3924"/>
    <cellStyle name="Normal 2 14 3" xfId="185"/>
    <cellStyle name="Normal 2 14 3 2" xfId="3908"/>
    <cellStyle name="Normal 2 14 4" xfId="186"/>
    <cellStyle name="Normal 2 14 4 2" xfId="3907"/>
    <cellStyle name="Normal 2 14 5" xfId="187"/>
    <cellStyle name="Normal 2 14 5 2" xfId="3906"/>
    <cellStyle name="Normal 2 14 6" xfId="188"/>
    <cellStyle name="Normal 2 14 6 2" xfId="3905"/>
    <cellStyle name="Normal 2 14 7" xfId="189"/>
    <cellStyle name="Normal 2 14 7 2" xfId="3904"/>
    <cellStyle name="Normal 2 14 8" xfId="190"/>
    <cellStyle name="Normal 2 14 8 2" xfId="3903"/>
    <cellStyle name="Normal 2 14 9" xfId="191"/>
    <cellStyle name="Normal 2 14 9 2" xfId="3902"/>
    <cellStyle name="Normal 2 15" xfId="192"/>
    <cellStyle name="Normal 2 15 10" xfId="193"/>
    <cellStyle name="Normal 2 15 10 2" xfId="3900"/>
    <cellStyle name="Normal 2 15 11" xfId="194"/>
    <cellStyle name="Normal 2 15 11 2" xfId="3899"/>
    <cellStyle name="Normal 2 15 12" xfId="195"/>
    <cellStyle name="Normal 2 15 12 2" xfId="3898"/>
    <cellStyle name="Normal 2 15 13" xfId="196"/>
    <cellStyle name="Normal 2 15 13 2" xfId="3897"/>
    <cellStyle name="Normal 2 15 14" xfId="197"/>
    <cellStyle name="Normal 2 15 14 2" xfId="3896"/>
    <cellStyle name="Normal 2 15 15" xfId="198"/>
    <cellStyle name="Normal 2 15 15 2" xfId="3895"/>
    <cellStyle name="Normal 2 15 16" xfId="199"/>
    <cellStyle name="Normal 2 15 16 2" xfId="3894"/>
    <cellStyle name="Normal 2 15 17" xfId="200"/>
    <cellStyle name="Normal 2 15 17 2" xfId="3893"/>
    <cellStyle name="Normal 2 15 18" xfId="201"/>
    <cellStyle name="Normal 2 15 18 2" xfId="3892"/>
    <cellStyle name="Normal 2 15 19" xfId="202"/>
    <cellStyle name="Normal 2 15 19 2" xfId="3891"/>
    <cellStyle name="Normal 2 15 2" xfId="203"/>
    <cellStyle name="Normal 2 15 2 2" xfId="3890"/>
    <cellStyle name="Normal 2 15 20" xfId="204"/>
    <cellStyle name="Normal 2 15 20 2" xfId="3889"/>
    <cellStyle name="Normal 2 15 21" xfId="205"/>
    <cellStyle name="Normal 2 15 21 2" xfId="3888"/>
    <cellStyle name="Normal 2 15 22" xfId="206"/>
    <cellStyle name="Normal 2 15 22 2" xfId="3887"/>
    <cellStyle name="Normal 2 15 23" xfId="207"/>
    <cellStyle name="Normal 2 15 23 2" xfId="3886"/>
    <cellStyle name="Normal 2 15 24" xfId="3901"/>
    <cellStyle name="Normal 2 15 3" xfId="208"/>
    <cellStyle name="Normal 2 15 3 2" xfId="3885"/>
    <cellStyle name="Normal 2 15 4" xfId="209"/>
    <cellStyle name="Normal 2 15 4 2" xfId="3884"/>
    <cellStyle name="Normal 2 15 5" xfId="210"/>
    <cellStyle name="Normal 2 15 5 2" xfId="3883"/>
    <cellStyle name="Normal 2 15 6" xfId="211"/>
    <cellStyle name="Normal 2 15 6 2" xfId="3882"/>
    <cellStyle name="Normal 2 15 7" xfId="212"/>
    <cellStyle name="Normal 2 15 7 2" xfId="3881"/>
    <cellStyle name="Normal 2 15 8" xfId="213"/>
    <cellStyle name="Normal 2 15 8 2" xfId="3880"/>
    <cellStyle name="Normal 2 15 9" xfId="214"/>
    <cellStyle name="Normal 2 15 9 2" xfId="3879"/>
    <cellStyle name="Normal 2 16" xfId="215"/>
    <cellStyle name="Normal 2 16 10" xfId="216"/>
    <cellStyle name="Normal 2 16 10 2" xfId="3877"/>
    <cellStyle name="Normal 2 16 11" xfId="217"/>
    <cellStyle name="Normal 2 16 11 2" xfId="3876"/>
    <cellStyle name="Normal 2 16 12" xfId="218"/>
    <cellStyle name="Normal 2 16 12 2" xfId="3875"/>
    <cellStyle name="Normal 2 16 13" xfId="219"/>
    <cellStyle name="Normal 2 16 13 2" xfId="3874"/>
    <cellStyle name="Normal 2 16 14" xfId="220"/>
    <cellStyle name="Normal 2 16 14 2" xfId="3873"/>
    <cellStyle name="Normal 2 16 15" xfId="221"/>
    <cellStyle name="Normal 2 16 15 2" xfId="3872"/>
    <cellStyle name="Normal 2 16 16" xfId="222"/>
    <cellStyle name="Normal 2 16 16 2" xfId="3871"/>
    <cellStyle name="Normal 2 16 17" xfId="223"/>
    <cellStyle name="Normal 2 16 17 2" xfId="3870"/>
    <cellStyle name="Normal 2 16 18" xfId="224"/>
    <cellStyle name="Normal 2 16 18 2" xfId="3869"/>
    <cellStyle name="Normal 2 16 19" xfId="225"/>
    <cellStyle name="Normal 2 16 19 2" xfId="3868"/>
    <cellStyle name="Normal 2 16 2" xfId="226"/>
    <cellStyle name="Normal 2 16 2 2" xfId="3867"/>
    <cellStyle name="Normal 2 16 20" xfId="227"/>
    <cellStyle name="Normal 2 16 20 2" xfId="3866"/>
    <cellStyle name="Normal 2 16 21" xfId="228"/>
    <cellStyle name="Normal 2 16 21 2" xfId="3865"/>
    <cellStyle name="Normal 2 16 22" xfId="229"/>
    <cellStyle name="Normal 2 16 22 2" xfId="3864"/>
    <cellStyle name="Normal 2 16 23" xfId="230"/>
    <cellStyle name="Normal 2 16 23 2" xfId="3863"/>
    <cellStyle name="Normal 2 16 24" xfId="3878"/>
    <cellStyle name="Normal 2 16 3" xfId="231"/>
    <cellStyle name="Normal 2 16 3 2" xfId="3862"/>
    <cellStyle name="Normal 2 16 4" xfId="232"/>
    <cellStyle name="Normal 2 16 4 2" xfId="3861"/>
    <cellStyle name="Normal 2 16 5" xfId="233"/>
    <cellStyle name="Normal 2 16 5 2" xfId="3860"/>
    <cellStyle name="Normal 2 16 6" xfId="234"/>
    <cellStyle name="Normal 2 16 6 2" xfId="3859"/>
    <cellStyle name="Normal 2 16 7" xfId="235"/>
    <cellStyle name="Normal 2 16 7 2" xfId="3858"/>
    <cellStyle name="Normal 2 16 8" xfId="236"/>
    <cellStyle name="Normal 2 16 8 2" xfId="3857"/>
    <cellStyle name="Normal 2 16 9" xfId="237"/>
    <cellStyle name="Normal 2 16 9 2" xfId="3856"/>
    <cellStyle name="Normal 2 17" xfId="238"/>
    <cellStyle name="Normal 2 17 10" xfId="239"/>
    <cellStyle name="Normal 2 17 10 2" xfId="3854"/>
    <cellStyle name="Normal 2 17 11" xfId="240"/>
    <cellStyle name="Normal 2 17 11 2" xfId="3853"/>
    <cellStyle name="Normal 2 17 12" xfId="241"/>
    <cellStyle name="Normal 2 17 12 2" xfId="3852"/>
    <cellStyle name="Normal 2 17 13" xfId="242"/>
    <cellStyle name="Normal 2 17 13 2" xfId="3851"/>
    <cellStyle name="Normal 2 17 14" xfId="243"/>
    <cellStyle name="Normal 2 17 14 2" xfId="3850"/>
    <cellStyle name="Normal 2 17 15" xfId="244"/>
    <cellStyle name="Normal 2 17 15 2" xfId="3849"/>
    <cellStyle name="Normal 2 17 16" xfId="245"/>
    <cellStyle name="Normal 2 17 16 2" xfId="3848"/>
    <cellStyle name="Normal 2 17 17" xfId="246"/>
    <cellStyle name="Normal 2 17 17 2" xfId="3847"/>
    <cellStyle name="Normal 2 17 18" xfId="247"/>
    <cellStyle name="Normal 2 17 18 2" xfId="3846"/>
    <cellStyle name="Normal 2 17 19" xfId="248"/>
    <cellStyle name="Normal 2 17 19 2" xfId="3845"/>
    <cellStyle name="Normal 2 17 2" xfId="249"/>
    <cellStyle name="Normal 2 17 2 2" xfId="3844"/>
    <cellStyle name="Normal 2 17 20" xfId="250"/>
    <cellStyle name="Normal 2 17 20 2" xfId="3843"/>
    <cellStyle name="Normal 2 17 21" xfId="251"/>
    <cellStyle name="Normal 2 17 21 2" xfId="3842"/>
    <cellStyle name="Normal 2 17 22" xfId="252"/>
    <cellStyle name="Normal 2 17 22 2" xfId="3841"/>
    <cellStyle name="Normal 2 17 23" xfId="253"/>
    <cellStyle name="Normal 2 17 23 2" xfId="3840"/>
    <cellStyle name="Normal 2 17 24" xfId="3855"/>
    <cellStyle name="Normal 2 17 3" xfId="254"/>
    <cellStyle name="Normal 2 17 3 2" xfId="3839"/>
    <cellStyle name="Normal 2 17 4" xfId="255"/>
    <cellStyle name="Normal 2 17 4 2" xfId="3838"/>
    <cellStyle name="Normal 2 17 5" xfId="256"/>
    <cellStyle name="Normal 2 17 5 2" xfId="3837"/>
    <cellStyle name="Normal 2 17 6" xfId="257"/>
    <cellStyle name="Normal 2 17 6 2" xfId="3836"/>
    <cellStyle name="Normal 2 17 7" xfId="258"/>
    <cellStyle name="Normal 2 17 7 2" xfId="3835"/>
    <cellStyle name="Normal 2 17 8" xfId="259"/>
    <cellStyle name="Normal 2 17 8 2" xfId="3834"/>
    <cellStyle name="Normal 2 17 9" xfId="260"/>
    <cellStyle name="Normal 2 17 9 2" xfId="3833"/>
    <cellStyle name="Normal 2 18" xfId="261"/>
    <cellStyle name="Normal 2 18 10" xfId="262"/>
    <cellStyle name="Normal 2 18 10 2" xfId="3831"/>
    <cellStyle name="Normal 2 18 11" xfId="263"/>
    <cellStyle name="Normal 2 18 11 2" xfId="3830"/>
    <cellStyle name="Normal 2 18 12" xfId="264"/>
    <cellStyle name="Normal 2 18 12 2" xfId="3829"/>
    <cellStyle name="Normal 2 18 13" xfId="265"/>
    <cellStyle name="Normal 2 18 13 2" xfId="3828"/>
    <cellStyle name="Normal 2 18 14" xfId="266"/>
    <cellStyle name="Normal 2 18 14 2" xfId="3827"/>
    <cellStyle name="Normal 2 18 15" xfId="267"/>
    <cellStyle name="Normal 2 18 15 2" xfId="3826"/>
    <cellStyle name="Normal 2 18 16" xfId="268"/>
    <cellStyle name="Normal 2 18 16 2" xfId="3825"/>
    <cellStyle name="Normal 2 18 17" xfId="269"/>
    <cellStyle name="Normal 2 18 17 2" xfId="3824"/>
    <cellStyle name="Normal 2 18 18" xfId="270"/>
    <cellStyle name="Normal 2 18 18 2" xfId="3823"/>
    <cellStyle name="Normal 2 18 19" xfId="271"/>
    <cellStyle name="Normal 2 18 19 2" xfId="3822"/>
    <cellStyle name="Normal 2 18 2" xfId="272"/>
    <cellStyle name="Normal 2 18 2 2" xfId="3821"/>
    <cellStyle name="Normal 2 18 20" xfId="273"/>
    <cellStyle name="Normal 2 18 20 2" xfId="3820"/>
    <cellStyle name="Normal 2 18 21" xfId="274"/>
    <cellStyle name="Normal 2 18 21 2" xfId="3819"/>
    <cellStyle name="Normal 2 18 22" xfId="275"/>
    <cellStyle name="Normal 2 18 22 2" xfId="3818"/>
    <cellStyle name="Normal 2 18 23" xfId="276"/>
    <cellStyle name="Normal 2 18 23 2" xfId="3817"/>
    <cellStyle name="Normal 2 18 24" xfId="3832"/>
    <cellStyle name="Normal 2 18 3" xfId="277"/>
    <cellStyle name="Normal 2 18 3 2" xfId="3816"/>
    <cellStyle name="Normal 2 18 4" xfId="278"/>
    <cellStyle name="Normal 2 18 4 2" xfId="3815"/>
    <cellStyle name="Normal 2 18 5" xfId="279"/>
    <cellStyle name="Normal 2 18 5 2" xfId="3814"/>
    <cellStyle name="Normal 2 18 6" xfId="280"/>
    <cellStyle name="Normal 2 18 6 2" xfId="3813"/>
    <cellStyle name="Normal 2 18 7" xfId="281"/>
    <cellStyle name="Normal 2 18 7 2" xfId="3812"/>
    <cellStyle name="Normal 2 18 8" xfId="282"/>
    <cellStyle name="Normal 2 18 8 2" xfId="3811"/>
    <cellStyle name="Normal 2 18 9" xfId="283"/>
    <cellStyle name="Normal 2 18 9 2" xfId="3810"/>
    <cellStyle name="Normal 2 19" xfId="284"/>
    <cellStyle name="Normal 2 19 10" xfId="285"/>
    <cellStyle name="Normal 2 19 10 2" xfId="3808"/>
    <cellStyle name="Normal 2 19 11" xfId="286"/>
    <cellStyle name="Normal 2 19 11 2" xfId="3807"/>
    <cellStyle name="Normal 2 19 12" xfId="287"/>
    <cellStyle name="Normal 2 19 12 2" xfId="3806"/>
    <cellStyle name="Normal 2 19 13" xfId="288"/>
    <cellStyle name="Normal 2 19 13 2" xfId="3805"/>
    <cellStyle name="Normal 2 19 14" xfId="289"/>
    <cellStyle name="Normal 2 19 14 2" xfId="3804"/>
    <cellStyle name="Normal 2 19 15" xfId="290"/>
    <cellStyle name="Normal 2 19 15 2" xfId="3803"/>
    <cellStyle name="Normal 2 19 16" xfId="291"/>
    <cellStyle name="Normal 2 19 16 2" xfId="3802"/>
    <cellStyle name="Normal 2 19 17" xfId="292"/>
    <cellStyle name="Normal 2 19 17 2" xfId="3801"/>
    <cellStyle name="Normal 2 19 18" xfId="293"/>
    <cellStyle name="Normal 2 19 18 2" xfId="3800"/>
    <cellStyle name="Normal 2 19 19" xfId="294"/>
    <cellStyle name="Normal 2 19 19 2" xfId="3799"/>
    <cellStyle name="Normal 2 19 2" xfId="295"/>
    <cellStyle name="Normal 2 19 2 2" xfId="3798"/>
    <cellStyle name="Normal 2 19 20" xfId="296"/>
    <cellStyle name="Normal 2 19 20 2" xfId="3797"/>
    <cellStyle name="Normal 2 19 21" xfId="297"/>
    <cellStyle name="Normal 2 19 21 2" xfId="3796"/>
    <cellStyle name="Normal 2 19 22" xfId="298"/>
    <cellStyle name="Normal 2 19 22 2" xfId="3795"/>
    <cellStyle name="Normal 2 19 23" xfId="299"/>
    <cellStyle name="Normal 2 19 23 2" xfId="3794"/>
    <cellStyle name="Normal 2 19 24" xfId="3809"/>
    <cellStyle name="Normal 2 19 3" xfId="300"/>
    <cellStyle name="Normal 2 19 3 2" xfId="3793"/>
    <cellStyle name="Normal 2 19 4" xfId="301"/>
    <cellStyle name="Normal 2 19 4 2" xfId="3792"/>
    <cellStyle name="Normal 2 19 5" xfId="302"/>
    <cellStyle name="Normal 2 19 5 2" xfId="3791"/>
    <cellStyle name="Normal 2 19 6" xfId="303"/>
    <cellStyle name="Normal 2 19 6 2" xfId="3790"/>
    <cellStyle name="Normal 2 19 7" xfId="304"/>
    <cellStyle name="Normal 2 19 7 2" xfId="3789"/>
    <cellStyle name="Normal 2 19 8" xfId="305"/>
    <cellStyle name="Normal 2 19 8 2" xfId="3788"/>
    <cellStyle name="Normal 2 19 9" xfId="306"/>
    <cellStyle name="Normal 2 19 9 2" xfId="3787"/>
    <cellStyle name="Normal 2 2" xfId="7"/>
    <cellStyle name="Normal 2 2 2" xfId="307"/>
    <cellStyle name="Normal 2 2 2 2" xfId="3786"/>
    <cellStyle name="Normal 2 20" xfId="308"/>
    <cellStyle name="Normal 2 20 10" xfId="309"/>
    <cellStyle name="Normal 2 20 10 2" xfId="3784"/>
    <cellStyle name="Normal 2 20 11" xfId="310"/>
    <cellStyle name="Normal 2 20 11 2" xfId="3783"/>
    <cellStyle name="Normal 2 20 12" xfId="311"/>
    <cellStyle name="Normal 2 20 12 2" xfId="3782"/>
    <cellStyle name="Normal 2 20 13" xfId="312"/>
    <cellStyle name="Normal 2 20 13 2" xfId="3781"/>
    <cellStyle name="Normal 2 20 14" xfId="313"/>
    <cellStyle name="Normal 2 20 14 2" xfId="3780"/>
    <cellStyle name="Normal 2 20 15" xfId="314"/>
    <cellStyle name="Normal 2 20 15 2" xfId="3779"/>
    <cellStyle name="Normal 2 20 16" xfId="315"/>
    <cellStyle name="Normal 2 20 16 2" xfId="3778"/>
    <cellStyle name="Normal 2 20 17" xfId="316"/>
    <cellStyle name="Normal 2 20 17 2" xfId="3777"/>
    <cellStyle name="Normal 2 20 18" xfId="317"/>
    <cellStyle name="Normal 2 20 18 2" xfId="3776"/>
    <cellStyle name="Normal 2 20 19" xfId="318"/>
    <cellStyle name="Normal 2 20 19 2" xfId="3775"/>
    <cellStyle name="Normal 2 20 2" xfId="319"/>
    <cellStyle name="Normal 2 20 2 2" xfId="3774"/>
    <cellStyle name="Normal 2 20 20" xfId="320"/>
    <cellStyle name="Normal 2 20 20 2" xfId="3773"/>
    <cellStyle name="Normal 2 20 21" xfId="321"/>
    <cellStyle name="Normal 2 20 21 2" xfId="3772"/>
    <cellStyle name="Normal 2 20 22" xfId="322"/>
    <cellStyle name="Normal 2 20 22 2" xfId="3771"/>
    <cellStyle name="Normal 2 20 23" xfId="323"/>
    <cellStyle name="Normal 2 20 23 2" xfId="3770"/>
    <cellStyle name="Normal 2 20 24" xfId="3785"/>
    <cellStyle name="Normal 2 20 3" xfId="324"/>
    <cellStyle name="Normal 2 20 3 2" xfId="3769"/>
    <cellStyle name="Normal 2 20 4" xfId="325"/>
    <cellStyle name="Normal 2 20 4 2" xfId="3768"/>
    <cellStyle name="Normal 2 20 5" xfId="326"/>
    <cellStyle name="Normal 2 20 5 2" xfId="3767"/>
    <cellStyle name="Normal 2 20 6" xfId="327"/>
    <cellStyle name="Normal 2 20 6 2" xfId="3766"/>
    <cellStyle name="Normal 2 20 7" xfId="328"/>
    <cellStyle name="Normal 2 20 7 2" xfId="3765"/>
    <cellStyle name="Normal 2 20 8" xfId="329"/>
    <cellStyle name="Normal 2 20 8 2" xfId="3764"/>
    <cellStyle name="Normal 2 20 9" xfId="330"/>
    <cellStyle name="Normal 2 20 9 2" xfId="3763"/>
    <cellStyle name="Normal 2 21" xfId="331"/>
    <cellStyle name="Normal 2 21 10" xfId="332"/>
    <cellStyle name="Normal 2 21 10 2" xfId="3761"/>
    <cellStyle name="Normal 2 21 11" xfId="333"/>
    <cellStyle name="Normal 2 21 11 2" xfId="3760"/>
    <cellStyle name="Normal 2 21 12" xfId="334"/>
    <cellStyle name="Normal 2 21 12 2" xfId="3759"/>
    <cellStyle name="Normal 2 21 13" xfId="335"/>
    <cellStyle name="Normal 2 21 13 2" xfId="3758"/>
    <cellStyle name="Normal 2 21 14" xfId="336"/>
    <cellStyle name="Normal 2 21 14 2" xfId="3757"/>
    <cellStyle name="Normal 2 21 15" xfId="337"/>
    <cellStyle name="Normal 2 21 15 2" xfId="3756"/>
    <cellStyle name="Normal 2 21 16" xfId="338"/>
    <cellStyle name="Normal 2 21 16 2" xfId="3755"/>
    <cellStyle name="Normal 2 21 17" xfId="339"/>
    <cellStyle name="Normal 2 21 17 2" xfId="3754"/>
    <cellStyle name="Normal 2 21 18" xfId="340"/>
    <cellStyle name="Normal 2 21 18 2" xfId="3753"/>
    <cellStyle name="Normal 2 21 19" xfId="341"/>
    <cellStyle name="Normal 2 21 19 2" xfId="3752"/>
    <cellStyle name="Normal 2 21 2" xfId="342"/>
    <cellStyle name="Normal 2 21 2 2" xfId="3751"/>
    <cellStyle name="Normal 2 21 20" xfId="343"/>
    <cellStyle name="Normal 2 21 20 2" xfId="3750"/>
    <cellStyle name="Normal 2 21 21" xfId="344"/>
    <cellStyle name="Normal 2 21 21 2" xfId="3749"/>
    <cellStyle name="Normal 2 21 22" xfId="345"/>
    <cellStyle name="Normal 2 21 22 2" xfId="3748"/>
    <cellStyle name="Normal 2 21 23" xfId="346"/>
    <cellStyle name="Normal 2 21 23 2" xfId="3747"/>
    <cellStyle name="Normal 2 21 24" xfId="3762"/>
    <cellStyle name="Normal 2 21 3" xfId="347"/>
    <cellStyle name="Normal 2 21 3 2" xfId="3746"/>
    <cellStyle name="Normal 2 21 4" xfId="348"/>
    <cellStyle name="Normal 2 21 4 2" xfId="3745"/>
    <cellStyle name="Normal 2 21 5" xfId="349"/>
    <cellStyle name="Normal 2 21 5 2" xfId="3744"/>
    <cellStyle name="Normal 2 21 6" xfId="350"/>
    <cellStyle name="Normal 2 21 6 2" xfId="3743"/>
    <cellStyle name="Normal 2 21 7" xfId="351"/>
    <cellStyle name="Normal 2 21 7 2" xfId="3742"/>
    <cellStyle name="Normal 2 21 8" xfId="352"/>
    <cellStyle name="Normal 2 21 8 2" xfId="3741"/>
    <cellStyle name="Normal 2 21 9" xfId="353"/>
    <cellStyle name="Normal 2 21 9 2" xfId="3740"/>
    <cellStyle name="Normal 2 22" xfId="354"/>
    <cellStyle name="Normal 2 22 10" xfId="355"/>
    <cellStyle name="Normal 2 22 10 2" xfId="3738"/>
    <cellStyle name="Normal 2 22 11" xfId="356"/>
    <cellStyle name="Normal 2 22 11 2" xfId="3737"/>
    <cellStyle name="Normal 2 22 12" xfId="357"/>
    <cellStyle name="Normal 2 22 12 2" xfId="3736"/>
    <cellStyle name="Normal 2 22 13" xfId="358"/>
    <cellStyle name="Normal 2 22 13 2" xfId="3735"/>
    <cellStyle name="Normal 2 22 14" xfId="359"/>
    <cellStyle name="Normal 2 22 14 2" xfId="3734"/>
    <cellStyle name="Normal 2 22 15" xfId="360"/>
    <cellStyle name="Normal 2 22 15 2" xfId="3733"/>
    <cellStyle name="Normal 2 22 16" xfId="361"/>
    <cellStyle name="Normal 2 22 16 2" xfId="3732"/>
    <cellStyle name="Normal 2 22 17" xfId="362"/>
    <cellStyle name="Normal 2 22 17 2" xfId="3731"/>
    <cellStyle name="Normal 2 22 18" xfId="363"/>
    <cellStyle name="Normal 2 22 18 2" xfId="3730"/>
    <cellStyle name="Normal 2 22 19" xfId="364"/>
    <cellStyle name="Normal 2 22 19 2" xfId="3729"/>
    <cellStyle name="Normal 2 22 2" xfId="365"/>
    <cellStyle name="Normal 2 22 2 2" xfId="3728"/>
    <cellStyle name="Normal 2 22 20" xfId="366"/>
    <cellStyle name="Normal 2 22 20 2" xfId="3727"/>
    <cellStyle name="Normal 2 22 21" xfId="367"/>
    <cellStyle name="Normal 2 22 21 2" xfId="3726"/>
    <cellStyle name="Normal 2 22 22" xfId="368"/>
    <cellStyle name="Normal 2 22 22 2" xfId="3725"/>
    <cellStyle name="Normal 2 22 23" xfId="369"/>
    <cellStyle name="Normal 2 22 23 2" xfId="3724"/>
    <cellStyle name="Normal 2 22 24" xfId="3739"/>
    <cellStyle name="Normal 2 22 3" xfId="370"/>
    <cellStyle name="Normal 2 22 3 2" xfId="3723"/>
    <cellStyle name="Normal 2 22 4" xfId="371"/>
    <cellStyle name="Normal 2 22 4 2" xfId="3722"/>
    <cellStyle name="Normal 2 22 5" xfId="372"/>
    <cellStyle name="Normal 2 22 5 2" xfId="3721"/>
    <cellStyle name="Normal 2 22 6" xfId="373"/>
    <cellStyle name="Normal 2 22 6 2" xfId="3720"/>
    <cellStyle name="Normal 2 22 7" xfId="374"/>
    <cellStyle name="Normal 2 22 7 2" xfId="3719"/>
    <cellStyle name="Normal 2 22 8" xfId="375"/>
    <cellStyle name="Normal 2 22 8 2" xfId="3718"/>
    <cellStyle name="Normal 2 22 9" xfId="376"/>
    <cellStyle name="Normal 2 22 9 2" xfId="3717"/>
    <cellStyle name="Normal 2 23" xfId="377"/>
    <cellStyle name="Normal 2 23 10" xfId="378"/>
    <cellStyle name="Normal 2 23 10 2" xfId="3715"/>
    <cellStyle name="Normal 2 23 11" xfId="379"/>
    <cellStyle name="Normal 2 23 11 2" xfId="3714"/>
    <cellStyle name="Normal 2 23 12" xfId="380"/>
    <cellStyle name="Normal 2 23 12 2" xfId="3713"/>
    <cellStyle name="Normal 2 23 13" xfId="381"/>
    <cellStyle name="Normal 2 23 13 2" xfId="3712"/>
    <cellStyle name="Normal 2 23 14" xfId="382"/>
    <cellStyle name="Normal 2 23 14 2" xfId="3711"/>
    <cellStyle name="Normal 2 23 15" xfId="383"/>
    <cellStyle name="Normal 2 23 15 2" xfId="3710"/>
    <cellStyle name="Normal 2 23 16" xfId="384"/>
    <cellStyle name="Normal 2 23 16 2" xfId="3709"/>
    <cellStyle name="Normal 2 23 17" xfId="385"/>
    <cellStyle name="Normal 2 23 17 2" xfId="3708"/>
    <cellStyle name="Normal 2 23 18" xfId="386"/>
    <cellStyle name="Normal 2 23 18 2" xfId="3707"/>
    <cellStyle name="Normal 2 23 19" xfId="387"/>
    <cellStyle name="Normal 2 23 19 2" xfId="3706"/>
    <cellStyle name="Normal 2 23 2" xfId="388"/>
    <cellStyle name="Normal 2 23 2 2" xfId="3705"/>
    <cellStyle name="Normal 2 23 20" xfId="389"/>
    <cellStyle name="Normal 2 23 20 2" xfId="3704"/>
    <cellStyle name="Normal 2 23 21" xfId="390"/>
    <cellStyle name="Normal 2 23 21 2" xfId="3703"/>
    <cellStyle name="Normal 2 23 22" xfId="391"/>
    <cellStyle name="Normal 2 23 22 2" xfId="3702"/>
    <cellStyle name="Normal 2 23 23" xfId="392"/>
    <cellStyle name="Normal 2 23 23 2" xfId="3701"/>
    <cellStyle name="Normal 2 23 24" xfId="3716"/>
    <cellStyle name="Normal 2 23 3" xfId="393"/>
    <cellStyle name="Normal 2 23 3 2" xfId="3700"/>
    <cellStyle name="Normal 2 23 4" xfId="394"/>
    <cellStyle name="Normal 2 23 4 2" xfId="3699"/>
    <cellStyle name="Normal 2 23 5" xfId="395"/>
    <cellStyle name="Normal 2 23 5 2" xfId="3698"/>
    <cellStyle name="Normal 2 23 6" xfId="396"/>
    <cellStyle name="Normal 2 23 6 2" xfId="3697"/>
    <cellStyle name="Normal 2 23 7" xfId="397"/>
    <cellStyle name="Normal 2 23 7 2" xfId="3696"/>
    <cellStyle name="Normal 2 23 8" xfId="398"/>
    <cellStyle name="Normal 2 23 8 2" xfId="3695"/>
    <cellStyle name="Normal 2 23 9" xfId="399"/>
    <cellStyle name="Normal 2 23 9 2" xfId="3694"/>
    <cellStyle name="Normal 2 24" xfId="400"/>
    <cellStyle name="Normal 2 24 10" xfId="401"/>
    <cellStyle name="Normal 2 24 10 2" xfId="3692"/>
    <cellStyle name="Normal 2 24 11" xfId="402"/>
    <cellStyle name="Normal 2 24 11 2" xfId="3691"/>
    <cellStyle name="Normal 2 24 12" xfId="403"/>
    <cellStyle name="Normal 2 24 12 2" xfId="3690"/>
    <cellStyle name="Normal 2 24 13" xfId="404"/>
    <cellStyle name="Normal 2 24 13 2" xfId="3689"/>
    <cellStyle name="Normal 2 24 14" xfId="405"/>
    <cellStyle name="Normal 2 24 14 2" xfId="3688"/>
    <cellStyle name="Normal 2 24 15" xfId="406"/>
    <cellStyle name="Normal 2 24 15 2" xfId="3687"/>
    <cellStyle name="Normal 2 24 16" xfId="407"/>
    <cellStyle name="Normal 2 24 16 2" xfId="3686"/>
    <cellStyle name="Normal 2 24 17" xfId="408"/>
    <cellStyle name="Normal 2 24 17 2" xfId="3685"/>
    <cellStyle name="Normal 2 24 18" xfId="409"/>
    <cellStyle name="Normal 2 24 18 2" xfId="3684"/>
    <cellStyle name="Normal 2 24 19" xfId="410"/>
    <cellStyle name="Normal 2 24 19 2" xfId="3683"/>
    <cellStyle name="Normal 2 24 2" xfId="411"/>
    <cellStyle name="Normal 2 24 2 2" xfId="3682"/>
    <cellStyle name="Normal 2 24 20" xfId="412"/>
    <cellStyle name="Normal 2 24 20 2" xfId="3681"/>
    <cellStyle name="Normal 2 24 21" xfId="413"/>
    <cellStyle name="Normal 2 24 21 2" xfId="3680"/>
    <cellStyle name="Normal 2 24 22" xfId="414"/>
    <cellStyle name="Normal 2 24 22 2" xfId="3679"/>
    <cellStyle name="Normal 2 24 23" xfId="415"/>
    <cellStyle name="Normal 2 24 23 2" xfId="3678"/>
    <cellStyle name="Normal 2 24 24" xfId="3693"/>
    <cellStyle name="Normal 2 24 3" xfId="416"/>
    <cellStyle name="Normal 2 24 3 2" xfId="3677"/>
    <cellStyle name="Normal 2 24 4" xfId="417"/>
    <cellStyle name="Normal 2 24 4 2" xfId="3676"/>
    <cellStyle name="Normal 2 24 5" xfId="418"/>
    <cellStyle name="Normal 2 24 5 2" xfId="3675"/>
    <cellStyle name="Normal 2 24 6" xfId="419"/>
    <cellStyle name="Normal 2 24 6 2" xfId="3674"/>
    <cellStyle name="Normal 2 24 7" xfId="420"/>
    <cellStyle name="Normal 2 24 7 2" xfId="3673"/>
    <cellStyle name="Normal 2 24 8" xfId="421"/>
    <cellStyle name="Normal 2 24 8 2" xfId="3672"/>
    <cellStyle name="Normal 2 24 9" xfId="422"/>
    <cellStyle name="Normal 2 24 9 2" xfId="3671"/>
    <cellStyle name="Normal 2 25" xfId="423"/>
    <cellStyle name="Normal 2 25 10" xfId="424"/>
    <cellStyle name="Normal 2 25 10 2" xfId="3669"/>
    <cellStyle name="Normal 2 25 11" xfId="425"/>
    <cellStyle name="Normal 2 25 11 2" xfId="3668"/>
    <cellStyle name="Normal 2 25 12" xfId="426"/>
    <cellStyle name="Normal 2 25 12 2" xfId="3667"/>
    <cellStyle name="Normal 2 25 13" xfId="427"/>
    <cellStyle name="Normal 2 25 13 2" xfId="3666"/>
    <cellStyle name="Normal 2 25 14" xfId="428"/>
    <cellStyle name="Normal 2 25 14 2" xfId="3665"/>
    <cellStyle name="Normal 2 25 15" xfId="429"/>
    <cellStyle name="Normal 2 25 15 2" xfId="3664"/>
    <cellStyle name="Normal 2 25 16" xfId="430"/>
    <cellStyle name="Normal 2 25 16 2" xfId="3663"/>
    <cellStyle name="Normal 2 25 17" xfId="431"/>
    <cellStyle name="Normal 2 25 17 2" xfId="3662"/>
    <cellStyle name="Normal 2 25 18" xfId="432"/>
    <cellStyle name="Normal 2 25 18 2" xfId="3661"/>
    <cellStyle name="Normal 2 25 19" xfId="433"/>
    <cellStyle name="Normal 2 25 19 2" xfId="3660"/>
    <cellStyle name="Normal 2 25 2" xfId="434"/>
    <cellStyle name="Normal 2 25 2 2" xfId="3659"/>
    <cellStyle name="Normal 2 25 20" xfId="435"/>
    <cellStyle name="Normal 2 25 20 2" xfId="3658"/>
    <cellStyle name="Normal 2 25 21" xfId="436"/>
    <cellStyle name="Normal 2 25 21 2" xfId="3657"/>
    <cellStyle name="Normal 2 25 22" xfId="437"/>
    <cellStyle name="Normal 2 25 22 2" xfId="3656"/>
    <cellStyle name="Normal 2 25 23" xfId="438"/>
    <cellStyle name="Normal 2 25 23 2" xfId="3655"/>
    <cellStyle name="Normal 2 25 24" xfId="3670"/>
    <cellStyle name="Normal 2 25 3" xfId="439"/>
    <cellStyle name="Normal 2 25 3 2" xfId="3654"/>
    <cellStyle name="Normal 2 25 4" xfId="440"/>
    <cellStyle name="Normal 2 25 4 2" xfId="3653"/>
    <cellStyle name="Normal 2 25 5" xfId="441"/>
    <cellStyle name="Normal 2 25 5 2" xfId="3652"/>
    <cellStyle name="Normal 2 25 6" xfId="442"/>
    <cellStyle name="Normal 2 25 6 2" xfId="3651"/>
    <cellStyle name="Normal 2 25 7" xfId="443"/>
    <cellStyle name="Normal 2 25 7 2" xfId="3650"/>
    <cellStyle name="Normal 2 25 8" xfId="444"/>
    <cellStyle name="Normal 2 25 8 2" xfId="3649"/>
    <cellStyle name="Normal 2 25 9" xfId="445"/>
    <cellStyle name="Normal 2 25 9 2" xfId="3648"/>
    <cellStyle name="Normal 2 26" xfId="446"/>
    <cellStyle name="Normal 2 26 10" xfId="447"/>
    <cellStyle name="Normal 2 26 10 2" xfId="3646"/>
    <cellStyle name="Normal 2 26 11" xfId="448"/>
    <cellStyle name="Normal 2 26 11 2" xfId="3645"/>
    <cellStyle name="Normal 2 26 12" xfId="449"/>
    <cellStyle name="Normal 2 26 12 2" xfId="3644"/>
    <cellStyle name="Normal 2 26 13" xfId="450"/>
    <cellStyle name="Normal 2 26 13 2" xfId="3643"/>
    <cellStyle name="Normal 2 26 14" xfId="451"/>
    <cellStyle name="Normal 2 26 14 2" xfId="3642"/>
    <cellStyle name="Normal 2 26 15" xfId="452"/>
    <cellStyle name="Normal 2 26 15 2" xfId="3641"/>
    <cellStyle name="Normal 2 26 16" xfId="453"/>
    <cellStyle name="Normal 2 26 16 2" xfId="3640"/>
    <cellStyle name="Normal 2 26 17" xfId="454"/>
    <cellStyle name="Normal 2 26 17 2" xfId="3639"/>
    <cellStyle name="Normal 2 26 18" xfId="455"/>
    <cellStyle name="Normal 2 26 18 2" xfId="3638"/>
    <cellStyle name="Normal 2 26 19" xfId="456"/>
    <cellStyle name="Normal 2 26 19 2" xfId="3637"/>
    <cellStyle name="Normal 2 26 2" xfId="457"/>
    <cellStyle name="Normal 2 26 2 2" xfId="3636"/>
    <cellStyle name="Normal 2 26 20" xfId="458"/>
    <cellStyle name="Normal 2 26 20 2" xfId="3635"/>
    <cellStyle name="Normal 2 26 21" xfId="459"/>
    <cellStyle name="Normal 2 26 21 2" xfId="3634"/>
    <cellStyle name="Normal 2 26 22" xfId="460"/>
    <cellStyle name="Normal 2 26 22 2" xfId="3633"/>
    <cellStyle name="Normal 2 26 23" xfId="461"/>
    <cellStyle name="Normal 2 26 23 2" xfId="3632"/>
    <cellStyle name="Normal 2 26 24" xfId="3647"/>
    <cellStyle name="Normal 2 26 3" xfId="462"/>
    <cellStyle name="Normal 2 26 3 2" xfId="3631"/>
    <cellStyle name="Normal 2 26 4" xfId="463"/>
    <cellStyle name="Normal 2 26 4 2" xfId="3630"/>
    <cellStyle name="Normal 2 26 5" xfId="464"/>
    <cellStyle name="Normal 2 26 5 2" xfId="3629"/>
    <cellStyle name="Normal 2 26 6" xfId="465"/>
    <cellStyle name="Normal 2 26 6 2" xfId="3628"/>
    <cellStyle name="Normal 2 26 7" xfId="466"/>
    <cellStyle name="Normal 2 26 7 2" xfId="3627"/>
    <cellStyle name="Normal 2 26 8" xfId="467"/>
    <cellStyle name="Normal 2 26 8 2" xfId="3626"/>
    <cellStyle name="Normal 2 26 9" xfId="468"/>
    <cellStyle name="Normal 2 26 9 2" xfId="3625"/>
    <cellStyle name="Normal 2 27" xfId="469"/>
    <cellStyle name="Normal 2 27 10" xfId="470"/>
    <cellStyle name="Normal 2 27 10 2" xfId="3623"/>
    <cellStyle name="Normal 2 27 11" xfId="471"/>
    <cellStyle name="Normal 2 27 11 2" xfId="3622"/>
    <cellStyle name="Normal 2 27 12" xfId="472"/>
    <cellStyle name="Normal 2 27 12 2" xfId="3621"/>
    <cellStyle name="Normal 2 27 13" xfId="473"/>
    <cellStyle name="Normal 2 27 13 2" xfId="3620"/>
    <cellStyle name="Normal 2 27 14" xfId="474"/>
    <cellStyle name="Normal 2 27 14 2" xfId="3619"/>
    <cellStyle name="Normal 2 27 15" xfId="475"/>
    <cellStyle name="Normal 2 27 15 2" xfId="3618"/>
    <cellStyle name="Normal 2 27 16" xfId="476"/>
    <cellStyle name="Normal 2 27 16 2" xfId="3617"/>
    <cellStyle name="Normal 2 27 17" xfId="477"/>
    <cellStyle name="Normal 2 27 17 2" xfId="3616"/>
    <cellStyle name="Normal 2 27 18" xfId="478"/>
    <cellStyle name="Normal 2 27 18 2" xfId="3615"/>
    <cellStyle name="Normal 2 27 19" xfId="479"/>
    <cellStyle name="Normal 2 27 19 2" xfId="3614"/>
    <cellStyle name="Normal 2 27 2" xfId="480"/>
    <cellStyle name="Normal 2 27 2 2" xfId="3613"/>
    <cellStyle name="Normal 2 27 20" xfId="481"/>
    <cellStyle name="Normal 2 27 20 2" xfId="3612"/>
    <cellStyle name="Normal 2 27 21" xfId="482"/>
    <cellStyle name="Normal 2 27 21 2" xfId="3611"/>
    <cellStyle name="Normal 2 27 22" xfId="483"/>
    <cellStyle name="Normal 2 27 22 2" xfId="3610"/>
    <cellStyle name="Normal 2 27 23" xfId="484"/>
    <cellStyle name="Normal 2 27 23 2" xfId="3609"/>
    <cellStyle name="Normal 2 27 24" xfId="3624"/>
    <cellStyle name="Normal 2 27 3" xfId="485"/>
    <cellStyle name="Normal 2 27 3 2" xfId="3608"/>
    <cellStyle name="Normal 2 27 4" xfId="486"/>
    <cellStyle name="Normal 2 27 4 2" xfId="3607"/>
    <cellStyle name="Normal 2 27 5" xfId="487"/>
    <cellStyle name="Normal 2 27 5 2" xfId="3606"/>
    <cellStyle name="Normal 2 27 6" xfId="488"/>
    <cellStyle name="Normal 2 27 6 2" xfId="3605"/>
    <cellStyle name="Normal 2 27 7" xfId="489"/>
    <cellStyle name="Normal 2 27 7 2" xfId="3604"/>
    <cellStyle name="Normal 2 27 8" xfId="490"/>
    <cellStyle name="Normal 2 27 8 2" xfId="3603"/>
    <cellStyle name="Normal 2 27 9" xfId="491"/>
    <cellStyle name="Normal 2 27 9 2" xfId="3602"/>
    <cellStyle name="Normal 2 28" xfId="492"/>
    <cellStyle name="Normal 2 28 10" xfId="493"/>
    <cellStyle name="Normal 2 28 10 2" xfId="3600"/>
    <cellStyle name="Normal 2 28 11" xfId="494"/>
    <cellStyle name="Normal 2 28 11 2" xfId="3599"/>
    <cellStyle name="Normal 2 28 12" xfId="495"/>
    <cellStyle name="Normal 2 28 12 2" xfId="3598"/>
    <cellStyle name="Normal 2 28 13" xfId="496"/>
    <cellStyle name="Normal 2 28 13 2" xfId="3597"/>
    <cellStyle name="Normal 2 28 14" xfId="497"/>
    <cellStyle name="Normal 2 28 14 2" xfId="3596"/>
    <cellStyle name="Normal 2 28 15" xfId="498"/>
    <cellStyle name="Normal 2 28 15 2" xfId="3595"/>
    <cellStyle name="Normal 2 28 16" xfId="499"/>
    <cellStyle name="Normal 2 28 16 2" xfId="3594"/>
    <cellStyle name="Normal 2 28 17" xfId="500"/>
    <cellStyle name="Normal 2 28 17 2" xfId="3593"/>
    <cellStyle name="Normal 2 28 18" xfId="501"/>
    <cellStyle name="Normal 2 28 18 2" xfId="3592"/>
    <cellStyle name="Normal 2 28 19" xfId="502"/>
    <cellStyle name="Normal 2 28 19 2" xfId="3591"/>
    <cellStyle name="Normal 2 28 2" xfId="503"/>
    <cellStyle name="Normal 2 28 2 2" xfId="3590"/>
    <cellStyle name="Normal 2 28 20" xfId="504"/>
    <cellStyle name="Normal 2 28 20 2" xfId="3589"/>
    <cellStyle name="Normal 2 28 21" xfId="505"/>
    <cellStyle name="Normal 2 28 21 2" xfId="3588"/>
    <cellStyle name="Normal 2 28 22" xfId="506"/>
    <cellStyle name="Normal 2 28 22 2" xfId="3587"/>
    <cellStyle name="Normal 2 28 23" xfId="507"/>
    <cellStyle name="Normal 2 28 23 2" xfId="3586"/>
    <cellStyle name="Normal 2 28 24" xfId="3601"/>
    <cellStyle name="Normal 2 28 3" xfId="508"/>
    <cellStyle name="Normal 2 28 3 2" xfId="3585"/>
    <cellStyle name="Normal 2 28 4" xfId="509"/>
    <cellStyle name="Normal 2 28 4 2" xfId="3584"/>
    <cellStyle name="Normal 2 28 5" xfId="510"/>
    <cellStyle name="Normal 2 28 5 2" xfId="3583"/>
    <cellStyle name="Normal 2 28 6" xfId="511"/>
    <cellStyle name="Normal 2 28 6 2" xfId="3582"/>
    <cellStyle name="Normal 2 28 7" xfId="512"/>
    <cellStyle name="Normal 2 28 7 2" xfId="3581"/>
    <cellStyle name="Normal 2 28 8" xfId="513"/>
    <cellStyle name="Normal 2 28 8 2" xfId="3580"/>
    <cellStyle name="Normal 2 28 9" xfId="514"/>
    <cellStyle name="Normal 2 28 9 2" xfId="3579"/>
    <cellStyle name="Normal 2 29" xfId="515"/>
    <cellStyle name="Normal 2 29 10" xfId="516"/>
    <cellStyle name="Normal 2 29 10 2" xfId="3577"/>
    <cellStyle name="Normal 2 29 11" xfId="517"/>
    <cellStyle name="Normal 2 29 11 2" xfId="3576"/>
    <cellStyle name="Normal 2 29 12" xfId="518"/>
    <cellStyle name="Normal 2 29 12 2" xfId="3575"/>
    <cellStyle name="Normal 2 29 13" xfId="519"/>
    <cellStyle name="Normal 2 29 13 2" xfId="3574"/>
    <cellStyle name="Normal 2 29 14" xfId="520"/>
    <cellStyle name="Normal 2 29 14 2" xfId="3573"/>
    <cellStyle name="Normal 2 29 15" xfId="521"/>
    <cellStyle name="Normal 2 29 15 2" xfId="3572"/>
    <cellStyle name="Normal 2 29 16" xfId="522"/>
    <cellStyle name="Normal 2 29 16 2" xfId="3571"/>
    <cellStyle name="Normal 2 29 17" xfId="523"/>
    <cellStyle name="Normal 2 29 17 2" xfId="3570"/>
    <cellStyle name="Normal 2 29 18" xfId="524"/>
    <cellStyle name="Normal 2 29 18 2" xfId="3569"/>
    <cellStyle name="Normal 2 29 19" xfId="525"/>
    <cellStyle name="Normal 2 29 19 2" xfId="3568"/>
    <cellStyle name="Normal 2 29 2" xfId="526"/>
    <cellStyle name="Normal 2 29 2 2" xfId="3567"/>
    <cellStyle name="Normal 2 29 20" xfId="527"/>
    <cellStyle name="Normal 2 29 20 2" xfId="3566"/>
    <cellStyle name="Normal 2 29 21" xfId="528"/>
    <cellStyle name="Normal 2 29 21 2" xfId="3565"/>
    <cellStyle name="Normal 2 29 22" xfId="529"/>
    <cellStyle name="Normal 2 29 22 2" xfId="3564"/>
    <cellStyle name="Normal 2 29 23" xfId="530"/>
    <cellStyle name="Normal 2 29 23 2" xfId="3563"/>
    <cellStyle name="Normal 2 29 24" xfId="3578"/>
    <cellStyle name="Normal 2 29 3" xfId="531"/>
    <cellStyle name="Normal 2 29 3 2" xfId="3562"/>
    <cellStyle name="Normal 2 29 4" xfId="532"/>
    <cellStyle name="Normal 2 29 4 2" xfId="3561"/>
    <cellStyle name="Normal 2 29 5" xfId="533"/>
    <cellStyle name="Normal 2 29 5 2" xfId="3560"/>
    <cellStyle name="Normal 2 29 6" xfId="534"/>
    <cellStyle name="Normal 2 29 6 2" xfId="3559"/>
    <cellStyle name="Normal 2 29 7" xfId="535"/>
    <cellStyle name="Normal 2 29 7 2" xfId="3558"/>
    <cellStyle name="Normal 2 29 8" xfId="536"/>
    <cellStyle name="Normal 2 29 8 2" xfId="3557"/>
    <cellStyle name="Normal 2 29 9" xfId="537"/>
    <cellStyle name="Normal 2 29 9 2" xfId="3556"/>
    <cellStyle name="Normal 2 3" xfId="538"/>
    <cellStyle name="Normal 2 3 2" xfId="3555"/>
    <cellStyle name="Normal 2 30" xfId="539"/>
    <cellStyle name="Normal 2 30 10" xfId="540"/>
    <cellStyle name="Normal 2 30 10 2" xfId="3553"/>
    <cellStyle name="Normal 2 30 11" xfId="541"/>
    <cellStyle name="Normal 2 30 11 2" xfId="3552"/>
    <cellStyle name="Normal 2 30 12" xfId="542"/>
    <cellStyle name="Normal 2 30 12 2" xfId="3551"/>
    <cellStyle name="Normal 2 30 13" xfId="543"/>
    <cellStyle name="Normal 2 30 13 2" xfId="3550"/>
    <cellStyle name="Normal 2 30 14" xfId="544"/>
    <cellStyle name="Normal 2 30 14 2" xfId="3549"/>
    <cellStyle name="Normal 2 30 15" xfId="545"/>
    <cellStyle name="Normal 2 30 15 2" xfId="3548"/>
    <cellStyle name="Normal 2 30 16" xfId="546"/>
    <cellStyle name="Normal 2 30 16 2" xfId="3547"/>
    <cellStyle name="Normal 2 30 17" xfId="547"/>
    <cellStyle name="Normal 2 30 17 2" xfId="3546"/>
    <cellStyle name="Normal 2 30 18" xfId="548"/>
    <cellStyle name="Normal 2 30 18 2" xfId="3545"/>
    <cellStyle name="Normal 2 30 19" xfId="549"/>
    <cellStyle name="Normal 2 30 19 2" xfId="3544"/>
    <cellStyle name="Normal 2 30 2" xfId="550"/>
    <cellStyle name="Normal 2 30 2 2" xfId="3543"/>
    <cellStyle name="Normal 2 30 20" xfId="551"/>
    <cellStyle name="Normal 2 30 20 2" xfId="3542"/>
    <cellStyle name="Normal 2 30 21" xfId="552"/>
    <cellStyle name="Normal 2 30 21 2" xfId="3541"/>
    <cellStyle name="Normal 2 30 22" xfId="553"/>
    <cellStyle name="Normal 2 30 22 2" xfId="3540"/>
    <cellStyle name="Normal 2 30 23" xfId="554"/>
    <cellStyle name="Normal 2 30 23 2" xfId="3539"/>
    <cellStyle name="Normal 2 30 24" xfId="3554"/>
    <cellStyle name="Normal 2 30 3" xfId="555"/>
    <cellStyle name="Normal 2 30 3 2" xfId="3538"/>
    <cellStyle name="Normal 2 30 4" xfId="556"/>
    <cellStyle name="Normal 2 30 4 2" xfId="3537"/>
    <cellStyle name="Normal 2 30 5" xfId="557"/>
    <cellStyle name="Normal 2 30 5 2" xfId="3536"/>
    <cellStyle name="Normal 2 30 6" xfId="558"/>
    <cellStyle name="Normal 2 30 6 2" xfId="3535"/>
    <cellStyle name="Normal 2 30 7" xfId="559"/>
    <cellStyle name="Normal 2 30 7 2" xfId="3534"/>
    <cellStyle name="Normal 2 30 8" xfId="560"/>
    <cellStyle name="Normal 2 30 8 2" xfId="3533"/>
    <cellStyle name="Normal 2 30 9" xfId="561"/>
    <cellStyle name="Normal 2 30 9 2" xfId="3532"/>
    <cellStyle name="Normal 2 31" xfId="562"/>
    <cellStyle name="Normal 2 31 10" xfId="563"/>
    <cellStyle name="Normal 2 31 10 2" xfId="3530"/>
    <cellStyle name="Normal 2 31 11" xfId="564"/>
    <cellStyle name="Normal 2 31 11 2" xfId="3529"/>
    <cellStyle name="Normal 2 31 12" xfId="565"/>
    <cellStyle name="Normal 2 31 12 2" xfId="3528"/>
    <cellStyle name="Normal 2 31 13" xfId="566"/>
    <cellStyle name="Normal 2 31 13 2" xfId="3527"/>
    <cellStyle name="Normal 2 31 14" xfId="567"/>
    <cellStyle name="Normal 2 31 14 2" xfId="3526"/>
    <cellStyle name="Normal 2 31 15" xfId="568"/>
    <cellStyle name="Normal 2 31 15 2" xfId="3525"/>
    <cellStyle name="Normal 2 31 16" xfId="569"/>
    <cellStyle name="Normal 2 31 16 2" xfId="3524"/>
    <cellStyle name="Normal 2 31 17" xfId="570"/>
    <cellStyle name="Normal 2 31 17 2" xfId="3523"/>
    <cellStyle name="Normal 2 31 18" xfId="571"/>
    <cellStyle name="Normal 2 31 18 2" xfId="3522"/>
    <cellStyle name="Normal 2 31 19" xfId="572"/>
    <cellStyle name="Normal 2 31 19 2" xfId="3521"/>
    <cellStyle name="Normal 2 31 2" xfId="573"/>
    <cellStyle name="Normal 2 31 2 2" xfId="3520"/>
    <cellStyle name="Normal 2 31 20" xfId="574"/>
    <cellStyle name="Normal 2 31 20 2" xfId="3519"/>
    <cellStyle name="Normal 2 31 21" xfId="575"/>
    <cellStyle name="Normal 2 31 21 2" xfId="3518"/>
    <cellStyle name="Normal 2 31 22" xfId="576"/>
    <cellStyle name="Normal 2 31 22 2" xfId="3517"/>
    <cellStyle name="Normal 2 31 23" xfId="577"/>
    <cellStyle name="Normal 2 31 23 2" xfId="3516"/>
    <cellStyle name="Normal 2 31 24" xfId="3531"/>
    <cellStyle name="Normal 2 31 3" xfId="578"/>
    <cellStyle name="Normal 2 31 3 2" xfId="3515"/>
    <cellStyle name="Normal 2 31 4" xfId="579"/>
    <cellStyle name="Normal 2 31 4 2" xfId="3514"/>
    <cellStyle name="Normal 2 31 5" xfId="580"/>
    <cellStyle name="Normal 2 31 5 2" xfId="3513"/>
    <cellStyle name="Normal 2 31 6" xfId="581"/>
    <cellStyle name="Normal 2 31 6 2" xfId="3512"/>
    <cellStyle name="Normal 2 31 7" xfId="582"/>
    <cellStyle name="Normal 2 31 7 2" xfId="3511"/>
    <cellStyle name="Normal 2 31 8" xfId="583"/>
    <cellStyle name="Normal 2 31 8 2" xfId="3510"/>
    <cellStyle name="Normal 2 31 9" xfId="584"/>
    <cellStyle name="Normal 2 31 9 2" xfId="3509"/>
    <cellStyle name="Normal 2 32" xfId="585"/>
    <cellStyle name="Normal 2 32 10" xfId="586"/>
    <cellStyle name="Normal 2 32 10 2" xfId="3507"/>
    <cellStyle name="Normal 2 32 11" xfId="587"/>
    <cellStyle name="Normal 2 32 11 2" xfId="3506"/>
    <cellStyle name="Normal 2 32 12" xfId="588"/>
    <cellStyle name="Normal 2 32 12 2" xfId="3505"/>
    <cellStyle name="Normal 2 32 13" xfId="589"/>
    <cellStyle name="Normal 2 32 13 2" xfId="3504"/>
    <cellStyle name="Normal 2 32 14" xfId="590"/>
    <cellStyle name="Normal 2 32 14 2" xfId="3503"/>
    <cellStyle name="Normal 2 32 15" xfId="591"/>
    <cellStyle name="Normal 2 32 15 2" xfId="3502"/>
    <cellStyle name="Normal 2 32 16" xfId="592"/>
    <cellStyle name="Normal 2 32 16 2" xfId="3501"/>
    <cellStyle name="Normal 2 32 17" xfId="593"/>
    <cellStyle name="Normal 2 32 17 2" xfId="3500"/>
    <cellStyle name="Normal 2 32 18" xfId="594"/>
    <cellStyle name="Normal 2 32 18 2" xfId="3499"/>
    <cellStyle name="Normal 2 32 19" xfId="595"/>
    <cellStyle name="Normal 2 32 19 2" xfId="3498"/>
    <cellStyle name="Normal 2 32 2" xfId="596"/>
    <cellStyle name="Normal 2 32 2 2" xfId="3497"/>
    <cellStyle name="Normal 2 32 20" xfId="597"/>
    <cellStyle name="Normal 2 32 20 2" xfId="3496"/>
    <cellStyle name="Normal 2 32 21" xfId="598"/>
    <cellStyle name="Normal 2 32 21 2" xfId="3495"/>
    <cellStyle name="Normal 2 32 22" xfId="599"/>
    <cellStyle name="Normal 2 32 22 2" xfId="3494"/>
    <cellStyle name="Normal 2 32 23" xfId="600"/>
    <cellStyle name="Normal 2 32 23 2" xfId="3493"/>
    <cellStyle name="Normal 2 32 24" xfId="3508"/>
    <cellStyle name="Normal 2 32 3" xfId="601"/>
    <cellStyle name="Normal 2 32 3 2" xfId="3492"/>
    <cellStyle name="Normal 2 32 4" xfId="602"/>
    <cellStyle name="Normal 2 32 4 2" xfId="3491"/>
    <cellStyle name="Normal 2 32 5" xfId="603"/>
    <cellStyle name="Normal 2 32 5 2" xfId="3490"/>
    <cellStyle name="Normal 2 32 6" xfId="604"/>
    <cellStyle name="Normal 2 32 6 2" xfId="3489"/>
    <cellStyle name="Normal 2 32 7" xfId="605"/>
    <cellStyle name="Normal 2 32 7 2" xfId="3488"/>
    <cellStyle name="Normal 2 32 8" xfId="606"/>
    <cellStyle name="Normal 2 32 8 2" xfId="3487"/>
    <cellStyle name="Normal 2 32 9" xfId="607"/>
    <cellStyle name="Normal 2 32 9 2" xfId="3486"/>
    <cellStyle name="Normal 2 33" xfId="608"/>
    <cellStyle name="Normal 2 33 10" xfId="609"/>
    <cellStyle name="Normal 2 33 10 2" xfId="3484"/>
    <cellStyle name="Normal 2 33 11" xfId="610"/>
    <cellStyle name="Normal 2 33 11 2" xfId="3483"/>
    <cellStyle name="Normal 2 33 12" xfId="611"/>
    <cellStyle name="Normal 2 33 12 2" xfId="3482"/>
    <cellStyle name="Normal 2 33 13" xfId="612"/>
    <cellStyle name="Normal 2 33 13 2" xfId="3481"/>
    <cellStyle name="Normal 2 33 14" xfId="613"/>
    <cellStyle name="Normal 2 33 14 2" xfId="3480"/>
    <cellStyle name="Normal 2 33 15" xfId="614"/>
    <cellStyle name="Normal 2 33 15 2" xfId="3479"/>
    <cellStyle name="Normal 2 33 16" xfId="615"/>
    <cellStyle name="Normal 2 33 16 2" xfId="3478"/>
    <cellStyle name="Normal 2 33 17" xfId="616"/>
    <cellStyle name="Normal 2 33 17 2" xfId="3477"/>
    <cellStyle name="Normal 2 33 18" xfId="617"/>
    <cellStyle name="Normal 2 33 18 2" xfId="3476"/>
    <cellStyle name="Normal 2 33 19" xfId="618"/>
    <cellStyle name="Normal 2 33 19 2" xfId="3475"/>
    <cellStyle name="Normal 2 33 2" xfId="619"/>
    <cellStyle name="Normal 2 33 2 2" xfId="3474"/>
    <cellStyle name="Normal 2 33 20" xfId="620"/>
    <cellStyle name="Normal 2 33 20 2" xfId="3473"/>
    <cellStyle name="Normal 2 33 21" xfId="621"/>
    <cellStyle name="Normal 2 33 21 2" xfId="3472"/>
    <cellStyle name="Normal 2 33 22" xfId="622"/>
    <cellStyle name="Normal 2 33 22 2" xfId="3471"/>
    <cellStyle name="Normal 2 33 23" xfId="623"/>
    <cellStyle name="Normal 2 33 23 2" xfId="3470"/>
    <cellStyle name="Normal 2 33 24" xfId="3485"/>
    <cellStyle name="Normal 2 33 3" xfId="624"/>
    <cellStyle name="Normal 2 33 3 2" xfId="3469"/>
    <cellStyle name="Normal 2 33 4" xfId="625"/>
    <cellStyle name="Normal 2 33 4 2" xfId="3468"/>
    <cellStyle name="Normal 2 33 5" xfId="626"/>
    <cellStyle name="Normal 2 33 5 2" xfId="3467"/>
    <cellStyle name="Normal 2 33 6" xfId="627"/>
    <cellStyle name="Normal 2 33 6 2" xfId="3466"/>
    <cellStyle name="Normal 2 33 7" xfId="628"/>
    <cellStyle name="Normal 2 33 7 2" xfId="3465"/>
    <cellStyle name="Normal 2 33 8" xfId="629"/>
    <cellStyle name="Normal 2 33 8 2" xfId="3464"/>
    <cellStyle name="Normal 2 33 9" xfId="630"/>
    <cellStyle name="Normal 2 33 9 2" xfId="3463"/>
    <cellStyle name="Normal 2 34" xfId="631"/>
    <cellStyle name="Normal 2 34 10" xfId="632"/>
    <cellStyle name="Normal 2 34 10 2" xfId="3461"/>
    <cellStyle name="Normal 2 34 11" xfId="633"/>
    <cellStyle name="Normal 2 34 11 2" xfId="3460"/>
    <cellStyle name="Normal 2 34 12" xfId="634"/>
    <cellStyle name="Normal 2 34 12 2" xfId="3459"/>
    <cellStyle name="Normal 2 34 13" xfId="635"/>
    <cellStyle name="Normal 2 34 13 2" xfId="3458"/>
    <cellStyle name="Normal 2 34 14" xfId="636"/>
    <cellStyle name="Normal 2 34 14 2" xfId="3457"/>
    <cellStyle name="Normal 2 34 15" xfId="637"/>
    <cellStyle name="Normal 2 34 15 2" xfId="3456"/>
    <cellStyle name="Normal 2 34 16" xfId="638"/>
    <cellStyle name="Normal 2 34 16 2" xfId="3455"/>
    <cellStyle name="Normal 2 34 17" xfId="639"/>
    <cellStyle name="Normal 2 34 17 2" xfId="3454"/>
    <cellStyle name="Normal 2 34 18" xfId="640"/>
    <cellStyle name="Normal 2 34 18 2" xfId="3453"/>
    <cellStyle name="Normal 2 34 19" xfId="641"/>
    <cellStyle name="Normal 2 34 19 2" xfId="3452"/>
    <cellStyle name="Normal 2 34 2" xfId="642"/>
    <cellStyle name="Normal 2 34 2 2" xfId="3451"/>
    <cellStyle name="Normal 2 34 20" xfId="643"/>
    <cellStyle name="Normal 2 34 20 2" xfId="3450"/>
    <cellStyle name="Normal 2 34 21" xfId="644"/>
    <cellStyle name="Normal 2 34 21 2" xfId="3449"/>
    <cellStyle name="Normal 2 34 22" xfId="645"/>
    <cellStyle name="Normal 2 34 22 2" xfId="3448"/>
    <cellStyle name="Normal 2 34 23" xfId="646"/>
    <cellStyle name="Normal 2 34 23 2" xfId="3447"/>
    <cellStyle name="Normal 2 34 24" xfId="3462"/>
    <cellStyle name="Normal 2 34 3" xfId="647"/>
    <cellStyle name="Normal 2 34 3 2" xfId="3446"/>
    <cellStyle name="Normal 2 34 4" xfId="648"/>
    <cellStyle name="Normal 2 34 4 2" xfId="3445"/>
    <cellStyle name="Normal 2 34 5" xfId="649"/>
    <cellStyle name="Normal 2 34 5 2" xfId="3444"/>
    <cellStyle name="Normal 2 34 6" xfId="650"/>
    <cellStyle name="Normal 2 34 6 2" xfId="3443"/>
    <cellStyle name="Normal 2 34 7" xfId="651"/>
    <cellStyle name="Normal 2 34 7 2" xfId="3442"/>
    <cellStyle name="Normal 2 34 8" xfId="652"/>
    <cellStyle name="Normal 2 34 8 2" xfId="3441"/>
    <cellStyle name="Normal 2 34 9" xfId="653"/>
    <cellStyle name="Normal 2 34 9 2" xfId="3440"/>
    <cellStyle name="Normal 2 35" xfId="654"/>
    <cellStyle name="Normal 2 35 10" xfId="655"/>
    <cellStyle name="Normal 2 35 10 2" xfId="3438"/>
    <cellStyle name="Normal 2 35 11" xfId="656"/>
    <cellStyle name="Normal 2 35 11 2" xfId="3437"/>
    <cellStyle name="Normal 2 35 12" xfId="657"/>
    <cellStyle name="Normal 2 35 12 2" xfId="3436"/>
    <cellStyle name="Normal 2 35 13" xfId="658"/>
    <cellStyle name="Normal 2 35 13 2" xfId="3435"/>
    <cellStyle name="Normal 2 35 14" xfId="659"/>
    <cellStyle name="Normal 2 35 14 2" xfId="3434"/>
    <cellStyle name="Normal 2 35 15" xfId="660"/>
    <cellStyle name="Normal 2 35 15 2" xfId="3433"/>
    <cellStyle name="Normal 2 35 16" xfId="661"/>
    <cellStyle name="Normal 2 35 16 2" xfId="3432"/>
    <cellStyle name="Normal 2 35 17" xfId="662"/>
    <cellStyle name="Normal 2 35 17 2" xfId="3431"/>
    <cellStyle name="Normal 2 35 18" xfId="663"/>
    <cellStyle name="Normal 2 35 18 2" xfId="3430"/>
    <cellStyle name="Normal 2 35 19" xfId="664"/>
    <cellStyle name="Normal 2 35 19 2" xfId="3429"/>
    <cellStyle name="Normal 2 35 2" xfId="665"/>
    <cellStyle name="Normal 2 35 2 2" xfId="3428"/>
    <cellStyle name="Normal 2 35 20" xfId="666"/>
    <cellStyle name="Normal 2 35 20 2" xfId="3427"/>
    <cellStyle name="Normal 2 35 21" xfId="667"/>
    <cellStyle name="Normal 2 35 21 2" xfId="3426"/>
    <cellStyle name="Normal 2 35 22" xfId="668"/>
    <cellStyle name="Normal 2 35 22 2" xfId="3425"/>
    <cellStyle name="Normal 2 35 23" xfId="669"/>
    <cellStyle name="Normal 2 35 23 2" xfId="3424"/>
    <cellStyle name="Normal 2 35 24" xfId="3439"/>
    <cellStyle name="Normal 2 35 3" xfId="670"/>
    <cellStyle name="Normal 2 35 3 2" xfId="3423"/>
    <cellStyle name="Normal 2 35 4" xfId="671"/>
    <cellStyle name="Normal 2 35 4 2" xfId="3422"/>
    <cellStyle name="Normal 2 35 5" xfId="672"/>
    <cellStyle name="Normal 2 35 5 2" xfId="3421"/>
    <cellStyle name="Normal 2 35 6" xfId="673"/>
    <cellStyle name="Normal 2 35 6 2" xfId="3420"/>
    <cellStyle name="Normal 2 35 7" xfId="674"/>
    <cellStyle name="Normal 2 35 7 2" xfId="3419"/>
    <cellStyle name="Normal 2 35 8" xfId="675"/>
    <cellStyle name="Normal 2 35 8 2" xfId="3418"/>
    <cellStyle name="Normal 2 35 9" xfId="676"/>
    <cellStyle name="Normal 2 35 9 2" xfId="3417"/>
    <cellStyle name="Normal 2 36" xfId="677"/>
    <cellStyle name="Normal 2 36 10" xfId="678"/>
    <cellStyle name="Normal 2 36 10 2" xfId="3415"/>
    <cellStyle name="Normal 2 36 11" xfId="679"/>
    <cellStyle name="Normal 2 36 11 2" xfId="3414"/>
    <cellStyle name="Normal 2 36 12" xfId="680"/>
    <cellStyle name="Normal 2 36 12 2" xfId="3413"/>
    <cellStyle name="Normal 2 36 13" xfId="681"/>
    <cellStyle name="Normal 2 36 13 2" xfId="3412"/>
    <cellStyle name="Normal 2 36 14" xfId="682"/>
    <cellStyle name="Normal 2 36 14 2" xfId="3411"/>
    <cellStyle name="Normal 2 36 15" xfId="683"/>
    <cellStyle name="Normal 2 36 15 2" xfId="3410"/>
    <cellStyle name="Normal 2 36 16" xfId="684"/>
    <cellStyle name="Normal 2 36 16 2" xfId="3409"/>
    <cellStyle name="Normal 2 36 17" xfId="685"/>
    <cellStyle name="Normal 2 36 17 2" xfId="3408"/>
    <cellStyle name="Normal 2 36 18" xfId="686"/>
    <cellStyle name="Normal 2 36 18 2" xfId="3407"/>
    <cellStyle name="Normal 2 36 19" xfId="687"/>
    <cellStyle name="Normal 2 36 19 2" xfId="3406"/>
    <cellStyle name="Normal 2 36 2" xfId="688"/>
    <cellStyle name="Normal 2 36 2 2" xfId="3405"/>
    <cellStyle name="Normal 2 36 20" xfId="689"/>
    <cellStyle name="Normal 2 36 20 2" xfId="3404"/>
    <cellStyle name="Normal 2 36 21" xfId="690"/>
    <cellStyle name="Normal 2 36 21 2" xfId="3403"/>
    <cellStyle name="Normal 2 36 22" xfId="691"/>
    <cellStyle name="Normal 2 36 22 2" xfId="3402"/>
    <cellStyle name="Normal 2 36 23" xfId="692"/>
    <cellStyle name="Normal 2 36 23 2" xfId="3401"/>
    <cellStyle name="Normal 2 36 24" xfId="3416"/>
    <cellStyle name="Normal 2 36 3" xfId="693"/>
    <cellStyle name="Normal 2 36 3 2" xfId="3400"/>
    <cellStyle name="Normal 2 36 4" xfId="694"/>
    <cellStyle name="Normal 2 36 4 2" xfId="3399"/>
    <cellStyle name="Normal 2 36 5" xfId="695"/>
    <cellStyle name="Normal 2 36 5 2" xfId="3398"/>
    <cellStyle name="Normal 2 36 6" xfId="696"/>
    <cellStyle name="Normal 2 36 6 2" xfId="3397"/>
    <cellStyle name="Normal 2 36 7" xfId="697"/>
    <cellStyle name="Normal 2 36 7 2" xfId="3396"/>
    <cellStyle name="Normal 2 36 8" xfId="698"/>
    <cellStyle name="Normal 2 36 8 2" xfId="3395"/>
    <cellStyle name="Normal 2 36 9" xfId="699"/>
    <cellStyle name="Normal 2 36 9 2" xfId="3394"/>
    <cellStyle name="Normal 2 37" xfId="700"/>
    <cellStyle name="Normal 2 37 10" xfId="701"/>
    <cellStyle name="Normal 2 37 10 2" xfId="3392"/>
    <cellStyle name="Normal 2 37 11" xfId="702"/>
    <cellStyle name="Normal 2 37 11 2" xfId="3391"/>
    <cellStyle name="Normal 2 37 12" xfId="703"/>
    <cellStyle name="Normal 2 37 12 2" xfId="3390"/>
    <cellStyle name="Normal 2 37 13" xfId="704"/>
    <cellStyle name="Normal 2 37 13 2" xfId="3389"/>
    <cellStyle name="Normal 2 37 14" xfId="705"/>
    <cellStyle name="Normal 2 37 14 2" xfId="3388"/>
    <cellStyle name="Normal 2 37 15" xfId="706"/>
    <cellStyle name="Normal 2 37 15 2" xfId="3387"/>
    <cellStyle name="Normal 2 37 16" xfId="707"/>
    <cellStyle name="Normal 2 37 16 2" xfId="3386"/>
    <cellStyle name="Normal 2 37 17" xfId="708"/>
    <cellStyle name="Normal 2 37 17 2" xfId="3385"/>
    <cellStyle name="Normal 2 37 18" xfId="709"/>
    <cellStyle name="Normal 2 37 18 2" xfId="3384"/>
    <cellStyle name="Normal 2 37 19" xfId="710"/>
    <cellStyle name="Normal 2 37 19 2" xfId="3383"/>
    <cellStyle name="Normal 2 37 2" xfId="711"/>
    <cellStyle name="Normal 2 37 2 2" xfId="3382"/>
    <cellStyle name="Normal 2 37 20" xfId="712"/>
    <cellStyle name="Normal 2 37 20 2" xfId="3381"/>
    <cellStyle name="Normal 2 37 21" xfId="713"/>
    <cellStyle name="Normal 2 37 21 2" xfId="3380"/>
    <cellStyle name="Normal 2 37 22" xfId="714"/>
    <cellStyle name="Normal 2 37 22 2" xfId="3379"/>
    <cellStyle name="Normal 2 37 23" xfId="715"/>
    <cellStyle name="Normal 2 37 23 2" xfId="3378"/>
    <cellStyle name="Normal 2 37 24" xfId="3393"/>
    <cellStyle name="Normal 2 37 3" xfId="716"/>
    <cellStyle name="Normal 2 37 3 2" xfId="3377"/>
    <cellStyle name="Normal 2 37 4" xfId="717"/>
    <cellStyle name="Normal 2 37 4 2" xfId="3376"/>
    <cellStyle name="Normal 2 37 5" xfId="718"/>
    <cellStyle name="Normal 2 37 5 2" xfId="3375"/>
    <cellStyle name="Normal 2 37 6" xfId="719"/>
    <cellStyle name="Normal 2 37 6 2" xfId="3374"/>
    <cellStyle name="Normal 2 37 7" xfId="720"/>
    <cellStyle name="Normal 2 37 7 2" xfId="3373"/>
    <cellStyle name="Normal 2 37 8" xfId="721"/>
    <cellStyle name="Normal 2 37 8 2" xfId="3372"/>
    <cellStyle name="Normal 2 37 9" xfId="722"/>
    <cellStyle name="Normal 2 37 9 2" xfId="3371"/>
    <cellStyle name="Normal 2 38" xfId="723"/>
    <cellStyle name="Normal 2 38 10" xfId="724"/>
    <cellStyle name="Normal 2 38 10 2" xfId="3369"/>
    <cellStyle name="Normal 2 38 11" xfId="725"/>
    <cellStyle name="Normal 2 38 11 2" xfId="3368"/>
    <cellStyle name="Normal 2 38 12" xfId="726"/>
    <cellStyle name="Normal 2 38 12 2" xfId="3367"/>
    <cellStyle name="Normal 2 38 13" xfId="727"/>
    <cellStyle name="Normal 2 38 13 2" xfId="3366"/>
    <cellStyle name="Normal 2 38 14" xfId="728"/>
    <cellStyle name="Normal 2 38 14 2" xfId="3365"/>
    <cellStyle name="Normal 2 38 15" xfId="729"/>
    <cellStyle name="Normal 2 38 15 2" xfId="3364"/>
    <cellStyle name="Normal 2 38 16" xfId="730"/>
    <cellStyle name="Normal 2 38 16 2" xfId="3363"/>
    <cellStyle name="Normal 2 38 17" xfId="731"/>
    <cellStyle name="Normal 2 38 17 2" xfId="3362"/>
    <cellStyle name="Normal 2 38 18" xfId="732"/>
    <cellStyle name="Normal 2 38 18 2" xfId="3361"/>
    <cellStyle name="Normal 2 38 19" xfId="733"/>
    <cellStyle name="Normal 2 38 19 2" xfId="3360"/>
    <cellStyle name="Normal 2 38 2" xfId="734"/>
    <cellStyle name="Normal 2 38 2 2" xfId="3359"/>
    <cellStyle name="Normal 2 38 20" xfId="735"/>
    <cellStyle name="Normal 2 38 20 2" xfId="3358"/>
    <cellStyle name="Normal 2 38 21" xfId="736"/>
    <cellStyle name="Normal 2 38 21 2" xfId="3357"/>
    <cellStyle name="Normal 2 38 22" xfId="737"/>
    <cellStyle name="Normal 2 38 22 2" xfId="3356"/>
    <cellStyle name="Normal 2 38 23" xfId="738"/>
    <cellStyle name="Normal 2 38 23 2" xfId="3355"/>
    <cellStyle name="Normal 2 38 24" xfId="3370"/>
    <cellStyle name="Normal 2 38 3" xfId="739"/>
    <cellStyle name="Normal 2 38 3 2" xfId="3354"/>
    <cellStyle name="Normal 2 38 4" xfId="740"/>
    <cellStyle name="Normal 2 38 4 2" xfId="3353"/>
    <cellStyle name="Normal 2 38 5" xfId="741"/>
    <cellStyle name="Normal 2 38 5 2" xfId="3352"/>
    <cellStyle name="Normal 2 38 6" xfId="742"/>
    <cellStyle name="Normal 2 38 6 2" xfId="3351"/>
    <cellStyle name="Normal 2 38 7" xfId="743"/>
    <cellStyle name="Normal 2 38 7 2" xfId="3350"/>
    <cellStyle name="Normal 2 38 8" xfId="744"/>
    <cellStyle name="Normal 2 38 8 2" xfId="3349"/>
    <cellStyle name="Normal 2 38 9" xfId="745"/>
    <cellStyle name="Normal 2 38 9 2" xfId="3348"/>
    <cellStyle name="Normal 2 39" xfId="746"/>
    <cellStyle name="Normal 2 39 10" xfId="747"/>
    <cellStyle name="Normal 2 39 10 2" xfId="3346"/>
    <cellStyle name="Normal 2 39 11" xfId="748"/>
    <cellStyle name="Normal 2 39 11 2" xfId="3345"/>
    <cellStyle name="Normal 2 39 12" xfId="749"/>
    <cellStyle name="Normal 2 39 12 2" xfId="3344"/>
    <cellStyle name="Normal 2 39 13" xfId="750"/>
    <cellStyle name="Normal 2 39 13 2" xfId="3343"/>
    <cellStyle name="Normal 2 39 14" xfId="751"/>
    <cellStyle name="Normal 2 39 14 2" xfId="3342"/>
    <cellStyle name="Normal 2 39 15" xfId="752"/>
    <cellStyle name="Normal 2 39 15 2" xfId="3341"/>
    <cellStyle name="Normal 2 39 16" xfId="753"/>
    <cellStyle name="Normal 2 39 16 2" xfId="3340"/>
    <cellStyle name="Normal 2 39 17" xfId="754"/>
    <cellStyle name="Normal 2 39 17 2" xfId="3339"/>
    <cellStyle name="Normal 2 39 18" xfId="755"/>
    <cellStyle name="Normal 2 39 18 2" xfId="3338"/>
    <cellStyle name="Normal 2 39 19" xfId="756"/>
    <cellStyle name="Normal 2 39 19 2" xfId="3337"/>
    <cellStyle name="Normal 2 39 2" xfId="757"/>
    <cellStyle name="Normal 2 39 2 2" xfId="3336"/>
    <cellStyle name="Normal 2 39 20" xfId="758"/>
    <cellStyle name="Normal 2 39 20 2" xfId="3335"/>
    <cellStyle name="Normal 2 39 21" xfId="759"/>
    <cellStyle name="Normal 2 39 21 2" xfId="3334"/>
    <cellStyle name="Normal 2 39 22" xfId="760"/>
    <cellStyle name="Normal 2 39 22 2" xfId="3333"/>
    <cellStyle name="Normal 2 39 23" xfId="761"/>
    <cellStyle name="Normal 2 39 23 2" xfId="3332"/>
    <cellStyle name="Normal 2 39 24" xfId="3347"/>
    <cellStyle name="Normal 2 39 3" xfId="762"/>
    <cellStyle name="Normal 2 39 3 2" xfId="3331"/>
    <cellStyle name="Normal 2 39 4" xfId="763"/>
    <cellStyle name="Normal 2 39 4 2" xfId="3330"/>
    <cellStyle name="Normal 2 39 5" xfId="764"/>
    <cellStyle name="Normal 2 39 5 2" xfId="3329"/>
    <cellStyle name="Normal 2 39 6" xfId="765"/>
    <cellStyle name="Normal 2 39 6 2" xfId="3328"/>
    <cellStyle name="Normal 2 39 7" xfId="766"/>
    <cellStyle name="Normal 2 39 7 2" xfId="3327"/>
    <cellStyle name="Normal 2 39 8" xfId="767"/>
    <cellStyle name="Normal 2 39 8 2" xfId="3326"/>
    <cellStyle name="Normal 2 39 9" xfId="768"/>
    <cellStyle name="Normal 2 39 9 2" xfId="3325"/>
    <cellStyle name="Normal 2 4" xfId="24"/>
    <cellStyle name="Normal 2 4 2" xfId="769"/>
    <cellStyle name="Normal 2 4 2 2" xfId="3324"/>
    <cellStyle name="Normal 2 40" xfId="770"/>
    <cellStyle name="Normal 2 40 2" xfId="3323"/>
    <cellStyle name="Normal 2 41" xfId="771"/>
    <cellStyle name="Normal 2 41 2" xfId="3322"/>
    <cellStyle name="Normal 2 42" xfId="772"/>
    <cellStyle name="Normal 2 42 2" xfId="3321"/>
    <cellStyle name="Normal 2 43" xfId="773"/>
    <cellStyle name="Normal 2 43 2" xfId="3320"/>
    <cellStyle name="Normal 2 44" xfId="774"/>
    <cellStyle name="Normal 2 44 2" xfId="3319"/>
    <cellStyle name="Normal 2 45" xfId="775"/>
    <cellStyle name="Normal 2 45 2" xfId="3318"/>
    <cellStyle name="Normal 2 46" xfId="776"/>
    <cellStyle name="Normal 2 46 2" xfId="3317"/>
    <cellStyle name="Normal 2 47" xfId="777"/>
    <cellStyle name="Normal 2 47 2" xfId="3316"/>
    <cellStyle name="Normal 2 48" xfId="778"/>
    <cellStyle name="Normal 2 48 2" xfId="3315"/>
    <cellStyle name="Normal 2 49" xfId="779"/>
    <cellStyle name="Normal 2 49 2" xfId="3314"/>
    <cellStyle name="Normal 2 5" xfId="780"/>
    <cellStyle name="Normal 2 5 10" xfId="781"/>
    <cellStyle name="Normal 2 5 10 2" xfId="3312"/>
    <cellStyle name="Normal 2 5 11" xfId="782"/>
    <cellStyle name="Normal 2 5 11 2" xfId="3311"/>
    <cellStyle name="Normal 2 5 12" xfId="783"/>
    <cellStyle name="Normal 2 5 12 2" xfId="3310"/>
    <cellStyle name="Normal 2 5 13" xfId="784"/>
    <cellStyle name="Normal 2 5 13 2" xfId="3309"/>
    <cellStyle name="Normal 2 5 14" xfId="785"/>
    <cellStyle name="Normal 2 5 14 2" xfId="3308"/>
    <cellStyle name="Normal 2 5 15" xfId="786"/>
    <cellStyle name="Normal 2 5 15 2" xfId="3307"/>
    <cellStyle name="Normal 2 5 16" xfId="787"/>
    <cellStyle name="Normal 2 5 16 2" xfId="3306"/>
    <cellStyle name="Normal 2 5 17" xfId="788"/>
    <cellStyle name="Normal 2 5 17 2" xfId="3305"/>
    <cellStyle name="Normal 2 5 18" xfId="789"/>
    <cellStyle name="Normal 2 5 18 2" xfId="3304"/>
    <cellStyle name="Normal 2 5 19" xfId="790"/>
    <cellStyle name="Normal 2 5 19 2" xfId="3303"/>
    <cellStyle name="Normal 2 5 2" xfId="791"/>
    <cellStyle name="Normal 2 5 2 10" xfId="792"/>
    <cellStyle name="Normal 2 5 2 10 2" xfId="3301"/>
    <cellStyle name="Normal 2 5 2 11" xfId="793"/>
    <cellStyle name="Normal 2 5 2 11 2" xfId="3300"/>
    <cellStyle name="Normal 2 5 2 12" xfId="794"/>
    <cellStyle name="Normal 2 5 2 12 2" xfId="3299"/>
    <cellStyle name="Normal 2 5 2 13" xfId="795"/>
    <cellStyle name="Normal 2 5 2 13 2" xfId="3298"/>
    <cellStyle name="Normal 2 5 2 14" xfId="796"/>
    <cellStyle name="Normal 2 5 2 14 2" xfId="3297"/>
    <cellStyle name="Normal 2 5 2 15" xfId="797"/>
    <cellStyle name="Normal 2 5 2 15 2" xfId="3296"/>
    <cellStyle name="Normal 2 5 2 16" xfId="798"/>
    <cellStyle name="Normal 2 5 2 16 2" xfId="3295"/>
    <cellStyle name="Normal 2 5 2 17" xfId="799"/>
    <cellStyle name="Normal 2 5 2 17 2" xfId="3294"/>
    <cellStyle name="Normal 2 5 2 18" xfId="800"/>
    <cellStyle name="Normal 2 5 2 18 2" xfId="3293"/>
    <cellStyle name="Normal 2 5 2 19" xfId="801"/>
    <cellStyle name="Normal 2 5 2 19 2" xfId="3292"/>
    <cellStyle name="Normal 2 5 2 2" xfId="802"/>
    <cellStyle name="Normal 2 5 2 2 10" xfId="803"/>
    <cellStyle name="Normal 2 5 2 2 10 2" xfId="3290"/>
    <cellStyle name="Normal 2 5 2 2 11" xfId="804"/>
    <cellStyle name="Normal 2 5 2 2 11 2" xfId="3289"/>
    <cellStyle name="Normal 2 5 2 2 12" xfId="805"/>
    <cellStyle name="Normal 2 5 2 2 12 2" xfId="3288"/>
    <cellStyle name="Normal 2 5 2 2 13" xfId="806"/>
    <cellStyle name="Normal 2 5 2 2 13 2" xfId="3287"/>
    <cellStyle name="Normal 2 5 2 2 14" xfId="807"/>
    <cellStyle name="Normal 2 5 2 2 14 2" xfId="3286"/>
    <cellStyle name="Normal 2 5 2 2 15" xfId="808"/>
    <cellStyle name="Normal 2 5 2 2 15 2" xfId="3285"/>
    <cellStyle name="Normal 2 5 2 2 16" xfId="809"/>
    <cellStyle name="Normal 2 5 2 2 16 2" xfId="3284"/>
    <cellStyle name="Normal 2 5 2 2 17" xfId="810"/>
    <cellStyle name="Normal 2 5 2 2 17 2" xfId="3283"/>
    <cellStyle name="Normal 2 5 2 2 18" xfId="811"/>
    <cellStyle name="Normal 2 5 2 2 18 2" xfId="3282"/>
    <cellStyle name="Normal 2 5 2 2 19" xfId="812"/>
    <cellStyle name="Normal 2 5 2 2 19 2" xfId="3281"/>
    <cellStyle name="Normal 2 5 2 2 2" xfId="813"/>
    <cellStyle name="Normal 2 5 2 2 2 2" xfId="3280"/>
    <cellStyle name="Normal 2 5 2 2 20" xfId="814"/>
    <cellStyle name="Normal 2 5 2 2 20 2" xfId="3279"/>
    <cellStyle name="Normal 2 5 2 2 21" xfId="815"/>
    <cellStyle name="Normal 2 5 2 2 21 2" xfId="3278"/>
    <cellStyle name="Normal 2 5 2 2 22" xfId="816"/>
    <cellStyle name="Normal 2 5 2 2 22 2" xfId="3277"/>
    <cellStyle name="Normal 2 5 2 2 23" xfId="817"/>
    <cellStyle name="Normal 2 5 2 2 23 2" xfId="3276"/>
    <cellStyle name="Normal 2 5 2 2 24" xfId="818"/>
    <cellStyle name="Normal 2 5 2 2 24 2" xfId="3275"/>
    <cellStyle name="Normal 2 5 2 2 25" xfId="819"/>
    <cellStyle name="Normal 2 5 2 2 25 2" xfId="3274"/>
    <cellStyle name="Normal 2 5 2 2 26" xfId="820"/>
    <cellStyle name="Normal 2 5 2 2 26 2" xfId="3273"/>
    <cellStyle name="Normal 2 5 2 2 27" xfId="821"/>
    <cellStyle name="Normal 2 5 2 2 27 2" xfId="3272"/>
    <cellStyle name="Normal 2 5 2 2 28" xfId="822"/>
    <cellStyle name="Normal 2 5 2 2 28 2" xfId="3271"/>
    <cellStyle name="Normal 2 5 2 2 29" xfId="823"/>
    <cellStyle name="Normal 2 5 2 2 29 2" xfId="3270"/>
    <cellStyle name="Normal 2 5 2 2 3" xfId="824"/>
    <cellStyle name="Normal 2 5 2 2 3 2" xfId="3269"/>
    <cellStyle name="Normal 2 5 2 2 30" xfId="825"/>
    <cellStyle name="Normal 2 5 2 2 30 2" xfId="3268"/>
    <cellStyle name="Normal 2 5 2 2 31" xfId="826"/>
    <cellStyle name="Normal 2 5 2 2 31 2" xfId="3267"/>
    <cellStyle name="Normal 2 5 2 2 32" xfId="827"/>
    <cellStyle name="Normal 2 5 2 2 32 2" xfId="3266"/>
    <cellStyle name="Normal 2 5 2 2 33" xfId="828"/>
    <cellStyle name="Normal 2 5 2 2 33 2" xfId="3265"/>
    <cellStyle name="Normal 2 5 2 2 34" xfId="829"/>
    <cellStyle name="Normal 2 5 2 2 34 2" xfId="3264"/>
    <cellStyle name="Normal 2 5 2 2 35" xfId="830"/>
    <cellStyle name="Normal 2 5 2 2 35 2" xfId="3263"/>
    <cellStyle name="Normal 2 5 2 2 36" xfId="831"/>
    <cellStyle name="Normal 2 5 2 2 36 2" xfId="3262"/>
    <cellStyle name="Normal 2 5 2 2 37" xfId="832"/>
    <cellStyle name="Normal 2 5 2 2 37 2" xfId="3261"/>
    <cellStyle name="Normal 2 5 2 2 38" xfId="833"/>
    <cellStyle name="Normal 2 5 2 2 38 2" xfId="3260"/>
    <cellStyle name="Normal 2 5 2 2 39" xfId="834"/>
    <cellStyle name="Normal 2 5 2 2 39 2" xfId="3259"/>
    <cellStyle name="Normal 2 5 2 2 4" xfId="835"/>
    <cellStyle name="Normal 2 5 2 2 4 2" xfId="3258"/>
    <cellStyle name="Normal 2 5 2 2 40" xfId="836"/>
    <cellStyle name="Normal 2 5 2 2 40 2" xfId="3257"/>
    <cellStyle name="Normal 2 5 2 2 41" xfId="837"/>
    <cellStyle name="Normal 2 5 2 2 41 2" xfId="3256"/>
    <cellStyle name="Normal 2 5 2 2 42" xfId="838"/>
    <cellStyle name="Normal 2 5 2 2 42 2" xfId="3255"/>
    <cellStyle name="Normal 2 5 2 2 43" xfId="839"/>
    <cellStyle name="Normal 2 5 2 2 43 2" xfId="3254"/>
    <cellStyle name="Normal 2 5 2 2 44" xfId="840"/>
    <cellStyle name="Normal 2 5 2 2 44 2" xfId="3253"/>
    <cellStyle name="Normal 2 5 2 2 45" xfId="841"/>
    <cellStyle name="Normal 2 5 2 2 45 2" xfId="3252"/>
    <cellStyle name="Normal 2 5 2 2 46" xfId="842"/>
    <cellStyle name="Normal 2 5 2 2 46 2" xfId="3251"/>
    <cellStyle name="Normal 2 5 2 2 47" xfId="843"/>
    <cellStyle name="Normal 2 5 2 2 47 2" xfId="3250"/>
    <cellStyle name="Normal 2 5 2 2 48" xfId="844"/>
    <cellStyle name="Normal 2 5 2 2 48 2" xfId="3249"/>
    <cellStyle name="Normal 2 5 2 2 49" xfId="845"/>
    <cellStyle name="Normal 2 5 2 2 49 2" xfId="3248"/>
    <cellStyle name="Normal 2 5 2 2 5" xfId="846"/>
    <cellStyle name="Normal 2 5 2 2 5 2" xfId="3247"/>
    <cellStyle name="Normal 2 5 2 2 50" xfId="847"/>
    <cellStyle name="Normal 2 5 2 2 50 2" xfId="3246"/>
    <cellStyle name="Normal 2 5 2 2 51" xfId="848"/>
    <cellStyle name="Normal 2 5 2 2 51 2" xfId="3245"/>
    <cellStyle name="Normal 2 5 2 2 52" xfId="849"/>
    <cellStyle name="Normal 2 5 2 2 52 2" xfId="3244"/>
    <cellStyle name="Normal 2 5 2 2 53" xfId="850"/>
    <cellStyle name="Normal 2 5 2 2 53 2" xfId="3243"/>
    <cellStyle name="Normal 2 5 2 2 54" xfId="851"/>
    <cellStyle name="Normal 2 5 2 2 54 2" xfId="3242"/>
    <cellStyle name="Normal 2 5 2 2 55" xfId="852"/>
    <cellStyle name="Normal 2 5 2 2 55 2" xfId="3241"/>
    <cellStyle name="Normal 2 5 2 2 56" xfId="3291"/>
    <cellStyle name="Normal 2 5 2 2 6" xfId="853"/>
    <cellStyle name="Normal 2 5 2 2 6 2" xfId="3240"/>
    <cellStyle name="Normal 2 5 2 2 7" xfId="854"/>
    <cellStyle name="Normal 2 5 2 2 7 2" xfId="3239"/>
    <cellStyle name="Normal 2 5 2 2 8" xfId="855"/>
    <cellStyle name="Normal 2 5 2 2 8 2" xfId="3238"/>
    <cellStyle name="Normal 2 5 2 2 9" xfId="856"/>
    <cellStyle name="Normal 2 5 2 2 9 2" xfId="3237"/>
    <cellStyle name="Normal 2 5 2 20" xfId="857"/>
    <cellStyle name="Normal 2 5 2 20 2" xfId="3236"/>
    <cellStyle name="Normal 2 5 2 21" xfId="858"/>
    <cellStyle name="Normal 2 5 2 21 2" xfId="3235"/>
    <cellStyle name="Normal 2 5 2 22" xfId="859"/>
    <cellStyle name="Normal 2 5 2 22 2" xfId="3234"/>
    <cellStyle name="Normal 2 5 2 23" xfId="860"/>
    <cellStyle name="Normal 2 5 2 23 2" xfId="3233"/>
    <cellStyle name="Normal 2 5 2 24" xfId="861"/>
    <cellStyle name="Normal 2 5 2 24 2" xfId="3232"/>
    <cellStyle name="Normal 2 5 2 25" xfId="862"/>
    <cellStyle name="Normal 2 5 2 25 2" xfId="3231"/>
    <cellStyle name="Normal 2 5 2 26" xfId="863"/>
    <cellStyle name="Normal 2 5 2 26 2" xfId="3230"/>
    <cellStyle name="Normal 2 5 2 27" xfId="864"/>
    <cellStyle name="Normal 2 5 2 27 2" xfId="3229"/>
    <cellStyle name="Normal 2 5 2 28" xfId="865"/>
    <cellStyle name="Normal 2 5 2 28 2" xfId="3228"/>
    <cellStyle name="Normal 2 5 2 29" xfId="866"/>
    <cellStyle name="Normal 2 5 2 29 2" xfId="3227"/>
    <cellStyle name="Normal 2 5 2 3" xfId="867"/>
    <cellStyle name="Normal 2 5 2 3 2" xfId="3226"/>
    <cellStyle name="Normal 2 5 2 30" xfId="868"/>
    <cellStyle name="Normal 2 5 2 30 2" xfId="3225"/>
    <cellStyle name="Normal 2 5 2 31" xfId="869"/>
    <cellStyle name="Normal 2 5 2 31 2" xfId="3224"/>
    <cellStyle name="Normal 2 5 2 32" xfId="870"/>
    <cellStyle name="Normal 2 5 2 32 2" xfId="3223"/>
    <cellStyle name="Normal 2 5 2 33" xfId="871"/>
    <cellStyle name="Normal 2 5 2 33 2" xfId="3222"/>
    <cellStyle name="Normal 2 5 2 34" xfId="3302"/>
    <cellStyle name="Normal 2 5 2 4" xfId="872"/>
    <cellStyle name="Normal 2 5 2 4 2" xfId="3221"/>
    <cellStyle name="Normal 2 5 2 5" xfId="873"/>
    <cellStyle name="Normal 2 5 2 5 2" xfId="3220"/>
    <cellStyle name="Normal 2 5 2 6" xfId="874"/>
    <cellStyle name="Normal 2 5 2 6 2" xfId="3219"/>
    <cellStyle name="Normal 2 5 2 7" xfId="875"/>
    <cellStyle name="Normal 2 5 2 7 2" xfId="3218"/>
    <cellStyle name="Normal 2 5 2 8" xfId="876"/>
    <cellStyle name="Normal 2 5 2 8 2" xfId="3217"/>
    <cellStyle name="Normal 2 5 2 9" xfId="877"/>
    <cellStyle name="Normal 2 5 2 9 2" xfId="3216"/>
    <cellStyle name="Normal 2 5 20" xfId="878"/>
    <cellStyle name="Normal 2 5 20 2" xfId="3215"/>
    <cellStyle name="Normal 2 5 21" xfId="879"/>
    <cellStyle name="Normal 2 5 21 2" xfId="3214"/>
    <cellStyle name="Normal 2 5 22" xfId="880"/>
    <cellStyle name="Normal 2 5 22 2" xfId="3213"/>
    <cellStyle name="Normal 2 5 23" xfId="881"/>
    <cellStyle name="Normal 2 5 23 2" xfId="3212"/>
    <cellStyle name="Normal 2 5 24" xfId="882"/>
    <cellStyle name="Normal 2 5 24 2" xfId="3211"/>
    <cellStyle name="Normal 2 5 25" xfId="883"/>
    <cellStyle name="Normal 2 5 25 2" xfId="3210"/>
    <cellStyle name="Normal 2 5 26" xfId="884"/>
    <cellStyle name="Normal 2 5 26 2" xfId="3209"/>
    <cellStyle name="Normal 2 5 27" xfId="885"/>
    <cellStyle name="Normal 2 5 27 2" xfId="3208"/>
    <cellStyle name="Normal 2 5 28" xfId="886"/>
    <cellStyle name="Normal 2 5 28 2" xfId="3207"/>
    <cellStyle name="Normal 2 5 29" xfId="887"/>
    <cellStyle name="Normal 2 5 29 2" xfId="3206"/>
    <cellStyle name="Normal 2 5 3" xfId="888"/>
    <cellStyle name="Normal 2 5 3 2" xfId="3205"/>
    <cellStyle name="Normal 2 5 30" xfId="889"/>
    <cellStyle name="Normal 2 5 30 2" xfId="3204"/>
    <cellStyle name="Normal 2 5 31" xfId="890"/>
    <cellStyle name="Normal 2 5 31 2" xfId="3203"/>
    <cellStyle name="Normal 2 5 32" xfId="891"/>
    <cellStyle name="Normal 2 5 32 2" xfId="3202"/>
    <cellStyle name="Normal 2 5 33" xfId="892"/>
    <cellStyle name="Normal 2 5 33 2" xfId="3201"/>
    <cellStyle name="Normal 2 5 34" xfId="893"/>
    <cellStyle name="Normal 2 5 34 2" xfId="3200"/>
    <cellStyle name="Normal 2 5 35" xfId="894"/>
    <cellStyle name="Normal 2 5 35 2" xfId="3199"/>
    <cellStyle name="Normal 2 5 36" xfId="895"/>
    <cellStyle name="Normal 2 5 36 2" xfId="3198"/>
    <cellStyle name="Normal 2 5 37" xfId="896"/>
    <cellStyle name="Normal 2 5 37 2" xfId="3197"/>
    <cellStyle name="Normal 2 5 38" xfId="897"/>
    <cellStyle name="Normal 2 5 38 2" xfId="3196"/>
    <cellStyle name="Normal 2 5 39" xfId="898"/>
    <cellStyle name="Normal 2 5 39 2" xfId="3195"/>
    <cellStyle name="Normal 2 5 4" xfId="899"/>
    <cellStyle name="Normal 2 5 4 2" xfId="3194"/>
    <cellStyle name="Normal 2 5 40" xfId="900"/>
    <cellStyle name="Normal 2 5 40 2" xfId="3193"/>
    <cellStyle name="Normal 2 5 41" xfId="901"/>
    <cellStyle name="Normal 2 5 41 2" xfId="3192"/>
    <cellStyle name="Normal 2 5 42" xfId="902"/>
    <cellStyle name="Normal 2 5 42 2" xfId="3191"/>
    <cellStyle name="Normal 2 5 43" xfId="903"/>
    <cellStyle name="Normal 2 5 43 2" xfId="3190"/>
    <cellStyle name="Normal 2 5 44" xfId="904"/>
    <cellStyle name="Normal 2 5 44 2" xfId="3189"/>
    <cellStyle name="Normal 2 5 45" xfId="905"/>
    <cellStyle name="Normal 2 5 45 2" xfId="3188"/>
    <cellStyle name="Normal 2 5 46" xfId="906"/>
    <cellStyle name="Normal 2 5 46 2" xfId="3187"/>
    <cellStyle name="Normal 2 5 47" xfId="907"/>
    <cellStyle name="Normal 2 5 47 2" xfId="3186"/>
    <cellStyle name="Normal 2 5 48" xfId="908"/>
    <cellStyle name="Normal 2 5 48 2" xfId="3185"/>
    <cellStyle name="Normal 2 5 49" xfId="909"/>
    <cellStyle name="Normal 2 5 49 2" xfId="3184"/>
    <cellStyle name="Normal 2 5 5" xfId="910"/>
    <cellStyle name="Normal 2 5 5 2" xfId="3183"/>
    <cellStyle name="Normal 2 5 50" xfId="911"/>
    <cellStyle name="Normal 2 5 50 2" xfId="3182"/>
    <cellStyle name="Normal 2 5 51" xfId="912"/>
    <cellStyle name="Normal 2 5 51 2" xfId="3181"/>
    <cellStyle name="Normal 2 5 52" xfId="913"/>
    <cellStyle name="Normal 2 5 52 2" xfId="3180"/>
    <cellStyle name="Normal 2 5 53" xfId="914"/>
    <cellStyle name="Normal 2 5 53 2" xfId="3179"/>
    <cellStyle name="Normal 2 5 54" xfId="915"/>
    <cellStyle name="Normal 2 5 54 2" xfId="3178"/>
    <cellStyle name="Normal 2 5 55" xfId="916"/>
    <cellStyle name="Normal 2 5 55 2" xfId="3177"/>
    <cellStyle name="Normal 2 5 56" xfId="917"/>
    <cellStyle name="Normal 2 5 56 2" xfId="3176"/>
    <cellStyle name="Normal 2 5 57" xfId="918"/>
    <cellStyle name="Normal 2 5 57 2" xfId="3175"/>
    <cellStyle name="Normal 2 5 58" xfId="919"/>
    <cellStyle name="Normal 2 5 58 2" xfId="3174"/>
    <cellStyle name="Normal 2 5 59" xfId="920"/>
    <cellStyle name="Normal 2 5 59 2" xfId="3173"/>
    <cellStyle name="Normal 2 5 6" xfId="921"/>
    <cellStyle name="Normal 2 5 6 2" xfId="3172"/>
    <cellStyle name="Normal 2 5 60" xfId="922"/>
    <cellStyle name="Normal 2 5 60 2" xfId="3171"/>
    <cellStyle name="Normal 2 5 61" xfId="923"/>
    <cellStyle name="Normal 2 5 61 2" xfId="3170"/>
    <cellStyle name="Normal 2 5 62" xfId="924"/>
    <cellStyle name="Normal 2 5 62 2" xfId="3169"/>
    <cellStyle name="Normal 2 5 63" xfId="925"/>
    <cellStyle name="Normal 2 5 63 2" xfId="3168"/>
    <cellStyle name="Normal 2 5 64" xfId="926"/>
    <cellStyle name="Normal 2 5 64 2" xfId="3167"/>
    <cellStyle name="Normal 2 5 65" xfId="927"/>
    <cellStyle name="Normal 2 5 65 2" xfId="3166"/>
    <cellStyle name="Normal 2 5 66" xfId="928"/>
    <cellStyle name="Normal 2 5 66 2" xfId="3165"/>
    <cellStyle name="Normal 2 5 67" xfId="929"/>
    <cellStyle name="Normal 2 5 67 2" xfId="3164"/>
    <cellStyle name="Normal 2 5 68" xfId="930"/>
    <cellStyle name="Normal 2 5 68 2" xfId="3163"/>
    <cellStyle name="Normal 2 5 69" xfId="931"/>
    <cellStyle name="Normal 2 5 69 2" xfId="3162"/>
    <cellStyle name="Normal 2 5 7" xfId="932"/>
    <cellStyle name="Normal 2 5 7 2" xfId="3161"/>
    <cellStyle name="Normal 2 5 70" xfId="933"/>
    <cellStyle name="Normal 2 5 70 2" xfId="3160"/>
    <cellStyle name="Normal 2 5 71" xfId="934"/>
    <cellStyle name="Normal 2 5 71 2" xfId="3159"/>
    <cellStyle name="Normal 2 5 72" xfId="935"/>
    <cellStyle name="Normal 2 5 72 2" xfId="3158"/>
    <cellStyle name="Normal 2 5 73" xfId="936"/>
    <cellStyle name="Normal 2 5 73 2" xfId="3157"/>
    <cellStyle name="Normal 2 5 74" xfId="937"/>
    <cellStyle name="Normal 2 5 74 2" xfId="3156"/>
    <cellStyle name="Normal 2 5 75" xfId="938"/>
    <cellStyle name="Normal 2 5 75 2" xfId="3155"/>
    <cellStyle name="Normal 2 5 76" xfId="939"/>
    <cellStyle name="Normal 2 5 76 2" xfId="3154"/>
    <cellStyle name="Normal 2 5 77" xfId="940"/>
    <cellStyle name="Normal 2 5 77 2" xfId="3153"/>
    <cellStyle name="Normal 2 5 78" xfId="941"/>
    <cellStyle name="Normal 2 5 78 2" xfId="3152"/>
    <cellStyle name="Normal 2 5 79" xfId="942"/>
    <cellStyle name="Normal 2 5 79 2" xfId="3151"/>
    <cellStyle name="Normal 2 5 8" xfId="943"/>
    <cellStyle name="Normal 2 5 8 2" xfId="3150"/>
    <cellStyle name="Normal 2 5 80" xfId="944"/>
    <cellStyle name="Normal 2 5 80 2" xfId="3149"/>
    <cellStyle name="Normal 2 5 81" xfId="945"/>
    <cellStyle name="Normal 2 5 81 2" xfId="3148"/>
    <cellStyle name="Normal 2 5 82" xfId="946"/>
    <cellStyle name="Normal 2 5 82 2" xfId="3147"/>
    <cellStyle name="Normal 2 5 83" xfId="947"/>
    <cellStyle name="Normal 2 5 83 2" xfId="3146"/>
    <cellStyle name="Normal 2 5 84" xfId="948"/>
    <cellStyle name="Normal 2 5 84 2" xfId="3145"/>
    <cellStyle name="Normal 2 5 85" xfId="949"/>
    <cellStyle name="Normal 2 5 85 2" xfId="3144"/>
    <cellStyle name="Normal 2 5 86" xfId="950"/>
    <cellStyle name="Normal 2 5 86 2" xfId="3143"/>
    <cellStyle name="Normal 2 5 87" xfId="951"/>
    <cellStyle name="Normal 2 5 87 2" xfId="3142"/>
    <cellStyle name="Normal 2 5 88" xfId="3313"/>
    <cellStyle name="Normal 2 5 9" xfId="952"/>
    <cellStyle name="Normal 2 5 9 2" xfId="3141"/>
    <cellStyle name="Normal 2 5_DEER 032008 Cost Summary Delivery - Rev 4 (2)" xfId="953"/>
    <cellStyle name="Normal 2 50" xfId="954"/>
    <cellStyle name="Normal 2 50 2" xfId="3140"/>
    <cellStyle name="Normal 2 51" xfId="955"/>
    <cellStyle name="Normal 2 51 2" xfId="3139"/>
    <cellStyle name="Normal 2 52" xfId="956"/>
    <cellStyle name="Normal 2 52 2" xfId="3138"/>
    <cellStyle name="Normal 2 53" xfId="957"/>
    <cellStyle name="Normal 2 53 2" xfId="3137"/>
    <cellStyle name="Normal 2 54" xfId="958"/>
    <cellStyle name="Normal 2 54 2" xfId="3136"/>
    <cellStyle name="Normal 2 55" xfId="959"/>
    <cellStyle name="Normal 2 55 2" xfId="3135"/>
    <cellStyle name="Normal 2 56" xfId="960"/>
    <cellStyle name="Normal 2 56 2" xfId="3134"/>
    <cellStyle name="Normal 2 57" xfId="961"/>
    <cellStyle name="Normal 2 57 2" xfId="3133"/>
    <cellStyle name="Normal 2 58" xfId="962"/>
    <cellStyle name="Normal 2 58 2" xfId="3132"/>
    <cellStyle name="Normal 2 59" xfId="963"/>
    <cellStyle name="Normal 2 59 2" xfId="3131"/>
    <cellStyle name="Normal 2 6" xfId="964"/>
    <cellStyle name="Normal 2 6 2" xfId="3130"/>
    <cellStyle name="Normal 2 60" xfId="965"/>
    <cellStyle name="Normal 2 60 2" xfId="3129"/>
    <cellStyle name="Normal 2 61" xfId="966"/>
    <cellStyle name="Normal 2 61 2" xfId="3128"/>
    <cellStyle name="Normal 2 62" xfId="967"/>
    <cellStyle name="Normal 2 62 2" xfId="3127"/>
    <cellStyle name="Normal 2 63" xfId="968"/>
    <cellStyle name="Normal 2 63 2" xfId="3126"/>
    <cellStyle name="Normal 2 64" xfId="969"/>
    <cellStyle name="Normal 2 64 2" xfId="3125"/>
    <cellStyle name="Normal 2 65" xfId="970"/>
    <cellStyle name="Normal 2 65 2" xfId="3124"/>
    <cellStyle name="Normal 2 66" xfId="971"/>
    <cellStyle name="Normal 2 66 2" xfId="3123"/>
    <cellStyle name="Normal 2 67" xfId="972"/>
    <cellStyle name="Normal 2 67 2" xfId="3122"/>
    <cellStyle name="Normal 2 68" xfId="973"/>
    <cellStyle name="Normal 2 68 2" xfId="3121"/>
    <cellStyle name="Normal 2 69" xfId="974"/>
    <cellStyle name="Normal 2 69 2" xfId="3120"/>
    <cellStyle name="Normal 2 7" xfId="975"/>
    <cellStyle name="Normal 2 7 2" xfId="3119"/>
    <cellStyle name="Normal 2 70" xfId="976"/>
    <cellStyle name="Normal 2 70 2" xfId="3118"/>
    <cellStyle name="Normal 2 71" xfId="977"/>
    <cellStyle name="Normal 2 71 2" xfId="3117"/>
    <cellStyle name="Normal 2 72" xfId="978"/>
    <cellStyle name="Normal 2 72 2" xfId="3116"/>
    <cellStyle name="Normal 2 73" xfId="979"/>
    <cellStyle name="Normal 2 73 2" xfId="3115"/>
    <cellStyle name="Normal 2 74" xfId="980"/>
    <cellStyle name="Normal 2 74 2" xfId="3114"/>
    <cellStyle name="Normal 2 75" xfId="981"/>
    <cellStyle name="Normal 2 75 2" xfId="3113"/>
    <cellStyle name="Normal 2 76" xfId="982"/>
    <cellStyle name="Normal 2 76 2" xfId="3112"/>
    <cellStyle name="Normal 2 77" xfId="983"/>
    <cellStyle name="Normal 2 77 2" xfId="3111"/>
    <cellStyle name="Normal 2 78" xfId="984"/>
    <cellStyle name="Normal 2 78 2" xfId="3110"/>
    <cellStyle name="Normal 2 79" xfId="985"/>
    <cellStyle name="Normal 2 79 2" xfId="3109"/>
    <cellStyle name="Normal 2 8" xfId="986"/>
    <cellStyle name="Normal 2 8 10" xfId="987"/>
    <cellStyle name="Normal 2 8 10 2" xfId="3107"/>
    <cellStyle name="Normal 2 8 11" xfId="988"/>
    <cellStyle name="Normal 2 8 11 2" xfId="3106"/>
    <cellStyle name="Normal 2 8 12" xfId="989"/>
    <cellStyle name="Normal 2 8 12 2" xfId="3105"/>
    <cellStyle name="Normal 2 8 13" xfId="990"/>
    <cellStyle name="Normal 2 8 13 2" xfId="3104"/>
    <cellStyle name="Normal 2 8 14" xfId="991"/>
    <cellStyle name="Normal 2 8 14 2" xfId="3103"/>
    <cellStyle name="Normal 2 8 15" xfId="992"/>
    <cellStyle name="Normal 2 8 15 2" xfId="3102"/>
    <cellStyle name="Normal 2 8 16" xfId="993"/>
    <cellStyle name="Normal 2 8 16 2" xfId="3101"/>
    <cellStyle name="Normal 2 8 17" xfId="994"/>
    <cellStyle name="Normal 2 8 17 2" xfId="3100"/>
    <cellStyle name="Normal 2 8 18" xfId="995"/>
    <cellStyle name="Normal 2 8 18 2" xfId="3099"/>
    <cellStyle name="Normal 2 8 19" xfId="996"/>
    <cellStyle name="Normal 2 8 19 2" xfId="3098"/>
    <cellStyle name="Normal 2 8 2" xfId="997"/>
    <cellStyle name="Normal 2 8 2 2" xfId="3097"/>
    <cellStyle name="Normal 2 8 20" xfId="998"/>
    <cellStyle name="Normal 2 8 20 2" xfId="3096"/>
    <cellStyle name="Normal 2 8 21" xfId="999"/>
    <cellStyle name="Normal 2 8 21 2" xfId="3095"/>
    <cellStyle name="Normal 2 8 22" xfId="1000"/>
    <cellStyle name="Normal 2 8 22 2" xfId="3094"/>
    <cellStyle name="Normal 2 8 23" xfId="1001"/>
    <cellStyle name="Normal 2 8 23 2" xfId="3093"/>
    <cellStyle name="Normal 2 8 24" xfId="3108"/>
    <cellStyle name="Normal 2 8 3" xfId="1002"/>
    <cellStyle name="Normal 2 8 3 2" xfId="3092"/>
    <cellStyle name="Normal 2 8 4" xfId="1003"/>
    <cellStyle name="Normal 2 8 4 2" xfId="3091"/>
    <cellStyle name="Normal 2 8 5" xfId="1004"/>
    <cellStyle name="Normal 2 8 5 2" xfId="3090"/>
    <cellStyle name="Normal 2 8 6" xfId="1005"/>
    <cellStyle name="Normal 2 8 6 2" xfId="3089"/>
    <cellStyle name="Normal 2 8 7" xfId="1006"/>
    <cellStyle name="Normal 2 8 7 2" xfId="3088"/>
    <cellStyle name="Normal 2 8 8" xfId="1007"/>
    <cellStyle name="Normal 2 8 8 2" xfId="3087"/>
    <cellStyle name="Normal 2 8 9" xfId="1008"/>
    <cellStyle name="Normal 2 8 9 2" xfId="3086"/>
    <cellStyle name="Normal 2 80" xfId="1009"/>
    <cellStyle name="Normal 2 80 2" xfId="3085"/>
    <cellStyle name="Normal 2 81" xfId="1010"/>
    <cellStyle name="Normal 2 81 2" xfId="3084"/>
    <cellStyle name="Normal 2 82" xfId="1011"/>
    <cellStyle name="Normal 2 82 2" xfId="3083"/>
    <cellStyle name="Normal 2 83" xfId="1012"/>
    <cellStyle name="Normal 2 83 2" xfId="3082"/>
    <cellStyle name="Normal 2 84" xfId="1013"/>
    <cellStyle name="Normal 2 84 2" xfId="3081"/>
    <cellStyle name="Normal 2 85" xfId="1014"/>
    <cellStyle name="Normal 2 85 2" xfId="3080"/>
    <cellStyle name="Normal 2 86" xfId="1015"/>
    <cellStyle name="Normal 2 86 2" xfId="3079"/>
    <cellStyle name="Normal 2 87" xfId="1016"/>
    <cellStyle name="Normal 2 87 2" xfId="3078"/>
    <cellStyle name="Normal 2 88" xfId="1017"/>
    <cellStyle name="Normal 2 88 2" xfId="3077"/>
    <cellStyle name="Normal 2 89" xfId="1018"/>
    <cellStyle name="Normal 2 89 2" xfId="3076"/>
    <cellStyle name="Normal 2 9" xfId="1019"/>
    <cellStyle name="Normal 2 9 10" xfId="1020"/>
    <cellStyle name="Normal 2 9 10 2" xfId="3074"/>
    <cellStyle name="Normal 2 9 11" xfId="1021"/>
    <cellStyle name="Normal 2 9 11 2" xfId="3073"/>
    <cellStyle name="Normal 2 9 12" xfId="1022"/>
    <cellStyle name="Normal 2 9 12 2" xfId="3072"/>
    <cellStyle name="Normal 2 9 13" xfId="1023"/>
    <cellStyle name="Normal 2 9 13 2" xfId="3071"/>
    <cellStyle name="Normal 2 9 14" xfId="1024"/>
    <cellStyle name="Normal 2 9 14 2" xfId="3070"/>
    <cellStyle name="Normal 2 9 15" xfId="1025"/>
    <cellStyle name="Normal 2 9 15 2" xfId="3069"/>
    <cellStyle name="Normal 2 9 16" xfId="1026"/>
    <cellStyle name="Normal 2 9 16 2" xfId="3068"/>
    <cellStyle name="Normal 2 9 17" xfId="1027"/>
    <cellStyle name="Normal 2 9 17 2" xfId="3067"/>
    <cellStyle name="Normal 2 9 18" xfId="1028"/>
    <cellStyle name="Normal 2 9 18 2" xfId="3066"/>
    <cellStyle name="Normal 2 9 19" xfId="1029"/>
    <cellStyle name="Normal 2 9 19 2" xfId="3065"/>
    <cellStyle name="Normal 2 9 2" xfId="1030"/>
    <cellStyle name="Normal 2 9 2 2" xfId="3064"/>
    <cellStyle name="Normal 2 9 20" xfId="1031"/>
    <cellStyle name="Normal 2 9 20 2" xfId="3063"/>
    <cellStyle name="Normal 2 9 21" xfId="1032"/>
    <cellStyle name="Normal 2 9 21 2" xfId="3062"/>
    <cellStyle name="Normal 2 9 22" xfId="1033"/>
    <cellStyle name="Normal 2 9 22 2" xfId="3061"/>
    <cellStyle name="Normal 2 9 23" xfId="1034"/>
    <cellStyle name="Normal 2 9 23 2" xfId="3060"/>
    <cellStyle name="Normal 2 9 24" xfId="3075"/>
    <cellStyle name="Normal 2 9 3" xfId="1035"/>
    <cellStyle name="Normal 2 9 3 2" xfId="3059"/>
    <cellStyle name="Normal 2 9 4" xfId="1036"/>
    <cellStyle name="Normal 2 9 4 2" xfId="3058"/>
    <cellStyle name="Normal 2 9 5" xfId="1037"/>
    <cellStyle name="Normal 2 9 5 2" xfId="3057"/>
    <cellStyle name="Normal 2 9 6" xfId="1038"/>
    <cellStyle name="Normal 2 9 6 2" xfId="3056"/>
    <cellStyle name="Normal 2 9 7" xfId="1039"/>
    <cellStyle name="Normal 2 9 7 2" xfId="3055"/>
    <cellStyle name="Normal 2 9 8" xfId="1040"/>
    <cellStyle name="Normal 2 9 8 2" xfId="3054"/>
    <cellStyle name="Normal 2 9 9" xfId="1041"/>
    <cellStyle name="Normal 2 9 9 2" xfId="3053"/>
    <cellStyle name="Normal 2 90" xfId="1042"/>
    <cellStyle name="Normal 2 90 2" xfId="3052"/>
    <cellStyle name="Normal 2 91" xfId="1043"/>
    <cellStyle name="Normal 2 91 2" xfId="3051"/>
    <cellStyle name="Normal 2 92" xfId="1044"/>
    <cellStyle name="Normal 2 92 2" xfId="3050"/>
    <cellStyle name="Normal 2 93" xfId="1045"/>
    <cellStyle name="Normal 2 93 2" xfId="3049"/>
    <cellStyle name="Normal 2 94" xfId="1046"/>
    <cellStyle name="Normal 2 94 2" xfId="3048"/>
    <cellStyle name="Normal 2 95" xfId="1047"/>
    <cellStyle name="Normal 2 95 2" xfId="3047"/>
    <cellStyle name="Normal 2 96" xfId="1048"/>
    <cellStyle name="Normal 2 96 2" xfId="3046"/>
    <cellStyle name="Normal 2 97" xfId="1049"/>
    <cellStyle name="Normal 2 97 2" xfId="3045"/>
    <cellStyle name="Normal 2 98" xfId="1050"/>
    <cellStyle name="Normal 2 98 2" xfId="3044"/>
    <cellStyle name="Normal 2 99" xfId="1051"/>
    <cellStyle name="Normal 2 99 2" xfId="3043"/>
    <cellStyle name="Normal 2_DEER 032008 Cost Summary Delivery - Rev 4 (2)" xfId="2114"/>
    <cellStyle name="Normal 20" xfId="25"/>
    <cellStyle name="Normal 20 2" xfId="1052"/>
    <cellStyle name="Normal 20 3" xfId="3042"/>
    <cellStyle name="Normal 21" xfId="27"/>
    <cellStyle name="Normal 21 2" xfId="2025"/>
    <cellStyle name="Normal 21 2 2" xfId="2047"/>
    <cellStyle name="Normal 21 3" xfId="2036"/>
    <cellStyle name="Normal 21 4" xfId="4150"/>
    <cellStyle name="Normal 21 5" xfId="4190"/>
    <cellStyle name="Normal 22" xfId="2013"/>
    <cellStyle name="Normal 22 2" xfId="2032"/>
    <cellStyle name="Normal 22 2 2" xfId="2054"/>
    <cellStyle name="Normal 22 2 3" xfId="4160"/>
    <cellStyle name="Normal 22 3" xfId="2046"/>
    <cellStyle name="Normal 22 4" xfId="4138"/>
    <cellStyle name="Normal 22 5" xfId="4197"/>
    <cellStyle name="Normal 23" xfId="2014"/>
    <cellStyle name="Normal 23 2" xfId="2033"/>
    <cellStyle name="Normal 23 3" xfId="4159"/>
    <cellStyle name="Normal 24" xfId="2020"/>
    <cellStyle name="Normal 24 2" xfId="2034"/>
    <cellStyle name="Normal 24 3" xfId="4158"/>
    <cellStyle name="Normal 25" xfId="2023"/>
    <cellStyle name="Normal 25 2" xfId="2035"/>
    <cellStyle name="Normal 25 3" xfId="2131"/>
    <cellStyle name="Normal 26" xfId="2037"/>
    <cellStyle name="Normal 26 2" xfId="4161"/>
    <cellStyle name="Normal 27" xfId="2039"/>
    <cellStyle name="Normal 27 2" xfId="4162"/>
    <cellStyle name="Normal 28" xfId="2038"/>
    <cellStyle name="Normal 28 2" xfId="4163"/>
    <cellStyle name="Normal 29" xfId="2055"/>
    <cellStyle name="Normal 29 2" xfId="4166"/>
    <cellStyle name="Normal 3" xfId="5"/>
    <cellStyle name="Normal 3 10" xfId="1054"/>
    <cellStyle name="Normal 3 10 10" xfId="1055"/>
    <cellStyle name="Normal 3 10 10 2" xfId="3039"/>
    <cellStyle name="Normal 3 10 11" xfId="1056"/>
    <cellStyle name="Normal 3 10 11 2" xfId="3038"/>
    <cellStyle name="Normal 3 10 12" xfId="1057"/>
    <cellStyle name="Normal 3 10 12 2" xfId="3037"/>
    <cellStyle name="Normal 3 10 13" xfId="1058"/>
    <cellStyle name="Normal 3 10 13 2" xfId="3036"/>
    <cellStyle name="Normal 3 10 14" xfId="1059"/>
    <cellStyle name="Normal 3 10 14 2" xfId="3035"/>
    <cellStyle name="Normal 3 10 15" xfId="1060"/>
    <cellStyle name="Normal 3 10 15 2" xfId="3034"/>
    <cellStyle name="Normal 3 10 16" xfId="1061"/>
    <cellStyle name="Normal 3 10 16 2" xfId="3033"/>
    <cellStyle name="Normal 3 10 17" xfId="1062"/>
    <cellStyle name="Normal 3 10 17 2" xfId="3032"/>
    <cellStyle name="Normal 3 10 18" xfId="1063"/>
    <cellStyle name="Normal 3 10 18 2" xfId="3031"/>
    <cellStyle name="Normal 3 10 19" xfId="1064"/>
    <cellStyle name="Normal 3 10 19 2" xfId="3030"/>
    <cellStyle name="Normal 3 10 2" xfId="1065"/>
    <cellStyle name="Normal 3 10 2 2" xfId="3029"/>
    <cellStyle name="Normal 3 10 20" xfId="1066"/>
    <cellStyle name="Normal 3 10 20 2" xfId="3028"/>
    <cellStyle name="Normal 3 10 21" xfId="1067"/>
    <cellStyle name="Normal 3 10 21 2" xfId="3027"/>
    <cellStyle name="Normal 3 10 22" xfId="1068"/>
    <cellStyle name="Normal 3 10 22 2" xfId="3026"/>
    <cellStyle name="Normal 3 10 23" xfId="1069"/>
    <cellStyle name="Normal 3 10 23 2" xfId="3025"/>
    <cellStyle name="Normal 3 10 24" xfId="3040"/>
    <cellStyle name="Normal 3 10 3" xfId="1070"/>
    <cellStyle name="Normal 3 10 3 2" xfId="3024"/>
    <cellStyle name="Normal 3 10 4" xfId="1071"/>
    <cellStyle name="Normal 3 10 4 2" xfId="3023"/>
    <cellStyle name="Normal 3 10 5" xfId="1072"/>
    <cellStyle name="Normal 3 10 5 2" xfId="3022"/>
    <cellStyle name="Normal 3 10 6" xfId="1073"/>
    <cellStyle name="Normal 3 10 6 2" xfId="3021"/>
    <cellStyle name="Normal 3 10 7" xfId="1074"/>
    <cellStyle name="Normal 3 10 7 2" xfId="3020"/>
    <cellStyle name="Normal 3 10 8" xfId="1075"/>
    <cellStyle name="Normal 3 10 8 2" xfId="3019"/>
    <cellStyle name="Normal 3 10 9" xfId="1076"/>
    <cellStyle name="Normal 3 10 9 2" xfId="3018"/>
    <cellStyle name="Normal 3 11" xfId="1077"/>
    <cellStyle name="Normal 3 11 10" xfId="1078"/>
    <cellStyle name="Normal 3 11 10 2" xfId="3016"/>
    <cellStyle name="Normal 3 11 11" xfId="1079"/>
    <cellStyle name="Normal 3 11 11 2" xfId="3015"/>
    <cellStyle name="Normal 3 11 12" xfId="1080"/>
    <cellStyle name="Normal 3 11 12 2" xfId="3014"/>
    <cellStyle name="Normal 3 11 13" xfId="1081"/>
    <cellStyle name="Normal 3 11 13 2" xfId="3013"/>
    <cellStyle name="Normal 3 11 14" xfId="1082"/>
    <cellStyle name="Normal 3 11 14 2" xfId="3012"/>
    <cellStyle name="Normal 3 11 15" xfId="1083"/>
    <cellStyle name="Normal 3 11 15 2" xfId="3011"/>
    <cellStyle name="Normal 3 11 16" xfId="1084"/>
    <cellStyle name="Normal 3 11 16 2" xfId="3010"/>
    <cellStyle name="Normal 3 11 17" xfId="1085"/>
    <cellStyle name="Normal 3 11 17 2" xfId="3009"/>
    <cellStyle name="Normal 3 11 18" xfId="1086"/>
    <cellStyle name="Normal 3 11 18 2" xfId="3008"/>
    <cellStyle name="Normal 3 11 19" xfId="1087"/>
    <cellStyle name="Normal 3 11 19 2" xfId="3007"/>
    <cellStyle name="Normal 3 11 2" xfId="1088"/>
    <cellStyle name="Normal 3 11 2 2" xfId="3006"/>
    <cellStyle name="Normal 3 11 20" xfId="1089"/>
    <cellStyle name="Normal 3 11 20 2" xfId="3005"/>
    <cellStyle name="Normal 3 11 21" xfId="1090"/>
    <cellStyle name="Normal 3 11 21 2" xfId="3004"/>
    <cellStyle name="Normal 3 11 22" xfId="1091"/>
    <cellStyle name="Normal 3 11 22 2" xfId="3003"/>
    <cellStyle name="Normal 3 11 23" xfId="1092"/>
    <cellStyle name="Normal 3 11 23 2" xfId="3002"/>
    <cellStyle name="Normal 3 11 24" xfId="3017"/>
    <cellStyle name="Normal 3 11 3" xfId="1093"/>
    <cellStyle name="Normal 3 11 3 2" xfId="3001"/>
    <cellStyle name="Normal 3 11 4" xfId="1094"/>
    <cellStyle name="Normal 3 11 4 2" xfId="3000"/>
    <cellStyle name="Normal 3 11 5" xfId="1095"/>
    <cellStyle name="Normal 3 11 5 2" xfId="2999"/>
    <cellStyle name="Normal 3 11 6" xfId="1096"/>
    <cellStyle name="Normal 3 11 6 2" xfId="2998"/>
    <cellStyle name="Normal 3 11 7" xfId="1097"/>
    <cellStyle name="Normal 3 11 7 2" xfId="2997"/>
    <cellStyle name="Normal 3 11 8" xfId="1098"/>
    <cellStyle name="Normal 3 11 8 2" xfId="2996"/>
    <cellStyle name="Normal 3 11 9" xfId="1099"/>
    <cellStyle name="Normal 3 11 9 2" xfId="2995"/>
    <cellStyle name="Normal 3 12" xfId="1100"/>
    <cellStyle name="Normal 3 12 10" xfId="1101"/>
    <cellStyle name="Normal 3 12 10 2" xfId="2993"/>
    <cellStyle name="Normal 3 12 11" xfId="1102"/>
    <cellStyle name="Normal 3 12 11 2" xfId="2992"/>
    <cellStyle name="Normal 3 12 12" xfId="1103"/>
    <cellStyle name="Normal 3 12 12 2" xfId="2991"/>
    <cellStyle name="Normal 3 12 13" xfId="1104"/>
    <cellStyle name="Normal 3 12 13 2" xfId="2990"/>
    <cellStyle name="Normal 3 12 14" xfId="1105"/>
    <cellStyle name="Normal 3 12 14 2" xfId="2989"/>
    <cellStyle name="Normal 3 12 15" xfId="1106"/>
    <cellStyle name="Normal 3 12 15 2" xfId="2988"/>
    <cellStyle name="Normal 3 12 16" xfId="1107"/>
    <cellStyle name="Normal 3 12 16 2" xfId="2987"/>
    <cellStyle name="Normal 3 12 17" xfId="1108"/>
    <cellStyle name="Normal 3 12 17 2" xfId="2986"/>
    <cellStyle name="Normal 3 12 18" xfId="1109"/>
    <cellStyle name="Normal 3 12 18 2" xfId="2985"/>
    <cellStyle name="Normal 3 12 19" xfId="1110"/>
    <cellStyle name="Normal 3 12 19 2" xfId="2984"/>
    <cellStyle name="Normal 3 12 2" xfId="1111"/>
    <cellStyle name="Normal 3 12 2 2" xfId="2983"/>
    <cellStyle name="Normal 3 12 20" xfId="1112"/>
    <cellStyle name="Normal 3 12 20 2" xfId="2982"/>
    <cellStyle name="Normal 3 12 21" xfId="1113"/>
    <cellStyle name="Normal 3 12 21 2" xfId="2981"/>
    <cellStyle name="Normal 3 12 22" xfId="1114"/>
    <cellStyle name="Normal 3 12 22 2" xfId="2980"/>
    <cellStyle name="Normal 3 12 23" xfId="1115"/>
    <cellStyle name="Normal 3 12 23 2" xfId="2979"/>
    <cellStyle name="Normal 3 12 24" xfId="2994"/>
    <cellStyle name="Normal 3 12 3" xfId="1116"/>
    <cellStyle name="Normal 3 12 3 2" xfId="2978"/>
    <cellStyle name="Normal 3 12 4" xfId="1117"/>
    <cellStyle name="Normal 3 12 4 2" xfId="2977"/>
    <cellStyle name="Normal 3 12 5" xfId="1118"/>
    <cellStyle name="Normal 3 12 5 2" xfId="2976"/>
    <cellStyle name="Normal 3 12 6" xfId="1119"/>
    <cellStyle name="Normal 3 12 6 2" xfId="2975"/>
    <cellStyle name="Normal 3 12 7" xfId="1120"/>
    <cellStyle name="Normal 3 12 7 2" xfId="2974"/>
    <cellStyle name="Normal 3 12 8" xfId="1121"/>
    <cellStyle name="Normal 3 12 8 2" xfId="2973"/>
    <cellStyle name="Normal 3 12 9" xfId="1122"/>
    <cellStyle name="Normal 3 12 9 2" xfId="2972"/>
    <cellStyle name="Normal 3 13" xfId="1123"/>
    <cellStyle name="Normal 3 13 10" xfId="1124"/>
    <cellStyle name="Normal 3 13 10 2" xfId="2970"/>
    <cellStyle name="Normal 3 13 11" xfId="1125"/>
    <cellStyle name="Normal 3 13 11 2" xfId="2969"/>
    <cellStyle name="Normal 3 13 12" xfId="1126"/>
    <cellStyle name="Normal 3 13 12 2" xfId="2968"/>
    <cellStyle name="Normal 3 13 13" xfId="1127"/>
    <cellStyle name="Normal 3 13 13 2" xfId="2967"/>
    <cellStyle name="Normal 3 13 14" xfId="1128"/>
    <cellStyle name="Normal 3 13 14 2" xfId="2966"/>
    <cellStyle name="Normal 3 13 15" xfId="1129"/>
    <cellStyle name="Normal 3 13 15 2" xfId="2965"/>
    <cellStyle name="Normal 3 13 16" xfId="1130"/>
    <cellStyle name="Normal 3 13 16 2" xfId="2964"/>
    <cellStyle name="Normal 3 13 17" xfId="1131"/>
    <cellStyle name="Normal 3 13 17 2" xfId="2963"/>
    <cellStyle name="Normal 3 13 18" xfId="1132"/>
    <cellStyle name="Normal 3 13 18 2" xfId="2962"/>
    <cellStyle name="Normal 3 13 19" xfId="1133"/>
    <cellStyle name="Normal 3 13 19 2" xfId="2961"/>
    <cellStyle name="Normal 3 13 2" xfId="1134"/>
    <cellStyle name="Normal 3 13 2 2" xfId="2960"/>
    <cellStyle name="Normal 3 13 20" xfId="1135"/>
    <cellStyle name="Normal 3 13 20 2" xfId="2959"/>
    <cellStyle name="Normal 3 13 21" xfId="1136"/>
    <cellStyle name="Normal 3 13 21 2" xfId="2958"/>
    <cellStyle name="Normal 3 13 22" xfId="1137"/>
    <cellStyle name="Normal 3 13 22 2" xfId="2957"/>
    <cellStyle name="Normal 3 13 23" xfId="1138"/>
    <cellStyle name="Normal 3 13 23 2" xfId="2956"/>
    <cellStyle name="Normal 3 13 24" xfId="2971"/>
    <cellStyle name="Normal 3 13 3" xfId="1139"/>
    <cellStyle name="Normal 3 13 3 2" xfId="2955"/>
    <cellStyle name="Normal 3 13 4" xfId="1140"/>
    <cellStyle name="Normal 3 13 4 2" xfId="2954"/>
    <cellStyle name="Normal 3 13 5" xfId="1141"/>
    <cellStyle name="Normal 3 13 5 2" xfId="2953"/>
    <cellStyle name="Normal 3 13 6" xfId="1142"/>
    <cellStyle name="Normal 3 13 6 2" xfId="2952"/>
    <cellStyle name="Normal 3 13 7" xfId="1143"/>
    <cellStyle name="Normal 3 13 7 2" xfId="2951"/>
    <cellStyle name="Normal 3 13 8" xfId="1144"/>
    <cellStyle name="Normal 3 13 8 2" xfId="2950"/>
    <cellStyle name="Normal 3 13 9" xfId="1145"/>
    <cellStyle name="Normal 3 13 9 2" xfId="2949"/>
    <cellStyle name="Normal 3 14" xfId="1146"/>
    <cellStyle name="Normal 3 14 10" xfId="1147"/>
    <cellStyle name="Normal 3 14 10 2" xfId="2947"/>
    <cellStyle name="Normal 3 14 11" xfId="1148"/>
    <cellStyle name="Normal 3 14 11 2" xfId="2946"/>
    <cellStyle name="Normal 3 14 12" xfId="1149"/>
    <cellStyle name="Normal 3 14 12 2" xfId="2945"/>
    <cellStyle name="Normal 3 14 13" xfId="1150"/>
    <cellStyle name="Normal 3 14 13 2" xfId="2944"/>
    <cellStyle name="Normal 3 14 14" xfId="1151"/>
    <cellStyle name="Normal 3 14 14 2" xfId="2943"/>
    <cellStyle name="Normal 3 14 15" xfId="1152"/>
    <cellStyle name="Normal 3 14 15 2" xfId="2942"/>
    <cellStyle name="Normal 3 14 16" xfId="1153"/>
    <cellStyle name="Normal 3 14 16 2" xfId="2941"/>
    <cellStyle name="Normal 3 14 17" xfId="1154"/>
    <cellStyle name="Normal 3 14 17 2" xfId="2940"/>
    <cellStyle name="Normal 3 14 18" xfId="1155"/>
    <cellStyle name="Normal 3 14 18 2" xfId="2939"/>
    <cellStyle name="Normal 3 14 19" xfId="1156"/>
    <cellStyle name="Normal 3 14 19 2" xfId="2938"/>
    <cellStyle name="Normal 3 14 2" xfId="1157"/>
    <cellStyle name="Normal 3 14 2 2" xfId="2937"/>
    <cellStyle name="Normal 3 14 20" xfId="1158"/>
    <cellStyle name="Normal 3 14 20 2" xfId="2936"/>
    <cellStyle name="Normal 3 14 21" xfId="1159"/>
    <cellStyle name="Normal 3 14 21 2" xfId="2935"/>
    <cellStyle name="Normal 3 14 22" xfId="1160"/>
    <cellStyle name="Normal 3 14 22 2" xfId="2934"/>
    <cellStyle name="Normal 3 14 23" xfId="1161"/>
    <cellStyle name="Normal 3 14 23 2" xfId="2933"/>
    <cellStyle name="Normal 3 14 24" xfId="2948"/>
    <cellStyle name="Normal 3 14 3" xfId="1162"/>
    <cellStyle name="Normal 3 14 3 2" xfId="2932"/>
    <cellStyle name="Normal 3 14 4" xfId="1163"/>
    <cellStyle name="Normal 3 14 4 2" xfId="2931"/>
    <cellStyle name="Normal 3 14 5" xfId="1164"/>
    <cellStyle name="Normal 3 14 5 2" xfId="2930"/>
    <cellStyle name="Normal 3 14 6" xfId="1165"/>
    <cellStyle name="Normal 3 14 6 2" xfId="2929"/>
    <cellStyle name="Normal 3 14 7" xfId="1166"/>
    <cellStyle name="Normal 3 14 7 2" xfId="2928"/>
    <cellStyle name="Normal 3 14 8" xfId="1167"/>
    <cellStyle name="Normal 3 14 8 2" xfId="2927"/>
    <cellStyle name="Normal 3 14 9" xfId="1168"/>
    <cellStyle name="Normal 3 14 9 2" xfId="2926"/>
    <cellStyle name="Normal 3 15" xfId="1169"/>
    <cellStyle name="Normal 3 15 10" xfId="1170"/>
    <cellStyle name="Normal 3 15 10 2" xfId="2924"/>
    <cellStyle name="Normal 3 15 11" xfId="1171"/>
    <cellStyle name="Normal 3 15 11 2" xfId="2923"/>
    <cellStyle name="Normal 3 15 12" xfId="1172"/>
    <cellStyle name="Normal 3 15 12 2" xfId="2922"/>
    <cellStyle name="Normal 3 15 13" xfId="1173"/>
    <cellStyle name="Normal 3 15 13 2" xfId="2921"/>
    <cellStyle name="Normal 3 15 14" xfId="1174"/>
    <cellStyle name="Normal 3 15 14 2" xfId="2920"/>
    <cellStyle name="Normal 3 15 15" xfId="1175"/>
    <cellStyle name="Normal 3 15 15 2" xfId="2919"/>
    <cellStyle name="Normal 3 15 16" xfId="1176"/>
    <cellStyle name="Normal 3 15 16 2" xfId="2918"/>
    <cellStyle name="Normal 3 15 17" xfId="1177"/>
    <cellStyle name="Normal 3 15 17 2" xfId="2917"/>
    <cellStyle name="Normal 3 15 18" xfId="1178"/>
    <cellStyle name="Normal 3 15 18 2" xfId="2916"/>
    <cellStyle name="Normal 3 15 19" xfId="1179"/>
    <cellStyle name="Normal 3 15 19 2" xfId="2915"/>
    <cellStyle name="Normal 3 15 2" xfId="1180"/>
    <cellStyle name="Normal 3 15 2 2" xfId="2914"/>
    <cellStyle name="Normal 3 15 20" xfId="1181"/>
    <cellStyle name="Normal 3 15 20 2" xfId="2913"/>
    <cellStyle name="Normal 3 15 21" xfId="1182"/>
    <cellStyle name="Normal 3 15 21 2" xfId="2912"/>
    <cellStyle name="Normal 3 15 22" xfId="1183"/>
    <cellStyle name="Normal 3 15 22 2" xfId="2911"/>
    <cellStyle name="Normal 3 15 23" xfId="1184"/>
    <cellStyle name="Normal 3 15 23 2" xfId="2910"/>
    <cellStyle name="Normal 3 15 24" xfId="2925"/>
    <cellStyle name="Normal 3 15 3" xfId="1185"/>
    <cellStyle name="Normal 3 15 3 2" xfId="2909"/>
    <cellStyle name="Normal 3 15 4" xfId="1186"/>
    <cellStyle name="Normal 3 15 4 2" xfId="2908"/>
    <cellStyle name="Normal 3 15 5" xfId="1187"/>
    <cellStyle name="Normal 3 15 5 2" xfId="2907"/>
    <cellStyle name="Normal 3 15 6" xfId="1188"/>
    <cellStyle name="Normal 3 15 6 2" xfId="2906"/>
    <cellStyle name="Normal 3 15 7" xfId="1189"/>
    <cellStyle name="Normal 3 15 7 2" xfId="2905"/>
    <cellStyle name="Normal 3 15 8" xfId="1190"/>
    <cellStyle name="Normal 3 15 8 2" xfId="2904"/>
    <cellStyle name="Normal 3 15 9" xfId="1191"/>
    <cellStyle name="Normal 3 15 9 2" xfId="2903"/>
    <cellStyle name="Normal 3 16" xfId="1192"/>
    <cellStyle name="Normal 3 16 10" xfId="1193"/>
    <cellStyle name="Normal 3 16 10 2" xfId="2901"/>
    <cellStyle name="Normal 3 16 11" xfId="1194"/>
    <cellStyle name="Normal 3 16 11 2" xfId="2900"/>
    <cellStyle name="Normal 3 16 12" xfId="1195"/>
    <cellStyle name="Normal 3 16 12 2" xfId="2899"/>
    <cellStyle name="Normal 3 16 13" xfId="1196"/>
    <cellStyle name="Normal 3 16 13 2" xfId="2898"/>
    <cellStyle name="Normal 3 16 14" xfId="1197"/>
    <cellStyle name="Normal 3 16 14 2" xfId="2897"/>
    <cellStyle name="Normal 3 16 15" xfId="1198"/>
    <cellStyle name="Normal 3 16 15 2" xfId="2896"/>
    <cellStyle name="Normal 3 16 16" xfId="1199"/>
    <cellStyle name="Normal 3 16 16 2" xfId="2895"/>
    <cellStyle name="Normal 3 16 17" xfId="1200"/>
    <cellStyle name="Normal 3 16 17 2" xfId="2894"/>
    <cellStyle name="Normal 3 16 18" xfId="1201"/>
    <cellStyle name="Normal 3 16 18 2" xfId="2893"/>
    <cellStyle name="Normal 3 16 19" xfId="1202"/>
    <cellStyle name="Normal 3 16 19 2" xfId="2892"/>
    <cellStyle name="Normal 3 16 2" xfId="1203"/>
    <cellStyle name="Normal 3 16 2 2" xfId="2891"/>
    <cellStyle name="Normal 3 16 20" xfId="1204"/>
    <cellStyle name="Normal 3 16 20 2" xfId="2890"/>
    <cellStyle name="Normal 3 16 21" xfId="1205"/>
    <cellStyle name="Normal 3 16 21 2" xfId="2889"/>
    <cellStyle name="Normal 3 16 22" xfId="1206"/>
    <cellStyle name="Normal 3 16 22 2" xfId="2888"/>
    <cellStyle name="Normal 3 16 23" xfId="1207"/>
    <cellStyle name="Normal 3 16 23 2" xfId="2887"/>
    <cellStyle name="Normal 3 16 24" xfId="2902"/>
    <cellStyle name="Normal 3 16 3" xfId="1208"/>
    <cellStyle name="Normal 3 16 3 2" xfId="2886"/>
    <cellStyle name="Normal 3 16 4" xfId="1209"/>
    <cellStyle name="Normal 3 16 4 2" xfId="2885"/>
    <cellStyle name="Normal 3 16 5" xfId="1210"/>
    <cellStyle name="Normal 3 16 5 2" xfId="2884"/>
    <cellStyle name="Normal 3 16 6" xfId="1211"/>
    <cellStyle name="Normal 3 16 6 2" xfId="2883"/>
    <cellStyle name="Normal 3 16 7" xfId="1212"/>
    <cellStyle name="Normal 3 16 7 2" xfId="2882"/>
    <cellStyle name="Normal 3 16 8" xfId="1213"/>
    <cellStyle name="Normal 3 16 8 2" xfId="2881"/>
    <cellStyle name="Normal 3 16 9" xfId="1214"/>
    <cellStyle name="Normal 3 16 9 2" xfId="2880"/>
    <cellStyle name="Normal 3 17" xfId="1215"/>
    <cellStyle name="Normal 3 17 10" xfId="1216"/>
    <cellStyle name="Normal 3 17 10 2" xfId="2878"/>
    <cellStyle name="Normal 3 17 11" xfId="1217"/>
    <cellStyle name="Normal 3 17 11 2" xfId="2877"/>
    <cellStyle name="Normal 3 17 12" xfId="1218"/>
    <cellStyle name="Normal 3 17 12 2" xfId="2876"/>
    <cellStyle name="Normal 3 17 13" xfId="1219"/>
    <cellStyle name="Normal 3 17 13 2" xfId="2875"/>
    <cellStyle name="Normal 3 17 14" xfId="1220"/>
    <cellStyle name="Normal 3 17 14 2" xfId="2874"/>
    <cellStyle name="Normal 3 17 15" xfId="1221"/>
    <cellStyle name="Normal 3 17 15 2" xfId="2873"/>
    <cellStyle name="Normal 3 17 16" xfId="1222"/>
    <cellStyle name="Normal 3 17 16 2" xfId="2872"/>
    <cellStyle name="Normal 3 17 17" xfId="1223"/>
    <cellStyle name="Normal 3 17 17 2" xfId="2871"/>
    <cellStyle name="Normal 3 17 18" xfId="1224"/>
    <cellStyle name="Normal 3 17 18 2" xfId="2870"/>
    <cellStyle name="Normal 3 17 19" xfId="1225"/>
    <cellStyle name="Normal 3 17 19 2" xfId="2869"/>
    <cellStyle name="Normal 3 17 2" xfId="1226"/>
    <cellStyle name="Normal 3 17 2 2" xfId="2868"/>
    <cellStyle name="Normal 3 17 20" xfId="1227"/>
    <cellStyle name="Normal 3 17 20 2" xfId="2867"/>
    <cellStyle name="Normal 3 17 21" xfId="1228"/>
    <cellStyle name="Normal 3 17 21 2" xfId="2866"/>
    <cellStyle name="Normal 3 17 22" xfId="1229"/>
    <cellStyle name="Normal 3 17 22 2" xfId="2865"/>
    <cellStyle name="Normal 3 17 23" xfId="1230"/>
    <cellStyle name="Normal 3 17 23 2" xfId="2864"/>
    <cellStyle name="Normal 3 17 24" xfId="2879"/>
    <cellStyle name="Normal 3 17 3" xfId="1231"/>
    <cellStyle name="Normal 3 17 3 2" xfId="2863"/>
    <cellStyle name="Normal 3 17 4" xfId="1232"/>
    <cellStyle name="Normal 3 17 4 2" xfId="2862"/>
    <cellStyle name="Normal 3 17 5" xfId="1233"/>
    <cellStyle name="Normal 3 17 5 2" xfId="2861"/>
    <cellStyle name="Normal 3 17 6" xfId="1234"/>
    <cellStyle name="Normal 3 17 6 2" xfId="2860"/>
    <cellStyle name="Normal 3 17 7" xfId="1235"/>
    <cellStyle name="Normal 3 17 7 2" xfId="2859"/>
    <cellStyle name="Normal 3 17 8" xfId="1236"/>
    <cellStyle name="Normal 3 17 8 2" xfId="2858"/>
    <cellStyle name="Normal 3 17 9" xfId="1237"/>
    <cellStyle name="Normal 3 17 9 2" xfId="2857"/>
    <cellStyle name="Normal 3 18" xfId="1238"/>
    <cellStyle name="Normal 3 18 10" xfId="1239"/>
    <cellStyle name="Normal 3 18 10 2" xfId="2855"/>
    <cellStyle name="Normal 3 18 11" xfId="1240"/>
    <cellStyle name="Normal 3 18 11 2" xfId="2854"/>
    <cellStyle name="Normal 3 18 12" xfId="1241"/>
    <cellStyle name="Normal 3 18 12 2" xfId="2853"/>
    <cellStyle name="Normal 3 18 13" xfId="1242"/>
    <cellStyle name="Normal 3 18 13 2" xfId="2852"/>
    <cellStyle name="Normal 3 18 14" xfId="1243"/>
    <cellStyle name="Normal 3 18 14 2" xfId="2851"/>
    <cellStyle name="Normal 3 18 15" xfId="1244"/>
    <cellStyle name="Normal 3 18 15 2" xfId="2850"/>
    <cellStyle name="Normal 3 18 16" xfId="1245"/>
    <cellStyle name="Normal 3 18 16 2" xfId="2849"/>
    <cellStyle name="Normal 3 18 17" xfId="1246"/>
    <cellStyle name="Normal 3 18 17 2" xfId="2848"/>
    <cellStyle name="Normal 3 18 18" xfId="1247"/>
    <cellStyle name="Normal 3 18 18 2" xfId="2847"/>
    <cellStyle name="Normal 3 18 19" xfId="1248"/>
    <cellStyle name="Normal 3 18 19 2" xfId="2846"/>
    <cellStyle name="Normal 3 18 2" xfId="1249"/>
    <cellStyle name="Normal 3 18 2 2" xfId="2845"/>
    <cellStyle name="Normal 3 18 20" xfId="1250"/>
    <cellStyle name="Normal 3 18 20 2" xfId="2844"/>
    <cellStyle name="Normal 3 18 21" xfId="1251"/>
    <cellStyle name="Normal 3 18 21 2" xfId="2843"/>
    <cellStyle name="Normal 3 18 22" xfId="1252"/>
    <cellStyle name="Normal 3 18 22 2" xfId="2842"/>
    <cellStyle name="Normal 3 18 23" xfId="1253"/>
    <cellStyle name="Normal 3 18 23 2" xfId="2841"/>
    <cellStyle name="Normal 3 18 24" xfId="2856"/>
    <cellStyle name="Normal 3 18 3" xfId="1254"/>
    <cellStyle name="Normal 3 18 3 2" xfId="2840"/>
    <cellStyle name="Normal 3 18 4" xfId="1255"/>
    <cellStyle name="Normal 3 18 4 2" xfId="2839"/>
    <cellStyle name="Normal 3 18 5" xfId="1256"/>
    <cellStyle name="Normal 3 18 5 2" xfId="2838"/>
    <cellStyle name="Normal 3 18 6" xfId="1257"/>
    <cellStyle name="Normal 3 18 6 2" xfId="2837"/>
    <cellStyle name="Normal 3 18 7" xfId="1258"/>
    <cellStyle name="Normal 3 18 7 2" xfId="2836"/>
    <cellStyle name="Normal 3 18 8" xfId="1259"/>
    <cellStyle name="Normal 3 18 8 2" xfId="2835"/>
    <cellStyle name="Normal 3 18 9" xfId="1260"/>
    <cellStyle name="Normal 3 18 9 2" xfId="2834"/>
    <cellStyle name="Normal 3 19" xfId="1261"/>
    <cellStyle name="Normal 3 19 10" xfId="1262"/>
    <cellStyle name="Normal 3 19 10 2" xfId="2832"/>
    <cellStyle name="Normal 3 19 11" xfId="1263"/>
    <cellStyle name="Normal 3 19 11 2" xfId="2831"/>
    <cellStyle name="Normal 3 19 12" xfId="1264"/>
    <cellStyle name="Normal 3 19 12 2" xfId="2830"/>
    <cellStyle name="Normal 3 19 13" xfId="1265"/>
    <cellStyle name="Normal 3 19 13 2" xfId="2829"/>
    <cellStyle name="Normal 3 19 14" xfId="1266"/>
    <cellStyle name="Normal 3 19 14 2" xfId="2828"/>
    <cellStyle name="Normal 3 19 15" xfId="1267"/>
    <cellStyle name="Normal 3 19 15 2" xfId="2827"/>
    <cellStyle name="Normal 3 19 16" xfId="1268"/>
    <cellStyle name="Normal 3 19 16 2" xfId="2826"/>
    <cellStyle name="Normal 3 19 17" xfId="1269"/>
    <cellStyle name="Normal 3 19 17 2" xfId="2825"/>
    <cellStyle name="Normal 3 19 18" xfId="1270"/>
    <cellStyle name="Normal 3 19 18 2" xfId="2824"/>
    <cellStyle name="Normal 3 19 19" xfId="1271"/>
    <cellStyle name="Normal 3 19 19 2" xfId="2823"/>
    <cellStyle name="Normal 3 19 2" xfId="1272"/>
    <cellStyle name="Normal 3 19 2 2" xfId="2822"/>
    <cellStyle name="Normal 3 19 20" xfId="1273"/>
    <cellStyle name="Normal 3 19 20 2" xfId="2821"/>
    <cellStyle name="Normal 3 19 21" xfId="1274"/>
    <cellStyle name="Normal 3 19 21 2" xfId="2820"/>
    <cellStyle name="Normal 3 19 22" xfId="1275"/>
    <cellStyle name="Normal 3 19 22 2" xfId="2819"/>
    <cellStyle name="Normal 3 19 23" xfId="1276"/>
    <cellStyle name="Normal 3 19 23 2" xfId="2818"/>
    <cellStyle name="Normal 3 19 24" xfId="2833"/>
    <cellStyle name="Normal 3 19 3" xfId="1277"/>
    <cellStyle name="Normal 3 19 3 2" xfId="2817"/>
    <cellStyle name="Normal 3 19 4" xfId="1278"/>
    <cellStyle name="Normal 3 19 4 2" xfId="2816"/>
    <cellStyle name="Normal 3 19 5" xfId="1279"/>
    <cellStyle name="Normal 3 19 5 2" xfId="2815"/>
    <cellStyle name="Normal 3 19 6" xfId="1280"/>
    <cellStyle name="Normal 3 19 6 2" xfId="2814"/>
    <cellStyle name="Normal 3 19 7" xfId="1281"/>
    <cellStyle name="Normal 3 19 7 2" xfId="2813"/>
    <cellStyle name="Normal 3 19 8" xfId="1282"/>
    <cellStyle name="Normal 3 19 8 2" xfId="2812"/>
    <cellStyle name="Normal 3 19 9" xfId="1283"/>
    <cellStyle name="Normal 3 19 9 2" xfId="2811"/>
    <cellStyle name="Normal 3 2" xfId="1284"/>
    <cellStyle name="Normal 3 2 10" xfId="1285"/>
    <cellStyle name="Normal 3 2 10 2" xfId="2809"/>
    <cellStyle name="Normal 3 2 11" xfId="1286"/>
    <cellStyle name="Normal 3 2 11 2" xfId="2808"/>
    <cellStyle name="Normal 3 2 12" xfId="1287"/>
    <cellStyle name="Normal 3 2 12 2" xfId="2807"/>
    <cellStyle name="Normal 3 2 13" xfId="1288"/>
    <cellStyle name="Normal 3 2 13 2" xfId="2806"/>
    <cellStyle name="Normal 3 2 14" xfId="1289"/>
    <cellStyle name="Normal 3 2 14 2" xfId="2805"/>
    <cellStyle name="Normal 3 2 15" xfId="1290"/>
    <cellStyle name="Normal 3 2 15 2" xfId="2804"/>
    <cellStyle name="Normal 3 2 16" xfId="1291"/>
    <cellStyle name="Normal 3 2 16 2" xfId="2803"/>
    <cellStyle name="Normal 3 2 17" xfId="1292"/>
    <cellStyle name="Normal 3 2 17 2" xfId="2802"/>
    <cellStyle name="Normal 3 2 18" xfId="1293"/>
    <cellStyle name="Normal 3 2 18 2" xfId="2801"/>
    <cellStyle name="Normal 3 2 19" xfId="1294"/>
    <cellStyle name="Normal 3 2 19 2" xfId="2800"/>
    <cellStyle name="Normal 3 2 2" xfId="1295"/>
    <cellStyle name="Normal 3 2 2 10" xfId="1296"/>
    <cellStyle name="Normal 3 2 2 10 2" xfId="2798"/>
    <cellStyle name="Normal 3 2 2 11" xfId="1297"/>
    <cellStyle name="Normal 3 2 2 11 2" xfId="2797"/>
    <cellStyle name="Normal 3 2 2 12" xfId="1298"/>
    <cellStyle name="Normal 3 2 2 12 2" xfId="2796"/>
    <cellStyle name="Normal 3 2 2 13" xfId="1299"/>
    <cellStyle name="Normal 3 2 2 13 2" xfId="2795"/>
    <cellStyle name="Normal 3 2 2 14" xfId="1300"/>
    <cellStyle name="Normal 3 2 2 14 2" xfId="2794"/>
    <cellStyle name="Normal 3 2 2 15" xfId="1301"/>
    <cellStyle name="Normal 3 2 2 15 2" xfId="2793"/>
    <cellStyle name="Normal 3 2 2 16" xfId="1302"/>
    <cellStyle name="Normal 3 2 2 16 2" xfId="2792"/>
    <cellStyle name="Normal 3 2 2 17" xfId="1303"/>
    <cellStyle name="Normal 3 2 2 17 2" xfId="2791"/>
    <cellStyle name="Normal 3 2 2 18" xfId="1304"/>
    <cellStyle name="Normal 3 2 2 18 2" xfId="2790"/>
    <cellStyle name="Normal 3 2 2 19" xfId="1305"/>
    <cellStyle name="Normal 3 2 2 19 2" xfId="2789"/>
    <cellStyle name="Normal 3 2 2 2" xfId="1306"/>
    <cellStyle name="Normal 3 2 2 2 2" xfId="2788"/>
    <cellStyle name="Normal 3 2 2 20" xfId="1307"/>
    <cellStyle name="Normal 3 2 2 20 2" xfId="2787"/>
    <cellStyle name="Normal 3 2 2 21" xfId="1308"/>
    <cellStyle name="Normal 3 2 2 21 2" xfId="2786"/>
    <cellStyle name="Normal 3 2 2 22" xfId="1309"/>
    <cellStyle name="Normal 3 2 2 22 2" xfId="2785"/>
    <cellStyle name="Normal 3 2 2 23" xfId="1310"/>
    <cellStyle name="Normal 3 2 2 23 2" xfId="2784"/>
    <cellStyle name="Normal 3 2 2 24" xfId="1311"/>
    <cellStyle name="Normal 3 2 2 24 2" xfId="2783"/>
    <cellStyle name="Normal 3 2 2 25" xfId="1312"/>
    <cellStyle name="Normal 3 2 2 25 2" xfId="2782"/>
    <cellStyle name="Normal 3 2 2 26" xfId="1313"/>
    <cellStyle name="Normal 3 2 2 26 2" xfId="2781"/>
    <cellStyle name="Normal 3 2 2 27" xfId="1314"/>
    <cellStyle name="Normal 3 2 2 27 2" xfId="2780"/>
    <cellStyle name="Normal 3 2 2 28" xfId="1315"/>
    <cellStyle name="Normal 3 2 2 28 2" xfId="2779"/>
    <cellStyle name="Normal 3 2 2 29" xfId="1316"/>
    <cellStyle name="Normal 3 2 2 29 2" xfId="2778"/>
    <cellStyle name="Normal 3 2 2 3" xfId="1317"/>
    <cellStyle name="Normal 3 2 2 3 2" xfId="2777"/>
    <cellStyle name="Normal 3 2 2 30" xfId="1318"/>
    <cellStyle name="Normal 3 2 2 30 2" xfId="2776"/>
    <cellStyle name="Normal 3 2 2 31" xfId="1319"/>
    <cellStyle name="Normal 3 2 2 31 2" xfId="2775"/>
    <cellStyle name="Normal 3 2 2 32" xfId="1320"/>
    <cellStyle name="Normal 3 2 2 32 2" xfId="2774"/>
    <cellStyle name="Normal 3 2 2 33" xfId="1321"/>
    <cellStyle name="Normal 3 2 2 33 2" xfId="2773"/>
    <cellStyle name="Normal 3 2 2 34" xfId="2799"/>
    <cellStyle name="Normal 3 2 2 4" xfId="1322"/>
    <cellStyle name="Normal 3 2 2 4 2" xfId="2772"/>
    <cellStyle name="Normal 3 2 2 5" xfId="1323"/>
    <cellStyle name="Normal 3 2 2 5 2" xfId="2771"/>
    <cellStyle name="Normal 3 2 2 6" xfId="1324"/>
    <cellStyle name="Normal 3 2 2 6 2" xfId="2770"/>
    <cellStyle name="Normal 3 2 2 7" xfId="1325"/>
    <cellStyle name="Normal 3 2 2 7 2" xfId="2769"/>
    <cellStyle name="Normal 3 2 2 8" xfId="1326"/>
    <cellStyle name="Normal 3 2 2 8 2" xfId="2768"/>
    <cellStyle name="Normal 3 2 2 9" xfId="1327"/>
    <cellStyle name="Normal 3 2 2 9 2" xfId="2767"/>
    <cellStyle name="Normal 3 2 20" xfId="1328"/>
    <cellStyle name="Normal 3 2 20 2" xfId="2766"/>
    <cellStyle name="Normal 3 2 21" xfId="1329"/>
    <cellStyle name="Normal 3 2 21 2" xfId="2765"/>
    <cellStyle name="Normal 3 2 22" xfId="1330"/>
    <cellStyle name="Normal 3 2 22 2" xfId="2764"/>
    <cellStyle name="Normal 3 2 23" xfId="1331"/>
    <cellStyle name="Normal 3 2 23 2" xfId="2763"/>
    <cellStyle name="Normal 3 2 24" xfId="1332"/>
    <cellStyle name="Normal 3 2 24 2" xfId="2762"/>
    <cellStyle name="Normal 3 2 25" xfId="1333"/>
    <cellStyle name="Normal 3 2 25 2" xfId="2761"/>
    <cellStyle name="Normal 3 2 26" xfId="1334"/>
    <cellStyle name="Normal 3 2 26 2" xfId="2760"/>
    <cellStyle name="Normal 3 2 27" xfId="1335"/>
    <cellStyle name="Normal 3 2 27 2" xfId="2759"/>
    <cellStyle name="Normal 3 2 28" xfId="1336"/>
    <cellStyle name="Normal 3 2 28 2" xfId="2758"/>
    <cellStyle name="Normal 3 2 29" xfId="1337"/>
    <cellStyle name="Normal 3 2 29 2" xfId="2757"/>
    <cellStyle name="Normal 3 2 3" xfId="1338"/>
    <cellStyle name="Normal 3 2 3 2" xfId="2756"/>
    <cellStyle name="Normal 3 2 30" xfId="1339"/>
    <cellStyle name="Normal 3 2 30 2" xfId="2755"/>
    <cellStyle name="Normal 3 2 31" xfId="1340"/>
    <cellStyle name="Normal 3 2 31 2" xfId="2754"/>
    <cellStyle name="Normal 3 2 32" xfId="1341"/>
    <cellStyle name="Normal 3 2 32 2" xfId="2753"/>
    <cellStyle name="Normal 3 2 33" xfId="1342"/>
    <cellStyle name="Normal 3 2 33 2" xfId="2752"/>
    <cellStyle name="Normal 3 2 34" xfId="1343"/>
    <cellStyle name="Normal 3 2 34 2" xfId="2751"/>
    <cellStyle name="Normal 3 2 35" xfId="1344"/>
    <cellStyle name="Normal 3 2 35 2" xfId="2750"/>
    <cellStyle name="Normal 3 2 36" xfId="1345"/>
    <cellStyle name="Normal 3 2 36 2" xfId="2749"/>
    <cellStyle name="Normal 3 2 37" xfId="1346"/>
    <cellStyle name="Normal 3 2 37 2" xfId="2748"/>
    <cellStyle name="Normal 3 2 38" xfId="1347"/>
    <cellStyle name="Normal 3 2 38 2" xfId="2747"/>
    <cellStyle name="Normal 3 2 39" xfId="1348"/>
    <cellStyle name="Normal 3 2 39 2" xfId="2746"/>
    <cellStyle name="Normal 3 2 4" xfId="1349"/>
    <cellStyle name="Normal 3 2 4 2" xfId="2745"/>
    <cellStyle name="Normal 3 2 40" xfId="1350"/>
    <cellStyle name="Normal 3 2 40 2" xfId="2744"/>
    <cellStyle name="Normal 3 2 41" xfId="1351"/>
    <cellStyle name="Normal 3 2 41 2" xfId="2743"/>
    <cellStyle name="Normal 3 2 42" xfId="1352"/>
    <cellStyle name="Normal 3 2 42 2" xfId="2742"/>
    <cellStyle name="Normal 3 2 43" xfId="1353"/>
    <cellStyle name="Normal 3 2 43 2" xfId="2741"/>
    <cellStyle name="Normal 3 2 44" xfId="1354"/>
    <cellStyle name="Normal 3 2 44 2" xfId="2740"/>
    <cellStyle name="Normal 3 2 45" xfId="1355"/>
    <cellStyle name="Normal 3 2 45 2" xfId="2739"/>
    <cellStyle name="Normal 3 2 46" xfId="1356"/>
    <cellStyle name="Normal 3 2 46 2" xfId="2738"/>
    <cellStyle name="Normal 3 2 47" xfId="1357"/>
    <cellStyle name="Normal 3 2 47 2" xfId="2737"/>
    <cellStyle name="Normal 3 2 48" xfId="1358"/>
    <cellStyle name="Normal 3 2 48 2" xfId="2736"/>
    <cellStyle name="Normal 3 2 49" xfId="1359"/>
    <cellStyle name="Normal 3 2 49 2" xfId="2735"/>
    <cellStyle name="Normal 3 2 5" xfId="1360"/>
    <cellStyle name="Normal 3 2 5 2" xfId="2734"/>
    <cellStyle name="Normal 3 2 50" xfId="1361"/>
    <cellStyle name="Normal 3 2 50 2" xfId="2733"/>
    <cellStyle name="Normal 3 2 51" xfId="1362"/>
    <cellStyle name="Normal 3 2 51 2" xfId="2732"/>
    <cellStyle name="Normal 3 2 52" xfId="1363"/>
    <cellStyle name="Normal 3 2 52 2" xfId="2731"/>
    <cellStyle name="Normal 3 2 53" xfId="1364"/>
    <cellStyle name="Normal 3 2 53 2" xfId="2730"/>
    <cellStyle name="Normal 3 2 54" xfId="1365"/>
    <cellStyle name="Normal 3 2 54 2" xfId="2729"/>
    <cellStyle name="Normal 3 2 55" xfId="1366"/>
    <cellStyle name="Normal 3 2 55 2" xfId="2728"/>
    <cellStyle name="Normal 3 2 56" xfId="2810"/>
    <cellStyle name="Normal 3 2 6" xfId="1367"/>
    <cellStyle name="Normal 3 2 6 2" xfId="2727"/>
    <cellStyle name="Normal 3 2 7" xfId="1368"/>
    <cellStyle name="Normal 3 2 7 2" xfId="2726"/>
    <cellStyle name="Normal 3 2 8" xfId="1369"/>
    <cellStyle name="Normal 3 2 8 2" xfId="2725"/>
    <cellStyle name="Normal 3 2 9" xfId="1370"/>
    <cellStyle name="Normal 3 2 9 2" xfId="2724"/>
    <cellStyle name="Normal 3 20" xfId="1371"/>
    <cellStyle name="Normal 3 20 10" xfId="1372"/>
    <cellStyle name="Normal 3 20 10 2" xfId="2722"/>
    <cellStyle name="Normal 3 20 11" xfId="1373"/>
    <cellStyle name="Normal 3 20 11 2" xfId="2721"/>
    <cellStyle name="Normal 3 20 12" xfId="1374"/>
    <cellStyle name="Normal 3 20 12 2" xfId="2720"/>
    <cellStyle name="Normal 3 20 13" xfId="1375"/>
    <cellStyle name="Normal 3 20 13 2" xfId="2719"/>
    <cellStyle name="Normal 3 20 14" xfId="1376"/>
    <cellStyle name="Normal 3 20 14 2" xfId="2718"/>
    <cellStyle name="Normal 3 20 15" xfId="1377"/>
    <cellStyle name="Normal 3 20 15 2" xfId="2717"/>
    <cellStyle name="Normal 3 20 16" xfId="1378"/>
    <cellStyle name="Normal 3 20 16 2" xfId="2716"/>
    <cellStyle name="Normal 3 20 17" xfId="1379"/>
    <cellStyle name="Normal 3 20 17 2" xfId="2715"/>
    <cellStyle name="Normal 3 20 18" xfId="1380"/>
    <cellStyle name="Normal 3 20 18 2" xfId="2714"/>
    <cellStyle name="Normal 3 20 19" xfId="1381"/>
    <cellStyle name="Normal 3 20 19 2" xfId="2713"/>
    <cellStyle name="Normal 3 20 2" xfId="1382"/>
    <cellStyle name="Normal 3 20 2 2" xfId="2712"/>
    <cellStyle name="Normal 3 20 20" xfId="1383"/>
    <cellStyle name="Normal 3 20 20 2" xfId="2711"/>
    <cellStyle name="Normal 3 20 21" xfId="1384"/>
    <cellStyle name="Normal 3 20 21 2" xfId="2710"/>
    <cellStyle name="Normal 3 20 22" xfId="1385"/>
    <cellStyle name="Normal 3 20 22 2" xfId="2709"/>
    <cellStyle name="Normal 3 20 23" xfId="1386"/>
    <cellStyle name="Normal 3 20 23 2" xfId="2708"/>
    <cellStyle name="Normal 3 20 24" xfId="2723"/>
    <cellStyle name="Normal 3 20 3" xfId="1387"/>
    <cellStyle name="Normal 3 20 3 2" xfId="2707"/>
    <cellStyle name="Normal 3 20 4" xfId="1388"/>
    <cellStyle name="Normal 3 20 4 2" xfId="2706"/>
    <cellStyle name="Normal 3 20 5" xfId="1389"/>
    <cellStyle name="Normal 3 20 5 2" xfId="2705"/>
    <cellStyle name="Normal 3 20 6" xfId="1390"/>
    <cellStyle name="Normal 3 20 6 2" xfId="2704"/>
    <cellStyle name="Normal 3 20 7" xfId="1391"/>
    <cellStyle name="Normal 3 20 7 2" xfId="2703"/>
    <cellStyle name="Normal 3 20 8" xfId="1392"/>
    <cellStyle name="Normal 3 20 8 2" xfId="2702"/>
    <cellStyle name="Normal 3 20 9" xfId="1393"/>
    <cellStyle name="Normal 3 20 9 2" xfId="2701"/>
    <cellStyle name="Normal 3 21" xfId="1394"/>
    <cellStyle name="Normal 3 21 10" xfId="1395"/>
    <cellStyle name="Normal 3 21 10 2" xfId="2699"/>
    <cellStyle name="Normal 3 21 11" xfId="1396"/>
    <cellStyle name="Normal 3 21 11 2" xfId="2698"/>
    <cellStyle name="Normal 3 21 12" xfId="1397"/>
    <cellStyle name="Normal 3 21 12 2" xfId="2697"/>
    <cellStyle name="Normal 3 21 13" xfId="1398"/>
    <cellStyle name="Normal 3 21 13 2" xfId="2696"/>
    <cellStyle name="Normal 3 21 14" xfId="1399"/>
    <cellStyle name="Normal 3 21 14 2" xfId="2695"/>
    <cellStyle name="Normal 3 21 15" xfId="1400"/>
    <cellStyle name="Normal 3 21 15 2" xfId="2694"/>
    <cellStyle name="Normal 3 21 16" xfId="1401"/>
    <cellStyle name="Normal 3 21 16 2" xfId="2693"/>
    <cellStyle name="Normal 3 21 17" xfId="1402"/>
    <cellStyle name="Normal 3 21 17 2" xfId="2692"/>
    <cellStyle name="Normal 3 21 18" xfId="1403"/>
    <cellStyle name="Normal 3 21 18 2" xfId="2691"/>
    <cellStyle name="Normal 3 21 19" xfId="1404"/>
    <cellStyle name="Normal 3 21 19 2" xfId="2690"/>
    <cellStyle name="Normal 3 21 2" xfId="1405"/>
    <cellStyle name="Normal 3 21 2 2" xfId="2689"/>
    <cellStyle name="Normal 3 21 20" xfId="1406"/>
    <cellStyle name="Normal 3 21 20 2" xfId="2688"/>
    <cellStyle name="Normal 3 21 21" xfId="1407"/>
    <cellStyle name="Normal 3 21 21 2" xfId="2687"/>
    <cellStyle name="Normal 3 21 22" xfId="1408"/>
    <cellStyle name="Normal 3 21 22 2" xfId="2686"/>
    <cellStyle name="Normal 3 21 23" xfId="1409"/>
    <cellStyle name="Normal 3 21 23 2" xfId="2685"/>
    <cellStyle name="Normal 3 21 24" xfId="2700"/>
    <cellStyle name="Normal 3 21 3" xfId="1410"/>
    <cellStyle name="Normal 3 21 3 2" xfId="2684"/>
    <cellStyle name="Normal 3 21 4" xfId="1411"/>
    <cellStyle name="Normal 3 21 4 2" xfId="2683"/>
    <cellStyle name="Normal 3 21 5" xfId="1412"/>
    <cellStyle name="Normal 3 21 5 2" xfId="2682"/>
    <cellStyle name="Normal 3 21 6" xfId="1413"/>
    <cellStyle name="Normal 3 21 6 2" xfId="2681"/>
    <cellStyle name="Normal 3 21 7" xfId="1414"/>
    <cellStyle name="Normal 3 21 7 2" xfId="2680"/>
    <cellStyle name="Normal 3 21 8" xfId="1415"/>
    <cellStyle name="Normal 3 21 8 2" xfId="2679"/>
    <cellStyle name="Normal 3 21 9" xfId="1416"/>
    <cellStyle name="Normal 3 21 9 2" xfId="2678"/>
    <cellStyle name="Normal 3 22" xfId="1417"/>
    <cellStyle name="Normal 3 22 10" xfId="1418"/>
    <cellStyle name="Normal 3 22 10 2" xfId="2676"/>
    <cellStyle name="Normal 3 22 11" xfId="1419"/>
    <cellStyle name="Normal 3 22 11 2" xfId="2675"/>
    <cellStyle name="Normal 3 22 12" xfId="1420"/>
    <cellStyle name="Normal 3 22 12 2" xfId="2674"/>
    <cellStyle name="Normal 3 22 13" xfId="1421"/>
    <cellStyle name="Normal 3 22 13 2" xfId="2673"/>
    <cellStyle name="Normal 3 22 14" xfId="1422"/>
    <cellStyle name="Normal 3 22 14 2" xfId="2672"/>
    <cellStyle name="Normal 3 22 15" xfId="1423"/>
    <cellStyle name="Normal 3 22 15 2" xfId="2671"/>
    <cellStyle name="Normal 3 22 16" xfId="1424"/>
    <cellStyle name="Normal 3 22 16 2" xfId="2670"/>
    <cellStyle name="Normal 3 22 17" xfId="1425"/>
    <cellStyle name="Normal 3 22 17 2" xfId="2669"/>
    <cellStyle name="Normal 3 22 18" xfId="1426"/>
    <cellStyle name="Normal 3 22 18 2" xfId="2668"/>
    <cellStyle name="Normal 3 22 19" xfId="1427"/>
    <cellStyle name="Normal 3 22 19 2" xfId="2667"/>
    <cellStyle name="Normal 3 22 2" xfId="1428"/>
    <cellStyle name="Normal 3 22 2 2" xfId="2666"/>
    <cellStyle name="Normal 3 22 20" xfId="1429"/>
    <cellStyle name="Normal 3 22 20 2" xfId="2665"/>
    <cellStyle name="Normal 3 22 21" xfId="1430"/>
    <cellStyle name="Normal 3 22 21 2" xfId="2664"/>
    <cellStyle name="Normal 3 22 22" xfId="1431"/>
    <cellStyle name="Normal 3 22 22 2" xfId="2663"/>
    <cellStyle name="Normal 3 22 23" xfId="1432"/>
    <cellStyle name="Normal 3 22 23 2" xfId="2662"/>
    <cellStyle name="Normal 3 22 24" xfId="2677"/>
    <cellStyle name="Normal 3 22 3" xfId="1433"/>
    <cellStyle name="Normal 3 22 3 2" xfId="2661"/>
    <cellStyle name="Normal 3 22 4" xfId="1434"/>
    <cellStyle name="Normal 3 22 4 2" xfId="2660"/>
    <cellStyle name="Normal 3 22 5" xfId="1435"/>
    <cellStyle name="Normal 3 22 5 2" xfId="2659"/>
    <cellStyle name="Normal 3 22 6" xfId="1436"/>
    <cellStyle name="Normal 3 22 6 2" xfId="2658"/>
    <cellStyle name="Normal 3 22 7" xfId="1437"/>
    <cellStyle name="Normal 3 22 7 2" xfId="2657"/>
    <cellStyle name="Normal 3 22 8" xfId="1438"/>
    <cellStyle name="Normal 3 22 8 2" xfId="2656"/>
    <cellStyle name="Normal 3 22 9" xfId="1439"/>
    <cellStyle name="Normal 3 22 9 2" xfId="2655"/>
    <cellStyle name="Normal 3 23" xfId="1440"/>
    <cellStyle name="Normal 3 23 10" xfId="1441"/>
    <cellStyle name="Normal 3 23 10 2" xfId="2653"/>
    <cellStyle name="Normal 3 23 11" xfId="1442"/>
    <cellStyle name="Normal 3 23 11 2" xfId="2652"/>
    <cellStyle name="Normal 3 23 12" xfId="1443"/>
    <cellStyle name="Normal 3 23 12 2" xfId="2651"/>
    <cellStyle name="Normal 3 23 13" xfId="1444"/>
    <cellStyle name="Normal 3 23 13 2" xfId="2650"/>
    <cellStyle name="Normal 3 23 14" xfId="1445"/>
    <cellStyle name="Normal 3 23 14 2" xfId="2649"/>
    <cellStyle name="Normal 3 23 15" xfId="1446"/>
    <cellStyle name="Normal 3 23 15 2" xfId="2648"/>
    <cellStyle name="Normal 3 23 16" xfId="1447"/>
    <cellStyle name="Normal 3 23 16 2" xfId="2647"/>
    <cellStyle name="Normal 3 23 17" xfId="1448"/>
    <cellStyle name="Normal 3 23 17 2" xfId="2646"/>
    <cellStyle name="Normal 3 23 18" xfId="1449"/>
    <cellStyle name="Normal 3 23 18 2" xfId="2645"/>
    <cellStyle name="Normal 3 23 19" xfId="1450"/>
    <cellStyle name="Normal 3 23 19 2" xfId="2644"/>
    <cellStyle name="Normal 3 23 2" xfId="1451"/>
    <cellStyle name="Normal 3 23 2 2" xfId="2643"/>
    <cellStyle name="Normal 3 23 20" xfId="1452"/>
    <cellStyle name="Normal 3 23 20 2" xfId="2642"/>
    <cellStyle name="Normal 3 23 21" xfId="1453"/>
    <cellStyle name="Normal 3 23 21 2" xfId="2641"/>
    <cellStyle name="Normal 3 23 22" xfId="1454"/>
    <cellStyle name="Normal 3 23 22 2" xfId="2640"/>
    <cellStyle name="Normal 3 23 23" xfId="1455"/>
    <cellStyle name="Normal 3 23 23 2" xfId="2639"/>
    <cellStyle name="Normal 3 23 24" xfId="2654"/>
    <cellStyle name="Normal 3 23 3" xfId="1456"/>
    <cellStyle name="Normal 3 23 3 2" xfId="2638"/>
    <cellStyle name="Normal 3 23 4" xfId="1457"/>
    <cellStyle name="Normal 3 23 4 2" xfId="2637"/>
    <cellStyle name="Normal 3 23 5" xfId="1458"/>
    <cellStyle name="Normal 3 23 5 2" xfId="2636"/>
    <cellStyle name="Normal 3 23 6" xfId="1459"/>
    <cellStyle name="Normal 3 23 6 2" xfId="2635"/>
    <cellStyle name="Normal 3 23 7" xfId="1460"/>
    <cellStyle name="Normal 3 23 7 2" xfId="2634"/>
    <cellStyle name="Normal 3 23 8" xfId="1461"/>
    <cellStyle name="Normal 3 23 8 2" xfId="2633"/>
    <cellStyle name="Normal 3 23 9" xfId="1462"/>
    <cellStyle name="Normal 3 23 9 2" xfId="2632"/>
    <cellStyle name="Normal 3 24" xfId="1463"/>
    <cellStyle name="Normal 3 24 10" xfId="1464"/>
    <cellStyle name="Normal 3 24 10 2" xfId="2630"/>
    <cellStyle name="Normal 3 24 11" xfId="1465"/>
    <cellStyle name="Normal 3 24 11 2" xfId="2629"/>
    <cellStyle name="Normal 3 24 12" xfId="1466"/>
    <cellStyle name="Normal 3 24 12 2" xfId="2628"/>
    <cellStyle name="Normal 3 24 13" xfId="1467"/>
    <cellStyle name="Normal 3 24 13 2" xfId="2627"/>
    <cellStyle name="Normal 3 24 14" xfId="1468"/>
    <cellStyle name="Normal 3 24 14 2" xfId="2626"/>
    <cellStyle name="Normal 3 24 15" xfId="1469"/>
    <cellStyle name="Normal 3 24 15 2" xfId="2625"/>
    <cellStyle name="Normal 3 24 16" xfId="1470"/>
    <cellStyle name="Normal 3 24 16 2" xfId="2624"/>
    <cellStyle name="Normal 3 24 17" xfId="1471"/>
    <cellStyle name="Normal 3 24 17 2" xfId="2623"/>
    <cellStyle name="Normal 3 24 18" xfId="1472"/>
    <cellStyle name="Normal 3 24 18 2" xfId="2622"/>
    <cellStyle name="Normal 3 24 19" xfId="1473"/>
    <cellStyle name="Normal 3 24 19 2" xfId="2621"/>
    <cellStyle name="Normal 3 24 2" xfId="1474"/>
    <cellStyle name="Normal 3 24 2 2" xfId="2620"/>
    <cellStyle name="Normal 3 24 20" xfId="1475"/>
    <cellStyle name="Normal 3 24 20 2" xfId="2619"/>
    <cellStyle name="Normal 3 24 21" xfId="1476"/>
    <cellStyle name="Normal 3 24 21 2" xfId="2618"/>
    <cellStyle name="Normal 3 24 22" xfId="1477"/>
    <cellStyle name="Normal 3 24 22 2" xfId="2617"/>
    <cellStyle name="Normal 3 24 23" xfId="1478"/>
    <cellStyle name="Normal 3 24 23 2" xfId="2616"/>
    <cellStyle name="Normal 3 24 24" xfId="2631"/>
    <cellStyle name="Normal 3 24 3" xfId="1479"/>
    <cellStyle name="Normal 3 24 3 2" xfId="2615"/>
    <cellStyle name="Normal 3 24 4" xfId="1480"/>
    <cellStyle name="Normal 3 24 4 2" xfId="2614"/>
    <cellStyle name="Normal 3 24 5" xfId="1481"/>
    <cellStyle name="Normal 3 24 5 2" xfId="2613"/>
    <cellStyle name="Normal 3 24 6" xfId="1482"/>
    <cellStyle name="Normal 3 24 6 2" xfId="2612"/>
    <cellStyle name="Normal 3 24 7" xfId="1483"/>
    <cellStyle name="Normal 3 24 7 2" xfId="2611"/>
    <cellStyle name="Normal 3 24 8" xfId="1484"/>
    <cellStyle name="Normal 3 24 8 2" xfId="2610"/>
    <cellStyle name="Normal 3 24 9" xfId="1485"/>
    <cellStyle name="Normal 3 24 9 2" xfId="2609"/>
    <cellStyle name="Normal 3 25" xfId="1486"/>
    <cellStyle name="Normal 3 25 10" xfId="1487"/>
    <cellStyle name="Normal 3 25 10 2" xfId="2607"/>
    <cellStyle name="Normal 3 25 11" xfId="1488"/>
    <cellStyle name="Normal 3 25 11 2" xfId="2606"/>
    <cellStyle name="Normal 3 25 12" xfId="1489"/>
    <cellStyle name="Normal 3 25 12 2" xfId="2605"/>
    <cellStyle name="Normal 3 25 13" xfId="1490"/>
    <cellStyle name="Normal 3 25 13 2" xfId="2604"/>
    <cellStyle name="Normal 3 25 14" xfId="1491"/>
    <cellStyle name="Normal 3 25 14 2" xfId="2603"/>
    <cellStyle name="Normal 3 25 15" xfId="1492"/>
    <cellStyle name="Normal 3 25 15 2" xfId="2602"/>
    <cellStyle name="Normal 3 25 16" xfId="1493"/>
    <cellStyle name="Normal 3 25 16 2" xfId="2601"/>
    <cellStyle name="Normal 3 25 17" xfId="1494"/>
    <cellStyle name="Normal 3 25 17 2" xfId="2600"/>
    <cellStyle name="Normal 3 25 18" xfId="1495"/>
    <cellStyle name="Normal 3 25 18 2" xfId="2599"/>
    <cellStyle name="Normal 3 25 19" xfId="1496"/>
    <cellStyle name="Normal 3 25 19 2" xfId="2598"/>
    <cellStyle name="Normal 3 25 2" xfId="1497"/>
    <cellStyle name="Normal 3 25 2 2" xfId="2597"/>
    <cellStyle name="Normal 3 25 20" xfId="1498"/>
    <cellStyle name="Normal 3 25 20 2" xfId="2596"/>
    <cellStyle name="Normal 3 25 21" xfId="1499"/>
    <cellStyle name="Normal 3 25 21 2" xfId="2595"/>
    <cellStyle name="Normal 3 25 22" xfId="1500"/>
    <cellStyle name="Normal 3 25 22 2" xfId="2594"/>
    <cellStyle name="Normal 3 25 23" xfId="1501"/>
    <cellStyle name="Normal 3 25 23 2" xfId="2593"/>
    <cellStyle name="Normal 3 25 24" xfId="2608"/>
    <cellStyle name="Normal 3 25 3" xfId="1502"/>
    <cellStyle name="Normal 3 25 3 2" xfId="2592"/>
    <cellStyle name="Normal 3 25 4" xfId="1503"/>
    <cellStyle name="Normal 3 25 4 2" xfId="2591"/>
    <cellStyle name="Normal 3 25 5" xfId="1504"/>
    <cellStyle name="Normal 3 25 5 2" xfId="2590"/>
    <cellStyle name="Normal 3 25 6" xfId="1505"/>
    <cellStyle name="Normal 3 25 6 2" xfId="2589"/>
    <cellStyle name="Normal 3 25 7" xfId="1506"/>
    <cellStyle name="Normal 3 25 7 2" xfId="2588"/>
    <cellStyle name="Normal 3 25 8" xfId="1507"/>
    <cellStyle name="Normal 3 25 8 2" xfId="2587"/>
    <cellStyle name="Normal 3 25 9" xfId="1508"/>
    <cellStyle name="Normal 3 25 9 2" xfId="2586"/>
    <cellStyle name="Normal 3 26" xfId="1509"/>
    <cellStyle name="Normal 3 26 10" xfId="1510"/>
    <cellStyle name="Normal 3 26 10 2" xfId="2584"/>
    <cellStyle name="Normal 3 26 11" xfId="1511"/>
    <cellStyle name="Normal 3 26 11 2" xfId="2583"/>
    <cellStyle name="Normal 3 26 12" xfId="1512"/>
    <cellStyle name="Normal 3 26 12 2" xfId="2582"/>
    <cellStyle name="Normal 3 26 13" xfId="1513"/>
    <cellStyle name="Normal 3 26 13 2" xfId="2581"/>
    <cellStyle name="Normal 3 26 14" xfId="1514"/>
    <cellStyle name="Normal 3 26 14 2" xfId="2580"/>
    <cellStyle name="Normal 3 26 15" xfId="1515"/>
    <cellStyle name="Normal 3 26 15 2" xfId="2579"/>
    <cellStyle name="Normal 3 26 16" xfId="1516"/>
    <cellStyle name="Normal 3 26 16 2" xfId="2578"/>
    <cellStyle name="Normal 3 26 17" xfId="1517"/>
    <cellStyle name="Normal 3 26 17 2" xfId="2577"/>
    <cellStyle name="Normal 3 26 18" xfId="1518"/>
    <cellStyle name="Normal 3 26 18 2" xfId="2576"/>
    <cellStyle name="Normal 3 26 19" xfId="1519"/>
    <cellStyle name="Normal 3 26 19 2" xfId="2575"/>
    <cellStyle name="Normal 3 26 2" xfId="1520"/>
    <cellStyle name="Normal 3 26 2 2" xfId="2574"/>
    <cellStyle name="Normal 3 26 20" xfId="1521"/>
    <cellStyle name="Normal 3 26 20 2" xfId="2573"/>
    <cellStyle name="Normal 3 26 21" xfId="1522"/>
    <cellStyle name="Normal 3 26 21 2" xfId="2572"/>
    <cellStyle name="Normal 3 26 22" xfId="1523"/>
    <cellStyle name="Normal 3 26 22 2" xfId="2571"/>
    <cellStyle name="Normal 3 26 23" xfId="1524"/>
    <cellStyle name="Normal 3 26 23 2" xfId="2570"/>
    <cellStyle name="Normal 3 26 24" xfId="2585"/>
    <cellStyle name="Normal 3 26 3" xfId="1525"/>
    <cellStyle name="Normal 3 26 3 2" xfId="2569"/>
    <cellStyle name="Normal 3 26 4" xfId="1526"/>
    <cellStyle name="Normal 3 26 4 2" xfId="2568"/>
    <cellStyle name="Normal 3 26 5" xfId="1527"/>
    <cellStyle name="Normal 3 26 5 2" xfId="2567"/>
    <cellStyle name="Normal 3 26 6" xfId="1528"/>
    <cellStyle name="Normal 3 26 6 2" xfId="2566"/>
    <cellStyle name="Normal 3 26 7" xfId="1529"/>
    <cellStyle name="Normal 3 26 7 2" xfId="2565"/>
    <cellStyle name="Normal 3 26 8" xfId="1530"/>
    <cellStyle name="Normal 3 26 8 2" xfId="2564"/>
    <cellStyle name="Normal 3 26 9" xfId="1531"/>
    <cellStyle name="Normal 3 26 9 2" xfId="2563"/>
    <cellStyle name="Normal 3 27" xfId="1532"/>
    <cellStyle name="Normal 3 27 10" xfId="1533"/>
    <cellStyle name="Normal 3 27 10 2" xfId="2561"/>
    <cellStyle name="Normal 3 27 11" xfId="1534"/>
    <cellStyle name="Normal 3 27 11 2" xfId="2560"/>
    <cellStyle name="Normal 3 27 12" xfId="1535"/>
    <cellStyle name="Normal 3 27 12 2" xfId="2559"/>
    <cellStyle name="Normal 3 27 13" xfId="1536"/>
    <cellStyle name="Normal 3 27 13 2" xfId="2558"/>
    <cellStyle name="Normal 3 27 14" xfId="1537"/>
    <cellStyle name="Normal 3 27 14 2" xfId="2557"/>
    <cellStyle name="Normal 3 27 15" xfId="1538"/>
    <cellStyle name="Normal 3 27 15 2" xfId="2556"/>
    <cellStyle name="Normal 3 27 16" xfId="1539"/>
    <cellStyle name="Normal 3 27 16 2" xfId="2555"/>
    <cellStyle name="Normal 3 27 17" xfId="1540"/>
    <cellStyle name="Normal 3 27 17 2" xfId="2554"/>
    <cellStyle name="Normal 3 27 18" xfId="1541"/>
    <cellStyle name="Normal 3 27 18 2" xfId="2553"/>
    <cellStyle name="Normal 3 27 19" xfId="1542"/>
    <cellStyle name="Normal 3 27 19 2" xfId="2552"/>
    <cellStyle name="Normal 3 27 2" xfId="1543"/>
    <cellStyle name="Normal 3 27 2 2" xfId="2551"/>
    <cellStyle name="Normal 3 27 20" xfId="1544"/>
    <cellStyle name="Normal 3 27 20 2" xfId="2550"/>
    <cellStyle name="Normal 3 27 21" xfId="1545"/>
    <cellStyle name="Normal 3 27 21 2" xfId="2549"/>
    <cellStyle name="Normal 3 27 22" xfId="1546"/>
    <cellStyle name="Normal 3 27 22 2" xfId="2548"/>
    <cellStyle name="Normal 3 27 23" xfId="1547"/>
    <cellStyle name="Normal 3 27 23 2" xfId="2547"/>
    <cellStyle name="Normal 3 27 24" xfId="2562"/>
    <cellStyle name="Normal 3 27 3" xfId="1548"/>
    <cellStyle name="Normal 3 27 3 2" xfId="2546"/>
    <cellStyle name="Normal 3 27 4" xfId="1549"/>
    <cellStyle name="Normal 3 27 4 2" xfId="2545"/>
    <cellStyle name="Normal 3 27 5" xfId="1550"/>
    <cellStyle name="Normal 3 27 5 2" xfId="2544"/>
    <cellStyle name="Normal 3 27 6" xfId="1551"/>
    <cellStyle name="Normal 3 27 6 2" xfId="2543"/>
    <cellStyle name="Normal 3 27 7" xfId="1552"/>
    <cellStyle name="Normal 3 27 7 2" xfId="2542"/>
    <cellStyle name="Normal 3 27 8" xfId="1553"/>
    <cellStyle name="Normal 3 27 8 2" xfId="2541"/>
    <cellStyle name="Normal 3 27 9" xfId="1554"/>
    <cellStyle name="Normal 3 27 9 2" xfId="2540"/>
    <cellStyle name="Normal 3 28" xfId="1555"/>
    <cellStyle name="Normal 3 28 10" xfId="1556"/>
    <cellStyle name="Normal 3 28 10 2" xfId="2538"/>
    <cellStyle name="Normal 3 28 11" xfId="1557"/>
    <cellStyle name="Normal 3 28 11 2" xfId="2537"/>
    <cellStyle name="Normal 3 28 12" xfId="1558"/>
    <cellStyle name="Normal 3 28 12 2" xfId="2536"/>
    <cellStyle name="Normal 3 28 13" xfId="1559"/>
    <cellStyle name="Normal 3 28 13 2" xfId="2535"/>
    <cellStyle name="Normal 3 28 14" xfId="1560"/>
    <cellStyle name="Normal 3 28 14 2" xfId="2534"/>
    <cellStyle name="Normal 3 28 15" xfId="1561"/>
    <cellStyle name="Normal 3 28 15 2" xfId="2533"/>
    <cellStyle name="Normal 3 28 16" xfId="1562"/>
    <cellStyle name="Normal 3 28 16 2" xfId="2532"/>
    <cellStyle name="Normal 3 28 17" xfId="1563"/>
    <cellStyle name="Normal 3 28 17 2" xfId="2531"/>
    <cellStyle name="Normal 3 28 18" xfId="1564"/>
    <cellStyle name="Normal 3 28 18 2" xfId="2530"/>
    <cellStyle name="Normal 3 28 19" xfId="1565"/>
    <cellStyle name="Normal 3 28 19 2" xfId="2529"/>
    <cellStyle name="Normal 3 28 2" xfId="1566"/>
    <cellStyle name="Normal 3 28 2 2" xfId="2528"/>
    <cellStyle name="Normal 3 28 20" xfId="1567"/>
    <cellStyle name="Normal 3 28 20 2" xfId="2527"/>
    <cellStyle name="Normal 3 28 21" xfId="1568"/>
    <cellStyle name="Normal 3 28 21 2" xfId="2526"/>
    <cellStyle name="Normal 3 28 22" xfId="1569"/>
    <cellStyle name="Normal 3 28 22 2" xfId="2525"/>
    <cellStyle name="Normal 3 28 23" xfId="1570"/>
    <cellStyle name="Normal 3 28 23 2" xfId="2524"/>
    <cellStyle name="Normal 3 28 24" xfId="2539"/>
    <cellStyle name="Normal 3 28 3" xfId="1571"/>
    <cellStyle name="Normal 3 28 3 2" xfId="2523"/>
    <cellStyle name="Normal 3 28 4" xfId="1572"/>
    <cellStyle name="Normal 3 28 4 2" xfId="2522"/>
    <cellStyle name="Normal 3 28 5" xfId="1573"/>
    <cellStyle name="Normal 3 28 5 2" xfId="2521"/>
    <cellStyle name="Normal 3 28 6" xfId="1574"/>
    <cellStyle name="Normal 3 28 6 2" xfId="2520"/>
    <cellStyle name="Normal 3 28 7" xfId="1575"/>
    <cellStyle name="Normal 3 28 7 2" xfId="2519"/>
    <cellStyle name="Normal 3 28 8" xfId="1576"/>
    <cellStyle name="Normal 3 28 8 2" xfId="2518"/>
    <cellStyle name="Normal 3 28 9" xfId="1577"/>
    <cellStyle name="Normal 3 28 9 2" xfId="2517"/>
    <cellStyle name="Normal 3 29" xfId="1578"/>
    <cellStyle name="Normal 3 29 10" xfId="1579"/>
    <cellStyle name="Normal 3 29 10 2" xfId="2515"/>
    <cellStyle name="Normal 3 29 11" xfId="1580"/>
    <cellStyle name="Normal 3 29 11 2" xfId="2514"/>
    <cellStyle name="Normal 3 29 12" xfId="1581"/>
    <cellStyle name="Normal 3 29 12 2" xfId="2513"/>
    <cellStyle name="Normal 3 29 13" xfId="1582"/>
    <cellStyle name="Normal 3 29 13 2" xfId="2512"/>
    <cellStyle name="Normal 3 29 14" xfId="1583"/>
    <cellStyle name="Normal 3 29 14 2" xfId="2511"/>
    <cellStyle name="Normal 3 29 15" xfId="1584"/>
    <cellStyle name="Normal 3 29 15 2" xfId="2510"/>
    <cellStyle name="Normal 3 29 16" xfId="1585"/>
    <cellStyle name="Normal 3 29 16 2" xfId="2509"/>
    <cellStyle name="Normal 3 29 17" xfId="1586"/>
    <cellStyle name="Normal 3 29 17 2" xfId="2508"/>
    <cellStyle name="Normal 3 29 18" xfId="1587"/>
    <cellStyle name="Normal 3 29 18 2" xfId="2507"/>
    <cellStyle name="Normal 3 29 19" xfId="1588"/>
    <cellStyle name="Normal 3 29 19 2" xfId="2506"/>
    <cellStyle name="Normal 3 29 2" xfId="1589"/>
    <cellStyle name="Normal 3 29 2 2" xfId="2505"/>
    <cellStyle name="Normal 3 29 20" xfId="1590"/>
    <cellStyle name="Normal 3 29 20 2" xfId="2504"/>
    <cellStyle name="Normal 3 29 21" xfId="1591"/>
    <cellStyle name="Normal 3 29 21 2" xfId="2503"/>
    <cellStyle name="Normal 3 29 22" xfId="1592"/>
    <cellStyle name="Normal 3 29 22 2" xfId="2502"/>
    <cellStyle name="Normal 3 29 23" xfId="1593"/>
    <cellStyle name="Normal 3 29 23 2" xfId="2501"/>
    <cellStyle name="Normal 3 29 24" xfId="2516"/>
    <cellStyle name="Normal 3 29 3" xfId="1594"/>
    <cellStyle name="Normal 3 29 3 2" xfId="2500"/>
    <cellStyle name="Normal 3 29 4" xfId="1595"/>
    <cellStyle name="Normal 3 29 4 2" xfId="2499"/>
    <cellStyle name="Normal 3 29 5" xfId="1596"/>
    <cellStyle name="Normal 3 29 5 2" xfId="2498"/>
    <cellStyle name="Normal 3 29 6" xfId="1597"/>
    <cellStyle name="Normal 3 29 6 2" xfId="2497"/>
    <cellStyle name="Normal 3 29 7" xfId="1598"/>
    <cellStyle name="Normal 3 29 7 2" xfId="2496"/>
    <cellStyle name="Normal 3 29 8" xfId="1599"/>
    <cellStyle name="Normal 3 29 8 2" xfId="2495"/>
    <cellStyle name="Normal 3 29 9" xfId="1600"/>
    <cellStyle name="Normal 3 29 9 2" xfId="2494"/>
    <cellStyle name="Normal 3 3" xfId="1601"/>
    <cellStyle name="Normal 3 3 10" xfId="1602"/>
    <cellStyle name="Normal 3 3 10 2" xfId="2492"/>
    <cellStyle name="Normal 3 3 11" xfId="1603"/>
    <cellStyle name="Normal 3 3 11 2" xfId="2491"/>
    <cellStyle name="Normal 3 3 12" xfId="1604"/>
    <cellStyle name="Normal 3 3 12 2" xfId="2490"/>
    <cellStyle name="Normal 3 3 13" xfId="1605"/>
    <cellStyle name="Normal 3 3 13 2" xfId="2489"/>
    <cellStyle name="Normal 3 3 14" xfId="1606"/>
    <cellStyle name="Normal 3 3 14 2" xfId="2488"/>
    <cellStyle name="Normal 3 3 15" xfId="1607"/>
    <cellStyle name="Normal 3 3 15 2" xfId="2487"/>
    <cellStyle name="Normal 3 3 16" xfId="1608"/>
    <cellStyle name="Normal 3 3 16 2" xfId="2486"/>
    <cellStyle name="Normal 3 3 17" xfId="1609"/>
    <cellStyle name="Normal 3 3 17 2" xfId="2485"/>
    <cellStyle name="Normal 3 3 18" xfId="1610"/>
    <cellStyle name="Normal 3 3 18 2" xfId="2484"/>
    <cellStyle name="Normal 3 3 19" xfId="1611"/>
    <cellStyle name="Normal 3 3 19 2" xfId="2483"/>
    <cellStyle name="Normal 3 3 2" xfId="1612"/>
    <cellStyle name="Normal 3 3 2 2" xfId="2482"/>
    <cellStyle name="Normal 3 3 20" xfId="1613"/>
    <cellStyle name="Normal 3 3 20 2" xfId="2481"/>
    <cellStyle name="Normal 3 3 21" xfId="1614"/>
    <cellStyle name="Normal 3 3 21 2" xfId="2480"/>
    <cellStyle name="Normal 3 3 22" xfId="1615"/>
    <cellStyle name="Normal 3 3 22 2" xfId="2479"/>
    <cellStyle name="Normal 3 3 23" xfId="1616"/>
    <cellStyle name="Normal 3 3 23 2" xfId="2478"/>
    <cellStyle name="Normal 3 3 24" xfId="2493"/>
    <cellStyle name="Normal 3 3 3" xfId="1617"/>
    <cellStyle name="Normal 3 3 3 2" xfId="2477"/>
    <cellStyle name="Normal 3 3 4" xfId="1618"/>
    <cellStyle name="Normal 3 3 4 2" xfId="2476"/>
    <cellStyle name="Normal 3 3 5" xfId="1619"/>
    <cellStyle name="Normal 3 3 5 2" xfId="2475"/>
    <cellStyle name="Normal 3 3 6" xfId="1620"/>
    <cellStyle name="Normal 3 3 6 2" xfId="2474"/>
    <cellStyle name="Normal 3 3 7" xfId="1621"/>
    <cellStyle name="Normal 3 3 7 2" xfId="2473"/>
    <cellStyle name="Normal 3 3 8" xfId="1622"/>
    <cellStyle name="Normal 3 3 8 2" xfId="2472"/>
    <cellStyle name="Normal 3 3 9" xfId="1623"/>
    <cellStyle name="Normal 3 3 9 2" xfId="2471"/>
    <cellStyle name="Normal 3 30" xfId="1624"/>
    <cellStyle name="Normal 3 30 10" xfId="1625"/>
    <cellStyle name="Normal 3 30 10 2" xfId="2469"/>
    <cellStyle name="Normal 3 30 11" xfId="1626"/>
    <cellStyle name="Normal 3 30 11 2" xfId="2468"/>
    <cellStyle name="Normal 3 30 12" xfId="1627"/>
    <cellStyle name="Normal 3 30 12 2" xfId="2467"/>
    <cellStyle name="Normal 3 30 13" xfId="1628"/>
    <cellStyle name="Normal 3 30 13 2" xfId="2466"/>
    <cellStyle name="Normal 3 30 14" xfId="1629"/>
    <cellStyle name="Normal 3 30 14 2" xfId="2465"/>
    <cellStyle name="Normal 3 30 15" xfId="1630"/>
    <cellStyle name="Normal 3 30 15 2" xfId="2464"/>
    <cellStyle name="Normal 3 30 16" xfId="1631"/>
    <cellStyle name="Normal 3 30 16 2" xfId="2463"/>
    <cellStyle name="Normal 3 30 17" xfId="1632"/>
    <cellStyle name="Normal 3 30 17 2" xfId="2462"/>
    <cellStyle name="Normal 3 30 18" xfId="1633"/>
    <cellStyle name="Normal 3 30 18 2" xfId="2461"/>
    <cellStyle name="Normal 3 30 19" xfId="1634"/>
    <cellStyle name="Normal 3 30 19 2" xfId="2460"/>
    <cellStyle name="Normal 3 30 2" xfId="1635"/>
    <cellStyle name="Normal 3 30 2 2" xfId="2459"/>
    <cellStyle name="Normal 3 30 20" xfId="1636"/>
    <cellStyle name="Normal 3 30 20 2" xfId="2458"/>
    <cellStyle name="Normal 3 30 21" xfId="1637"/>
    <cellStyle name="Normal 3 30 21 2" xfId="2457"/>
    <cellStyle name="Normal 3 30 22" xfId="1638"/>
    <cellStyle name="Normal 3 30 22 2" xfId="2456"/>
    <cellStyle name="Normal 3 30 23" xfId="1639"/>
    <cellStyle name="Normal 3 30 23 2" xfId="2455"/>
    <cellStyle name="Normal 3 30 24" xfId="2470"/>
    <cellStyle name="Normal 3 30 3" xfId="1640"/>
    <cellStyle name="Normal 3 30 3 2" xfId="2454"/>
    <cellStyle name="Normal 3 30 4" xfId="1641"/>
    <cellStyle name="Normal 3 30 4 2" xfId="2453"/>
    <cellStyle name="Normal 3 30 5" xfId="1642"/>
    <cellStyle name="Normal 3 30 5 2" xfId="2452"/>
    <cellStyle name="Normal 3 30 6" xfId="1643"/>
    <cellStyle name="Normal 3 30 6 2" xfId="2451"/>
    <cellStyle name="Normal 3 30 7" xfId="1644"/>
    <cellStyle name="Normal 3 30 7 2" xfId="2450"/>
    <cellStyle name="Normal 3 30 8" xfId="1645"/>
    <cellStyle name="Normal 3 30 8 2" xfId="2449"/>
    <cellStyle name="Normal 3 30 9" xfId="1646"/>
    <cellStyle name="Normal 3 30 9 2" xfId="2448"/>
    <cellStyle name="Normal 3 31" xfId="1647"/>
    <cellStyle name="Normal 3 31 10" xfId="1648"/>
    <cellStyle name="Normal 3 31 10 2" xfId="2446"/>
    <cellStyle name="Normal 3 31 11" xfId="1649"/>
    <cellStyle name="Normal 3 31 11 2" xfId="2445"/>
    <cellStyle name="Normal 3 31 12" xfId="1650"/>
    <cellStyle name="Normal 3 31 12 2" xfId="2444"/>
    <cellStyle name="Normal 3 31 13" xfId="1651"/>
    <cellStyle name="Normal 3 31 13 2" xfId="2443"/>
    <cellStyle name="Normal 3 31 14" xfId="1652"/>
    <cellStyle name="Normal 3 31 14 2" xfId="2442"/>
    <cellStyle name="Normal 3 31 15" xfId="1653"/>
    <cellStyle name="Normal 3 31 15 2" xfId="2441"/>
    <cellStyle name="Normal 3 31 16" xfId="1654"/>
    <cellStyle name="Normal 3 31 16 2" xfId="2440"/>
    <cellStyle name="Normal 3 31 17" xfId="1655"/>
    <cellStyle name="Normal 3 31 17 2" xfId="2439"/>
    <cellStyle name="Normal 3 31 18" xfId="1656"/>
    <cellStyle name="Normal 3 31 18 2" xfId="2438"/>
    <cellStyle name="Normal 3 31 19" xfId="1657"/>
    <cellStyle name="Normal 3 31 19 2" xfId="2437"/>
    <cellStyle name="Normal 3 31 2" xfId="1658"/>
    <cellStyle name="Normal 3 31 2 2" xfId="2436"/>
    <cellStyle name="Normal 3 31 20" xfId="1659"/>
    <cellStyle name="Normal 3 31 20 2" xfId="2435"/>
    <cellStyle name="Normal 3 31 21" xfId="1660"/>
    <cellStyle name="Normal 3 31 21 2" xfId="2434"/>
    <cellStyle name="Normal 3 31 22" xfId="1661"/>
    <cellStyle name="Normal 3 31 22 2" xfId="2433"/>
    <cellStyle name="Normal 3 31 23" xfId="1662"/>
    <cellStyle name="Normal 3 31 23 2" xfId="2432"/>
    <cellStyle name="Normal 3 31 24" xfId="2447"/>
    <cellStyle name="Normal 3 31 3" xfId="1663"/>
    <cellStyle name="Normal 3 31 3 2" xfId="2431"/>
    <cellStyle name="Normal 3 31 4" xfId="1664"/>
    <cellStyle name="Normal 3 31 4 2" xfId="2430"/>
    <cellStyle name="Normal 3 31 5" xfId="1665"/>
    <cellStyle name="Normal 3 31 5 2" xfId="2429"/>
    <cellStyle name="Normal 3 31 6" xfId="1666"/>
    <cellStyle name="Normal 3 31 6 2" xfId="2428"/>
    <cellStyle name="Normal 3 31 7" xfId="1667"/>
    <cellStyle name="Normal 3 31 7 2" xfId="2427"/>
    <cellStyle name="Normal 3 31 8" xfId="1668"/>
    <cellStyle name="Normal 3 31 8 2" xfId="2426"/>
    <cellStyle name="Normal 3 31 9" xfId="1669"/>
    <cellStyle name="Normal 3 31 9 2" xfId="2425"/>
    <cellStyle name="Normal 3 32" xfId="1670"/>
    <cellStyle name="Normal 3 32 10" xfId="1671"/>
    <cellStyle name="Normal 3 32 10 2" xfId="2423"/>
    <cellStyle name="Normal 3 32 11" xfId="1672"/>
    <cellStyle name="Normal 3 32 11 2" xfId="2422"/>
    <cellStyle name="Normal 3 32 12" xfId="1673"/>
    <cellStyle name="Normal 3 32 12 2" xfId="2421"/>
    <cellStyle name="Normal 3 32 13" xfId="1674"/>
    <cellStyle name="Normal 3 32 13 2" xfId="2420"/>
    <cellStyle name="Normal 3 32 14" xfId="1675"/>
    <cellStyle name="Normal 3 32 14 2" xfId="2419"/>
    <cellStyle name="Normal 3 32 15" xfId="1676"/>
    <cellStyle name="Normal 3 32 15 2" xfId="2418"/>
    <cellStyle name="Normal 3 32 16" xfId="1677"/>
    <cellStyle name="Normal 3 32 16 2" xfId="2417"/>
    <cellStyle name="Normal 3 32 17" xfId="1678"/>
    <cellStyle name="Normal 3 32 17 2" xfId="2416"/>
    <cellStyle name="Normal 3 32 18" xfId="1679"/>
    <cellStyle name="Normal 3 32 18 2" xfId="2415"/>
    <cellStyle name="Normal 3 32 19" xfId="1680"/>
    <cellStyle name="Normal 3 32 19 2" xfId="2414"/>
    <cellStyle name="Normal 3 32 2" xfId="1681"/>
    <cellStyle name="Normal 3 32 2 2" xfId="2413"/>
    <cellStyle name="Normal 3 32 20" xfId="1682"/>
    <cellStyle name="Normal 3 32 20 2" xfId="2412"/>
    <cellStyle name="Normal 3 32 21" xfId="1683"/>
    <cellStyle name="Normal 3 32 21 2" xfId="2411"/>
    <cellStyle name="Normal 3 32 22" xfId="1684"/>
    <cellStyle name="Normal 3 32 22 2" xfId="2410"/>
    <cellStyle name="Normal 3 32 23" xfId="1685"/>
    <cellStyle name="Normal 3 32 23 2" xfId="2409"/>
    <cellStyle name="Normal 3 32 24" xfId="2424"/>
    <cellStyle name="Normal 3 32 3" xfId="1686"/>
    <cellStyle name="Normal 3 32 3 2" xfId="2408"/>
    <cellStyle name="Normal 3 32 4" xfId="1687"/>
    <cellStyle name="Normal 3 32 4 2" xfId="2407"/>
    <cellStyle name="Normal 3 32 5" xfId="1688"/>
    <cellStyle name="Normal 3 32 5 2" xfId="2406"/>
    <cellStyle name="Normal 3 32 6" xfId="1689"/>
    <cellStyle name="Normal 3 32 6 2" xfId="2405"/>
    <cellStyle name="Normal 3 32 7" xfId="1690"/>
    <cellStyle name="Normal 3 32 7 2" xfId="2404"/>
    <cellStyle name="Normal 3 32 8" xfId="1691"/>
    <cellStyle name="Normal 3 32 8 2" xfId="2403"/>
    <cellStyle name="Normal 3 32 9" xfId="1692"/>
    <cellStyle name="Normal 3 32 9 2" xfId="2402"/>
    <cellStyle name="Normal 3 33" xfId="1693"/>
    <cellStyle name="Normal 3 33 10" xfId="1694"/>
    <cellStyle name="Normal 3 33 10 2" xfId="2400"/>
    <cellStyle name="Normal 3 33 11" xfId="1695"/>
    <cellStyle name="Normal 3 33 11 2" xfId="2399"/>
    <cellStyle name="Normal 3 33 12" xfId="1696"/>
    <cellStyle name="Normal 3 33 12 2" xfId="2398"/>
    <cellStyle name="Normal 3 33 13" xfId="1697"/>
    <cellStyle name="Normal 3 33 13 2" xfId="2397"/>
    <cellStyle name="Normal 3 33 14" xfId="1698"/>
    <cellStyle name="Normal 3 33 14 2" xfId="2396"/>
    <cellStyle name="Normal 3 33 15" xfId="1699"/>
    <cellStyle name="Normal 3 33 15 2" xfId="2395"/>
    <cellStyle name="Normal 3 33 16" xfId="1700"/>
    <cellStyle name="Normal 3 33 16 2" xfId="2394"/>
    <cellStyle name="Normal 3 33 17" xfId="1701"/>
    <cellStyle name="Normal 3 33 17 2" xfId="2393"/>
    <cellStyle name="Normal 3 33 18" xfId="1702"/>
    <cellStyle name="Normal 3 33 18 2" xfId="2392"/>
    <cellStyle name="Normal 3 33 19" xfId="1703"/>
    <cellStyle name="Normal 3 33 19 2" xfId="2391"/>
    <cellStyle name="Normal 3 33 2" xfId="1704"/>
    <cellStyle name="Normal 3 33 2 2" xfId="2390"/>
    <cellStyle name="Normal 3 33 20" xfId="1705"/>
    <cellStyle name="Normal 3 33 20 2" xfId="2389"/>
    <cellStyle name="Normal 3 33 21" xfId="1706"/>
    <cellStyle name="Normal 3 33 21 2" xfId="2388"/>
    <cellStyle name="Normal 3 33 22" xfId="1707"/>
    <cellStyle name="Normal 3 33 22 2" xfId="2387"/>
    <cellStyle name="Normal 3 33 23" xfId="1708"/>
    <cellStyle name="Normal 3 33 23 2" xfId="2386"/>
    <cellStyle name="Normal 3 33 24" xfId="2401"/>
    <cellStyle name="Normal 3 33 3" xfId="1709"/>
    <cellStyle name="Normal 3 33 3 2" xfId="2385"/>
    <cellStyle name="Normal 3 33 4" xfId="1710"/>
    <cellStyle name="Normal 3 33 4 2" xfId="2384"/>
    <cellStyle name="Normal 3 33 5" xfId="1711"/>
    <cellStyle name="Normal 3 33 5 2" xfId="2383"/>
    <cellStyle name="Normal 3 33 6" xfId="1712"/>
    <cellStyle name="Normal 3 33 6 2" xfId="2382"/>
    <cellStyle name="Normal 3 33 7" xfId="1713"/>
    <cellStyle name="Normal 3 33 7 2" xfId="2381"/>
    <cellStyle name="Normal 3 33 8" xfId="1714"/>
    <cellStyle name="Normal 3 33 8 2" xfId="2380"/>
    <cellStyle name="Normal 3 33 9" xfId="1715"/>
    <cellStyle name="Normal 3 33 9 2" xfId="2379"/>
    <cellStyle name="Normal 3 34" xfId="1716"/>
    <cellStyle name="Normal 3 34 2" xfId="2378"/>
    <cellStyle name="Normal 3 35" xfId="1717"/>
    <cellStyle name="Normal 3 35 2" xfId="2377"/>
    <cellStyle name="Normal 3 36" xfId="1718"/>
    <cellStyle name="Normal 3 36 2" xfId="2376"/>
    <cellStyle name="Normal 3 37" xfId="1719"/>
    <cellStyle name="Normal 3 37 2" xfId="2375"/>
    <cellStyle name="Normal 3 38" xfId="1720"/>
    <cellStyle name="Normal 3 38 2" xfId="2374"/>
    <cellStyle name="Normal 3 39" xfId="1721"/>
    <cellStyle name="Normal 3 39 2" xfId="2373"/>
    <cellStyle name="Normal 3 4" xfId="1722"/>
    <cellStyle name="Normal 3 4 10" xfId="1723"/>
    <cellStyle name="Normal 3 4 10 2" xfId="2371"/>
    <cellStyle name="Normal 3 4 11" xfId="1724"/>
    <cellStyle name="Normal 3 4 11 2" xfId="2370"/>
    <cellStyle name="Normal 3 4 12" xfId="1725"/>
    <cellStyle name="Normal 3 4 12 2" xfId="2369"/>
    <cellStyle name="Normal 3 4 13" xfId="1726"/>
    <cellStyle name="Normal 3 4 13 2" xfId="2368"/>
    <cellStyle name="Normal 3 4 14" xfId="1727"/>
    <cellStyle name="Normal 3 4 14 2" xfId="2367"/>
    <cellStyle name="Normal 3 4 15" xfId="1728"/>
    <cellStyle name="Normal 3 4 15 2" xfId="2366"/>
    <cellStyle name="Normal 3 4 16" xfId="1729"/>
    <cellStyle name="Normal 3 4 16 2" xfId="2365"/>
    <cellStyle name="Normal 3 4 17" xfId="1730"/>
    <cellStyle name="Normal 3 4 17 2" xfId="2364"/>
    <cellStyle name="Normal 3 4 18" xfId="1731"/>
    <cellStyle name="Normal 3 4 18 2" xfId="2363"/>
    <cellStyle name="Normal 3 4 19" xfId="1732"/>
    <cellStyle name="Normal 3 4 19 2" xfId="2362"/>
    <cellStyle name="Normal 3 4 2" xfId="1733"/>
    <cellStyle name="Normal 3 4 2 2" xfId="2361"/>
    <cellStyle name="Normal 3 4 20" xfId="1734"/>
    <cellStyle name="Normal 3 4 20 2" xfId="2360"/>
    <cellStyle name="Normal 3 4 21" xfId="1735"/>
    <cellStyle name="Normal 3 4 21 2" xfId="2359"/>
    <cellStyle name="Normal 3 4 22" xfId="1736"/>
    <cellStyle name="Normal 3 4 22 2" xfId="2358"/>
    <cellStyle name="Normal 3 4 23" xfId="1737"/>
    <cellStyle name="Normal 3 4 23 2" xfId="2357"/>
    <cellStyle name="Normal 3 4 24" xfId="2372"/>
    <cellStyle name="Normal 3 4 3" xfId="1738"/>
    <cellStyle name="Normal 3 4 3 2" xfId="2356"/>
    <cellStyle name="Normal 3 4 4" xfId="1739"/>
    <cellStyle name="Normal 3 4 4 2" xfId="2355"/>
    <cellStyle name="Normal 3 4 5" xfId="1740"/>
    <cellStyle name="Normal 3 4 5 2" xfId="2354"/>
    <cellStyle name="Normal 3 4 6" xfId="1741"/>
    <cellStyle name="Normal 3 4 6 2" xfId="2353"/>
    <cellStyle name="Normal 3 4 7" xfId="1742"/>
    <cellStyle name="Normal 3 4 7 2" xfId="2352"/>
    <cellStyle name="Normal 3 4 8" xfId="1743"/>
    <cellStyle name="Normal 3 4 8 2" xfId="2351"/>
    <cellStyle name="Normal 3 4 9" xfId="1744"/>
    <cellStyle name="Normal 3 4 9 2" xfId="2350"/>
    <cellStyle name="Normal 3 40" xfId="1745"/>
    <cellStyle name="Normal 3 40 2" xfId="2349"/>
    <cellStyle name="Normal 3 41" xfId="1746"/>
    <cellStyle name="Normal 3 41 2" xfId="2348"/>
    <cellStyle name="Normal 3 42" xfId="1747"/>
    <cellStyle name="Normal 3 42 2" xfId="2347"/>
    <cellStyle name="Normal 3 43" xfId="1748"/>
    <cellStyle name="Normal 3 43 2" xfId="2346"/>
    <cellStyle name="Normal 3 44" xfId="1749"/>
    <cellStyle name="Normal 3 44 2" xfId="2345"/>
    <cellStyle name="Normal 3 45" xfId="1750"/>
    <cellStyle name="Normal 3 45 2" xfId="2344"/>
    <cellStyle name="Normal 3 46" xfId="1751"/>
    <cellStyle name="Normal 3 46 2" xfId="2343"/>
    <cellStyle name="Normal 3 47" xfId="1752"/>
    <cellStyle name="Normal 3 47 2" xfId="2342"/>
    <cellStyle name="Normal 3 48" xfId="1753"/>
    <cellStyle name="Normal 3 48 2" xfId="2341"/>
    <cellStyle name="Normal 3 49" xfId="1754"/>
    <cellStyle name="Normal 3 49 2" xfId="2340"/>
    <cellStyle name="Normal 3 5" xfId="1755"/>
    <cellStyle name="Normal 3 5 10" xfId="1756"/>
    <cellStyle name="Normal 3 5 10 2" xfId="2338"/>
    <cellStyle name="Normal 3 5 11" xfId="1757"/>
    <cellStyle name="Normal 3 5 11 2" xfId="2337"/>
    <cellStyle name="Normal 3 5 12" xfId="1758"/>
    <cellStyle name="Normal 3 5 12 2" xfId="2336"/>
    <cellStyle name="Normal 3 5 13" xfId="1759"/>
    <cellStyle name="Normal 3 5 13 2" xfId="2335"/>
    <cellStyle name="Normal 3 5 14" xfId="1760"/>
    <cellStyle name="Normal 3 5 14 2" xfId="2334"/>
    <cellStyle name="Normal 3 5 15" xfId="1761"/>
    <cellStyle name="Normal 3 5 15 2" xfId="2333"/>
    <cellStyle name="Normal 3 5 16" xfId="1762"/>
    <cellStyle name="Normal 3 5 16 2" xfId="2332"/>
    <cellStyle name="Normal 3 5 17" xfId="1763"/>
    <cellStyle name="Normal 3 5 17 2" xfId="2331"/>
    <cellStyle name="Normal 3 5 18" xfId="1764"/>
    <cellStyle name="Normal 3 5 18 2" xfId="2330"/>
    <cellStyle name="Normal 3 5 19" xfId="1765"/>
    <cellStyle name="Normal 3 5 19 2" xfId="2329"/>
    <cellStyle name="Normal 3 5 2" xfId="1766"/>
    <cellStyle name="Normal 3 5 2 2" xfId="2328"/>
    <cellStyle name="Normal 3 5 20" xfId="1767"/>
    <cellStyle name="Normal 3 5 20 2" xfId="2327"/>
    <cellStyle name="Normal 3 5 21" xfId="1768"/>
    <cellStyle name="Normal 3 5 21 2" xfId="2326"/>
    <cellStyle name="Normal 3 5 22" xfId="1769"/>
    <cellStyle name="Normal 3 5 22 2" xfId="2325"/>
    <cellStyle name="Normal 3 5 23" xfId="1770"/>
    <cellStyle name="Normal 3 5 23 2" xfId="2324"/>
    <cellStyle name="Normal 3 5 24" xfId="2339"/>
    <cellStyle name="Normal 3 5 3" xfId="1771"/>
    <cellStyle name="Normal 3 5 3 2" xfId="2323"/>
    <cellStyle name="Normal 3 5 4" xfId="1772"/>
    <cellStyle name="Normal 3 5 4 2" xfId="2322"/>
    <cellStyle name="Normal 3 5 5" xfId="1773"/>
    <cellStyle name="Normal 3 5 5 2" xfId="2321"/>
    <cellStyle name="Normal 3 5 6" xfId="1774"/>
    <cellStyle name="Normal 3 5 6 2" xfId="2320"/>
    <cellStyle name="Normal 3 5 7" xfId="1775"/>
    <cellStyle name="Normal 3 5 7 2" xfId="2319"/>
    <cellStyle name="Normal 3 5 8" xfId="1776"/>
    <cellStyle name="Normal 3 5 8 2" xfId="2318"/>
    <cellStyle name="Normal 3 5 9" xfId="1777"/>
    <cellStyle name="Normal 3 5 9 2" xfId="2317"/>
    <cellStyle name="Normal 3 50" xfId="1778"/>
    <cellStyle name="Normal 3 50 2" xfId="2316"/>
    <cellStyle name="Normal 3 51" xfId="1779"/>
    <cellStyle name="Normal 3 51 2" xfId="2315"/>
    <cellStyle name="Normal 3 52" xfId="1780"/>
    <cellStyle name="Normal 3 52 2" xfId="2314"/>
    <cellStyle name="Normal 3 53" xfId="1781"/>
    <cellStyle name="Normal 3 53 2" xfId="2313"/>
    <cellStyle name="Normal 3 54" xfId="1782"/>
    <cellStyle name="Normal 3 54 2" xfId="2312"/>
    <cellStyle name="Normal 3 55" xfId="1783"/>
    <cellStyle name="Normal 3 55 2" xfId="2311"/>
    <cellStyle name="Normal 3 56" xfId="1784"/>
    <cellStyle name="Normal 3 56 2" xfId="2310"/>
    <cellStyle name="Normal 3 57" xfId="1785"/>
    <cellStyle name="Normal 3 57 2" xfId="2309"/>
    <cellStyle name="Normal 3 58" xfId="1786"/>
    <cellStyle name="Normal 3 58 2" xfId="2308"/>
    <cellStyle name="Normal 3 59" xfId="1787"/>
    <cellStyle name="Normal 3 59 2" xfId="2307"/>
    <cellStyle name="Normal 3 6" xfId="1788"/>
    <cellStyle name="Normal 3 6 10" xfId="1789"/>
    <cellStyle name="Normal 3 6 10 2" xfId="2305"/>
    <cellStyle name="Normal 3 6 11" xfId="1790"/>
    <cellStyle name="Normal 3 6 11 2" xfId="2304"/>
    <cellStyle name="Normal 3 6 12" xfId="1791"/>
    <cellStyle name="Normal 3 6 12 2" xfId="2303"/>
    <cellStyle name="Normal 3 6 13" xfId="1792"/>
    <cellStyle name="Normal 3 6 13 2" xfId="2302"/>
    <cellStyle name="Normal 3 6 14" xfId="1793"/>
    <cellStyle name="Normal 3 6 14 2" xfId="2301"/>
    <cellStyle name="Normal 3 6 15" xfId="1794"/>
    <cellStyle name="Normal 3 6 15 2" xfId="2300"/>
    <cellStyle name="Normal 3 6 16" xfId="1795"/>
    <cellStyle name="Normal 3 6 16 2" xfId="2299"/>
    <cellStyle name="Normal 3 6 17" xfId="1796"/>
    <cellStyle name="Normal 3 6 17 2" xfId="2298"/>
    <cellStyle name="Normal 3 6 18" xfId="1797"/>
    <cellStyle name="Normal 3 6 18 2" xfId="2297"/>
    <cellStyle name="Normal 3 6 19" xfId="1798"/>
    <cellStyle name="Normal 3 6 19 2" xfId="2296"/>
    <cellStyle name="Normal 3 6 2" xfId="1799"/>
    <cellStyle name="Normal 3 6 2 2" xfId="2295"/>
    <cellStyle name="Normal 3 6 20" xfId="1800"/>
    <cellStyle name="Normal 3 6 20 2" xfId="2294"/>
    <cellStyle name="Normal 3 6 21" xfId="1801"/>
    <cellStyle name="Normal 3 6 21 2" xfId="2293"/>
    <cellStyle name="Normal 3 6 22" xfId="1802"/>
    <cellStyle name="Normal 3 6 22 2" xfId="2292"/>
    <cellStyle name="Normal 3 6 23" xfId="1803"/>
    <cellStyle name="Normal 3 6 23 2" xfId="2291"/>
    <cellStyle name="Normal 3 6 24" xfId="2306"/>
    <cellStyle name="Normal 3 6 3" xfId="1804"/>
    <cellStyle name="Normal 3 6 3 2" xfId="2290"/>
    <cellStyle name="Normal 3 6 4" xfId="1805"/>
    <cellStyle name="Normal 3 6 4 2" xfId="2289"/>
    <cellStyle name="Normal 3 6 5" xfId="1806"/>
    <cellStyle name="Normal 3 6 5 2" xfId="2288"/>
    <cellStyle name="Normal 3 6 6" xfId="1807"/>
    <cellStyle name="Normal 3 6 6 2" xfId="2287"/>
    <cellStyle name="Normal 3 6 7" xfId="1808"/>
    <cellStyle name="Normal 3 6 7 2" xfId="2286"/>
    <cellStyle name="Normal 3 6 8" xfId="1809"/>
    <cellStyle name="Normal 3 6 8 2" xfId="2285"/>
    <cellStyle name="Normal 3 6 9" xfId="1810"/>
    <cellStyle name="Normal 3 6 9 2" xfId="2284"/>
    <cellStyle name="Normal 3 60" xfId="1811"/>
    <cellStyle name="Normal 3 60 2" xfId="2283"/>
    <cellStyle name="Normal 3 61" xfId="1812"/>
    <cellStyle name="Normal 3 61 2" xfId="2282"/>
    <cellStyle name="Normal 3 62" xfId="1813"/>
    <cellStyle name="Normal 3 62 2" xfId="2281"/>
    <cellStyle name="Normal 3 63" xfId="1814"/>
    <cellStyle name="Normal 3 63 2" xfId="2280"/>
    <cellStyle name="Normal 3 64" xfId="1815"/>
    <cellStyle name="Normal 3 64 2" xfId="2279"/>
    <cellStyle name="Normal 3 65" xfId="1816"/>
    <cellStyle name="Normal 3 65 2" xfId="2278"/>
    <cellStyle name="Normal 3 66" xfId="1053"/>
    <cellStyle name="Normal 3 66 2" xfId="3041"/>
    <cellStyle name="Normal 3 7" xfId="1817"/>
    <cellStyle name="Normal 3 7 10" xfId="1818"/>
    <cellStyle name="Normal 3 7 10 2" xfId="2276"/>
    <cellStyle name="Normal 3 7 11" xfId="1819"/>
    <cellStyle name="Normal 3 7 11 2" xfId="2275"/>
    <cellStyle name="Normal 3 7 12" xfId="1820"/>
    <cellStyle name="Normal 3 7 12 2" xfId="2274"/>
    <cellStyle name="Normal 3 7 13" xfId="1821"/>
    <cellStyle name="Normal 3 7 13 2" xfId="2273"/>
    <cellStyle name="Normal 3 7 14" xfId="1822"/>
    <cellStyle name="Normal 3 7 14 2" xfId="2272"/>
    <cellStyle name="Normal 3 7 15" xfId="1823"/>
    <cellStyle name="Normal 3 7 15 2" xfId="2271"/>
    <cellStyle name="Normal 3 7 16" xfId="1824"/>
    <cellStyle name="Normal 3 7 16 2" xfId="2270"/>
    <cellStyle name="Normal 3 7 17" xfId="1825"/>
    <cellStyle name="Normal 3 7 17 2" xfId="2269"/>
    <cellStyle name="Normal 3 7 18" xfId="1826"/>
    <cellStyle name="Normal 3 7 18 2" xfId="2268"/>
    <cellStyle name="Normal 3 7 19" xfId="1827"/>
    <cellStyle name="Normal 3 7 19 2" xfId="2267"/>
    <cellStyle name="Normal 3 7 2" xfId="1828"/>
    <cellStyle name="Normal 3 7 2 2" xfId="2266"/>
    <cellStyle name="Normal 3 7 20" xfId="1829"/>
    <cellStyle name="Normal 3 7 20 2" xfId="2265"/>
    <cellStyle name="Normal 3 7 21" xfId="1830"/>
    <cellStyle name="Normal 3 7 21 2" xfId="2264"/>
    <cellStyle name="Normal 3 7 22" xfId="1831"/>
    <cellStyle name="Normal 3 7 22 2" xfId="2263"/>
    <cellStyle name="Normal 3 7 23" xfId="1832"/>
    <cellStyle name="Normal 3 7 23 2" xfId="2262"/>
    <cellStyle name="Normal 3 7 24" xfId="2277"/>
    <cellStyle name="Normal 3 7 3" xfId="1833"/>
    <cellStyle name="Normal 3 7 3 2" xfId="2261"/>
    <cellStyle name="Normal 3 7 4" xfId="1834"/>
    <cellStyle name="Normal 3 7 4 2" xfId="2260"/>
    <cellStyle name="Normal 3 7 5" xfId="1835"/>
    <cellStyle name="Normal 3 7 5 2" xfId="2259"/>
    <cellStyle name="Normal 3 7 6" xfId="1836"/>
    <cellStyle name="Normal 3 7 6 2" xfId="2258"/>
    <cellStyle name="Normal 3 7 7" xfId="1837"/>
    <cellStyle name="Normal 3 7 7 2" xfId="2257"/>
    <cellStyle name="Normal 3 7 8" xfId="1838"/>
    <cellStyle name="Normal 3 7 8 2" xfId="2256"/>
    <cellStyle name="Normal 3 7 9" xfId="1839"/>
    <cellStyle name="Normal 3 7 9 2" xfId="2255"/>
    <cellStyle name="Normal 3 8" xfId="1840"/>
    <cellStyle name="Normal 3 8 10" xfId="1841"/>
    <cellStyle name="Normal 3 8 10 2" xfId="2253"/>
    <cellStyle name="Normal 3 8 11" xfId="1842"/>
    <cellStyle name="Normal 3 8 11 2" xfId="2252"/>
    <cellStyle name="Normal 3 8 12" xfId="1843"/>
    <cellStyle name="Normal 3 8 12 2" xfId="2251"/>
    <cellStyle name="Normal 3 8 13" xfId="1844"/>
    <cellStyle name="Normal 3 8 13 2" xfId="2250"/>
    <cellStyle name="Normal 3 8 14" xfId="1845"/>
    <cellStyle name="Normal 3 8 14 2" xfId="2249"/>
    <cellStyle name="Normal 3 8 15" xfId="1846"/>
    <cellStyle name="Normal 3 8 15 2" xfId="2248"/>
    <cellStyle name="Normal 3 8 16" xfId="1847"/>
    <cellStyle name="Normal 3 8 16 2" xfId="2247"/>
    <cellStyle name="Normal 3 8 17" xfId="1848"/>
    <cellStyle name="Normal 3 8 17 2" xfId="2246"/>
    <cellStyle name="Normal 3 8 18" xfId="1849"/>
    <cellStyle name="Normal 3 8 18 2" xfId="2245"/>
    <cellStyle name="Normal 3 8 19" xfId="1850"/>
    <cellStyle name="Normal 3 8 19 2" xfId="2244"/>
    <cellStyle name="Normal 3 8 2" xfId="1851"/>
    <cellStyle name="Normal 3 8 2 2" xfId="2243"/>
    <cellStyle name="Normal 3 8 20" xfId="1852"/>
    <cellStyle name="Normal 3 8 20 2" xfId="2242"/>
    <cellStyle name="Normal 3 8 21" xfId="1853"/>
    <cellStyle name="Normal 3 8 21 2" xfId="2241"/>
    <cellStyle name="Normal 3 8 22" xfId="1854"/>
    <cellStyle name="Normal 3 8 22 2" xfId="2240"/>
    <cellStyle name="Normal 3 8 23" xfId="1855"/>
    <cellStyle name="Normal 3 8 23 2" xfId="2239"/>
    <cellStyle name="Normal 3 8 24" xfId="2254"/>
    <cellStyle name="Normal 3 8 3" xfId="1856"/>
    <cellStyle name="Normal 3 8 3 2" xfId="2238"/>
    <cellStyle name="Normal 3 8 4" xfId="1857"/>
    <cellStyle name="Normal 3 8 4 2" xfId="2237"/>
    <cellStyle name="Normal 3 8 5" xfId="1858"/>
    <cellStyle name="Normal 3 8 5 2" xfId="2236"/>
    <cellStyle name="Normal 3 8 6" xfId="1859"/>
    <cellStyle name="Normal 3 8 6 2" xfId="2235"/>
    <cellStyle name="Normal 3 8 7" xfId="1860"/>
    <cellStyle name="Normal 3 8 7 2" xfId="2234"/>
    <cellStyle name="Normal 3 8 8" xfId="1861"/>
    <cellStyle name="Normal 3 8 8 2" xfId="2233"/>
    <cellStyle name="Normal 3 8 9" xfId="1862"/>
    <cellStyle name="Normal 3 8 9 2" xfId="2232"/>
    <cellStyle name="Normal 3 9" xfId="1863"/>
    <cellStyle name="Normal 3 9 10" xfId="1864"/>
    <cellStyle name="Normal 3 9 10 2" xfId="2230"/>
    <cellStyle name="Normal 3 9 11" xfId="1865"/>
    <cellStyle name="Normal 3 9 11 2" xfId="2229"/>
    <cellStyle name="Normal 3 9 12" xfId="1866"/>
    <cellStyle name="Normal 3 9 12 2" xfId="2228"/>
    <cellStyle name="Normal 3 9 13" xfId="1867"/>
    <cellStyle name="Normal 3 9 13 2" xfId="2227"/>
    <cellStyle name="Normal 3 9 14" xfId="1868"/>
    <cellStyle name="Normal 3 9 14 2" xfId="2226"/>
    <cellStyle name="Normal 3 9 15" xfId="1869"/>
    <cellStyle name="Normal 3 9 15 2" xfId="2225"/>
    <cellStyle name="Normal 3 9 16" xfId="1870"/>
    <cellStyle name="Normal 3 9 16 2" xfId="2224"/>
    <cellStyle name="Normal 3 9 17" xfId="1871"/>
    <cellStyle name="Normal 3 9 17 2" xfId="2223"/>
    <cellStyle name="Normal 3 9 18" xfId="1872"/>
    <cellStyle name="Normal 3 9 18 2" xfId="2222"/>
    <cellStyle name="Normal 3 9 19" xfId="1873"/>
    <cellStyle name="Normal 3 9 19 2" xfId="2221"/>
    <cellStyle name="Normal 3 9 2" xfId="1874"/>
    <cellStyle name="Normal 3 9 2 2" xfId="2220"/>
    <cellStyle name="Normal 3 9 20" xfId="1875"/>
    <cellStyle name="Normal 3 9 20 2" xfId="2219"/>
    <cellStyle name="Normal 3 9 21" xfId="1876"/>
    <cellStyle name="Normal 3 9 21 2" xfId="2218"/>
    <cellStyle name="Normal 3 9 22" xfId="1877"/>
    <cellStyle name="Normal 3 9 22 2" xfId="2217"/>
    <cellStyle name="Normal 3 9 23" xfId="1878"/>
    <cellStyle name="Normal 3 9 23 2" xfId="2216"/>
    <cellStyle name="Normal 3 9 24" xfId="2231"/>
    <cellStyle name="Normal 3 9 3" xfId="1879"/>
    <cellStyle name="Normal 3 9 3 2" xfId="2215"/>
    <cellStyle name="Normal 3 9 4" xfId="1880"/>
    <cellStyle name="Normal 3 9 4 2" xfId="2214"/>
    <cellStyle name="Normal 3 9 5" xfId="1881"/>
    <cellStyle name="Normal 3 9 5 2" xfId="2213"/>
    <cellStyle name="Normal 3 9 6" xfId="1882"/>
    <cellStyle name="Normal 3 9 6 2" xfId="2212"/>
    <cellStyle name="Normal 3 9 7" xfId="1883"/>
    <cellStyle name="Normal 3 9 7 2" xfId="2211"/>
    <cellStyle name="Normal 3 9 8" xfId="1884"/>
    <cellStyle name="Normal 3 9 8 2" xfId="2210"/>
    <cellStyle name="Normal 3 9 9" xfId="1885"/>
    <cellStyle name="Normal 3 9 9 2" xfId="2209"/>
    <cellStyle name="Normal 30" xfId="2065"/>
    <cellStyle name="Normal 30 2" xfId="4167"/>
    <cellStyle name="Normal 31" xfId="2067"/>
    <cellStyle name="Normal 31 2" xfId="4099"/>
    <cellStyle name="Normal 32" xfId="1886"/>
    <cellStyle name="Normal 32 2" xfId="2208"/>
    <cellStyle name="Normal 33" xfId="1887"/>
    <cellStyle name="Normal 33 2" xfId="2207"/>
    <cellStyle name="Normal 34" xfId="1888"/>
    <cellStyle name="Normal 34 2" xfId="2206"/>
    <cellStyle name="Normal 35" xfId="1889"/>
    <cellStyle name="Normal 35 2" xfId="2205"/>
    <cellStyle name="Normal 36" xfId="2064"/>
    <cellStyle name="Normal 36 2" xfId="4164"/>
    <cellStyle name="Normal 37" xfId="1890"/>
    <cellStyle name="Normal 37 2" xfId="2204"/>
    <cellStyle name="Normal 38" xfId="1891"/>
    <cellStyle name="Normal 38 2" xfId="2203"/>
    <cellStyle name="Normal 39" xfId="1892"/>
    <cellStyle name="Normal 39 2" xfId="2202"/>
    <cellStyle name="Normal 4" xfId="6"/>
    <cellStyle name="Normal 4 2" xfId="15"/>
    <cellStyle name="Normal 4 2 2" xfId="1894"/>
    <cellStyle name="Normal 4 2 2 2" xfId="2200"/>
    <cellStyle name="Normal 4 3" xfId="1893"/>
    <cellStyle name="Normal 4 3 2" xfId="4142"/>
    <cellStyle name="Normal 4 4" xfId="2024"/>
    <cellStyle name="Normal 4 4 2" xfId="2201"/>
    <cellStyle name="Normal 4_Revised WB Constant Values" xfId="2199"/>
    <cellStyle name="Normal 40" xfId="1895"/>
    <cellStyle name="Normal 40 2" xfId="2198"/>
    <cellStyle name="Normal 41" xfId="1896"/>
    <cellStyle name="Normal 41 2" xfId="4101"/>
    <cellStyle name="Normal 42" xfId="1897"/>
    <cellStyle name="Normal 42 2" xfId="4100"/>
    <cellStyle name="Normal 43" xfId="2066"/>
    <cellStyle name="Normal 43 2" xfId="4182"/>
    <cellStyle name="Normal 44" xfId="2062"/>
    <cellStyle name="Normal 44 2" xfId="4169"/>
    <cellStyle name="Normal 45" xfId="2056"/>
    <cellStyle name="Normal 45 2" xfId="4189"/>
    <cellStyle name="Normal 46" xfId="2068"/>
    <cellStyle name="Normal 46 2" xfId="4185"/>
    <cellStyle name="Normal 47" xfId="4187"/>
    <cellStyle name="Normal 48" xfId="4181"/>
    <cellStyle name="Normal 49" xfId="4170"/>
    <cellStyle name="Normal 5" xfId="16"/>
    <cellStyle name="Normal 5 10" xfId="1899"/>
    <cellStyle name="Normal 5 10 2" xfId="2197"/>
    <cellStyle name="Normal 5 11" xfId="1900"/>
    <cellStyle name="Normal 5 11 2" xfId="2125"/>
    <cellStyle name="Normal 5 12" xfId="1901"/>
    <cellStyle name="Normal 5 12 2" xfId="2196"/>
    <cellStyle name="Normal 5 13" xfId="1902"/>
    <cellStyle name="Normal 5 13 2" xfId="2129"/>
    <cellStyle name="Normal 5 14" xfId="1903"/>
    <cellStyle name="Normal 5 14 2" xfId="2195"/>
    <cellStyle name="Normal 5 15" xfId="1904"/>
    <cellStyle name="Normal 5 15 2" xfId="2126"/>
    <cellStyle name="Normal 5 16" xfId="1905"/>
    <cellStyle name="Normal 5 16 2" xfId="2194"/>
    <cellStyle name="Normal 5 17" xfId="1906"/>
    <cellStyle name="Normal 5 17 2" xfId="2121"/>
    <cellStyle name="Normal 5 18" xfId="1907"/>
    <cellStyle name="Normal 5 18 2" xfId="2193"/>
    <cellStyle name="Normal 5 19" xfId="1908"/>
    <cellStyle name="Normal 5 19 2" xfId="2123"/>
    <cellStyle name="Normal 5 2" xfId="1909"/>
    <cellStyle name="Normal 5 2 10" xfId="1910"/>
    <cellStyle name="Normal 5 2 10 2" xfId="2119"/>
    <cellStyle name="Normal 5 2 11" xfId="1911"/>
    <cellStyle name="Normal 5 2 11 2" xfId="2191"/>
    <cellStyle name="Normal 5 2 12" xfId="1912"/>
    <cellStyle name="Normal 5 2 12 2" xfId="2122"/>
    <cellStyle name="Normal 5 2 13" xfId="1913"/>
    <cellStyle name="Normal 5 2 13 2" xfId="2190"/>
    <cellStyle name="Normal 5 2 14" xfId="1914"/>
    <cellStyle name="Normal 5 2 14 2" xfId="2124"/>
    <cellStyle name="Normal 5 2 15" xfId="1915"/>
    <cellStyle name="Normal 5 2 15 2" xfId="2189"/>
    <cellStyle name="Normal 5 2 16" xfId="1916"/>
    <cellStyle name="Normal 5 2 16 2" xfId="2133"/>
    <cellStyle name="Normal 5 2 17" xfId="1917"/>
    <cellStyle name="Normal 5 2 17 2" xfId="2187"/>
    <cellStyle name="Normal 5 2 18" xfId="1918"/>
    <cellStyle name="Normal 5 2 18 2" xfId="2188"/>
    <cellStyle name="Normal 5 2 19" xfId="1919"/>
    <cellStyle name="Normal 5 2 19 2" xfId="2186"/>
    <cellStyle name="Normal 5 2 2" xfId="1920"/>
    <cellStyle name="Normal 5 2 2 2" xfId="2130"/>
    <cellStyle name="Normal 5 2 20" xfId="1921"/>
    <cellStyle name="Normal 5 2 20 2" xfId="2185"/>
    <cellStyle name="Normal 5 2 21" xfId="1922"/>
    <cellStyle name="Normal 5 2 21 2" xfId="2128"/>
    <cellStyle name="Normal 5 2 22" xfId="1923"/>
    <cellStyle name="Normal 5 2 22 2" xfId="2184"/>
    <cellStyle name="Normal 5 2 23" xfId="1924"/>
    <cellStyle name="Normal 5 2 23 2" xfId="2120"/>
    <cellStyle name="Normal 5 2 24" xfId="2192"/>
    <cellStyle name="Normal 5 2 3" xfId="1925"/>
    <cellStyle name="Normal 5 2 3 2" xfId="2183"/>
    <cellStyle name="Normal 5 2 4" xfId="1926"/>
    <cellStyle name="Normal 5 2 4 2" xfId="2155"/>
    <cellStyle name="Normal 5 2 5" xfId="1927"/>
    <cellStyle name="Normal 5 2 5 2" xfId="2182"/>
    <cellStyle name="Normal 5 2 6" xfId="1928"/>
    <cellStyle name="Normal 5 2 6 2" xfId="2151"/>
    <cellStyle name="Normal 5 2 7" xfId="1929"/>
    <cellStyle name="Normal 5 2 7 2" xfId="2181"/>
    <cellStyle name="Normal 5 2 8" xfId="1930"/>
    <cellStyle name="Normal 5 2 8 2" xfId="2147"/>
    <cellStyle name="Normal 5 2 9" xfId="1931"/>
    <cellStyle name="Normal 5 2 9 2" xfId="2180"/>
    <cellStyle name="Normal 5 20" xfId="1932"/>
    <cellStyle name="Normal 5 20 2" xfId="2143"/>
    <cellStyle name="Normal 5 21" xfId="1933"/>
    <cellStyle name="Normal 5 21 2" xfId="2179"/>
    <cellStyle name="Normal 5 22" xfId="1934"/>
    <cellStyle name="Normal 5 22 2" xfId="2139"/>
    <cellStyle name="Normal 5 23" xfId="1935"/>
    <cellStyle name="Normal 5 23 2" xfId="2178"/>
    <cellStyle name="Normal 5 24" xfId="1936"/>
    <cellStyle name="Normal 5 24 2" xfId="2135"/>
    <cellStyle name="Normal 5 25" xfId="1898"/>
    <cellStyle name="Normal 5 25 2" xfId="4143"/>
    <cellStyle name="Normal 5 26" xfId="2117"/>
    <cellStyle name="Normal 5 3" xfId="1937"/>
    <cellStyle name="Normal 5 3 2" xfId="2177"/>
    <cellStyle name="Normal 5 4" xfId="1938"/>
    <cellStyle name="Normal 5 4 2" xfId="2158"/>
    <cellStyle name="Normal 5 5" xfId="1939"/>
    <cellStyle name="Normal 5 5 2" xfId="2176"/>
    <cellStyle name="Normal 5 6" xfId="1940"/>
    <cellStyle name="Normal 5 6 2" xfId="2154"/>
    <cellStyle name="Normal 5 7" xfId="1941"/>
    <cellStyle name="Normal 5 7 2" xfId="2175"/>
    <cellStyle name="Normal 5 8" xfId="1942"/>
    <cellStyle name="Normal 5 8 2" xfId="2150"/>
    <cellStyle name="Normal 5 9" xfId="1943"/>
    <cellStyle name="Normal 5 9 2" xfId="2174"/>
    <cellStyle name="Normal 5_Revised WB Constant Values" xfId="2146"/>
    <cellStyle name="Normal 50" xfId="4179"/>
    <cellStyle name="Normal 51" xfId="4171"/>
    <cellStyle name="Normal 52" xfId="4165"/>
    <cellStyle name="Normal 53" xfId="4188"/>
    <cellStyle name="Normal 54" xfId="4180"/>
    <cellStyle name="Normal 55" xfId="4183"/>
    <cellStyle name="Normal 56" xfId="4178"/>
    <cellStyle name="Normal 57" xfId="4186"/>
    <cellStyle name="Normal 58" xfId="4177"/>
    <cellStyle name="Normal 59" xfId="4172"/>
    <cellStyle name="Normal 6" xfId="26"/>
    <cellStyle name="Normal 6 2" xfId="1944"/>
    <cellStyle name="Normal 6 2 2" xfId="2173"/>
    <cellStyle name="Normal 60" xfId="4176"/>
    <cellStyle name="Normal 61" xfId="4173"/>
    <cellStyle name="Normal 62" xfId="4184"/>
    <cellStyle name="Normal 63" xfId="4174"/>
    <cellStyle name="Normal 64" xfId="4175"/>
    <cellStyle name="Normal 65" xfId="2070"/>
    <cellStyle name="Normal 7" xfId="14"/>
    <cellStyle name="Normal 7 10" xfId="1946"/>
    <cellStyle name="Normal 7 10 2" xfId="2172"/>
    <cellStyle name="Normal 7 11" xfId="1947"/>
    <cellStyle name="Normal 7 11 2" xfId="2138"/>
    <cellStyle name="Normal 7 12" xfId="1948"/>
    <cellStyle name="Normal 7 12 2" xfId="2171"/>
    <cellStyle name="Normal 7 13" xfId="1949"/>
    <cellStyle name="Normal 7 13 2" xfId="2157"/>
    <cellStyle name="Normal 7 14" xfId="1950"/>
    <cellStyle name="Normal 7 14 2" xfId="2170"/>
    <cellStyle name="Normal 7 15" xfId="1951"/>
    <cellStyle name="Normal 7 15 2" xfId="2153"/>
    <cellStyle name="Normal 7 16" xfId="1952"/>
    <cellStyle name="Normal 7 16 2" xfId="2169"/>
    <cellStyle name="Normal 7 17" xfId="1953"/>
    <cellStyle name="Normal 7 17 2" xfId="2149"/>
    <cellStyle name="Normal 7 18" xfId="1954"/>
    <cellStyle name="Normal 7 18 2" xfId="2168"/>
    <cellStyle name="Normal 7 19" xfId="1955"/>
    <cellStyle name="Normal 7 19 2" xfId="2145"/>
    <cellStyle name="Normal 7 2" xfId="1956"/>
    <cellStyle name="Normal 7 2 10" xfId="1957"/>
    <cellStyle name="Normal 7 2 10 2" xfId="2141"/>
    <cellStyle name="Normal 7 2 11" xfId="1958"/>
    <cellStyle name="Normal 7 2 11 2" xfId="2166"/>
    <cellStyle name="Normal 7 2 12" xfId="1959"/>
    <cellStyle name="Normal 7 2 12 2" xfId="2137"/>
    <cellStyle name="Normal 7 2 13" xfId="1960"/>
    <cellStyle name="Normal 7 2 13 2" xfId="2165"/>
    <cellStyle name="Normal 7 2 14" xfId="1961"/>
    <cellStyle name="Normal 7 2 14 2" xfId="2156"/>
    <cellStyle name="Normal 7 2 15" xfId="1962"/>
    <cellStyle name="Normal 7 2 15 2" xfId="2164"/>
    <cellStyle name="Normal 7 2 16" xfId="1963"/>
    <cellStyle name="Normal 7 2 16 2" xfId="2152"/>
    <cellStyle name="Normal 7 2 17" xfId="1964"/>
    <cellStyle name="Normal 7 2 17 2" xfId="2163"/>
    <cellStyle name="Normal 7 2 18" xfId="1965"/>
    <cellStyle name="Normal 7 2 18 2" xfId="2148"/>
    <cellStyle name="Normal 7 2 19" xfId="1966"/>
    <cellStyle name="Normal 7 2 19 2" xfId="2162"/>
    <cellStyle name="Normal 7 2 2" xfId="1967"/>
    <cellStyle name="Normal 7 2 2 2" xfId="2144"/>
    <cellStyle name="Normal 7 2 20" xfId="1968"/>
    <cellStyle name="Normal 7 2 20 2" xfId="2161"/>
    <cellStyle name="Normal 7 2 21" xfId="1969"/>
    <cellStyle name="Normal 7 2 21 2" xfId="2140"/>
    <cellStyle name="Normal 7 2 22" xfId="1970"/>
    <cellStyle name="Normal 7 2 22 2" xfId="2160"/>
    <cellStyle name="Normal 7 2 23" xfId="1971"/>
    <cellStyle name="Normal 7 2 23 2" xfId="2136"/>
    <cellStyle name="Normal 7 2 24" xfId="2167"/>
    <cellStyle name="Normal 7 2 3" xfId="1972"/>
    <cellStyle name="Normal 7 2 3 2" xfId="4102"/>
    <cellStyle name="Normal 7 2 4" xfId="1973"/>
    <cellStyle name="Normal 7 2 4 2" xfId="4103"/>
    <cellStyle name="Normal 7 2 5" xfId="1974"/>
    <cellStyle name="Normal 7 2 5 2" xfId="4104"/>
    <cellStyle name="Normal 7 2 6" xfId="1975"/>
    <cellStyle name="Normal 7 2 6 2" xfId="4105"/>
    <cellStyle name="Normal 7 2 7" xfId="1976"/>
    <cellStyle name="Normal 7 2 7 2" xfId="4106"/>
    <cellStyle name="Normal 7 2 8" xfId="1977"/>
    <cellStyle name="Normal 7 2 8 2" xfId="4107"/>
    <cellStyle name="Normal 7 2 9" xfId="1978"/>
    <cellStyle name="Normal 7 2 9 2" xfId="4108"/>
    <cellStyle name="Normal 7 20" xfId="1979"/>
    <cellStyle name="Normal 7 20 2" xfId="4109"/>
    <cellStyle name="Normal 7 21" xfId="1980"/>
    <cellStyle name="Normal 7 21 2" xfId="4110"/>
    <cellStyle name="Normal 7 22" xfId="1981"/>
    <cellStyle name="Normal 7 22 2" xfId="4111"/>
    <cellStyle name="Normal 7 23" xfId="1982"/>
    <cellStyle name="Normal 7 23 2" xfId="4112"/>
    <cellStyle name="Normal 7 24" xfId="1983"/>
    <cellStyle name="Normal 7 24 2" xfId="4113"/>
    <cellStyle name="Normal 7 25" xfId="1945"/>
    <cellStyle name="Normal 7 25 2" xfId="2142"/>
    <cellStyle name="Normal 7 3" xfId="1984"/>
    <cellStyle name="Normal 7 3 2" xfId="4114"/>
    <cellStyle name="Normal 7 4" xfId="1985"/>
    <cellStyle name="Normal 7 4 2" xfId="4115"/>
    <cellStyle name="Normal 7 5" xfId="1986"/>
    <cellStyle name="Normal 7 5 2" xfId="4116"/>
    <cellStyle name="Normal 7 6" xfId="1987"/>
    <cellStyle name="Normal 7 6 2" xfId="4117"/>
    <cellStyle name="Normal 7 7" xfId="1988"/>
    <cellStyle name="Normal 7 7 2" xfId="4118"/>
    <cellStyle name="Normal 7 8" xfId="1989"/>
    <cellStyle name="Normal 7 8 2" xfId="4119"/>
    <cellStyle name="Normal 7 9" xfId="1990"/>
    <cellStyle name="Normal 7 9 2" xfId="4120"/>
    <cellStyle name="Normal 8" xfId="13"/>
    <cellStyle name="Normal 8 2" xfId="1992"/>
    <cellStyle name="Normal 8 2 2" xfId="2026"/>
    <cellStyle name="Normal 8 2 2 2" xfId="2048"/>
    <cellStyle name="Normal 8 2 2 3" xfId="4152"/>
    <cellStyle name="Normal 8 2 3" xfId="2040"/>
    <cellStyle name="Normal 8 2 3 2" xfId="4144"/>
    <cellStyle name="Normal 8 2 4" xfId="2057"/>
    <cellStyle name="Normal 8 2 5" xfId="4122"/>
    <cellStyle name="Normal 8 2 6" xfId="4191"/>
    <cellStyle name="Normal 8 3" xfId="1993"/>
    <cellStyle name="Normal 8 3 2" xfId="2027"/>
    <cellStyle name="Normal 8 3 2 2" xfId="2049"/>
    <cellStyle name="Normal 8 3 2 3" xfId="4153"/>
    <cellStyle name="Normal 8 3 3" xfId="2041"/>
    <cellStyle name="Normal 8 3 3 2" xfId="4145"/>
    <cellStyle name="Normal 8 3 4" xfId="2058"/>
    <cellStyle name="Normal 8 3 5" xfId="4123"/>
    <cellStyle name="Normal 8 3 6" xfId="4192"/>
    <cellStyle name="Normal 8 4" xfId="1994"/>
    <cellStyle name="Normal 8 4 2" xfId="2028"/>
    <cellStyle name="Normal 8 4 2 2" xfId="2050"/>
    <cellStyle name="Normal 8 4 2 3" xfId="4154"/>
    <cellStyle name="Normal 8 4 3" xfId="2042"/>
    <cellStyle name="Normal 8 4 3 2" xfId="4146"/>
    <cellStyle name="Normal 8 4 4" xfId="2059"/>
    <cellStyle name="Normal 8 4 5" xfId="4124"/>
    <cellStyle name="Normal 8 4 6" xfId="4193"/>
    <cellStyle name="Normal 8 5" xfId="1995"/>
    <cellStyle name="Normal 8 5 2" xfId="2029"/>
    <cellStyle name="Normal 8 5 2 2" xfId="2051"/>
    <cellStyle name="Normal 8 5 2 3" xfId="4155"/>
    <cellStyle name="Normal 8 5 3" xfId="2043"/>
    <cellStyle name="Normal 8 5 3 2" xfId="4147"/>
    <cellStyle name="Normal 8 5 4" xfId="2060"/>
    <cellStyle name="Normal 8 5 5" xfId="4125"/>
    <cellStyle name="Normal 8 5 6" xfId="4194"/>
    <cellStyle name="Normal 8 6" xfId="1996"/>
    <cellStyle name="Normal 8 6 2" xfId="2030"/>
    <cellStyle name="Normal 8 6 2 2" xfId="2052"/>
    <cellStyle name="Normal 8 6 2 3" xfId="4156"/>
    <cellStyle name="Normal 8 6 3" xfId="2044"/>
    <cellStyle name="Normal 8 6 3 2" xfId="4148"/>
    <cellStyle name="Normal 8 6 4" xfId="2061"/>
    <cellStyle name="Normal 8 6 5" xfId="4126"/>
    <cellStyle name="Normal 8 6 6" xfId="4195"/>
    <cellStyle name="Normal 8 7" xfId="1991"/>
    <cellStyle name="Normal 8 7 2" xfId="4121"/>
    <cellStyle name="Normal 8 8" xfId="2115"/>
    <cellStyle name="Normal 9" xfId="12"/>
    <cellStyle name="Normal 9 2" xfId="1997"/>
    <cellStyle name="Normal 9 2 2" xfId="4127"/>
    <cellStyle name="Normal 9 3" xfId="2112"/>
    <cellStyle name="Note 2" xfId="1998"/>
    <cellStyle name="Note 2 2" xfId="4129"/>
    <cellStyle name="Note 3" xfId="2085"/>
    <cellStyle name="Note 3 2" xfId="4157"/>
    <cellStyle name="Note 4" xfId="4128"/>
    <cellStyle name="Output 2" xfId="1999"/>
    <cellStyle name="Output 2 2" xfId="4131"/>
    <cellStyle name="Output 3" xfId="2080"/>
    <cellStyle name="Output 3 2" xfId="4130"/>
    <cellStyle name="Percent 2" xfId="4"/>
    <cellStyle name="Percent 2 2" xfId="2001"/>
    <cellStyle name="Percent 2 3" xfId="2002"/>
    <cellStyle name="Percent 2 4" xfId="2003"/>
    <cellStyle name="Percent 2 5" xfId="2004"/>
    <cellStyle name="Percent 2 6" xfId="2005"/>
    <cellStyle name="Percent 2 7" xfId="2006"/>
    <cellStyle name="Percent 2 8" xfId="2007"/>
    <cellStyle name="Percent 3" xfId="2008"/>
    <cellStyle name="Percent 4" xfId="2009"/>
    <cellStyle name="Percent 5" xfId="2000"/>
    <cellStyle name="Percent 5 2" xfId="2031"/>
    <cellStyle name="Percent 5 2 2" xfId="2053"/>
    <cellStyle name="Percent 5 3" xfId="2045"/>
    <cellStyle name="Percent 5 4" xfId="4149"/>
    <cellStyle name="Percent 5 5" xfId="4196"/>
    <cellStyle name="Percent 6" xfId="2063"/>
    <cellStyle name="Title" xfId="2069" builtinId="15" customBuiltin="1"/>
    <cellStyle name="Title 2" xfId="2010"/>
    <cellStyle name="Title 2 2" xfId="4133"/>
    <cellStyle name="Title 3" xfId="4132"/>
    <cellStyle name="Total 2" xfId="2011"/>
    <cellStyle name="Total 2 2" xfId="4135"/>
    <cellStyle name="Total 3" xfId="2087"/>
    <cellStyle name="Total 3 2" xfId="4134"/>
    <cellStyle name="Warning Text 2" xfId="2012"/>
    <cellStyle name="Warning Text 2 2" xfId="4137"/>
    <cellStyle name="Warning Text 3" xfId="2084"/>
    <cellStyle name="Warning Text 3 2" xfId="413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thomas\AppData\Local\Microsoft\Windows\Temporary%20Internet%20Files\Content.Outlook\1JJXV25Y\CEE%20Dishwasher%20submittal%20BSH%200516201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 DW Template"/>
      <sheetName val="Sheet1"/>
    </sheetNames>
    <sheetDataSet>
      <sheetData sheetId="0" refreshError="1"/>
      <sheetData sheetId="1">
        <row r="1">
          <cell r="A1" t="str">
            <v>Addition</v>
          </cell>
        </row>
        <row r="2">
          <cell r="A2" t="str">
            <v>Discontinued</v>
          </cell>
        </row>
        <row r="3">
          <cell r="A3" t="str">
            <v>Revision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regulations.gov/" TargetMode="External"/><Relationship Id="rId1" Type="http://schemas.openxmlformats.org/officeDocument/2006/relationships/hyperlink" Target="http://www1.eere.energy.gov/buildings/appliance_standards/residential/pdfs/rcw_dfr_tsd_ch7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35"/>
  <sheetViews>
    <sheetView tabSelected="1" workbookViewId="0">
      <selection activeCell="E29" sqref="E29"/>
    </sheetView>
  </sheetViews>
  <sheetFormatPr defaultRowHeight="12.75"/>
  <cols>
    <col min="1" max="1" width="3.5703125" style="99" customWidth="1"/>
    <col min="2" max="2" width="37.140625" customWidth="1"/>
    <col min="7" max="7" width="9.5703125" bestFit="1" customWidth="1"/>
    <col min="9" max="9" width="9.140625" style="99"/>
    <col min="11" max="11" width="11.42578125" customWidth="1"/>
  </cols>
  <sheetData>
    <row r="1" spans="1:17" s="99" customFormat="1" ht="23.25">
      <c r="B1" s="149" t="s">
        <v>124</v>
      </c>
    </row>
    <row r="2" spans="1:17" s="99" customFormat="1"/>
    <row r="3" spans="1:17">
      <c r="A3" s="148"/>
      <c r="B3" s="148"/>
      <c r="C3" s="148"/>
      <c r="D3" s="148"/>
      <c r="E3" s="148"/>
      <c r="F3" s="148"/>
      <c r="G3" s="148"/>
      <c r="H3" s="148"/>
      <c r="I3" s="148"/>
      <c r="Q3" s="99" t="s">
        <v>299</v>
      </c>
    </row>
    <row r="4" spans="1:17">
      <c r="A4" s="148"/>
      <c r="B4" s="194" t="s">
        <v>282</v>
      </c>
      <c r="C4" s="148"/>
      <c r="D4" s="150" t="s">
        <v>283</v>
      </c>
      <c r="F4" s="150" t="s">
        <v>298</v>
      </c>
      <c r="H4" s="148"/>
      <c r="I4" s="148"/>
      <c r="Q4" t="s">
        <v>297</v>
      </c>
    </row>
    <row r="5" spans="1:17">
      <c r="A5" s="148"/>
      <c r="B5" s="235" t="s">
        <v>203</v>
      </c>
      <c r="C5" s="148"/>
      <c r="D5" s="235" t="s">
        <v>95</v>
      </c>
      <c r="F5" s="452" t="s">
        <v>299</v>
      </c>
      <c r="H5" s="148"/>
      <c r="I5" s="148"/>
      <c r="J5" s="150"/>
      <c r="Q5" t="s">
        <v>296</v>
      </c>
    </row>
    <row r="6" spans="1:17">
      <c r="A6" s="148"/>
      <c r="B6" s="148"/>
      <c r="C6" s="148"/>
      <c r="D6" s="148"/>
      <c r="E6" s="148"/>
      <c r="F6" s="148"/>
      <c r="G6" s="148"/>
      <c r="H6" s="148"/>
      <c r="I6" s="148"/>
    </row>
    <row r="7" spans="1:17" s="99" customFormat="1" ht="13.5" thickBot="1">
      <c r="A7" s="148"/>
      <c r="B7" s="194" t="s">
        <v>190</v>
      </c>
      <c r="C7" s="148"/>
      <c r="D7" s="148"/>
      <c r="E7" s="148"/>
      <c r="F7" s="194" t="s">
        <v>191</v>
      </c>
      <c r="H7" s="148"/>
      <c r="I7" s="148"/>
    </row>
    <row r="8" spans="1:17" ht="19.5" customHeight="1" thickTop="1">
      <c r="A8" s="148"/>
      <c r="B8" s="159"/>
      <c r="C8" s="160" t="s">
        <v>23</v>
      </c>
      <c r="D8" s="160" t="s">
        <v>24</v>
      </c>
      <c r="E8" s="245" t="s">
        <v>25</v>
      </c>
      <c r="F8" s="246" t="s">
        <v>192</v>
      </c>
      <c r="G8" s="148"/>
      <c r="H8" s="148"/>
      <c r="I8" s="148"/>
    </row>
    <row r="9" spans="1:17">
      <c r="A9" s="148"/>
      <c r="B9" s="160" t="s">
        <v>305</v>
      </c>
      <c r="C9" s="247">
        <f>'SFM. MFM In-Unit Energy Savings'!G20</f>
        <v>1.8568386089578441E-2</v>
      </c>
      <c r="D9" s="233">
        <f>'SFM. MFM In-Unit Energy Savings'!H20</f>
        <v>132.54054801400466</v>
      </c>
      <c r="E9" s="399">
        <f>'SFM. MFM In-Unit Energy Savings'!I20</f>
        <v>1.686057097014352</v>
      </c>
      <c r="F9" s="401">
        <f>'SFM. MFM In-Unit Energy Savings'!D27</f>
        <v>3100.1550000000007</v>
      </c>
      <c r="G9" s="238"/>
      <c r="H9" s="148"/>
      <c r="I9" s="148"/>
    </row>
    <row r="10" spans="1:17">
      <c r="A10" s="148"/>
      <c r="B10" s="160" t="s">
        <v>306</v>
      </c>
      <c r="C10" s="247">
        <f>'MFM Common Area Energy Savings'!G20</f>
        <v>8.4086464329043431E-2</v>
      </c>
      <c r="D10" s="233">
        <f>'MFM Common Area Energy Savings'!H20</f>
        <v>491.97254262825459</v>
      </c>
      <c r="E10" s="399">
        <f>'MFM Common Area Energy Savings'!I20</f>
        <v>6.2584153262058173</v>
      </c>
      <c r="F10" s="401">
        <f>'MFM Common Area Energy Savings'!D27</f>
        <v>11507.355000000003</v>
      </c>
      <c r="G10" s="238"/>
      <c r="H10" s="148"/>
      <c r="I10" s="148"/>
    </row>
    <row r="11" spans="1:17" ht="13.5" thickBot="1">
      <c r="A11" s="148"/>
      <c r="B11" s="160" t="s">
        <v>307</v>
      </c>
      <c r="C11" s="247">
        <f>'Nonres Energy Savings'!G20</f>
        <v>0.10740847650956364</v>
      </c>
      <c r="D11" s="233">
        <f>'Nonres Energy Savings'!H20</f>
        <v>607.85970335808577</v>
      </c>
      <c r="E11" s="399">
        <f>'Nonres Energy Savings'!I20</f>
        <v>18.658236042097535</v>
      </c>
      <c r="F11" s="400">
        <f>'Nonres Energy Savings'!D27</f>
        <v>15731.973000000002</v>
      </c>
      <c r="G11" s="238"/>
      <c r="H11" s="148"/>
      <c r="I11" s="148"/>
    </row>
    <row r="12" spans="1:17" ht="13.5" thickTop="1">
      <c r="A12" s="148"/>
      <c r="B12" s="148"/>
      <c r="C12" s="148"/>
      <c r="D12" s="148"/>
      <c r="E12" s="148"/>
      <c r="F12" s="148"/>
      <c r="G12" s="148"/>
      <c r="H12" s="148"/>
      <c r="I12" s="148"/>
    </row>
    <row r="13" spans="1:17">
      <c r="A13"/>
      <c r="B13" s="237" t="s">
        <v>154</v>
      </c>
    </row>
    <row r="14" spans="1:17" ht="34.5" customHeight="1">
      <c r="A14"/>
      <c r="B14" s="236"/>
      <c r="C14" s="192"/>
      <c r="D14" s="192"/>
      <c r="E14" s="192"/>
      <c r="F14" s="192"/>
      <c r="G14" s="192"/>
      <c r="H14" s="192"/>
      <c r="I14" s="455" t="s">
        <v>199</v>
      </c>
      <c r="J14" s="455"/>
      <c r="K14" s="455"/>
      <c r="L14" s="455" t="s">
        <v>200</v>
      </c>
      <c r="M14" s="455"/>
      <c r="N14" s="455"/>
    </row>
    <row r="15" spans="1:17" ht="38.25">
      <c r="A15"/>
      <c r="B15" s="143" t="s">
        <v>26</v>
      </c>
      <c r="C15" s="193" t="s">
        <v>160</v>
      </c>
      <c r="D15" s="193" t="s">
        <v>159</v>
      </c>
      <c r="E15" s="193" t="s">
        <v>161</v>
      </c>
      <c r="F15" s="193" t="s">
        <v>162</v>
      </c>
      <c r="G15" s="193" t="s">
        <v>157</v>
      </c>
      <c r="H15" s="193" t="s">
        <v>158</v>
      </c>
      <c r="I15" s="193" t="s">
        <v>2</v>
      </c>
      <c r="J15" s="193" t="s">
        <v>3</v>
      </c>
      <c r="K15" s="193" t="s">
        <v>4</v>
      </c>
      <c r="L15" s="193" t="s">
        <v>2</v>
      </c>
      <c r="M15" s="193" t="s">
        <v>3</v>
      </c>
      <c r="N15" s="193" t="s">
        <v>4</v>
      </c>
    </row>
    <row r="16" spans="1:17">
      <c r="A16"/>
      <c r="B16" s="151" t="s">
        <v>153</v>
      </c>
      <c r="C16" s="159">
        <v>2.06</v>
      </c>
      <c r="D16" s="155"/>
      <c r="E16" s="159">
        <v>4.3</v>
      </c>
      <c r="F16" s="159"/>
      <c r="G16" s="191">
        <v>1</v>
      </c>
      <c r="H16" s="191">
        <v>1</v>
      </c>
      <c r="I16" s="155">
        <f>'Cycle Energy Use'!J17</f>
        <v>1.8894009216589864E-2</v>
      </c>
      <c r="J16" s="155">
        <f>'Cycle Energy Use'!K17</f>
        <v>0.32027649769585254</v>
      </c>
      <c r="K16" s="155">
        <f>'Cycle Energy Use'!L17</f>
        <v>0.15207373271889402</v>
      </c>
      <c r="L16" s="159"/>
      <c r="M16" s="159"/>
      <c r="N16" s="159"/>
    </row>
    <row r="17" spans="1:14">
      <c r="A17"/>
      <c r="B17" s="151" t="s">
        <v>155</v>
      </c>
      <c r="C17" s="159"/>
      <c r="D17" s="155">
        <v>2.38</v>
      </c>
      <c r="E17" s="155"/>
      <c r="F17" s="159">
        <v>3.7</v>
      </c>
      <c r="G17" s="191">
        <v>0</v>
      </c>
      <c r="H17" s="191">
        <v>0</v>
      </c>
      <c r="I17" s="155"/>
      <c r="J17" s="155"/>
      <c r="K17" s="155"/>
      <c r="L17" s="155">
        <f>'Cycle Energy Use'!J33</f>
        <v>4.1025641025641026E-2</v>
      </c>
      <c r="M17" s="155">
        <f>'Cycle Energy Use'!K33</f>
        <v>0.35384615384615381</v>
      </c>
      <c r="N17" s="155">
        <f>'Cycle Energy Use'!L33</f>
        <v>2.3076923076923078E-2</v>
      </c>
    </row>
    <row r="18" spans="1:14">
      <c r="A18"/>
      <c r="B18" s="151" t="s">
        <v>149</v>
      </c>
      <c r="C18" s="159">
        <v>2.06</v>
      </c>
      <c r="D18" s="155">
        <v>2.38</v>
      </c>
      <c r="E18" s="159">
        <v>4.3</v>
      </c>
      <c r="F18" s="159">
        <v>3.7</v>
      </c>
      <c r="G18" s="191">
        <v>0.45</v>
      </c>
      <c r="H18" s="191">
        <v>0.45</v>
      </c>
      <c r="I18" s="155">
        <f>'Cycle Energy Use'!J17</f>
        <v>1.8894009216589864E-2</v>
      </c>
      <c r="J18" s="155">
        <f>'Cycle Energy Use'!K17</f>
        <v>0.32027649769585254</v>
      </c>
      <c r="K18" s="155">
        <f>'Cycle Energy Use'!L17</f>
        <v>0.15207373271889402</v>
      </c>
      <c r="L18" s="155">
        <f>'Cycle Energy Use'!J33</f>
        <v>4.1025641025641026E-2</v>
      </c>
      <c r="M18" s="155">
        <f>'Cycle Energy Use'!K33</f>
        <v>0.35384615384615381</v>
      </c>
      <c r="N18" s="155">
        <f>'Cycle Energy Use'!L33</f>
        <v>2.3076923076923078E-2</v>
      </c>
    </row>
    <row r="19" spans="1:14" s="441" customFormat="1">
      <c r="B19" s="397" t="s">
        <v>302</v>
      </c>
      <c r="C19" s="395">
        <v>2.38</v>
      </c>
      <c r="D19" s="396">
        <v>2.38</v>
      </c>
      <c r="E19" s="395">
        <v>3.7</v>
      </c>
      <c r="F19" s="395">
        <v>3.7</v>
      </c>
      <c r="G19" s="398">
        <v>0.45</v>
      </c>
      <c r="H19" s="398">
        <v>0.45</v>
      </c>
      <c r="I19" s="396">
        <f>'Cycle Energy Use'!J18</f>
        <v>1.6157235797544828E-2</v>
      </c>
      <c r="J19" s="396">
        <f>'Cycle Energy Use'!K18</f>
        <v>0.27388485071447938</v>
      </c>
      <c r="K19" s="396">
        <f>'Cycle Energy Use'!L18</f>
        <v>0.13004604422414129</v>
      </c>
      <c r="L19" s="396">
        <f>'Cycle Energy Use'!J33</f>
        <v>4.1025641025641026E-2</v>
      </c>
      <c r="M19" s="396">
        <f>'Cycle Energy Use'!K33</f>
        <v>0.35384615384615381</v>
      </c>
      <c r="N19" s="396">
        <f>'Cycle Energy Use'!L33</f>
        <v>2.3076923076923078E-2</v>
      </c>
    </row>
    <row r="20" spans="1:14">
      <c r="A20"/>
      <c r="B20" s="151" t="s">
        <v>301</v>
      </c>
      <c r="C20" s="159"/>
      <c r="D20" s="155">
        <v>2.74</v>
      </c>
      <c r="E20" s="159"/>
      <c r="F20" s="159">
        <v>3.2</v>
      </c>
      <c r="G20" s="191">
        <v>0</v>
      </c>
      <c r="H20" s="191">
        <v>0</v>
      </c>
      <c r="I20" s="159"/>
      <c r="J20" s="159"/>
      <c r="K20" s="159"/>
      <c r="L20" s="155">
        <f>'Cycle Energy Use'!J35</f>
        <v>3.5714285714285712E-2</v>
      </c>
      <c r="M20" s="155">
        <f>'Cycle Energy Use'!K35</f>
        <v>0.32380952380952382</v>
      </c>
      <c r="N20" s="155">
        <f>'Cycle Energy Use'!L35</f>
        <v>9.5238095238095229E-3</v>
      </c>
    </row>
    <row r="21" spans="1:14" s="99" customFormat="1">
      <c r="B21" s="397" t="s">
        <v>156</v>
      </c>
      <c r="C21" s="395"/>
      <c r="D21" s="396">
        <v>2.92</v>
      </c>
      <c r="E21" s="395"/>
      <c r="F21" s="395">
        <v>3.2</v>
      </c>
      <c r="G21" s="398">
        <v>0</v>
      </c>
      <c r="H21" s="398">
        <v>0</v>
      </c>
      <c r="I21" s="395"/>
      <c r="J21" s="395"/>
      <c r="K21" s="395"/>
      <c r="L21" s="155">
        <f>'Cycle Energy Use'!J36</f>
        <v>2.9545454545454545E-2</v>
      </c>
      <c r="M21" s="155">
        <f>'Cycle Energy Use'!K36</f>
        <v>0.30454545454545456</v>
      </c>
      <c r="N21" s="155">
        <f>'Cycle Energy Use'!L36</f>
        <v>9.0909090909090905E-3</v>
      </c>
    </row>
    <row r="22" spans="1:14">
      <c r="A22"/>
      <c r="B22" s="151" t="s">
        <v>203</v>
      </c>
      <c r="C22" s="159"/>
      <c r="D22" s="155">
        <v>2.2000000000000002</v>
      </c>
      <c r="E22" s="155"/>
      <c r="F22" s="159">
        <v>4</v>
      </c>
      <c r="G22" s="191">
        <v>0.7</v>
      </c>
      <c r="H22" s="191">
        <v>0</v>
      </c>
      <c r="I22" s="159"/>
      <c r="J22" s="159"/>
      <c r="K22" s="159"/>
      <c r="L22" s="155">
        <f>'Cycle Energy Use'!J58</f>
        <v>1.95E-2</v>
      </c>
      <c r="M22" s="155">
        <f>'Cycle Energy Use'!K58</f>
        <v>0.36214285714285716</v>
      </c>
      <c r="N22" s="155">
        <f>'Cycle Energy Use'!L58</f>
        <v>7.4378571428571433E-2</v>
      </c>
    </row>
    <row r="23" spans="1:14">
      <c r="A23"/>
      <c r="I23"/>
    </row>
    <row r="24" spans="1:14">
      <c r="A24"/>
      <c r="I24"/>
    </row>
    <row r="25" spans="1:14">
      <c r="A25"/>
      <c r="I25"/>
    </row>
    <row r="26" spans="1:14">
      <c r="A26"/>
    </row>
    <row r="27" spans="1:14">
      <c r="A27"/>
    </row>
    <row r="28" spans="1:14">
      <c r="A28"/>
    </row>
    <row r="29" spans="1:14">
      <c r="A29"/>
      <c r="I29" s="156"/>
      <c r="J29" s="99"/>
    </row>
    <row r="30" spans="1:14">
      <c r="A30"/>
      <c r="I30" s="156"/>
      <c r="J30" s="99"/>
    </row>
    <row r="31" spans="1:14">
      <c r="A31"/>
      <c r="I31" s="156"/>
      <c r="J31" s="99"/>
    </row>
    <row r="32" spans="1:14">
      <c r="A32"/>
      <c r="I32" s="156"/>
      <c r="J32" s="99"/>
    </row>
    <row r="33" spans="9:10">
      <c r="I33" s="156"/>
      <c r="J33" s="99"/>
    </row>
    <row r="34" spans="9:10">
      <c r="I34" s="156"/>
      <c r="J34" s="99"/>
    </row>
    <row r="35" spans="9:10">
      <c r="I35" s="156"/>
      <c r="J35" s="99"/>
    </row>
  </sheetData>
  <mergeCells count="2">
    <mergeCell ref="L14:N14"/>
    <mergeCell ref="I14:K14"/>
  </mergeCells>
  <dataValidations count="2">
    <dataValidation type="list" allowBlank="1" showInputMessage="1" showErrorMessage="1" sqref="B5">
      <formula1>$B$16:$B$22</formula1>
    </dataValidation>
    <dataValidation type="list" allowBlank="1" showInputMessage="1" showErrorMessage="1" prompt="Leave at &quot;all&quot; for default weighted electric/gas dryer/DHW saturations. Select &quot;electric DHW&quot; or &quot;gas DHW&quot; if measure is only applicable to a specific DHW source. " sqref="F5">
      <formula1>$Q$3:$Q$5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'2009 RASS'!$B$76:$B$79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83"/>
  <sheetViews>
    <sheetView topLeftCell="B7" workbookViewId="0">
      <selection activeCell="J38" sqref="J38"/>
    </sheetView>
  </sheetViews>
  <sheetFormatPr defaultRowHeight="12.75"/>
  <cols>
    <col min="1" max="1" width="2.85546875" customWidth="1"/>
    <col min="2" max="2" width="10" customWidth="1"/>
    <col min="3" max="3" width="9.7109375" customWidth="1"/>
    <col min="4" max="4" width="10.5703125" customWidth="1"/>
    <col min="5" max="6" width="11.42578125" customWidth="1"/>
    <col min="7" max="7" width="12" customWidth="1"/>
    <col min="8" max="8" width="11.28515625" customWidth="1"/>
    <col min="10" max="10" width="10.85546875" customWidth="1"/>
    <col min="14" max="14" width="10.42578125" customWidth="1"/>
    <col min="15" max="15" width="12.5703125" customWidth="1"/>
    <col min="17" max="17" width="10.85546875" customWidth="1"/>
    <col min="18" max="18" width="11" customWidth="1"/>
    <col min="19" max="19" width="11.42578125" customWidth="1"/>
    <col min="20" max="20" width="10.5703125" customWidth="1"/>
  </cols>
  <sheetData>
    <row r="2" spans="3:20">
      <c r="C2" s="47" t="s">
        <v>201</v>
      </c>
      <c r="D2" s="46"/>
      <c r="E2" s="46"/>
      <c r="F2" s="46"/>
      <c r="G2" s="46"/>
      <c r="H2" s="46"/>
      <c r="I2" s="46"/>
      <c r="J2" s="46"/>
    </row>
    <row r="4" spans="3:20" ht="12.75" customHeight="1">
      <c r="C4" s="472" t="s">
        <v>226</v>
      </c>
      <c r="D4" s="472"/>
      <c r="E4" s="472"/>
      <c r="F4" s="472"/>
      <c r="G4" s="472"/>
      <c r="H4" s="472"/>
      <c r="I4" s="472"/>
      <c r="J4" s="472"/>
      <c r="M4" s="472" t="s">
        <v>226</v>
      </c>
      <c r="N4" s="472"/>
      <c r="O4" s="472"/>
      <c r="P4" s="472"/>
      <c r="Q4" s="472"/>
      <c r="R4" s="472"/>
      <c r="S4" s="472"/>
      <c r="T4" s="472"/>
    </row>
    <row r="5" spans="3:20" ht="12.75" customHeight="1">
      <c r="C5" s="472" t="s">
        <v>227</v>
      </c>
      <c r="D5" s="472"/>
      <c r="E5" s="472"/>
      <c r="F5" s="472"/>
      <c r="G5" s="472"/>
      <c r="H5" s="472"/>
      <c r="I5" s="472"/>
      <c r="J5" s="472"/>
      <c r="M5" s="472" t="s">
        <v>227</v>
      </c>
      <c r="N5" s="472"/>
      <c r="O5" s="472"/>
      <c r="P5" s="472"/>
      <c r="Q5" s="472"/>
      <c r="R5" s="472"/>
      <c r="S5" s="472"/>
      <c r="T5" s="472"/>
    </row>
    <row r="6" spans="3:20" ht="12.75" customHeight="1">
      <c r="C6" s="472" t="s">
        <v>228</v>
      </c>
      <c r="D6" s="472"/>
      <c r="E6" s="472"/>
      <c r="F6" s="472"/>
      <c r="G6" s="472"/>
      <c r="H6" s="472"/>
      <c r="I6" s="472"/>
      <c r="J6" s="472"/>
      <c r="M6" s="472" t="s">
        <v>228</v>
      </c>
      <c r="N6" s="472"/>
      <c r="O6" s="472"/>
      <c r="P6" s="472"/>
      <c r="Q6" s="472"/>
      <c r="R6" s="472"/>
      <c r="S6" s="472"/>
      <c r="T6" s="472"/>
    </row>
    <row r="7" spans="3:20" ht="12.75" customHeight="1">
      <c r="C7" s="472" t="s">
        <v>229</v>
      </c>
      <c r="D7" s="472"/>
      <c r="E7" s="472"/>
      <c r="F7" s="472"/>
      <c r="G7" s="472"/>
      <c r="H7" s="472"/>
      <c r="I7" s="472"/>
      <c r="J7" s="472"/>
      <c r="M7" s="472" t="s">
        <v>229</v>
      </c>
      <c r="N7" s="472"/>
      <c r="O7" s="472"/>
      <c r="P7" s="472"/>
      <c r="Q7" s="472"/>
      <c r="R7" s="472"/>
      <c r="S7" s="472"/>
      <c r="T7" s="472"/>
    </row>
    <row r="8" spans="3:20" ht="12.75" customHeight="1">
      <c r="C8" s="472" t="s">
        <v>249</v>
      </c>
      <c r="D8" s="472"/>
      <c r="E8" s="472"/>
      <c r="F8" s="472"/>
      <c r="G8" s="472"/>
      <c r="H8" s="472"/>
      <c r="I8" s="472"/>
      <c r="J8" s="472"/>
      <c r="M8" s="472" t="s">
        <v>249</v>
      </c>
      <c r="N8" s="472"/>
      <c r="O8" s="472"/>
      <c r="P8" s="472"/>
      <c r="Q8" s="472"/>
      <c r="R8" s="472"/>
      <c r="S8" s="472"/>
      <c r="T8" s="472"/>
    </row>
    <row r="9" spans="3:20" ht="12.75" customHeight="1">
      <c r="C9" s="472" t="s">
        <v>231</v>
      </c>
      <c r="D9" s="472"/>
      <c r="E9" s="472"/>
      <c r="F9" s="472"/>
      <c r="G9" s="472"/>
      <c r="H9" s="472"/>
      <c r="I9" s="472"/>
      <c r="J9" s="472"/>
      <c r="M9" s="472" t="s">
        <v>264</v>
      </c>
      <c r="N9" s="472"/>
      <c r="O9" s="472"/>
      <c r="P9" s="472"/>
      <c r="Q9" s="472"/>
      <c r="R9" s="472"/>
      <c r="S9" s="472"/>
      <c r="T9" s="472"/>
    </row>
    <row r="10" spans="3:20">
      <c r="C10" s="544"/>
      <c r="D10" s="544"/>
      <c r="E10" s="544"/>
      <c r="F10" s="544"/>
      <c r="G10" s="544"/>
      <c r="H10" s="544"/>
      <c r="I10" s="544"/>
      <c r="J10" s="544"/>
      <c r="M10" s="544"/>
      <c r="N10" s="544"/>
      <c r="O10" s="544"/>
      <c r="P10" s="544"/>
      <c r="Q10" s="544"/>
      <c r="R10" s="544"/>
      <c r="S10" s="544"/>
      <c r="T10" s="544"/>
    </row>
    <row r="11" spans="3:20">
      <c r="C11" s="544"/>
      <c r="D11" s="544"/>
      <c r="E11" s="544"/>
      <c r="F11" s="544"/>
      <c r="G11" s="544"/>
      <c r="H11" s="544"/>
      <c r="I11" s="544"/>
      <c r="J11" s="544"/>
      <c r="M11" s="544"/>
      <c r="N11" s="544"/>
      <c r="O11" s="544"/>
      <c r="P11" s="544"/>
      <c r="Q11" s="544"/>
      <c r="R11" s="544"/>
      <c r="S11" s="544"/>
      <c r="T11" s="544"/>
    </row>
    <row r="12" spans="3:20" ht="12.75" customHeight="1">
      <c r="C12" s="547" t="s">
        <v>232</v>
      </c>
      <c r="D12" s="547"/>
      <c r="E12" s="547"/>
      <c r="F12" s="547"/>
      <c r="G12" s="547"/>
      <c r="H12" s="547"/>
      <c r="I12" s="547"/>
      <c r="J12" s="547"/>
      <c r="M12" s="547" t="s">
        <v>265</v>
      </c>
      <c r="N12" s="547"/>
      <c r="O12" s="547"/>
      <c r="P12" s="547"/>
      <c r="Q12" s="547"/>
      <c r="R12" s="547"/>
      <c r="S12" s="547"/>
      <c r="T12" s="547"/>
    </row>
    <row r="13" spans="3:20" ht="12.75" customHeight="1">
      <c r="C13" s="547" t="s">
        <v>29</v>
      </c>
      <c r="D13" s="547"/>
      <c r="E13" s="547"/>
      <c r="F13" s="547"/>
      <c r="G13" s="547"/>
      <c r="H13" s="547"/>
      <c r="I13" s="547"/>
      <c r="J13" s="547"/>
      <c r="M13" s="547" t="s">
        <v>29</v>
      </c>
      <c r="N13" s="547"/>
      <c r="O13" s="547"/>
      <c r="P13" s="547"/>
      <c r="Q13" s="547"/>
      <c r="R13" s="547"/>
      <c r="S13" s="547"/>
      <c r="T13" s="547"/>
    </row>
    <row r="14" spans="3:20">
      <c r="C14" s="544"/>
      <c r="D14" s="544"/>
      <c r="E14" s="544"/>
      <c r="F14" s="544"/>
      <c r="G14" s="544"/>
      <c r="H14" s="544"/>
      <c r="I14" s="544"/>
      <c r="J14" s="544"/>
      <c r="M14" s="544"/>
      <c r="N14" s="544"/>
      <c r="O14" s="544"/>
      <c r="P14" s="544"/>
      <c r="Q14" s="544"/>
      <c r="R14" s="544"/>
      <c r="S14" s="544"/>
      <c r="T14" s="544"/>
    </row>
    <row r="15" spans="3:20">
      <c r="C15" s="545"/>
      <c r="D15" s="545"/>
      <c r="E15" s="545"/>
      <c r="F15" s="545"/>
      <c r="G15" s="545"/>
      <c r="H15" s="545"/>
      <c r="I15" s="545"/>
      <c r="J15" s="545"/>
      <c r="M15" s="545"/>
      <c r="N15" s="545"/>
      <c r="O15" s="545"/>
      <c r="P15" s="545"/>
      <c r="Q15" s="545"/>
      <c r="R15" s="545"/>
      <c r="S15" s="545"/>
      <c r="T15" s="545"/>
    </row>
    <row r="16" spans="3:20" ht="12.75" customHeight="1">
      <c r="C16" s="545" t="s">
        <v>233</v>
      </c>
      <c r="D16" s="545"/>
      <c r="E16" s="545"/>
      <c r="F16" s="545"/>
      <c r="G16" s="545"/>
      <c r="H16" s="545"/>
      <c r="I16" s="545"/>
      <c r="J16" s="545"/>
      <c r="M16" s="545" t="s">
        <v>233</v>
      </c>
      <c r="N16" s="545"/>
      <c r="O16" s="545"/>
      <c r="P16" s="545"/>
      <c r="Q16" s="545"/>
      <c r="R16" s="545"/>
      <c r="S16" s="545"/>
      <c r="T16" s="545"/>
    </row>
    <row r="17" spans="3:20">
      <c r="C17" s="546"/>
      <c r="D17" s="546"/>
      <c r="E17" s="546"/>
      <c r="F17" s="546"/>
      <c r="G17" s="546"/>
      <c r="H17" s="546"/>
      <c r="I17" s="546"/>
      <c r="J17" s="546"/>
      <c r="M17" s="546"/>
      <c r="N17" s="546"/>
      <c r="O17" s="546"/>
      <c r="P17" s="546"/>
      <c r="Q17" s="546"/>
      <c r="R17" s="546"/>
      <c r="S17" s="546"/>
      <c r="T17" s="546"/>
    </row>
    <row r="18" spans="3:20" ht="39" thickBot="1">
      <c r="C18" s="219" t="s">
        <v>30</v>
      </c>
      <c r="D18" s="220" t="s">
        <v>31</v>
      </c>
      <c r="E18" s="220" t="s">
        <v>32</v>
      </c>
      <c r="F18" s="220" t="s">
        <v>33</v>
      </c>
      <c r="G18" s="220" t="s">
        <v>34</v>
      </c>
      <c r="H18" s="220" t="s">
        <v>35</v>
      </c>
      <c r="I18" s="220" t="s">
        <v>36</v>
      </c>
      <c r="J18" s="221" t="s">
        <v>37</v>
      </c>
      <c r="M18" s="219" t="s">
        <v>30</v>
      </c>
      <c r="N18" s="220" t="s">
        <v>31</v>
      </c>
      <c r="O18" s="220" t="s">
        <v>32</v>
      </c>
      <c r="P18" s="220" t="s">
        <v>33</v>
      </c>
      <c r="Q18" s="220" t="s">
        <v>34</v>
      </c>
      <c r="R18" s="220" t="s">
        <v>35</v>
      </c>
      <c r="S18" s="220" t="s">
        <v>36</v>
      </c>
      <c r="T18" s="221" t="s">
        <v>37</v>
      </c>
    </row>
    <row r="19" spans="3:20" ht="26.25" thickBot="1">
      <c r="C19" s="222" t="s">
        <v>38</v>
      </c>
      <c r="D19" s="298">
        <v>471</v>
      </c>
      <c r="E19" s="248">
        <v>1787</v>
      </c>
      <c r="F19" s="248">
        <v>2572</v>
      </c>
      <c r="G19" s="216" t="s">
        <v>250</v>
      </c>
      <c r="H19" s="216" t="s">
        <v>251</v>
      </c>
      <c r="I19" s="298">
        <v>499</v>
      </c>
      <c r="J19" s="223">
        <v>5342</v>
      </c>
      <c r="M19" s="222" t="s">
        <v>38</v>
      </c>
      <c r="N19" s="298">
        <v>790</v>
      </c>
      <c r="O19" s="248">
        <v>5443</v>
      </c>
      <c r="P19" s="248">
        <v>1615</v>
      </c>
      <c r="Q19" s="216" t="s">
        <v>266</v>
      </c>
      <c r="R19" s="216" t="s">
        <v>267</v>
      </c>
      <c r="S19" s="248">
        <v>1031</v>
      </c>
      <c r="T19" s="223">
        <v>8917</v>
      </c>
    </row>
    <row r="20" spans="3:20" ht="13.5" thickBot="1">
      <c r="C20" s="222"/>
      <c r="D20" s="217">
        <v>8.7999999999999995E-2</v>
      </c>
      <c r="E20" s="217">
        <v>0.33500000000000002</v>
      </c>
      <c r="F20" s="217">
        <v>0.48099999999999998</v>
      </c>
      <c r="G20" s="216" t="s">
        <v>39</v>
      </c>
      <c r="H20" s="216" t="s">
        <v>224</v>
      </c>
      <c r="I20" s="217">
        <v>9.2999999999999999E-2</v>
      </c>
      <c r="J20" s="224">
        <v>1</v>
      </c>
      <c r="M20" s="222"/>
      <c r="N20" s="217">
        <v>8.8999999999999996E-2</v>
      </c>
      <c r="O20" s="217">
        <v>0.61</v>
      </c>
      <c r="P20" s="217">
        <v>0.18099999999999999</v>
      </c>
      <c r="Q20" s="216" t="s">
        <v>224</v>
      </c>
      <c r="R20" s="216" t="s">
        <v>224</v>
      </c>
      <c r="S20" s="217">
        <v>0.11600000000000001</v>
      </c>
      <c r="T20" s="224">
        <v>1</v>
      </c>
    </row>
    <row r="21" spans="3:20" ht="13.5" thickBot="1">
      <c r="C21" s="222" t="s">
        <v>40</v>
      </c>
      <c r="D21" s="216" t="s">
        <v>252</v>
      </c>
      <c r="E21" s="216">
        <v>10</v>
      </c>
      <c r="F21" s="298">
        <v>73</v>
      </c>
      <c r="G21" s="298"/>
      <c r="H21" s="298"/>
      <c r="I21" s="298">
        <v>38</v>
      </c>
      <c r="J21" s="225">
        <v>136</v>
      </c>
      <c r="M21" s="222" t="s">
        <v>40</v>
      </c>
      <c r="N21" s="298">
        <v>94</v>
      </c>
      <c r="O21" s="298">
        <v>32</v>
      </c>
      <c r="P21" s="298">
        <v>497</v>
      </c>
      <c r="Q21" s="216" t="s">
        <v>268</v>
      </c>
      <c r="R21" s="216" t="s">
        <v>268</v>
      </c>
      <c r="S21" s="298">
        <v>317</v>
      </c>
      <c r="T21" s="225">
        <v>962</v>
      </c>
    </row>
    <row r="22" spans="3:20" ht="13.5" thickBot="1">
      <c r="C22" s="222"/>
      <c r="D22" s="216" t="s">
        <v>253</v>
      </c>
      <c r="E22" s="216" t="s">
        <v>254</v>
      </c>
      <c r="F22" s="217">
        <v>0.53700000000000003</v>
      </c>
      <c r="G22" s="298"/>
      <c r="H22" s="298"/>
      <c r="I22" s="217">
        <v>0.27900000000000003</v>
      </c>
      <c r="J22" s="224">
        <v>1</v>
      </c>
      <c r="M22" s="222"/>
      <c r="N22" s="217">
        <v>9.8000000000000004E-2</v>
      </c>
      <c r="O22" s="217">
        <v>3.3000000000000002E-2</v>
      </c>
      <c r="P22" s="217">
        <v>0.51700000000000002</v>
      </c>
      <c r="Q22" s="216" t="s">
        <v>269</v>
      </c>
      <c r="R22" s="216" t="s">
        <v>269</v>
      </c>
      <c r="S22" s="217">
        <v>0.33</v>
      </c>
      <c r="T22" s="224">
        <v>1</v>
      </c>
    </row>
    <row r="23" spans="3:20" ht="13.5" thickBot="1">
      <c r="C23" s="222" t="s">
        <v>41</v>
      </c>
      <c r="D23" s="216" t="s">
        <v>255</v>
      </c>
      <c r="E23" s="216" t="s">
        <v>256</v>
      </c>
      <c r="F23" s="216" t="s">
        <v>257</v>
      </c>
      <c r="G23" s="216" t="s">
        <v>258</v>
      </c>
      <c r="H23" s="298"/>
      <c r="I23" s="216" t="s">
        <v>259</v>
      </c>
      <c r="J23" s="225">
        <v>27</v>
      </c>
      <c r="M23" s="222" t="s">
        <v>41</v>
      </c>
      <c r="N23" s="298">
        <v>62</v>
      </c>
      <c r="O23" s="216" t="s">
        <v>258</v>
      </c>
      <c r="P23" s="298">
        <v>138</v>
      </c>
      <c r="Q23" s="298">
        <v>179</v>
      </c>
      <c r="R23" s="298"/>
      <c r="S23" s="298">
        <v>48</v>
      </c>
      <c r="T23" s="225">
        <v>432</v>
      </c>
    </row>
    <row r="24" spans="3:20" ht="13.5" thickBot="1">
      <c r="C24" s="222"/>
      <c r="D24" s="216" t="s">
        <v>260</v>
      </c>
      <c r="E24" s="216" t="s">
        <v>254</v>
      </c>
      <c r="F24" s="216" t="s">
        <v>242</v>
      </c>
      <c r="G24" s="216" t="s">
        <v>247</v>
      </c>
      <c r="H24" s="298"/>
      <c r="I24" s="216" t="s">
        <v>261</v>
      </c>
      <c r="J24" s="224">
        <v>1</v>
      </c>
      <c r="M24" s="222"/>
      <c r="N24" s="217">
        <v>0.14399999999999999</v>
      </c>
      <c r="O24" s="216" t="s">
        <v>270</v>
      </c>
      <c r="P24" s="217">
        <v>0.31900000000000001</v>
      </c>
      <c r="Q24" s="217">
        <v>0.41399999999999998</v>
      </c>
      <c r="R24" s="298"/>
      <c r="S24" s="217">
        <v>0.111</v>
      </c>
      <c r="T24" s="224">
        <v>1</v>
      </c>
    </row>
    <row r="25" spans="3:20" ht="13.5" thickBot="1">
      <c r="C25" s="222" t="s">
        <v>42</v>
      </c>
      <c r="D25" s="298"/>
      <c r="E25" s="216" t="s">
        <v>262</v>
      </c>
      <c r="F25" s="216" t="s">
        <v>262</v>
      </c>
      <c r="G25" s="298"/>
      <c r="H25" s="298"/>
      <c r="I25" s="298"/>
      <c r="J25" s="225">
        <v>2</v>
      </c>
      <c r="M25" s="222" t="s">
        <v>42</v>
      </c>
      <c r="N25" s="298"/>
      <c r="O25" s="298"/>
      <c r="P25" s="298"/>
      <c r="Q25" s="298"/>
      <c r="R25" s="298"/>
      <c r="S25" s="216" t="s">
        <v>262</v>
      </c>
      <c r="T25" s="225">
        <v>1</v>
      </c>
    </row>
    <row r="26" spans="3:20" ht="13.5" thickBot="1">
      <c r="C26" s="222"/>
      <c r="D26" s="298"/>
      <c r="E26" s="216" t="s">
        <v>263</v>
      </c>
      <c r="F26" s="216" t="s">
        <v>263</v>
      </c>
      <c r="G26" s="298"/>
      <c r="H26" s="298"/>
      <c r="I26" s="298"/>
      <c r="J26" s="224">
        <v>1</v>
      </c>
      <c r="M26" s="222"/>
      <c r="N26" s="298"/>
      <c r="O26" s="298"/>
      <c r="P26" s="298"/>
      <c r="Q26" s="298"/>
      <c r="R26" s="298"/>
      <c r="S26" s="216" t="s">
        <v>225</v>
      </c>
      <c r="T26" s="224">
        <v>1</v>
      </c>
    </row>
    <row r="27" spans="3:20" ht="13.5" thickBot="1">
      <c r="C27" s="222" t="s">
        <v>43</v>
      </c>
      <c r="D27" s="298"/>
      <c r="E27" s="298"/>
      <c r="F27" s="298"/>
      <c r="G27" s="298"/>
      <c r="H27" s="298"/>
      <c r="I27" s="216" t="s">
        <v>256</v>
      </c>
      <c r="J27" s="225">
        <v>2</v>
      </c>
      <c r="M27" s="222" t="s">
        <v>43</v>
      </c>
      <c r="N27" s="216" t="s">
        <v>262</v>
      </c>
      <c r="O27" s="298"/>
      <c r="P27" s="216" t="s">
        <v>262</v>
      </c>
      <c r="Q27" s="298"/>
      <c r="R27" s="298"/>
      <c r="S27" s="216" t="s">
        <v>271</v>
      </c>
      <c r="T27" s="225">
        <v>8</v>
      </c>
    </row>
    <row r="28" spans="3:20" ht="13.5" thickBot="1">
      <c r="C28" s="222"/>
      <c r="D28" s="298"/>
      <c r="E28" s="298"/>
      <c r="F28" s="298"/>
      <c r="G28" s="298"/>
      <c r="H28" s="298"/>
      <c r="I28" s="216" t="s">
        <v>225</v>
      </c>
      <c r="J28" s="224">
        <v>1</v>
      </c>
      <c r="M28" s="222"/>
      <c r="N28" s="216" t="s">
        <v>272</v>
      </c>
      <c r="O28" s="298"/>
      <c r="P28" s="216" t="s">
        <v>272</v>
      </c>
      <c r="Q28" s="298"/>
      <c r="R28" s="298"/>
      <c r="S28" s="216" t="s">
        <v>273</v>
      </c>
      <c r="T28" s="224">
        <v>1</v>
      </c>
    </row>
    <row r="29" spans="3:20" ht="13.5" thickBot="1">
      <c r="C29" s="226" t="s">
        <v>37</v>
      </c>
      <c r="D29" s="433">
        <v>490</v>
      </c>
      <c r="E29" s="218">
        <v>1800</v>
      </c>
      <c r="F29" s="218">
        <v>2653</v>
      </c>
      <c r="G29" s="433">
        <v>8</v>
      </c>
      <c r="H29" s="433">
        <v>10</v>
      </c>
      <c r="I29" s="433">
        <v>548</v>
      </c>
      <c r="J29" s="227">
        <v>5509</v>
      </c>
      <c r="M29" s="226" t="s">
        <v>37</v>
      </c>
      <c r="N29" s="433">
        <v>947</v>
      </c>
      <c r="O29" s="218">
        <v>5480</v>
      </c>
      <c r="P29" s="218">
        <v>2251</v>
      </c>
      <c r="Q29" s="433">
        <v>207</v>
      </c>
      <c r="R29" s="433">
        <v>32</v>
      </c>
      <c r="S29" s="218">
        <v>1403</v>
      </c>
      <c r="T29" s="227">
        <v>10320</v>
      </c>
    </row>
    <row r="30" spans="3:20">
      <c r="C30" s="228"/>
      <c r="D30" s="229">
        <v>8.8999999999999996E-2</v>
      </c>
      <c r="E30" s="229">
        <v>0.32700000000000001</v>
      </c>
      <c r="F30" s="229">
        <v>0.48199999999999998</v>
      </c>
      <c r="G30" s="229">
        <v>1E-3</v>
      </c>
      <c r="H30" s="229">
        <v>2E-3</v>
      </c>
      <c r="I30" s="229">
        <v>9.9000000000000005E-2</v>
      </c>
      <c r="J30" s="230">
        <v>1</v>
      </c>
      <c r="M30" s="228"/>
      <c r="N30" s="229">
        <v>9.1999999999999998E-2</v>
      </c>
      <c r="O30" s="229">
        <v>0.53100000000000003</v>
      </c>
      <c r="P30" s="229">
        <v>0.218</v>
      </c>
      <c r="Q30" s="229">
        <v>0.02</v>
      </c>
      <c r="R30" s="229">
        <v>3.0000000000000001E-3</v>
      </c>
      <c r="S30" s="229">
        <v>0.13600000000000001</v>
      </c>
      <c r="T30" s="230">
        <v>1</v>
      </c>
    </row>
    <row r="32" spans="3:20">
      <c r="C32" s="438"/>
      <c r="D32" s="438"/>
      <c r="E32" s="99"/>
      <c r="F32" s="440" t="s">
        <v>44</v>
      </c>
      <c r="G32" s="439">
        <f>SUM(E19,F19,E21,F21)</f>
        <v>4442</v>
      </c>
      <c r="H32" s="99"/>
      <c r="M32" s="441"/>
      <c r="N32" s="441"/>
      <c r="O32" s="441"/>
      <c r="P32" s="448" t="s">
        <v>44</v>
      </c>
      <c r="Q32" s="446">
        <f>SUM(O19,P19,O21,P21)</f>
        <v>7587</v>
      </c>
    </row>
    <row r="33" spans="3:20">
      <c r="M33" s="441"/>
      <c r="N33" s="441"/>
      <c r="O33" s="441"/>
      <c r="P33" s="441"/>
      <c r="Q33" s="441"/>
    </row>
    <row r="34" spans="3:20" ht="63.75">
      <c r="C34" s="447" t="s">
        <v>17</v>
      </c>
      <c r="D34" s="444" t="s">
        <v>18</v>
      </c>
      <c r="E34" s="444" t="s">
        <v>19</v>
      </c>
      <c r="M34" s="447" t="s">
        <v>17</v>
      </c>
      <c r="N34" s="444" t="s">
        <v>18</v>
      </c>
      <c r="O34" s="444" t="s">
        <v>19</v>
      </c>
      <c r="P34" s="441"/>
      <c r="Q34" s="441"/>
    </row>
    <row r="35" spans="3:20" ht="25.5">
      <c r="C35" s="444" t="s">
        <v>20</v>
      </c>
      <c r="D35" s="445">
        <f>E19/G32</f>
        <v>0.40229626294461956</v>
      </c>
      <c r="E35" s="445">
        <f>E21/G32</f>
        <v>2.2512381809995496E-3</v>
      </c>
      <c r="M35" s="444" t="s">
        <v>20</v>
      </c>
      <c r="N35" s="445">
        <f>O19/Q32</f>
        <v>0.71741136153947538</v>
      </c>
      <c r="O35" s="445">
        <f>O21/Q32</f>
        <v>4.2177408725451431E-3</v>
      </c>
      <c r="P35" s="441"/>
      <c r="Q35" s="441"/>
    </row>
    <row r="36" spans="3:20" ht="25.5">
      <c r="C36" s="444" t="s">
        <v>21</v>
      </c>
      <c r="D36" s="445">
        <f>F19/G32</f>
        <v>0.57901846015308422</v>
      </c>
      <c r="E36" s="445">
        <f>F21/G32</f>
        <v>1.6434038721296715E-2</v>
      </c>
      <c r="M36" s="444" t="s">
        <v>21</v>
      </c>
      <c r="N36" s="445">
        <f>P19/Q32</f>
        <v>0.21286410966126268</v>
      </c>
      <c r="O36" s="445">
        <f>P21/Q32</f>
        <v>6.5506787926716756E-2</v>
      </c>
      <c r="P36" s="441"/>
      <c r="Q36" s="441"/>
    </row>
    <row r="39" spans="3:20" ht="12.75" customHeight="1">
      <c r="C39" s="472" t="s">
        <v>226</v>
      </c>
      <c r="D39" s="472"/>
      <c r="E39" s="472"/>
      <c r="F39" s="472"/>
      <c r="G39" s="472"/>
      <c r="H39" s="472"/>
      <c r="I39" s="472"/>
      <c r="J39" s="472"/>
      <c r="M39" s="472" t="s">
        <v>226</v>
      </c>
      <c r="N39" s="472"/>
      <c r="O39" s="472"/>
      <c r="P39" s="472"/>
      <c r="Q39" s="472"/>
      <c r="R39" s="472"/>
      <c r="S39" s="472"/>
      <c r="T39" s="472"/>
    </row>
    <row r="40" spans="3:20" ht="12.75" customHeight="1">
      <c r="C40" s="472" t="s">
        <v>227</v>
      </c>
      <c r="D40" s="472"/>
      <c r="E40" s="472"/>
      <c r="F40" s="472"/>
      <c r="G40" s="472"/>
      <c r="H40" s="472"/>
      <c r="I40" s="472"/>
      <c r="J40" s="472"/>
      <c r="M40" s="472" t="s">
        <v>227</v>
      </c>
      <c r="N40" s="472"/>
      <c r="O40" s="472"/>
      <c r="P40" s="472"/>
      <c r="Q40" s="472"/>
      <c r="R40" s="472"/>
      <c r="S40" s="472"/>
      <c r="T40" s="472"/>
    </row>
    <row r="41" spans="3:20" ht="12.75" customHeight="1">
      <c r="C41" s="472" t="s">
        <v>228</v>
      </c>
      <c r="D41" s="472"/>
      <c r="E41" s="472"/>
      <c r="F41" s="472"/>
      <c r="G41" s="472"/>
      <c r="H41" s="472"/>
      <c r="I41" s="472"/>
      <c r="J41" s="472"/>
      <c r="M41" s="472" t="s">
        <v>228</v>
      </c>
      <c r="N41" s="472"/>
      <c r="O41" s="472"/>
      <c r="P41" s="472"/>
      <c r="Q41" s="472"/>
      <c r="R41" s="472"/>
      <c r="S41" s="472"/>
      <c r="T41" s="472"/>
    </row>
    <row r="42" spans="3:20" ht="12.75" customHeight="1">
      <c r="C42" s="472" t="s">
        <v>229</v>
      </c>
      <c r="D42" s="472"/>
      <c r="E42" s="472"/>
      <c r="F42" s="472"/>
      <c r="G42" s="472"/>
      <c r="H42" s="472"/>
      <c r="I42" s="472"/>
      <c r="J42" s="472"/>
      <c r="M42" s="472" t="s">
        <v>229</v>
      </c>
      <c r="N42" s="472"/>
      <c r="O42" s="472"/>
      <c r="P42" s="472"/>
      <c r="Q42" s="472"/>
      <c r="R42" s="472"/>
      <c r="S42" s="472"/>
      <c r="T42" s="472"/>
    </row>
    <row r="43" spans="3:20" ht="12.75" customHeight="1">
      <c r="C43" s="472" t="s">
        <v>230</v>
      </c>
      <c r="D43" s="472"/>
      <c r="E43" s="472"/>
      <c r="F43" s="472"/>
      <c r="G43" s="472"/>
      <c r="H43" s="472"/>
      <c r="I43" s="472"/>
      <c r="J43" s="472"/>
      <c r="M43" s="472" t="s">
        <v>249</v>
      </c>
      <c r="N43" s="472"/>
      <c r="O43" s="472"/>
      <c r="P43" s="472"/>
      <c r="Q43" s="472"/>
      <c r="R43" s="472"/>
      <c r="S43" s="472"/>
      <c r="T43" s="472"/>
    </row>
    <row r="44" spans="3:20" ht="12.75" customHeight="1">
      <c r="C44" s="472" t="s">
        <v>234</v>
      </c>
      <c r="D44" s="472"/>
      <c r="E44" s="472"/>
      <c r="F44" s="472"/>
      <c r="G44" s="472"/>
      <c r="H44" s="472"/>
      <c r="I44" s="472"/>
      <c r="J44" s="472"/>
      <c r="M44" s="472" t="s">
        <v>274</v>
      </c>
      <c r="N44" s="472"/>
      <c r="O44" s="472"/>
      <c r="P44" s="472"/>
      <c r="Q44" s="472"/>
      <c r="R44" s="472"/>
      <c r="S44" s="472"/>
      <c r="T44" s="472"/>
    </row>
    <row r="45" spans="3:20">
      <c r="C45" s="544"/>
      <c r="D45" s="544"/>
      <c r="E45" s="544"/>
      <c r="F45" s="544"/>
      <c r="G45" s="544"/>
      <c r="H45" s="544"/>
      <c r="I45" s="544"/>
      <c r="J45" s="544"/>
      <c r="M45" s="544"/>
      <c r="N45" s="544"/>
      <c r="O45" s="544"/>
      <c r="P45" s="544"/>
      <c r="Q45" s="544"/>
      <c r="R45" s="544"/>
      <c r="S45" s="544"/>
      <c r="T45" s="544"/>
    </row>
    <row r="46" spans="3:20">
      <c r="C46" s="544"/>
      <c r="D46" s="544"/>
      <c r="E46" s="544"/>
      <c r="F46" s="544"/>
      <c r="G46" s="544"/>
      <c r="H46" s="544"/>
      <c r="I46" s="544"/>
      <c r="J46" s="544"/>
      <c r="M46" s="544"/>
      <c r="N46" s="544"/>
      <c r="O46" s="544"/>
      <c r="P46" s="544"/>
      <c r="Q46" s="544"/>
      <c r="R46" s="544"/>
      <c r="S46" s="544"/>
      <c r="T46" s="544"/>
    </row>
    <row r="47" spans="3:20" ht="12.75" customHeight="1">
      <c r="C47" s="547" t="s">
        <v>235</v>
      </c>
      <c r="D47" s="547"/>
      <c r="E47" s="547"/>
      <c r="F47" s="547"/>
      <c r="G47" s="547"/>
      <c r="H47" s="547"/>
      <c r="I47" s="547"/>
      <c r="J47" s="547"/>
      <c r="M47" s="547" t="s">
        <v>275</v>
      </c>
      <c r="N47" s="547"/>
      <c r="O47" s="547"/>
      <c r="P47" s="547"/>
      <c r="Q47" s="547"/>
      <c r="R47" s="547"/>
      <c r="S47" s="547"/>
      <c r="T47" s="547"/>
    </row>
    <row r="48" spans="3:20" ht="12.75" customHeight="1">
      <c r="C48" s="547" t="s">
        <v>29</v>
      </c>
      <c r="D48" s="547"/>
      <c r="E48" s="547"/>
      <c r="F48" s="547"/>
      <c r="G48" s="547"/>
      <c r="H48" s="547"/>
      <c r="I48" s="547"/>
      <c r="J48" s="547"/>
      <c r="M48" s="547" t="s">
        <v>29</v>
      </c>
      <c r="N48" s="547"/>
      <c r="O48" s="547"/>
      <c r="P48" s="547"/>
      <c r="Q48" s="547"/>
      <c r="R48" s="547"/>
      <c r="S48" s="547"/>
      <c r="T48" s="547"/>
    </row>
    <row r="49" spans="3:20">
      <c r="C49" s="544"/>
      <c r="D49" s="544"/>
      <c r="E49" s="544"/>
      <c r="F49" s="544"/>
      <c r="G49" s="544"/>
      <c r="H49" s="544"/>
      <c r="I49" s="544"/>
      <c r="J49" s="544"/>
      <c r="M49" s="544"/>
      <c r="N49" s="544"/>
      <c r="O49" s="544"/>
      <c r="P49" s="544"/>
      <c r="Q49" s="544"/>
      <c r="R49" s="544"/>
      <c r="S49" s="544"/>
      <c r="T49" s="544"/>
    </row>
    <row r="50" spans="3:20">
      <c r="C50" s="545"/>
      <c r="D50" s="545"/>
      <c r="E50" s="545"/>
      <c r="F50" s="545"/>
      <c r="G50" s="545"/>
      <c r="H50" s="545"/>
      <c r="I50" s="545"/>
      <c r="J50" s="545"/>
      <c r="M50" s="545"/>
      <c r="N50" s="545"/>
      <c r="O50" s="545"/>
      <c r="P50" s="545"/>
      <c r="Q50" s="545"/>
      <c r="R50" s="545"/>
      <c r="S50" s="545"/>
      <c r="T50" s="545"/>
    </row>
    <row r="51" spans="3:20" ht="12.75" customHeight="1">
      <c r="C51" s="545" t="s">
        <v>233</v>
      </c>
      <c r="D51" s="545"/>
      <c r="E51" s="545"/>
      <c r="F51" s="545"/>
      <c r="G51" s="545"/>
      <c r="H51" s="545"/>
      <c r="I51" s="545"/>
      <c r="J51" s="545"/>
      <c r="M51" s="545" t="s">
        <v>233</v>
      </c>
      <c r="N51" s="545"/>
      <c r="O51" s="545"/>
      <c r="P51" s="545"/>
      <c r="Q51" s="545"/>
      <c r="R51" s="545"/>
      <c r="S51" s="545"/>
      <c r="T51" s="545"/>
    </row>
    <row r="52" spans="3:20">
      <c r="C52" s="546"/>
      <c r="D52" s="546"/>
      <c r="E52" s="546"/>
      <c r="F52" s="546"/>
      <c r="G52" s="546"/>
      <c r="H52" s="546"/>
      <c r="I52" s="546"/>
      <c r="J52" s="546"/>
      <c r="M52" s="546"/>
      <c r="N52" s="546"/>
      <c r="O52" s="546"/>
      <c r="P52" s="546"/>
      <c r="Q52" s="546"/>
      <c r="R52" s="546"/>
      <c r="S52" s="546"/>
      <c r="T52" s="546"/>
    </row>
    <row r="53" spans="3:20" ht="39" thickBot="1">
      <c r="C53" s="219" t="s">
        <v>30</v>
      </c>
      <c r="D53" s="220" t="s">
        <v>31</v>
      </c>
      <c r="E53" s="220" t="s">
        <v>32</v>
      </c>
      <c r="F53" s="220" t="s">
        <v>33</v>
      </c>
      <c r="G53" s="220" t="s">
        <v>34</v>
      </c>
      <c r="H53" s="220" t="s">
        <v>35</v>
      </c>
      <c r="I53" s="220" t="s">
        <v>36</v>
      </c>
      <c r="J53" s="221" t="s">
        <v>37</v>
      </c>
      <c r="M53" s="219" t="s">
        <v>30</v>
      </c>
      <c r="N53" s="220" t="s">
        <v>31</v>
      </c>
      <c r="O53" s="220" t="s">
        <v>32</v>
      </c>
      <c r="P53" s="220" t="s">
        <v>33</v>
      </c>
      <c r="Q53" s="220" t="s">
        <v>34</v>
      </c>
      <c r="R53" s="220" t="s">
        <v>35</v>
      </c>
      <c r="S53" s="220" t="s">
        <v>36</v>
      </c>
      <c r="T53" s="221" t="s">
        <v>37</v>
      </c>
    </row>
    <row r="54" spans="3:20" ht="26.25" thickBot="1">
      <c r="C54" s="222" t="s">
        <v>38</v>
      </c>
      <c r="D54" s="248">
        <v>71366</v>
      </c>
      <c r="E54" s="248">
        <v>426196</v>
      </c>
      <c r="F54" s="248">
        <v>200691</v>
      </c>
      <c r="G54" s="216" t="s">
        <v>236</v>
      </c>
      <c r="H54" s="216" t="s">
        <v>237</v>
      </c>
      <c r="I54" s="248">
        <v>110385</v>
      </c>
      <c r="J54" s="223">
        <v>809230</v>
      </c>
      <c r="M54" s="222" t="s">
        <v>38</v>
      </c>
      <c r="N54" s="298">
        <v>861</v>
      </c>
      <c r="O54" s="248">
        <v>6181</v>
      </c>
      <c r="P54" s="248">
        <v>1648</v>
      </c>
      <c r="Q54" s="216" t="s">
        <v>251</v>
      </c>
      <c r="R54" s="216" t="s">
        <v>276</v>
      </c>
      <c r="S54" s="248">
        <v>1025</v>
      </c>
      <c r="T54" s="223">
        <v>9747</v>
      </c>
    </row>
    <row r="55" spans="3:20" ht="13.5" thickBot="1">
      <c r="C55" s="222"/>
      <c r="D55" s="217">
        <v>8.7999999999999995E-2</v>
      </c>
      <c r="E55" s="217">
        <v>0.52700000000000002</v>
      </c>
      <c r="F55" s="217">
        <v>0.248</v>
      </c>
      <c r="G55" s="216" t="s">
        <v>238</v>
      </c>
      <c r="H55" s="216" t="s">
        <v>39</v>
      </c>
      <c r="I55" s="217">
        <v>0.13600000000000001</v>
      </c>
      <c r="J55" s="224">
        <v>1</v>
      </c>
      <c r="M55" s="222"/>
      <c r="N55" s="217">
        <v>8.7999999999999995E-2</v>
      </c>
      <c r="O55" s="217">
        <v>0.63400000000000001</v>
      </c>
      <c r="P55" s="217">
        <v>0.16900000000000001</v>
      </c>
      <c r="Q55" s="216" t="s">
        <v>39</v>
      </c>
      <c r="R55" s="216" t="s">
        <v>224</v>
      </c>
      <c r="S55" s="217">
        <v>0.105</v>
      </c>
      <c r="T55" s="224">
        <v>1</v>
      </c>
    </row>
    <row r="56" spans="3:20" ht="13.5" thickBot="1">
      <c r="C56" s="222" t="s">
        <v>40</v>
      </c>
      <c r="D56" s="216" t="s">
        <v>239</v>
      </c>
      <c r="E56" s="434">
        <v>5877</v>
      </c>
      <c r="F56" s="248">
        <v>9126</v>
      </c>
      <c r="G56" s="298"/>
      <c r="H56" s="298"/>
      <c r="I56" s="216" t="s">
        <v>240</v>
      </c>
      <c r="J56" s="223">
        <v>22648</v>
      </c>
      <c r="M56" s="222" t="s">
        <v>40</v>
      </c>
      <c r="N56" s="216" t="s">
        <v>266</v>
      </c>
      <c r="O56" s="298">
        <v>33</v>
      </c>
      <c r="P56" s="298">
        <v>58</v>
      </c>
      <c r="Q56" s="298"/>
      <c r="R56" s="298"/>
      <c r="S56" s="298">
        <v>38</v>
      </c>
      <c r="T56" s="225">
        <v>146</v>
      </c>
    </row>
    <row r="57" spans="3:20" ht="13.5" thickBot="1">
      <c r="C57" s="222"/>
      <c r="D57" s="216" t="s">
        <v>241</v>
      </c>
      <c r="E57" s="216" t="s">
        <v>242</v>
      </c>
      <c r="F57" s="217">
        <v>0.40300000000000002</v>
      </c>
      <c r="G57" s="298"/>
      <c r="H57" s="298"/>
      <c r="I57" s="216" t="s">
        <v>243</v>
      </c>
      <c r="J57" s="224">
        <v>1</v>
      </c>
      <c r="M57" s="222"/>
      <c r="N57" s="216" t="s">
        <v>277</v>
      </c>
      <c r="O57" s="217">
        <v>0.22600000000000001</v>
      </c>
      <c r="P57" s="217">
        <v>0.39700000000000002</v>
      </c>
      <c r="Q57" s="298"/>
      <c r="R57" s="298"/>
      <c r="S57" s="217">
        <v>0.26</v>
      </c>
      <c r="T57" s="224">
        <v>1</v>
      </c>
    </row>
    <row r="58" spans="3:20" ht="13.5" thickBot="1">
      <c r="C58" s="222" t="s">
        <v>41</v>
      </c>
      <c r="D58" s="298"/>
      <c r="E58" s="298"/>
      <c r="F58" s="216" t="s">
        <v>244</v>
      </c>
      <c r="G58" s="216" t="s">
        <v>189</v>
      </c>
      <c r="H58" s="298"/>
      <c r="I58" s="216" t="s">
        <v>245</v>
      </c>
      <c r="J58" s="225">
        <v>583</v>
      </c>
      <c r="M58" s="222" t="s">
        <v>41</v>
      </c>
      <c r="N58" s="298"/>
      <c r="O58" s="216" t="s">
        <v>255</v>
      </c>
      <c r="P58" s="216" t="s">
        <v>256</v>
      </c>
      <c r="Q58" s="298"/>
      <c r="R58" s="298"/>
      <c r="S58" s="216" t="s">
        <v>255</v>
      </c>
      <c r="T58" s="225">
        <v>10</v>
      </c>
    </row>
    <row r="59" spans="3:20" ht="13.5" thickBot="1">
      <c r="C59" s="222"/>
      <c r="D59" s="298"/>
      <c r="E59" s="298"/>
      <c r="F59" s="216" t="s">
        <v>246</v>
      </c>
      <c r="G59" s="216" t="s">
        <v>247</v>
      </c>
      <c r="H59" s="298"/>
      <c r="I59" s="216" t="s">
        <v>248</v>
      </c>
      <c r="J59" s="224">
        <v>1</v>
      </c>
      <c r="M59" s="222"/>
      <c r="N59" s="298"/>
      <c r="O59" s="216" t="s">
        <v>278</v>
      </c>
      <c r="P59" s="216" t="s">
        <v>279</v>
      </c>
      <c r="Q59" s="298"/>
      <c r="R59" s="298"/>
      <c r="S59" s="216" t="s">
        <v>278</v>
      </c>
      <c r="T59" s="224">
        <v>1</v>
      </c>
    </row>
    <row r="60" spans="3:20" ht="13.5" thickBot="1">
      <c r="C60" s="222" t="s">
        <v>42</v>
      </c>
      <c r="D60" s="298"/>
      <c r="E60" s="298"/>
      <c r="F60" s="298"/>
      <c r="G60" s="298"/>
      <c r="H60" s="298"/>
      <c r="I60" s="298"/>
      <c r="J60" s="225"/>
      <c r="M60" s="222" t="s">
        <v>42</v>
      </c>
      <c r="N60" s="298"/>
      <c r="O60" s="298"/>
      <c r="P60" s="298"/>
      <c r="Q60" s="298"/>
      <c r="R60" s="298"/>
      <c r="S60" s="216" t="s">
        <v>262</v>
      </c>
      <c r="T60" s="225">
        <v>1</v>
      </c>
    </row>
    <row r="61" spans="3:20" ht="13.5" thickBot="1">
      <c r="C61" s="222"/>
      <c r="D61" s="298"/>
      <c r="E61" s="298"/>
      <c r="F61" s="298"/>
      <c r="G61" s="298"/>
      <c r="H61" s="298"/>
      <c r="I61" s="298"/>
      <c r="J61" s="225"/>
      <c r="M61" s="222"/>
      <c r="N61" s="298"/>
      <c r="O61" s="298"/>
      <c r="P61" s="298"/>
      <c r="Q61" s="298"/>
      <c r="R61" s="298"/>
      <c r="S61" s="216" t="s">
        <v>225</v>
      </c>
      <c r="T61" s="224">
        <v>1</v>
      </c>
    </row>
    <row r="62" spans="3:20" ht="13.5" thickBot="1">
      <c r="C62" s="222" t="s">
        <v>43</v>
      </c>
      <c r="D62" s="298"/>
      <c r="E62" s="216" t="s">
        <v>189</v>
      </c>
      <c r="F62" s="298"/>
      <c r="G62" s="298"/>
      <c r="H62" s="298"/>
      <c r="I62" s="298"/>
      <c r="J62" s="225">
        <v>108</v>
      </c>
      <c r="M62" s="222" t="s">
        <v>43</v>
      </c>
      <c r="N62" s="298"/>
      <c r="O62" s="216" t="s">
        <v>262</v>
      </c>
      <c r="P62" s="216" t="s">
        <v>262</v>
      </c>
      <c r="Q62" s="298"/>
      <c r="R62" s="298"/>
      <c r="S62" s="216" t="s">
        <v>258</v>
      </c>
      <c r="T62" s="225">
        <v>7</v>
      </c>
    </row>
    <row r="63" spans="3:20" ht="13.5" thickBot="1">
      <c r="C63" s="222"/>
      <c r="D63" s="298"/>
      <c r="E63" s="216" t="s">
        <v>225</v>
      </c>
      <c r="F63" s="298"/>
      <c r="G63" s="298"/>
      <c r="H63" s="298"/>
      <c r="I63" s="298"/>
      <c r="J63" s="224">
        <v>1</v>
      </c>
      <c r="M63" s="222"/>
      <c r="N63" s="298"/>
      <c r="O63" s="216" t="s">
        <v>280</v>
      </c>
      <c r="P63" s="216" t="s">
        <v>280</v>
      </c>
      <c r="Q63" s="298"/>
      <c r="R63" s="298"/>
      <c r="S63" s="216" t="s">
        <v>281</v>
      </c>
      <c r="T63" s="224">
        <v>1</v>
      </c>
    </row>
    <row r="64" spans="3:20" ht="13.5" thickBot="1">
      <c r="C64" s="226" t="s">
        <v>37</v>
      </c>
      <c r="D64" s="218">
        <v>71808</v>
      </c>
      <c r="E64" s="218">
        <v>432181</v>
      </c>
      <c r="F64" s="218">
        <v>209937</v>
      </c>
      <c r="G64" s="433">
        <v>226</v>
      </c>
      <c r="H64" s="433">
        <v>474</v>
      </c>
      <c r="I64" s="218">
        <v>117942</v>
      </c>
      <c r="J64" s="227">
        <v>832568</v>
      </c>
      <c r="M64" s="226" t="s">
        <v>37</v>
      </c>
      <c r="N64" s="433">
        <v>878</v>
      </c>
      <c r="O64" s="218">
        <v>6219</v>
      </c>
      <c r="P64" s="218">
        <v>1709</v>
      </c>
      <c r="Q64" s="433">
        <v>10</v>
      </c>
      <c r="R64" s="433">
        <v>22</v>
      </c>
      <c r="S64" s="218">
        <v>1073</v>
      </c>
      <c r="T64" s="227">
        <v>9911</v>
      </c>
    </row>
    <row r="65" spans="2:20">
      <c r="C65" s="228"/>
      <c r="D65" s="229">
        <v>8.5999999999999993E-2</v>
      </c>
      <c r="E65" s="229">
        <v>0.51900000000000002</v>
      </c>
      <c r="F65" s="229">
        <v>0.252</v>
      </c>
      <c r="G65" s="229">
        <v>0</v>
      </c>
      <c r="H65" s="229">
        <v>1E-3</v>
      </c>
      <c r="I65" s="229">
        <v>0.14199999999999999</v>
      </c>
      <c r="J65" s="230">
        <v>1</v>
      </c>
      <c r="M65" s="228"/>
      <c r="N65" s="229">
        <v>8.8999999999999996E-2</v>
      </c>
      <c r="O65" s="229">
        <v>0.627</v>
      </c>
      <c r="P65" s="229">
        <v>0.17199999999999999</v>
      </c>
      <c r="Q65" s="229">
        <v>1E-3</v>
      </c>
      <c r="R65" s="229">
        <v>2E-3</v>
      </c>
      <c r="S65" s="229">
        <v>0.108</v>
      </c>
      <c r="T65" s="230">
        <v>1</v>
      </c>
    </row>
    <row r="66" spans="2:20">
      <c r="M66" s="441"/>
      <c r="N66" s="441"/>
      <c r="O66" s="441"/>
      <c r="P66" s="441"/>
      <c r="Q66" s="441"/>
      <c r="R66" s="441"/>
      <c r="S66" s="441"/>
      <c r="T66" s="441"/>
    </row>
    <row r="67" spans="2:20">
      <c r="C67" s="441"/>
      <c r="D67" s="441"/>
      <c r="E67" s="441"/>
      <c r="F67" s="448" t="s">
        <v>44</v>
      </c>
      <c r="G67" s="446">
        <f>SUM(E54,F54,E56,F56)</f>
        <v>641890</v>
      </c>
      <c r="M67" s="441"/>
      <c r="N67" s="441"/>
      <c r="O67" s="441"/>
      <c r="P67" s="448" t="s">
        <v>44</v>
      </c>
      <c r="Q67" s="446">
        <f>SUM(O54,P54,O56,P56)</f>
        <v>7920</v>
      </c>
      <c r="R67" s="441"/>
      <c r="S67" s="441"/>
      <c r="T67" s="441"/>
    </row>
    <row r="68" spans="2:20">
      <c r="C68" s="441"/>
      <c r="D68" s="441"/>
      <c r="E68" s="441"/>
      <c r="F68" s="441"/>
      <c r="G68" s="441"/>
      <c r="M68" s="441"/>
      <c r="N68" s="441"/>
      <c r="O68" s="441"/>
      <c r="P68" s="441"/>
      <c r="Q68" s="441"/>
      <c r="R68" s="441"/>
      <c r="S68" s="441"/>
      <c r="T68" s="441"/>
    </row>
    <row r="69" spans="2:20" ht="63.75">
      <c r="C69" s="447" t="s">
        <v>17</v>
      </c>
      <c r="D69" s="444" t="s">
        <v>18</v>
      </c>
      <c r="E69" s="444" t="s">
        <v>19</v>
      </c>
      <c r="F69" s="441"/>
      <c r="G69" s="441"/>
      <c r="M69" s="447" t="s">
        <v>17</v>
      </c>
      <c r="N69" s="444" t="s">
        <v>18</v>
      </c>
      <c r="O69" s="444" t="s">
        <v>19</v>
      </c>
      <c r="P69" s="441"/>
      <c r="Q69" s="441"/>
      <c r="R69" s="441"/>
      <c r="S69" s="441"/>
      <c r="T69" s="441"/>
    </row>
    <row r="70" spans="2:20" ht="25.5">
      <c r="C70" s="444" t="s">
        <v>20</v>
      </c>
      <c r="D70" s="445">
        <f>E54/G67</f>
        <v>0.6639704622287308</v>
      </c>
      <c r="E70" s="445">
        <f>E56/G67</f>
        <v>9.155774353861253E-3</v>
      </c>
      <c r="F70" s="441"/>
      <c r="G70" s="441"/>
      <c r="M70" s="444" t="s">
        <v>20</v>
      </c>
      <c r="N70" s="445">
        <f>O54/Q67</f>
        <v>0.78042929292929297</v>
      </c>
      <c r="O70" s="445">
        <f>O56/Q67</f>
        <v>4.1666666666666666E-3</v>
      </c>
      <c r="P70" s="441"/>
      <c r="Q70" s="441"/>
      <c r="R70" s="441"/>
      <c r="S70" s="441"/>
      <c r="T70" s="441"/>
    </row>
    <row r="71" spans="2:20" ht="25.5">
      <c r="C71" s="444" t="s">
        <v>21</v>
      </c>
      <c r="D71" s="445">
        <f>F54/G67</f>
        <v>0.31265637414510272</v>
      </c>
      <c r="E71" s="445">
        <f>F56/G67</f>
        <v>1.4217389272305224E-2</v>
      </c>
      <c r="F71" s="441"/>
      <c r="G71" s="441"/>
      <c r="M71" s="444" t="s">
        <v>21</v>
      </c>
      <c r="N71" s="445">
        <f>P54/Q67</f>
        <v>0.20808080808080809</v>
      </c>
      <c r="O71" s="445">
        <f>P56/Q67</f>
        <v>7.3232323232323236E-3</v>
      </c>
      <c r="P71" s="441"/>
      <c r="Q71" s="441"/>
      <c r="R71" s="441"/>
      <c r="S71" s="441"/>
      <c r="T71" s="441"/>
    </row>
    <row r="74" spans="2:20">
      <c r="B74" s="435" t="s">
        <v>285</v>
      </c>
    </row>
    <row r="75" spans="2:20" s="441" customFormat="1">
      <c r="B75" s="395"/>
      <c r="C75" s="444"/>
      <c r="D75" s="436" t="s">
        <v>18</v>
      </c>
      <c r="E75" s="436" t="s">
        <v>19</v>
      </c>
    </row>
    <row r="76" spans="2:20">
      <c r="B76" s="395" t="s">
        <v>95</v>
      </c>
      <c r="C76" s="436" t="s">
        <v>20</v>
      </c>
      <c r="D76" s="398">
        <f>D35</f>
        <v>0.40229626294461956</v>
      </c>
      <c r="E76" s="398">
        <f>E35</f>
        <v>2.2512381809995496E-3</v>
      </c>
    </row>
    <row r="77" spans="2:20">
      <c r="B77" s="395" t="s">
        <v>101</v>
      </c>
      <c r="C77" s="436"/>
      <c r="D77" s="398">
        <f>N35</f>
        <v>0.71741136153947538</v>
      </c>
      <c r="E77" s="398">
        <f>O35</f>
        <v>4.2177408725451431E-3</v>
      </c>
    </row>
    <row r="78" spans="2:20">
      <c r="B78" s="395" t="s">
        <v>180</v>
      </c>
      <c r="C78" s="436"/>
      <c r="D78" s="398">
        <f>D70</f>
        <v>0.6639704622287308</v>
      </c>
      <c r="E78" s="398">
        <f>E70</f>
        <v>9.155774353861253E-3</v>
      </c>
    </row>
    <row r="79" spans="2:20">
      <c r="B79" s="395" t="s">
        <v>202</v>
      </c>
      <c r="C79" s="436"/>
      <c r="D79" s="398">
        <f>N70</f>
        <v>0.78042929292929297</v>
      </c>
      <c r="E79" s="398">
        <f>O70</f>
        <v>4.1666666666666666E-3</v>
      </c>
    </row>
    <row r="80" spans="2:20">
      <c r="B80" s="395" t="s">
        <v>95</v>
      </c>
      <c r="C80" s="436" t="s">
        <v>21</v>
      </c>
      <c r="D80" s="398">
        <f>D36</f>
        <v>0.57901846015308422</v>
      </c>
      <c r="E80" s="398">
        <f>E36</f>
        <v>1.6434038721296715E-2</v>
      </c>
    </row>
    <row r="81" spans="2:5">
      <c r="B81" s="395" t="s">
        <v>101</v>
      </c>
      <c r="C81" s="395"/>
      <c r="D81" s="398">
        <f>N36</f>
        <v>0.21286410966126268</v>
      </c>
      <c r="E81" s="398">
        <f>O36</f>
        <v>6.5506787926716756E-2</v>
      </c>
    </row>
    <row r="82" spans="2:5">
      <c r="B82" s="395" t="s">
        <v>180</v>
      </c>
      <c r="C82" s="395"/>
      <c r="D82" s="398">
        <f>D71</f>
        <v>0.31265637414510272</v>
      </c>
      <c r="E82" s="398">
        <f>E71</f>
        <v>1.4217389272305224E-2</v>
      </c>
    </row>
    <row r="83" spans="2:5">
      <c r="B83" s="395" t="s">
        <v>202</v>
      </c>
      <c r="C83" s="395"/>
      <c r="D83" s="398">
        <f>N71</f>
        <v>0.20808080808080809</v>
      </c>
      <c r="E83" s="398">
        <f>O71</f>
        <v>7.3232323232323236E-3</v>
      </c>
    </row>
  </sheetData>
  <mergeCells count="56">
    <mergeCell ref="C16:J16"/>
    <mergeCell ref="C17:J17"/>
    <mergeCell ref="C4:J4"/>
    <mergeCell ref="C5:J5"/>
    <mergeCell ref="C6:J6"/>
    <mergeCell ref="C7:J7"/>
    <mergeCell ref="C8:J8"/>
    <mergeCell ref="C9:J9"/>
    <mergeCell ref="C10:J10"/>
    <mergeCell ref="C11:J11"/>
    <mergeCell ref="C12:J12"/>
    <mergeCell ref="C13:J13"/>
    <mergeCell ref="C14:J14"/>
    <mergeCell ref="C15:J15"/>
    <mergeCell ref="M14:T14"/>
    <mergeCell ref="M15:T15"/>
    <mergeCell ref="M16:T16"/>
    <mergeCell ref="M17:T17"/>
    <mergeCell ref="M4:T4"/>
    <mergeCell ref="M5:T5"/>
    <mergeCell ref="M6:T6"/>
    <mergeCell ref="M7:T7"/>
    <mergeCell ref="M8:T8"/>
    <mergeCell ref="M9:T9"/>
    <mergeCell ref="M10:T10"/>
    <mergeCell ref="M11:T11"/>
    <mergeCell ref="M12:T12"/>
    <mergeCell ref="M13:T13"/>
    <mergeCell ref="C49:J49"/>
    <mergeCell ref="C50:J50"/>
    <mergeCell ref="C51:J51"/>
    <mergeCell ref="C52:J52"/>
    <mergeCell ref="C39:J39"/>
    <mergeCell ref="C40:J40"/>
    <mergeCell ref="C41:J41"/>
    <mergeCell ref="C42:J42"/>
    <mergeCell ref="C43:J43"/>
    <mergeCell ref="C44:J44"/>
    <mergeCell ref="C45:J45"/>
    <mergeCell ref="C46:J46"/>
    <mergeCell ref="C47:J47"/>
    <mergeCell ref="C48:J48"/>
    <mergeCell ref="M39:T39"/>
    <mergeCell ref="M40:T40"/>
    <mergeCell ref="M41:T41"/>
    <mergeCell ref="M42:T42"/>
    <mergeCell ref="M43:T43"/>
    <mergeCell ref="M49:T49"/>
    <mergeCell ref="M50:T50"/>
    <mergeCell ref="M51:T51"/>
    <mergeCell ref="M52:T52"/>
    <mergeCell ref="M44:T44"/>
    <mergeCell ref="M45:T45"/>
    <mergeCell ref="M46:T46"/>
    <mergeCell ref="M47:T47"/>
    <mergeCell ref="M48:T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workbookViewId="0">
      <selection activeCell="B8" sqref="B8"/>
    </sheetView>
  </sheetViews>
  <sheetFormatPr defaultRowHeight="12.75"/>
  <cols>
    <col min="2" max="2" width="47" customWidth="1"/>
    <col min="3" max="3" width="31.7109375" customWidth="1"/>
    <col min="4" max="4" width="25" customWidth="1"/>
    <col min="5" max="5" width="34.85546875" customWidth="1"/>
    <col min="6" max="6" width="17.140625" customWidth="1"/>
  </cols>
  <sheetData>
    <row r="1" spans="2:6" s="99" customFormat="1"/>
    <row r="2" spans="2:6">
      <c r="B2" s="99"/>
      <c r="C2" s="99"/>
      <c r="D2" s="99"/>
    </row>
    <row r="3" spans="2:6" ht="14.25" customHeight="1">
      <c r="B3" s="458" t="s">
        <v>313</v>
      </c>
      <c r="C3" s="459"/>
      <c r="D3" s="460"/>
      <c r="E3" s="146"/>
      <c r="F3" s="146"/>
    </row>
    <row r="4" spans="2:6" ht="27">
      <c r="B4" s="152" t="s">
        <v>126</v>
      </c>
      <c r="C4" s="152" t="s">
        <v>127</v>
      </c>
      <c r="D4" s="152" t="s">
        <v>128</v>
      </c>
      <c r="E4" s="152" t="s">
        <v>135</v>
      </c>
      <c r="F4" s="152" t="s">
        <v>136</v>
      </c>
    </row>
    <row r="5" spans="2:6">
      <c r="B5" s="153"/>
      <c r="C5" s="154" t="s">
        <v>129</v>
      </c>
      <c r="D5" s="154" t="s">
        <v>130</v>
      </c>
      <c r="E5" s="154" t="s">
        <v>129</v>
      </c>
      <c r="F5" s="154" t="s">
        <v>130</v>
      </c>
    </row>
    <row r="6" spans="2:6" ht="14.25">
      <c r="B6" s="153" t="s">
        <v>131</v>
      </c>
      <c r="C6" s="153">
        <v>1.1499999999999999</v>
      </c>
      <c r="D6" s="153">
        <v>12</v>
      </c>
      <c r="E6" s="155">
        <f xml:space="preserve"> (C6+0.4051)/0.998</f>
        <v>1.5582164328657313</v>
      </c>
      <c r="F6" s="157">
        <f>(D6-0.5411)/0.9874</f>
        <v>11.605124569576665</v>
      </c>
    </row>
    <row r="7" spans="2:6" ht="14.25">
      <c r="B7" s="153" t="s">
        <v>132</v>
      </c>
      <c r="C7" s="153">
        <v>1.57</v>
      </c>
      <c r="D7" s="153">
        <v>6.5</v>
      </c>
      <c r="E7" s="155">
        <f xml:space="preserve"> (C7+0.4051)/0.998</f>
        <v>1.979058116232465</v>
      </c>
      <c r="F7" s="157">
        <f>(D7-0.5411)/0.9874</f>
        <v>6.0349402471136315</v>
      </c>
    </row>
    <row r="8" spans="2:6" ht="14.25">
      <c r="B8" s="153" t="s">
        <v>133</v>
      </c>
      <c r="C8" s="153">
        <v>1.1299999999999999</v>
      </c>
      <c r="D8" s="153">
        <v>8.3000000000000007</v>
      </c>
      <c r="E8" s="155">
        <f>( C8+0.1311)/0.8979</f>
        <v>1.4044993874596279</v>
      </c>
      <c r="F8" s="157">
        <f>(D8-0.1172)/1.0242</f>
        <v>7.9894551845342709</v>
      </c>
    </row>
    <row r="9" spans="2:6" ht="14.25">
      <c r="B9" s="231" t="s">
        <v>134</v>
      </c>
      <c r="C9" s="231">
        <v>1.84</v>
      </c>
      <c r="D9" s="231">
        <v>4.7</v>
      </c>
      <c r="E9" s="232">
        <f>( C9+0.1311)/0.8979</f>
        <v>2.1952333221962355</v>
      </c>
      <c r="F9" s="233">
        <f>(D9-0.1172)/1.0242</f>
        <v>4.4745166959578206</v>
      </c>
    </row>
    <row r="11" spans="2:6">
      <c r="B11" s="461" t="s">
        <v>311</v>
      </c>
      <c r="C11" s="462"/>
      <c r="D11" s="462"/>
      <c r="E11" s="395"/>
      <c r="F11" s="395"/>
    </row>
    <row r="12" spans="2:6" s="99" customFormat="1" ht="25.5">
      <c r="B12" s="463" t="s">
        <v>126</v>
      </c>
      <c r="C12" s="404" t="s">
        <v>211</v>
      </c>
      <c r="D12" s="404" t="s">
        <v>210</v>
      </c>
      <c r="E12" s="402" t="s">
        <v>208</v>
      </c>
      <c r="F12" s="402" t="s">
        <v>209</v>
      </c>
    </row>
    <row r="13" spans="2:6" s="99" customFormat="1" ht="14.25">
      <c r="B13" s="463"/>
      <c r="C13" s="402" t="s">
        <v>204</v>
      </c>
      <c r="D13" s="402" t="s">
        <v>205</v>
      </c>
      <c r="E13" s="402" t="s">
        <v>204</v>
      </c>
      <c r="F13" s="402" t="s">
        <v>205</v>
      </c>
    </row>
    <row r="14" spans="2:6" s="99" customFormat="1">
      <c r="B14" s="403" t="s">
        <v>206</v>
      </c>
      <c r="C14" s="396">
        <v>1.35</v>
      </c>
      <c r="D14" s="405">
        <v>8.8000000000000007</v>
      </c>
      <c r="E14" s="407" t="s">
        <v>312</v>
      </c>
      <c r="F14" s="406" t="s">
        <v>312</v>
      </c>
    </row>
    <row r="15" spans="2:6" s="99" customFormat="1">
      <c r="B15" s="403" t="s">
        <v>207</v>
      </c>
      <c r="C15" s="396">
        <v>2</v>
      </c>
      <c r="D15" s="405">
        <v>4.0999999999999996</v>
      </c>
      <c r="E15" s="407" t="s">
        <v>312</v>
      </c>
      <c r="F15" s="406" t="s">
        <v>312</v>
      </c>
    </row>
    <row r="16" spans="2:6" s="99" customFormat="1"/>
    <row r="17" spans="2:3" s="99" customFormat="1"/>
    <row r="18" spans="2:3" ht="25.5" customHeight="1">
      <c r="B18" s="456" t="s">
        <v>295</v>
      </c>
      <c r="C18" s="457"/>
    </row>
    <row r="19" spans="2:3">
      <c r="B19" s="147" t="s">
        <v>137</v>
      </c>
      <c r="C19" s="234" t="s">
        <v>138</v>
      </c>
    </row>
    <row r="20" spans="2:3">
      <c r="B20" s="146" t="s">
        <v>139</v>
      </c>
      <c r="C20" s="151" t="s">
        <v>140</v>
      </c>
    </row>
    <row r="21" spans="2:3">
      <c r="B21" s="146" t="s">
        <v>141</v>
      </c>
      <c r="C21" s="151" t="s">
        <v>142</v>
      </c>
    </row>
    <row r="22" spans="2:3">
      <c r="B22" s="146" t="s">
        <v>143</v>
      </c>
      <c r="C22" s="151" t="s">
        <v>144</v>
      </c>
    </row>
    <row r="23" spans="2:3">
      <c r="B23" s="146" t="s">
        <v>145</v>
      </c>
      <c r="C23" s="151" t="s">
        <v>146</v>
      </c>
    </row>
    <row r="26" spans="2:3">
      <c r="B26" s="450" t="s">
        <v>222</v>
      </c>
    </row>
  </sheetData>
  <mergeCells count="4">
    <mergeCell ref="B18:C18"/>
    <mergeCell ref="B3:D3"/>
    <mergeCell ref="B11:D11"/>
    <mergeCell ref="B12:B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selection activeCell="C25" sqref="C25"/>
    </sheetView>
  </sheetViews>
  <sheetFormatPr defaultRowHeight="12.75"/>
  <cols>
    <col min="1" max="1" width="9.140625" style="34"/>
    <col min="2" max="2" width="18.5703125" style="34" customWidth="1"/>
    <col min="3" max="3" width="13.28515625" style="34" customWidth="1"/>
    <col min="4" max="9" width="10.85546875" style="34" customWidth="1"/>
    <col min="10" max="10" width="11.42578125" style="34" customWidth="1"/>
    <col min="11" max="11" width="7.28515625" style="34" bestFit="1" customWidth="1"/>
    <col min="12" max="12" width="11.140625" style="34" customWidth="1"/>
    <col min="13" max="13" width="11.7109375" style="34" customWidth="1"/>
    <col min="14" max="16384" width="9.140625" style="34"/>
  </cols>
  <sheetData>
    <row r="1" spans="1:17" ht="15.75">
      <c r="B1" s="44" t="s">
        <v>292</v>
      </c>
    </row>
    <row r="2" spans="1:17">
      <c r="B2" s="45" t="s">
        <v>28</v>
      </c>
    </row>
    <row r="4" spans="1:17" ht="13.5" thickBot="1">
      <c r="B4" s="41"/>
      <c r="C4" s="198" t="s">
        <v>165</v>
      </c>
      <c r="D4" s="163">
        <v>295</v>
      </c>
      <c r="E4" s="56" t="s">
        <v>46</v>
      </c>
      <c r="J4"/>
    </row>
    <row r="5" spans="1:17" ht="13.5" thickBot="1">
      <c r="B5" s="42"/>
      <c r="C5" s="43" t="s">
        <v>147</v>
      </c>
      <c r="D5" s="37">
        <f>3.1*D4</f>
        <v>914.5</v>
      </c>
    </row>
    <row r="6" spans="1:17">
      <c r="B6" s="42"/>
      <c r="C6" s="183" t="s">
        <v>308</v>
      </c>
      <c r="D6" s="453">
        <v>0.05</v>
      </c>
      <c r="E6" s="56" t="s">
        <v>309</v>
      </c>
    </row>
    <row r="7" spans="1:17" s="173" customFormat="1">
      <c r="B7" s="176"/>
      <c r="C7" s="183"/>
      <c r="D7" s="131"/>
      <c r="E7" s="178"/>
    </row>
    <row r="8" spans="1:17" s="173" customFormat="1" ht="51">
      <c r="B8" s="176"/>
      <c r="C8" s="174" t="s">
        <v>150</v>
      </c>
      <c r="D8" s="196" t="s">
        <v>163</v>
      </c>
      <c r="E8" s="196" t="s">
        <v>164</v>
      </c>
    </row>
    <row r="9" spans="1:17">
      <c r="B9" s="173"/>
      <c r="C9" s="195" t="s">
        <v>151</v>
      </c>
      <c r="D9" s="197">
        <f>VLOOKUP('Clothes Washers User Inputs'!B5,'Clothes Washers User Inputs'!B16:N22,6,FALSE)</f>
        <v>0.7</v>
      </c>
      <c r="E9" s="197">
        <f>VLOOKUP('Clothes Washers User Inputs'!B5,'Clothes Washers User Inputs'!B16:N22,7, FALSE)</f>
        <v>0</v>
      </c>
      <c r="F9" s="173"/>
    </row>
    <row r="10" spans="1:17">
      <c r="C10" s="195" t="s">
        <v>152</v>
      </c>
      <c r="D10" s="197">
        <f>1-D9</f>
        <v>0.30000000000000004</v>
      </c>
      <c r="E10" s="197">
        <f>1-E9</f>
        <v>1</v>
      </c>
      <c r="F10" s="173"/>
      <c r="G10" s="92"/>
      <c r="H10" s="92"/>
      <c r="I10" s="92"/>
    </row>
    <row r="11" spans="1:17" s="173" customFormat="1">
      <c r="C11" s="175"/>
      <c r="D11" s="175"/>
      <c r="G11" s="186"/>
      <c r="H11" s="186"/>
      <c r="I11" s="186"/>
    </row>
    <row r="12" spans="1:17" ht="13.5" thickBot="1">
      <c r="L12" t="str">
        <f>'Clothes Washers User Inputs'!D5</f>
        <v>PG&amp;E</v>
      </c>
    </row>
    <row r="13" spans="1:17" ht="31.5" customHeight="1">
      <c r="A13" s="465" t="str">
        <f>'Clothes Washers User Inputs'!B5</f>
        <v>Energy Star Commercial</v>
      </c>
      <c r="B13" s="468"/>
      <c r="C13" s="470" t="s">
        <v>196</v>
      </c>
      <c r="D13" s="471"/>
      <c r="E13" s="470" t="s">
        <v>116</v>
      </c>
      <c r="F13" s="470"/>
      <c r="G13" s="473" t="s">
        <v>287</v>
      </c>
      <c r="H13" s="470"/>
      <c r="I13" s="471"/>
      <c r="K13" s="464" t="s">
        <v>286</v>
      </c>
      <c r="L13" s="464"/>
      <c r="M13" s="464"/>
    </row>
    <row r="14" spans="1:17">
      <c r="A14" s="466"/>
      <c r="B14" s="469"/>
      <c r="C14" s="60" t="s">
        <v>24</v>
      </c>
      <c r="D14" s="61" t="s">
        <v>25</v>
      </c>
      <c r="E14" s="60" t="s">
        <v>24</v>
      </c>
      <c r="F14" s="84" t="s">
        <v>25</v>
      </c>
      <c r="G14" s="88" t="s">
        <v>23</v>
      </c>
      <c r="H14" s="87" t="s">
        <v>24</v>
      </c>
      <c r="I14" s="89" t="s">
        <v>25</v>
      </c>
      <c r="J14" s="145"/>
      <c r="K14" s="442" t="s">
        <v>62</v>
      </c>
      <c r="L14" s="442" t="s">
        <v>61</v>
      </c>
      <c r="M14" s="442" t="s">
        <v>63</v>
      </c>
      <c r="N14" s="145"/>
      <c r="O14" s="145"/>
      <c r="P14" s="145"/>
      <c r="Q14" s="145"/>
    </row>
    <row r="15" spans="1:17">
      <c r="A15" s="466"/>
      <c r="B15" s="125" t="s">
        <v>50</v>
      </c>
      <c r="C15" s="62">
        <f>D9*SUM('Base Case Energy'!D32,'Base Case Energy'!E32,'Base Case Energy'!G32)+D10*SUM('Base Case Energy'!D33,'Base Case Energy'!E33,'Base Case Energy'!G33)</f>
        <v>0.34390178715617442</v>
      </c>
      <c r="D15" s="63">
        <f>D9*SUM('Base Case Energy'!F32,'Base Case Energy'!H32)+D10*SUM('Base Case Energy'!F33,'Base Case Energy'!H33)</f>
        <v>1.3338961654010471E-2</v>
      </c>
      <c r="E15" s="64">
        <f>C15*$D$5</f>
        <v>314.49818435432149</v>
      </c>
      <c r="F15" s="85">
        <f>D15*$D$5</f>
        <v>12.198480432592575</v>
      </c>
      <c r="G15" s="90">
        <f>H15/365*D6*K15</f>
        <v>5.9472057298526629E-2</v>
      </c>
      <c r="H15" s="64">
        <f>E15*L15</f>
        <v>424.50964924146319</v>
      </c>
      <c r="I15" s="63">
        <f>F15+E15*M15</f>
        <v>4.6527254953793395</v>
      </c>
      <c r="J15" s="145"/>
      <c r="K15" s="437">
        <f>VLOOKUP('Clothes Washers User Inputs'!$D$5, 'Interactive Effects'!$B$57:$H$62, 2, FALSE)</f>
        <v>1.0226999999999999</v>
      </c>
      <c r="L15" s="437">
        <f>VLOOKUP('Clothes Washers User Inputs'!$D$5, 'Interactive Effects'!$B$57:$H$62, 3, FALSE)</f>
        <v>1.3498000000000001</v>
      </c>
      <c r="M15" s="437">
        <f>VLOOKUP('Clothes Washers User Inputs'!$D$5, 'Interactive Effects'!$B$57:$H$62, 4, FALSE)</f>
        <v>-2.3993E-2</v>
      </c>
      <c r="N15" s="145"/>
      <c r="O15" s="145"/>
      <c r="P15" s="145"/>
      <c r="Q15" s="145"/>
    </row>
    <row r="16" spans="1:17" ht="13.5" thickBot="1">
      <c r="A16" s="466"/>
      <c r="B16" s="126" t="s">
        <v>26</v>
      </c>
      <c r="C16" s="65">
        <f>E9*SUM('Measure Case Energy'!D32,'Measure Case Energy'!E32,'Measure Case Energy'!G32)+E10*SUM('Measure Case Energy'!D33,'Measure Case Energy'!E33,'Measure Case Energy'!G33)</f>
        <v>0.23652865343796231</v>
      </c>
      <c r="D16" s="66">
        <f>E9*SUM('Measure Case Energy'!F32,'Measure Case Energy'!H32)+E10*SUM('Measure Case Energy'!F33,'Measure Case Energy'!H33)</f>
        <v>8.9190652223580108E-3</v>
      </c>
      <c r="E16" s="67">
        <f>C16*$D$5</f>
        <v>216.30545356901652</v>
      </c>
      <c r="F16" s="86">
        <f>D16*$D$5</f>
        <v>8.1564851458464016</v>
      </c>
      <c r="G16" s="91">
        <f>H16/365*D6*K15</f>
        <v>4.0903671208948188E-2</v>
      </c>
      <c r="H16" s="67">
        <f>E16*L15</f>
        <v>291.96910122745851</v>
      </c>
      <c r="I16" s="66">
        <f>F16+E16*M15</f>
        <v>2.9666683983649884</v>
      </c>
      <c r="J16" s="145"/>
      <c r="K16" s="145"/>
      <c r="L16" s="145"/>
      <c r="M16" s="145"/>
      <c r="N16" s="145"/>
      <c r="O16" s="145"/>
      <c r="P16" s="145"/>
      <c r="Q16" s="145"/>
    </row>
    <row r="17" spans="1:17" ht="13.5" thickBot="1">
      <c r="A17" s="466"/>
      <c r="B17" s="57"/>
      <c r="C17" s="58"/>
      <c r="D17" s="58"/>
      <c r="E17" s="59"/>
      <c r="F17" s="58"/>
      <c r="G17" s="59"/>
      <c r="H17" s="59"/>
      <c r="I17" s="41"/>
      <c r="J17" s="145"/>
      <c r="K17" s="145"/>
      <c r="L17" s="145"/>
      <c r="M17" s="145"/>
      <c r="N17" s="145"/>
      <c r="O17" s="145"/>
      <c r="P17" s="145"/>
      <c r="Q17" s="145"/>
    </row>
    <row r="18" spans="1:17" ht="35.25" customHeight="1">
      <c r="A18" s="466"/>
      <c r="B18" s="474" t="s">
        <v>26</v>
      </c>
      <c r="C18" s="476" t="s">
        <v>197</v>
      </c>
      <c r="D18" s="477"/>
      <c r="E18" s="478" t="s">
        <v>110</v>
      </c>
      <c r="F18" s="477"/>
      <c r="G18" s="479" t="s">
        <v>109</v>
      </c>
      <c r="H18" s="480"/>
      <c r="I18" s="481"/>
      <c r="J18" s="145"/>
      <c r="K18" s="145"/>
      <c r="L18" s="145"/>
      <c r="M18" s="145"/>
      <c r="N18" s="145"/>
      <c r="O18" s="145"/>
      <c r="P18" s="145"/>
      <c r="Q18" s="145"/>
    </row>
    <row r="19" spans="1:17">
      <c r="A19" s="466"/>
      <c r="B19" s="475"/>
      <c r="C19" s="83" t="s">
        <v>24</v>
      </c>
      <c r="D19" s="36" t="s">
        <v>25</v>
      </c>
      <c r="E19" s="35" t="s">
        <v>24</v>
      </c>
      <c r="F19" s="36" t="s">
        <v>25</v>
      </c>
      <c r="G19" s="38" t="s">
        <v>23</v>
      </c>
      <c r="H19" s="35" t="s">
        <v>24</v>
      </c>
      <c r="I19" s="36" t="s">
        <v>25</v>
      </c>
      <c r="J19" s="145"/>
      <c r="K19" s="145"/>
      <c r="L19" s="145"/>
      <c r="M19" s="145"/>
      <c r="N19" s="145"/>
      <c r="O19" s="145"/>
      <c r="P19" s="145"/>
      <c r="Q19" s="145"/>
    </row>
    <row r="20" spans="1:17" ht="27" customHeight="1" thickBot="1">
      <c r="A20" s="467"/>
      <c r="B20" s="127"/>
      <c r="C20" s="81">
        <f>C15-C16</f>
        <v>0.10737313371821211</v>
      </c>
      <c r="D20" s="40">
        <f>D15-D16</f>
        <v>4.4198964316524599E-3</v>
      </c>
      <c r="E20" s="39">
        <f>C20*$D$5</f>
        <v>98.192730785304974</v>
      </c>
      <c r="F20" s="40">
        <f>D20*$D$5</f>
        <v>4.0419952867461744</v>
      </c>
      <c r="G20" s="68">
        <f>G15-G16</f>
        <v>1.8568386089578441E-2</v>
      </c>
      <c r="H20" s="53">
        <f>E20*L15</f>
        <v>132.54054801400466</v>
      </c>
      <c r="I20" s="54">
        <f>F20+E20*M15</f>
        <v>1.686057097014352</v>
      </c>
      <c r="J20" s="145"/>
      <c r="K20" s="145"/>
      <c r="L20" s="145"/>
      <c r="M20" s="145"/>
      <c r="N20" s="145"/>
      <c r="O20" s="145"/>
      <c r="P20" s="145"/>
      <c r="Q20" s="145"/>
    </row>
    <row r="21" spans="1:17">
      <c r="J21" s="145"/>
      <c r="K21" s="145"/>
      <c r="L21" s="145"/>
      <c r="M21" s="145"/>
      <c r="N21" s="145"/>
      <c r="O21" s="145"/>
      <c r="P21" s="145"/>
      <c r="Q21" s="145"/>
    </row>
    <row r="22" spans="1:17" s="144" customFormat="1">
      <c r="J22" s="145"/>
      <c r="K22" s="145"/>
      <c r="L22" s="145"/>
      <c r="M22" s="145"/>
      <c r="N22" s="145"/>
      <c r="O22" s="145"/>
      <c r="P22" s="145"/>
      <c r="Q22" s="145"/>
    </row>
    <row r="23" spans="1:17">
      <c r="B23" s="45" t="s">
        <v>193</v>
      </c>
      <c r="C23" s="173"/>
      <c r="D23" s="173"/>
    </row>
    <row r="24" spans="1:17" ht="38.25">
      <c r="B24" s="242"/>
      <c r="C24" s="243" t="s">
        <v>198</v>
      </c>
      <c r="D24" s="243" t="s">
        <v>194</v>
      </c>
    </row>
    <row r="25" spans="1:17">
      <c r="B25" s="244" t="s">
        <v>50</v>
      </c>
      <c r="C25" s="195">
        <f>'MFM Common Area Energy Savings'!D9*'Base Case Energy'!C7+'MFM Common Area Energy Savings'!D10*'Base Case Energy'!C8</f>
        <v>7.3900000000000006</v>
      </c>
      <c r="D25" s="195">
        <f>C25*$D$5</f>
        <v>6758.1550000000007</v>
      </c>
    </row>
    <row r="26" spans="1:17">
      <c r="B26" s="244" t="s">
        <v>26</v>
      </c>
      <c r="C26" s="195">
        <f>E9*'Measure Case Energy'!C7+'MFM Common Area Energy Savings'!E10*'Measure Case Energy'!C8</f>
        <v>4</v>
      </c>
      <c r="D26" s="195">
        <f>C26*$D$5</f>
        <v>3658</v>
      </c>
    </row>
    <row r="27" spans="1:17">
      <c r="B27" s="244" t="s">
        <v>191</v>
      </c>
      <c r="C27" s="195">
        <f>C25-C26</f>
        <v>3.3900000000000006</v>
      </c>
      <c r="D27" s="195">
        <f>D25-D26</f>
        <v>3100.1550000000007</v>
      </c>
    </row>
    <row r="32" spans="1:17" ht="23.25" customHeight="1">
      <c r="B32" s="472"/>
      <c r="C32" s="472"/>
      <c r="D32" s="472"/>
      <c r="E32" s="472"/>
      <c r="F32" s="472"/>
      <c r="G32" s="472"/>
      <c r="H32" s="472"/>
      <c r="I32" s="472"/>
      <c r="J32" s="472"/>
    </row>
  </sheetData>
  <mergeCells count="11">
    <mergeCell ref="B32:J32"/>
    <mergeCell ref="G13:I13"/>
    <mergeCell ref="B18:B19"/>
    <mergeCell ref="C18:D18"/>
    <mergeCell ref="E18:F18"/>
    <mergeCell ref="G18:I18"/>
    <mergeCell ref="K13:M13"/>
    <mergeCell ref="A13:A20"/>
    <mergeCell ref="B13:B14"/>
    <mergeCell ref="C13:D13"/>
    <mergeCell ref="E13:F1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C15" sqref="C15"/>
    </sheetView>
  </sheetViews>
  <sheetFormatPr defaultRowHeight="12.75"/>
  <cols>
    <col min="1" max="1" width="9.140625" style="34"/>
    <col min="2" max="2" width="17.7109375" style="34" customWidth="1"/>
    <col min="3" max="3" width="13.42578125" style="34" customWidth="1"/>
    <col min="4" max="4" width="13.7109375" style="34" customWidth="1"/>
    <col min="5" max="6" width="12.140625" style="34" customWidth="1"/>
    <col min="7" max="11" width="10.85546875" style="34" customWidth="1"/>
    <col min="12" max="12" width="9.5703125" style="34" bestFit="1" customWidth="1"/>
    <col min="13" max="13" width="10.85546875" style="34" bestFit="1" customWidth="1"/>
    <col min="14" max="16384" width="9.140625" style="34"/>
  </cols>
  <sheetData>
    <row r="1" spans="1:13" ht="15.75">
      <c r="B1" s="44" t="s">
        <v>48</v>
      </c>
    </row>
    <row r="2" spans="1:13">
      <c r="B2" s="45" t="s">
        <v>293</v>
      </c>
    </row>
    <row r="4" spans="1:13" ht="13.5" thickBot="1">
      <c r="B4" s="41"/>
      <c r="C4" s="43" t="s">
        <v>27</v>
      </c>
      <c r="D4" s="163">
        <v>1497</v>
      </c>
      <c r="E4" s="449" t="s">
        <v>289</v>
      </c>
      <c r="J4"/>
    </row>
    <row r="5" spans="1:13" ht="13.5" thickBot="1">
      <c r="B5" s="42"/>
      <c r="C5" s="177" t="s">
        <v>147</v>
      </c>
      <c r="D5" s="37">
        <f>3.1*D4</f>
        <v>4640.7</v>
      </c>
    </row>
    <row r="6" spans="1:13">
      <c r="B6" s="42"/>
      <c r="C6" s="183" t="s">
        <v>308</v>
      </c>
      <c r="D6" s="454">
        <v>6.0999999999999999E-2</v>
      </c>
      <c r="E6" s="449" t="s">
        <v>310</v>
      </c>
    </row>
    <row r="7" spans="1:13" s="173" customFormat="1">
      <c r="B7" s="176"/>
      <c r="C7" s="183"/>
      <c r="D7" s="131"/>
      <c r="E7" s="178"/>
    </row>
    <row r="8" spans="1:13" s="173" customFormat="1" ht="51">
      <c r="B8" s="176"/>
      <c r="C8" s="174" t="s">
        <v>150</v>
      </c>
      <c r="D8" s="196" t="s">
        <v>163</v>
      </c>
      <c r="E8" s="196" t="s">
        <v>164</v>
      </c>
    </row>
    <row r="9" spans="1:13" s="173" customFormat="1">
      <c r="B9" s="176"/>
      <c r="C9" s="195" t="s">
        <v>151</v>
      </c>
      <c r="D9" s="197">
        <f>VLOOKUP('Clothes Washers User Inputs'!B5,'Clothes Washers User Inputs'!B16:N22,6,FALSE)</f>
        <v>0.7</v>
      </c>
      <c r="E9" s="197">
        <f>VLOOKUP('Clothes Washers User Inputs'!B5,'Clothes Washers User Inputs'!B16:N22,7, FALSE)</f>
        <v>0</v>
      </c>
    </row>
    <row r="10" spans="1:13">
      <c r="C10" s="195" t="s">
        <v>152</v>
      </c>
      <c r="D10" s="197">
        <f>1-D9</f>
        <v>0.30000000000000004</v>
      </c>
      <c r="E10" s="197">
        <f>1-E9</f>
        <v>1</v>
      </c>
    </row>
    <row r="11" spans="1:13">
      <c r="G11" s="92"/>
      <c r="H11" s="92"/>
      <c r="I11" s="92"/>
    </row>
    <row r="12" spans="1:13" ht="13.5" thickBot="1">
      <c r="K12" s="443"/>
      <c r="L12" s="441" t="str">
        <f>'Clothes Washers User Inputs'!D5</f>
        <v>PG&amp;E</v>
      </c>
      <c r="M12" s="443"/>
    </row>
    <row r="13" spans="1:13" ht="28.5" customHeight="1">
      <c r="A13" s="482" t="str">
        <f>'SFM. MFM In-Unit Energy Savings'!A13</f>
        <v>Energy Star Commercial</v>
      </c>
      <c r="B13" s="468"/>
      <c r="C13" s="470" t="s">
        <v>196</v>
      </c>
      <c r="D13" s="471"/>
      <c r="E13" s="470" t="s">
        <v>116</v>
      </c>
      <c r="F13" s="470"/>
      <c r="G13" s="473" t="s">
        <v>287</v>
      </c>
      <c r="H13" s="470"/>
      <c r="I13" s="471"/>
      <c r="K13" s="464" t="s">
        <v>288</v>
      </c>
      <c r="L13" s="464"/>
      <c r="M13" s="464"/>
    </row>
    <row r="14" spans="1:13">
      <c r="A14" s="483"/>
      <c r="B14" s="469"/>
      <c r="C14" s="60" t="s">
        <v>24</v>
      </c>
      <c r="D14" s="61" t="s">
        <v>25</v>
      </c>
      <c r="E14" s="60" t="s">
        <v>24</v>
      </c>
      <c r="F14" s="84" t="s">
        <v>25</v>
      </c>
      <c r="G14" s="88" t="s">
        <v>23</v>
      </c>
      <c r="H14" s="87" t="s">
        <v>24</v>
      </c>
      <c r="I14" s="89" t="s">
        <v>25</v>
      </c>
      <c r="K14" s="442" t="s">
        <v>62</v>
      </c>
      <c r="L14" s="442" t="s">
        <v>61</v>
      </c>
      <c r="M14" s="442" t="s">
        <v>63</v>
      </c>
    </row>
    <row r="15" spans="1:13">
      <c r="A15" s="483"/>
      <c r="B15" s="125" t="s">
        <v>50</v>
      </c>
      <c r="C15" s="62">
        <f>D9*SUM('Base Case Energy'!D32,'Base Case Energy'!E32,'Base Case Energy'!G32)+D10*SUM('Base Case Energy'!D33,'Base Case Energy'!E33,'Base Case Energy'!G33)</f>
        <v>0.34390178715617442</v>
      </c>
      <c r="D15" s="63">
        <f>D9*SUM('Base Case Energy'!F32,'Base Case Energy'!H32)+D10*SUM('Base Case Energy'!F33,'Base Case Energy'!H33)</f>
        <v>1.3338961654010471E-2</v>
      </c>
      <c r="E15" s="64">
        <f>C15*$D$5</f>
        <v>1595.9450236556586</v>
      </c>
      <c r="F15" s="85">
        <f>D15*$D$5</f>
        <v>61.902119347766387</v>
      </c>
      <c r="G15" s="184">
        <f>H15/365*D6*K15</f>
        <v>0.34401498539010872</v>
      </c>
      <c r="H15" s="64">
        <f>E15*L15</f>
        <v>1946.8933343575379</v>
      </c>
      <c r="I15" s="63">
        <f>F15+E15*M15</f>
        <v>55.966640210288631</v>
      </c>
      <c r="K15" s="437">
        <f>VLOOKUP('Clothes Washers User Inputs'!$D$5, 'Interactive Effects'!$B$57:$H$62, 5, FALSE)</f>
        <v>1.0572999999999999</v>
      </c>
      <c r="L15" s="437">
        <f>VLOOKUP('Clothes Washers User Inputs'!$D$5, 'Interactive Effects'!$B$57:$H$62, 6, FALSE)</f>
        <v>1.2199</v>
      </c>
      <c r="M15" s="437">
        <f>VLOOKUP('Clothes Washers User Inputs'!$D$5, 'Interactive Effects'!$B$57:$H$62, 7, FALSE)</f>
        <v>-3.7190999999999999E-3</v>
      </c>
    </row>
    <row r="16" spans="1:13" ht="13.5" thickBot="1">
      <c r="A16" s="483"/>
      <c r="B16" s="126" t="s">
        <v>26</v>
      </c>
      <c r="C16" s="65">
        <f>E9*SUM('Measure Case Energy'!D32,'Measure Case Energy'!E32,'Measure Case Energy'!G32)+E10*SUM('Measure Case Energy'!D33,'Measure Case Energy'!E33,'Measure Case Energy'!G33)</f>
        <v>0.23652865343796231</v>
      </c>
      <c r="D16" s="66">
        <f>E9*SUM('Measure Case Energy'!F32,'Measure Case Energy'!H32)+E10*SUM('Measure Case Energy'!F33,'Measure Case Energy'!H33)</f>
        <v>8.9190652223580108E-3</v>
      </c>
      <c r="E16" s="67">
        <f>C16*$D$5</f>
        <v>1097.6585220095517</v>
      </c>
      <c r="F16" s="86">
        <f>D16*$D$5</f>
        <v>41.39070597739682</v>
      </c>
      <c r="G16" s="185">
        <f>H16/365*D6*K15</f>
        <v>0.23660650888054507</v>
      </c>
      <c r="H16" s="67">
        <f>E16*L15</f>
        <v>1339.033630999452</v>
      </c>
      <c r="I16" s="66">
        <f>F16+E16*M15</f>
        <v>37.308404168191096</v>
      </c>
    </row>
    <row r="17" spans="1:10" ht="13.5" thickBot="1">
      <c r="A17" s="483"/>
      <c r="B17" s="57"/>
      <c r="C17" s="58"/>
      <c r="D17" s="58"/>
      <c r="E17" s="59"/>
      <c r="F17" s="58"/>
      <c r="G17" s="59"/>
      <c r="H17" s="59"/>
      <c r="I17" s="41"/>
    </row>
    <row r="18" spans="1:10" ht="25.5" customHeight="1">
      <c r="A18" s="483"/>
      <c r="B18" s="474" t="s">
        <v>26</v>
      </c>
      <c r="C18" s="476" t="s">
        <v>197</v>
      </c>
      <c r="D18" s="477"/>
      <c r="E18" s="478" t="s">
        <v>110</v>
      </c>
      <c r="F18" s="477"/>
      <c r="G18" s="479" t="s">
        <v>109</v>
      </c>
      <c r="H18" s="480"/>
      <c r="I18" s="481"/>
    </row>
    <row r="19" spans="1:10">
      <c r="A19" s="483"/>
      <c r="B19" s="475"/>
      <c r="C19" s="83" t="s">
        <v>24</v>
      </c>
      <c r="D19" s="36" t="s">
        <v>25</v>
      </c>
      <c r="E19" s="35" t="s">
        <v>24</v>
      </c>
      <c r="F19" s="36" t="s">
        <v>25</v>
      </c>
      <c r="G19" s="38" t="s">
        <v>23</v>
      </c>
      <c r="H19" s="35" t="s">
        <v>24</v>
      </c>
      <c r="I19" s="36" t="s">
        <v>25</v>
      </c>
    </row>
    <row r="20" spans="1:10" ht="24.75" customHeight="1" thickBot="1">
      <c r="A20" s="484"/>
      <c r="B20" s="127"/>
      <c r="C20" s="81">
        <f>C15-C16</f>
        <v>0.10737313371821211</v>
      </c>
      <c r="D20" s="40">
        <f>D15-D16</f>
        <v>4.4198964316524599E-3</v>
      </c>
      <c r="E20" s="39">
        <f>C20*$D$5</f>
        <v>498.2865016461069</v>
      </c>
      <c r="F20" s="40">
        <f>D20*$D$5</f>
        <v>20.511413370369571</v>
      </c>
      <c r="G20" s="68">
        <f>G15-G16</f>
        <v>0.10740847650956364</v>
      </c>
      <c r="H20" s="53">
        <f>E20*L15</f>
        <v>607.85970335808577</v>
      </c>
      <c r="I20" s="54">
        <f>F20+E20*M15</f>
        <v>18.658236042097535</v>
      </c>
    </row>
    <row r="22" spans="1:10">
      <c r="B22"/>
      <c r="C22"/>
      <c r="D22"/>
      <c r="E22"/>
      <c r="F22"/>
      <c r="G22"/>
    </row>
    <row r="23" spans="1:10">
      <c r="B23" s="45" t="s">
        <v>193</v>
      </c>
      <c r="C23" s="173"/>
      <c r="D23" s="173"/>
      <c r="E23"/>
      <c r="F23"/>
      <c r="G23"/>
    </row>
    <row r="24" spans="1:10" ht="38.25">
      <c r="B24" s="242"/>
      <c r="C24" s="243" t="s">
        <v>198</v>
      </c>
      <c r="D24" s="243" t="s">
        <v>194</v>
      </c>
      <c r="E24"/>
      <c r="F24"/>
      <c r="G24"/>
    </row>
    <row r="25" spans="1:10">
      <c r="B25" s="244" t="s">
        <v>50</v>
      </c>
      <c r="C25" s="195">
        <f>'MFM Common Area Energy Savings'!D9*'Base Case Energy'!C7+'MFM Common Area Energy Savings'!D10*'Base Case Energy'!C8</f>
        <v>7.3900000000000006</v>
      </c>
      <c r="D25" s="195">
        <f>C25*$D$5</f>
        <v>34294.773000000001</v>
      </c>
      <c r="E25"/>
      <c r="F25"/>
      <c r="G25"/>
    </row>
    <row r="26" spans="1:10">
      <c r="B26" s="244" t="s">
        <v>26</v>
      </c>
      <c r="C26" s="195">
        <f>E9*'Measure Case Energy'!C7+'MFM Common Area Energy Savings'!E10*'Measure Case Energy'!C8</f>
        <v>4</v>
      </c>
      <c r="D26" s="195">
        <f>C26*$D$5</f>
        <v>18562.8</v>
      </c>
      <c r="E26"/>
      <c r="F26"/>
      <c r="G26"/>
    </row>
    <row r="27" spans="1:10">
      <c r="B27" s="244" t="s">
        <v>191</v>
      </c>
      <c r="C27" s="195">
        <f>C25-C26</f>
        <v>3.3900000000000006</v>
      </c>
      <c r="D27" s="195">
        <f>D25-D26</f>
        <v>15731.973000000002</v>
      </c>
      <c r="E27"/>
      <c r="F27"/>
      <c r="G27"/>
    </row>
    <row r="28" spans="1:10">
      <c r="B28"/>
      <c r="C28"/>
      <c r="D28"/>
      <c r="E28"/>
      <c r="F28"/>
      <c r="G28"/>
    </row>
    <row r="29" spans="1:10">
      <c r="B29"/>
      <c r="C29"/>
      <c r="D29"/>
      <c r="E29"/>
      <c r="F29"/>
      <c r="G29"/>
    </row>
    <row r="30" spans="1:10">
      <c r="B30"/>
      <c r="C30"/>
      <c r="D30"/>
      <c r="E30"/>
      <c r="F30"/>
      <c r="G30"/>
    </row>
    <row r="32" spans="1:10" ht="24" customHeight="1">
      <c r="B32" s="472"/>
      <c r="C32" s="472"/>
      <c r="D32" s="472"/>
      <c r="E32" s="472"/>
      <c r="F32" s="472"/>
      <c r="G32" s="472"/>
      <c r="H32" s="472"/>
      <c r="I32" s="472"/>
      <c r="J32" s="472"/>
    </row>
  </sheetData>
  <mergeCells count="11">
    <mergeCell ref="K13:M13"/>
    <mergeCell ref="B32:J32"/>
    <mergeCell ref="G13:I13"/>
    <mergeCell ref="G18:I18"/>
    <mergeCell ref="A13:A20"/>
    <mergeCell ref="B13:B14"/>
    <mergeCell ref="C13:D13"/>
    <mergeCell ref="E13:F13"/>
    <mergeCell ref="B18:B19"/>
    <mergeCell ref="C18:D18"/>
    <mergeCell ref="E18:F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>
      <selection activeCell="G22" sqref="G22"/>
    </sheetView>
  </sheetViews>
  <sheetFormatPr defaultRowHeight="12.75"/>
  <cols>
    <col min="1" max="1" width="9.140625" style="34"/>
    <col min="2" max="2" width="14.28515625" style="34" customWidth="1"/>
    <col min="3" max="3" width="16.85546875" style="34" bestFit="1" customWidth="1"/>
    <col min="4" max="4" width="12.42578125" style="34" customWidth="1"/>
    <col min="5" max="6" width="12.140625" style="34" customWidth="1"/>
    <col min="7" max="11" width="10.28515625" style="34" customWidth="1"/>
    <col min="12" max="12" width="9.5703125" style="34" bestFit="1" customWidth="1"/>
    <col min="13" max="13" width="10.85546875" style="34" bestFit="1" customWidth="1"/>
    <col min="14" max="16384" width="9.140625" style="34"/>
  </cols>
  <sheetData>
    <row r="1" spans="1:13" ht="15.75">
      <c r="B1" s="44" t="s">
        <v>49</v>
      </c>
    </row>
    <row r="2" spans="1:13">
      <c r="B2" s="45" t="s">
        <v>294</v>
      </c>
    </row>
    <row r="4" spans="1:13" ht="13.5" thickBot="1">
      <c r="B4" s="41"/>
      <c r="C4" s="43" t="s">
        <v>27</v>
      </c>
      <c r="D4" s="163">
        <v>1095</v>
      </c>
      <c r="E4" s="56" t="s">
        <v>289</v>
      </c>
      <c r="J4"/>
    </row>
    <row r="5" spans="1:13" ht="13.5" thickBot="1">
      <c r="B5" s="42"/>
      <c r="C5" s="177" t="s">
        <v>147</v>
      </c>
      <c r="D5" s="37">
        <f>3.1*D4</f>
        <v>3394.5</v>
      </c>
    </row>
    <row r="6" spans="1:13">
      <c r="B6" s="42"/>
      <c r="C6" s="82" t="s">
        <v>308</v>
      </c>
      <c r="D6" s="454">
        <v>6.0999999999999999E-2</v>
      </c>
      <c r="E6" s="449" t="s">
        <v>310</v>
      </c>
    </row>
    <row r="7" spans="1:13" s="173" customFormat="1">
      <c r="B7" s="176"/>
      <c r="C7" s="183"/>
      <c r="D7" s="131"/>
      <c r="E7" s="178"/>
    </row>
    <row r="8" spans="1:13" s="173" customFormat="1" ht="51">
      <c r="B8" s="176"/>
      <c r="C8" s="174" t="s">
        <v>150</v>
      </c>
      <c r="D8" s="196" t="s">
        <v>163</v>
      </c>
      <c r="E8" s="196" t="s">
        <v>164</v>
      </c>
    </row>
    <row r="9" spans="1:13" s="173" customFormat="1">
      <c r="B9" s="176"/>
      <c r="C9" s="195" t="s">
        <v>151</v>
      </c>
      <c r="D9" s="197">
        <f>VLOOKUP('Clothes Washers User Inputs'!B5,'Clothes Washers User Inputs'!B16:N22,6,FALSE)</f>
        <v>0.7</v>
      </c>
      <c r="E9" s="197">
        <f>VLOOKUP('Clothes Washers User Inputs'!B5,'Clothes Washers User Inputs'!B16:N22,7, FALSE)</f>
        <v>0</v>
      </c>
    </row>
    <row r="10" spans="1:13">
      <c r="C10" s="195" t="s">
        <v>152</v>
      </c>
      <c r="D10" s="197">
        <f>1-D9</f>
        <v>0.30000000000000004</v>
      </c>
      <c r="E10" s="197">
        <f>1-E9</f>
        <v>1</v>
      </c>
    </row>
    <row r="12" spans="1:13" ht="13.5" thickBot="1">
      <c r="G12" s="92"/>
      <c r="H12" s="92"/>
      <c r="I12" s="92"/>
      <c r="K12" s="443"/>
      <c r="L12" s="441" t="str">
        <f>'Clothes Washers User Inputs'!D5</f>
        <v>PG&amp;E</v>
      </c>
      <c r="M12" s="443"/>
    </row>
    <row r="13" spans="1:13" ht="32.25" customHeight="1">
      <c r="A13" s="485" t="str">
        <f xml:space="preserve"> 'SFM. MFM In-Unit Energy Savings'!A13</f>
        <v>Energy Star Commercial</v>
      </c>
      <c r="B13" s="468"/>
      <c r="C13" s="470" t="s">
        <v>196</v>
      </c>
      <c r="D13" s="471"/>
      <c r="E13" s="470" t="s">
        <v>116</v>
      </c>
      <c r="F13" s="470"/>
      <c r="G13" s="473" t="s">
        <v>287</v>
      </c>
      <c r="H13" s="470"/>
      <c r="I13" s="471"/>
      <c r="K13" s="464" t="s">
        <v>286</v>
      </c>
      <c r="L13" s="464"/>
      <c r="M13" s="464"/>
    </row>
    <row r="14" spans="1:13">
      <c r="A14" s="483"/>
      <c r="B14" s="469"/>
      <c r="C14" s="60" t="s">
        <v>24</v>
      </c>
      <c r="D14" s="61" t="s">
        <v>25</v>
      </c>
      <c r="E14" s="60" t="s">
        <v>24</v>
      </c>
      <c r="F14" s="84" t="s">
        <v>25</v>
      </c>
      <c r="G14" s="88" t="s">
        <v>23</v>
      </c>
      <c r="H14" s="87" t="s">
        <v>24</v>
      </c>
      <c r="I14" s="89" t="s">
        <v>25</v>
      </c>
      <c r="K14" s="442" t="s">
        <v>62</v>
      </c>
      <c r="L14" s="442" t="s">
        <v>61</v>
      </c>
      <c r="M14" s="442" t="s">
        <v>63</v>
      </c>
    </row>
    <row r="15" spans="1:13">
      <c r="A15" s="483"/>
      <c r="B15" s="125" t="s">
        <v>50</v>
      </c>
      <c r="C15" s="179">
        <f>D9*SUM('Base Case Energy'!D32,'Base Case Energy'!E32,'Base Case Energy'!G32)+D10*SUM('Base Case Energy'!D33,'Base Case Energy'!E33,'Base Case Energy'!G33)</f>
        <v>0.34390178715617442</v>
      </c>
      <c r="D15" s="180">
        <f>D9*SUM('Base Case Energy'!F32,'Base Case Energy'!H32)+D10*SUM('Base Case Energy'!F33,'Base Case Energy'!H33)</f>
        <v>1.3338961654010471E-2</v>
      </c>
      <c r="E15" s="64">
        <f>C15*$D$5</f>
        <v>1167.3746165016341</v>
      </c>
      <c r="F15" s="85">
        <f>D15*$D$5</f>
        <v>45.279105334538542</v>
      </c>
      <c r="G15" s="184">
        <f>H15/365*D6*K15</f>
        <v>0.26931769947492107</v>
      </c>
      <c r="H15" s="64">
        <f>E15*L15</f>
        <v>1575.7222573539059</v>
      </c>
      <c r="I15" s="63">
        <f>F15+E15*M15</f>
        <v>17.270286160814834</v>
      </c>
      <c r="K15" s="437">
        <f>VLOOKUP('Clothes Washers User Inputs'!$D$5, 'Interactive Effects'!$B$57:$H$62, 2, FALSE)</f>
        <v>1.0226999999999999</v>
      </c>
      <c r="L15" s="437">
        <f>VLOOKUP('Clothes Washers User Inputs'!$D$5, 'Interactive Effects'!$B$57:$H$62, 3, FALSE)</f>
        <v>1.3498000000000001</v>
      </c>
      <c r="M15" s="437">
        <f>VLOOKUP('Clothes Washers User Inputs'!$D$5, 'Interactive Effects'!$B$57:$H$62, 4, FALSE)</f>
        <v>-2.3993E-2</v>
      </c>
    </row>
    <row r="16" spans="1:13" ht="13.5" thickBot="1">
      <c r="A16" s="483"/>
      <c r="B16" s="126" t="s">
        <v>26</v>
      </c>
      <c r="C16" s="181">
        <f>E9*SUM('Measure Case Energy'!D32,'Measure Case Energy'!E32,'Measure Case Energy'!G32)+E10*SUM('Measure Case Energy'!D33,'Measure Case Energy'!E33,'Measure Case Energy'!G33)</f>
        <v>0.23652865343796231</v>
      </c>
      <c r="D16" s="182">
        <f>E9*SUM('Measure Case Energy'!F32,'Measure Case Energy'!H32)+E10*SUM('Measure Case Energy'!F33,'Measure Case Energy'!H33)</f>
        <v>8.9190652223580108E-3</v>
      </c>
      <c r="E16" s="67">
        <f>C16*$D$5</f>
        <v>802.89651409516307</v>
      </c>
      <c r="F16" s="86">
        <f>D16*$D$5</f>
        <v>30.275766897294268</v>
      </c>
      <c r="G16" s="185">
        <f>H16/365*D6*K15</f>
        <v>0.18523123514587764</v>
      </c>
      <c r="H16" s="67">
        <f>E16*L15</f>
        <v>1083.7497147256513</v>
      </c>
      <c r="I16" s="66">
        <f>F16+E16*M15</f>
        <v>11.01187083460902</v>
      </c>
    </row>
    <row r="17" spans="1:12" ht="13.5" thickBot="1">
      <c r="A17" s="483"/>
      <c r="B17" s="57"/>
      <c r="C17" s="58"/>
      <c r="D17" s="58"/>
      <c r="E17" s="59"/>
      <c r="F17" s="58"/>
      <c r="G17" s="59"/>
      <c r="H17" s="59"/>
      <c r="I17" s="41"/>
    </row>
    <row r="18" spans="1:12" ht="36.75" customHeight="1">
      <c r="A18" s="483"/>
      <c r="B18" s="474" t="s">
        <v>26</v>
      </c>
      <c r="C18" s="476" t="s">
        <v>197</v>
      </c>
      <c r="D18" s="477"/>
      <c r="E18" s="478" t="s">
        <v>110</v>
      </c>
      <c r="F18" s="477"/>
      <c r="G18" s="479" t="s">
        <v>109</v>
      </c>
      <c r="H18" s="480"/>
      <c r="I18" s="481"/>
    </row>
    <row r="19" spans="1:12">
      <c r="A19" s="483"/>
      <c r="B19" s="475"/>
      <c r="C19" s="83" t="s">
        <v>24</v>
      </c>
      <c r="D19" s="36" t="s">
        <v>25</v>
      </c>
      <c r="E19" s="35" t="s">
        <v>24</v>
      </c>
      <c r="F19" s="36" t="s">
        <v>25</v>
      </c>
      <c r="G19" s="38" t="s">
        <v>23</v>
      </c>
      <c r="H19" s="35" t="s">
        <v>24</v>
      </c>
      <c r="I19" s="36" t="s">
        <v>25</v>
      </c>
    </row>
    <row r="20" spans="1:12" ht="26.25" customHeight="1" thickBot="1">
      <c r="A20" s="484"/>
      <c r="B20" s="127"/>
      <c r="C20" s="81">
        <f>C15-C16</f>
        <v>0.10737313371821211</v>
      </c>
      <c r="D20" s="40">
        <f>D15-D16</f>
        <v>4.4198964316524599E-3</v>
      </c>
      <c r="E20" s="39">
        <f>C20*$D$5</f>
        <v>364.47810240647101</v>
      </c>
      <c r="F20" s="40">
        <f>D20*$D$5</f>
        <v>15.003338437244276</v>
      </c>
      <c r="G20" s="68">
        <f>G15-G16</f>
        <v>8.4086464329043431E-2</v>
      </c>
      <c r="H20" s="53">
        <f>E20*L15</f>
        <v>491.97254262825459</v>
      </c>
      <c r="I20" s="54">
        <f>F20+E20*M15</f>
        <v>6.2584153262058173</v>
      </c>
    </row>
    <row r="22" spans="1:12" s="173" customFormat="1"/>
    <row r="23" spans="1:12">
      <c r="B23" s="45" t="s">
        <v>193</v>
      </c>
      <c r="L23" s="34" t="s">
        <v>123</v>
      </c>
    </row>
    <row r="24" spans="1:12" ht="25.5">
      <c r="B24" s="242"/>
      <c r="C24" s="243" t="s">
        <v>198</v>
      </c>
      <c r="D24" s="243" t="s">
        <v>194</v>
      </c>
    </row>
    <row r="25" spans="1:12">
      <c r="B25" s="244" t="s">
        <v>50</v>
      </c>
      <c r="C25" s="195">
        <f>'MFM Common Area Energy Savings'!D9*'Base Case Energy'!C7+'MFM Common Area Energy Savings'!D10*'Base Case Energy'!C8</f>
        <v>7.3900000000000006</v>
      </c>
      <c r="D25" s="195">
        <f>C25*$D$5</f>
        <v>25085.355000000003</v>
      </c>
    </row>
    <row r="26" spans="1:12">
      <c r="B26" s="244" t="s">
        <v>26</v>
      </c>
      <c r="C26" s="195">
        <f>E9*'Measure Case Energy'!C7+'MFM Common Area Energy Savings'!E10*'Measure Case Energy'!C8</f>
        <v>4</v>
      </c>
      <c r="D26" s="195">
        <f>C26*$D$5</f>
        <v>13578</v>
      </c>
    </row>
    <row r="27" spans="1:12">
      <c r="B27" s="244" t="s">
        <v>191</v>
      </c>
      <c r="C27" s="195">
        <f>C25-C26</f>
        <v>3.3900000000000006</v>
      </c>
      <c r="D27" s="195">
        <f>D25-D26</f>
        <v>11507.355000000003</v>
      </c>
    </row>
    <row r="33" spans="2:10" ht="28.5" customHeight="1">
      <c r="B33" s="472"/>
      <c r="C33" s="472"/>
      <c r="D33" s="472"/>
      <c r="E33" s="472"/>
      <c r="F33" s="472"/>
      <c r="G33" s="472"/>
      <c r="H33" s="472"/>
      <c r="I33" s="472"/>
      <c r="J33" s="472"/>
    </row>
  </sheetData>
  <mergeCells count="11">
    <mergeCell ref="K13:M13"/>
    <mergeCell ref="B33:J33"/>
    <mergeCell ref="G13:I13"/>
    <mergeCell ref="G18:I18"/>
    <mergeCell ref="A13:A20"/>
    <mergeCell ref="B13:B14"/>
    <mergeCell ref="C13:D13"/>
    <mergeCell ref="E13:F13"/>
    <mergeCell ref="B18:B19"/>
    <mergeCell ref="C18:D18"/>
    <mergeCell ref="E18:F1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workbookViewId="0">
      <selection activeCell="J29" sqref="J29"/>
    </sheetView>
  </sheetViews>
  <sheetFormatPr defaultRowHeight="12.75"/>
  <cols>
    <col min="1" max="1" width="14" style="8" customWidth="1"/>
    <col min="3" max="3" width="9.140625" customWidth="1"/>
    <col min="4" max="8" width="13.28515625" style="8" customWidth="1"/>
    <col min="9" max="9" width="14.85546875" customWidth="1"/>
    <col min="10" max="10" width="30.42578125" customWidth="1"/>
  </cols>
  <sheetData>
    <row r="1" spans="1:12" ht="15.75">
      <c r="A1" s="44" t="s">
        <v>290</v>
      </c>
    </row>
    <row r="2" spans="1:12" ht="18">
      <c r="A2" s="55"/>
    </row>
    <row r="4" spans="1:12" ht="13.5" thickBot="1">
      <c r="A4" s="9" t="s">
        <v>7</v>
      </c>
      <c r="J4" s="10" t="s">
        <v>284</v>
      </c>
      <c r="K4" s="11"/>
      <c r="L4" s="8"/>
    </row>
    <row r="5" spans="1:12" ht="25.5" customHeight="1" thickTop="1">
      <c r="A5" s="488"/>
      <c r="B5" s="486" t="s">
        <v>111</v>
      </c>
      <c r="C5" s="486" t="s">
        <v>125</v>
      </c>
      <c r="D5" s="492" t="s">
        <v>195</v>
      </c>
      <c r="E5" s="493"/>
      <c r="F5" s="493"/>
      <c r="G5" s="493"/>
      <c r="H5" s="494"/>
      <c r="J5" s="19" t="s">
        <v>17</v>
      </c>
      <c r="K5" s="20" t="s">
        <v>18</v>
      </c>
      <c r="L5" s="20" t="s">
        <v>19</v>
      </c>
    </row>
    <row r="6" spans="1:12" ht="25.5">
      <c r="A6" s="489"/>
      <c r="B6" s="490"/>
      <c r="C6" s="487"/>
      <c r="D6" s="14" t="s">
        <v>9</v>
      </c>
      <c r="E6" s="15" t="s">
        <v>10</v>
      </c>
      <c r="F6" s="16" t="s">
        <v>12</v>
      </c>
      <c r="G6" s="15" t="s">
        <v>11</v>
      </c>
      <c r="H6" s="16" t="s">
        <v>14</v>
      </c>
      <c r="J6" s="21" t="s">
        <v>20</v>
      </c>
      <c r="K6" s="22">
        <f>VLOOKUP('Clothes Washers User Inputs'!$D$5, '2009 RASS'!B76:D79, 3, FALSE)</f>
        <v>0.40229626294461956</v>
      </c>
      <c r="L6" s="22">
        <f>VLOOKUP('Clothes Washers User Inputs'!$D$5, '2009 RASS'!B76:E79, 4, FALSE)</f>
        <v>2.2512381809995496E-3</v>
      </c>
    </row>
    <row r="7" spans="1:12">
      <c r="A7" s="28" t="s">
        <v>151</v>
      </c>
      <c r="B7" s="7">
        <f>IF('Clothes Washers User Inputs'!B5 = "Energy Star Commercial", 'Federal Code Requirements'!C14, 'Federal Code Requirements'!C7)</f>
        <v>1.35</v>
      </c>
      <c r="C7" s="12">
        <f>IF('Clothes Washers User Inputs'!B5 = "Energy Star Commercial", 'Federal Code Requirements'!D14, 'Federal Code Requirements'!D7)</f>
        <v>8.8000000000000007</v>
      </c>
      <c r="D7" s="17">
        <f>IF('Clothes Washers User Inputs'!$B$5 = "Energy Star Commercial", 'Cycle Energy Use'!J49, 'Cycle Energy Use'!J11)</f>
        <v>6.7692307692307691E-2</v>
      </c>
      <c r="E7" s="165">
        <f>IF('Clothes Washers User Inputs'!$B$5 = "Energy Star Commercial", 'Cycle Energy Use'!K49, 'Cycle Energy Use'!K11)</f>
        <v>0.5093040293040294</v>
      </c>
      <c r="F7" s="132">
        <v>0</v>
      </c>
      <c r="G7" s="18">
        <f>IF('Clothes Washers User Inputs'!$B$5 = "Energy Star Commercial", 'Cycle Energy Use'!L49, 'Cycle Energy Use'!L11)</f>
        <v>0.16310622710622713</v>
      </c>
      <c r="H7" s="132">
        <v>0</v>
      </c>
      <c r="J7" s="21" t="s">
        <v>21</v>
      </c>
      <c r="K7" s="22">
        <f>VLOOKUP('Clothes Washers User Inputs'!$D$5, '2009 RASS'!B80:D83, 3, FALSE)</f>
        <v>0.57901846015308422</v>
      </c>
      <c r="L7" s="22">
        <f>VLOOKUP('Clothes Washers User Inputs'!$D$5, '2009 RASS'!B80:E83, 4, FALSE)</f>
        <v>1.6434038721296715E-2</v>
      </c>
    </row>
    <row r="8" spans="1:12" ht="15.75" customHeight="1" thickBot="1">
      <c r="A8" s="29" t="s">
        <v>152</v>
      </c>
      <c r="B8" s="24">
        <f>IF('Clothes Washers User Inputs'!B5 = "Energy Star Commercial", 'Federal Code Requirements'!C15, 'Federal Code Requirements'!C9)</f>
        <v>2</v>
      </c>
      <c r="C8" s="25">
        <f>IF('Clothes Washers User Inputs'!B5 = "Energy Star Commercial", 'Federal Code Requirements'!D15, 'Federal Code Requirements'!D9)</f>
        <v>4.0999999999999996</v>
      </c>
      <c r="D8" s="26">
        <f>IF('Clothes Washers User Inputs'!$B$5 = "Energy Star Commercial", 'Cycle Energy Use'!J57,'Cycle Energy Use'!J29)</f>
        <v>3.4453781512605038E-2</v>
      </c>
      <c r="E8" s="168">
        <f>IF('Clothes Washers User Inputs'!$B$5 = "Energy Star Commercial", 'Cycle Energy Use'!K57,'Cycle Energy Use'!K29)</f>
        <v>0.39966386554621841</v>
      </c>
      <c r="F8" s="133">
        <v>0</v>
      </c>
      <c r="G8" s="27">
        <f>IF('Clothes Washers User Inputs'!$B$5 = "Energy Star Commercial", 'Cycle Energy Use'!L57,'Cycle Energy Use'!L29)</f>
        <v>6.5462184873949572E-2</v>
      </c>
      <c r="H8" s="133">
        <v>0</v>
      </c>
      <c r="J8" s="51" t="s">
        <v>47</v>
      </c>
    </row>
    <row r="9" spans="1:12" ht="13.5" thickTop="1"/>
    <row r="10" spans="1:12" ht="13.5" thickBot="1">
      <c r="A10" s="9" t="s">
        <v>8</v>
      </c>
      <c r="J10" s="102" t="s">
        <v>16</v>
      </c>
      <c r="K10" s="141">
        <v>3.4119999999999998E-2</v>
      </c>
    </row>
    <row r="11" spans="1:12" ht="13.5" customHeight="1" thickTop="1">
      <c r="A11" s="488"/>
      <c r="B11" s="486" t="s">
        <v>111</v>
      </c>
      <c r="C11" s="486" t="s">
        <v>125</v>
      </c>
      <c r="D11" s="492" t="s">
        <v>195</v>
      </c>
      <c r="E11" s="493"/>
      <c r="F11" s="493"/>
      <c r="G11" s="493"/>
      <c r="H11" s="494"/>
      <c r="J11" s="31"/>
      <c r="K11" s="30"/>
    </row>
    <row r="12" spans="1:12" ht="25.5">
      <c r="A12" s="489"/>
      <c r="B12" s="490"/>
      <c r="C12" s="487"/>
      <c r="D12" s="14" t="s">
        <v>9</v>
      </c>
      <c r="E12" s="15" t="s">
        <v>10</v>
      </c>
      <c r="F12" s="16" t="s">
        <v>12</v>
      </c>
      <c r="G12" s="15" t="s">
        <v>11</v>
      </c>
      <c r="H12" s="16" t="s">
        <v>14</v>
      </c>
      <c r="J12" s="139" t="s">
        <v>120</v>
      </c>
      <c r="K12" s="140">
        <v>1</v>
      </c>
      <c r="L12" s="56" t="s">
        <v>122</v>
      </c>
    </row>
    <row r="13" spans="1:12">
      <c r="A13" s="170" t="s">
        <v>151</v>
      </c>
      <c r="B13" s="7">
        <f t="shared" ref="B13:D14" si="0">B7</f>
        <v>1.35</v>
      </c>
      <c r="C13" s="12">
        <f t="shared" si="0"/>
        <v>8.8000000000000007</v>
      </c>
      <c r="D13" s="17">
        <f t="shared" si="0"/>
        <v>6.7692307692307691E-2</v>
      </c>
      <c r="E13" s="18">
        <v>0</v>
      </c>
      <c r="F13" s="136">
        <f>$K$16*E7*$K$10</f>
        <v>1.9462747897435902E-2</v>
      </c>
      <c r="G13" s="18">
        <f>G7</f>
        <v>0.16310622710622713</v>
      </c>
      <c r="H13" s="132">
        <v>0</v>
      </c>
      <c r="J13" s="139" t="s">
        <v>121</v>
      </c>
      <c r="K13" s="140">
        <v>0.75</v>
      </c>
      <c r="L13" s="56" t="s">
        <v>122</v>
      </c>
    </row>
    <row r="14" spans="1:12" ht="13.5" thickBot="1">
      <c r="A14" s="171" t="s">
        <v>152</v>
      </c>
      <c r="B14" s="24">
        <f t="shared" si="0"/>
        <v>2</v>
      </c>
      <c r="C14" s="25">
        <f t="shared" si="0"/>
        <v>4.0999999999999996</v>
      </c>
      <c r="D14" s="26">
        <f t="shared" si="0"/>
        <v>3.4453781512605038E-2</v>
      </c>
      <c r="E14" s="27">
        <v>0</v>
      </c>
      <c r="F14" s="137">
        <f>$K$16*E8*$K$10</f>
        <v>1.5272914823529408E-2</v>
      </c>
      <c r="G14" s="27">
        <f>G8</f>
        <v>6.5462184873949572E-2</v>
      </c>
      <c r="H14" s="133">
        <v>0</v>
      </c>
      <c r="J14" s="142" t="s">
        <v>119</v>
      </c>
      <c r="K14" s="140">
        <f>K12/K13</f>
        <v>1.3333333333333333</v>
      </c>
    </row>
    <row r="15" spans="1:12" ht="13.5" thickTop="1"/>
    <row r="16" spans="1:12" ht="13.5" thickBot="1">
      <c r="A16" s="9" t="s">
        <v>13</v>
      </c>
      <c r="J16" s="142" t="s">
        <v>117</v>
      </c>
      <c r="K16" s="142">
        <v>1.1200000000000001</v>
      </c>
      <c r="L16" s="114" t="s">
        <v>118</v>
      </c>
    </row>
    <row r="17" spans="1:8" ht="13.5" customHeight="1" thickTop="1">
      <c r="A17" s="488"/>
      <c r="B17" s="486" t="s">
        <v>111</v>
      </c>
      <c r="C17" s="486" t="s">
        <v>125</v>
      </c>
      <c r="D17" s="492" t="s">
        <v>195</v>
      </c>
      <c r="E17" s="493"/>
      <c r="F17" s="493"/>
      <c r="G17" s="493"/>
      <c r="H17" s="494"/>
    </row>
    <row r="18" spans="1:8" ht="25.5">
      <c r="A18" s="489"/>
      <c r="B18" s="490"/>
      <c r="C18" s="487"/>
      <c r="D18" s="14" t="s">
        <v>9</v>
      </c>
      <c r="E18" s="15" t="s">
        <v>10</v>
      </c>
      <c r="F18" s="16" t="s">
        <v>12</v>
      </c>
      <c r="G18" s="15" t="s">
        <v>11</v>
      </c>
      <c r="H18" s="16" t="s">
        <v>14</v>
      </c>
    </row>
    <row r="19" spans="1:8">
      <c r="A19" s="170" t="s">
        <v>151</v>
      </c>
      <c r="B19" s="7">
        <f t="shared" ref="B19:E20" si="1">B7</f>
        <v>1.35</v>
      </c>
      <c r="C19" s="12">
        <f t="shared" si="1"/>
        <v>8.8000000000000007</v>
      </c>
      <c r="D19" s="17">
        <f t="shared" si="1"/>
        <v>6.7692307692307691E-2</v>
      </c>
      <c r="E19" s="18">
        <f t="shared" si="1"/>
        <v>0.5093040293040294</v>
      </c>
      <c r="F19" s="132">
        <v>0</v>
      </c>
      <c r="G19" s="18">
        <v>0</v>
      </c>
      <c r="H19" s="132">
        <f>$K$14*G13*$K$10</f>
        <v>7.4202459584859588E-3</v>
      </c>
    </row>
    <row r="20" spans="1:8" ht="13.5" thickBot="1">
      <c r="A20" s="171" t="s">
        <v>152</v>
      </c>
      <c r="B20" s="24">
        <f t="shared" si="1"/>
        <v>2</v>
      </c>
      <c r="C20" s="25">
        <f t="shared" si="1"/>
        <v>4.0999999999999996</v>
      </c>
      <c r="D20" s="26">
        <f t="shared" si="1"/>
        <v>3.4453781512605038E-2</v>
      </c>
      <c r="E20" s="27">
        <f t="shared" si="1"/>
        <v>0.39966386554621841</v>
      </c>
      <c r="F20" s="133">
        <v>0</v>
      </c>
      <c r="G20" s="27">
        <v>0</v>
      </c>
      <c r="H20" s="133">
        <f>$K$14*G14*$K$10</f>
        <v>2.9780929971988789E-3</v>
      </c>
    </row>
    <row r="21" spans="1:8" ht="13.5" thickTop="1"/>
    <row r="22" spans="1:8" ht="13.5" thickBot="1">
      <c r="A22" s="9" t="s">
        <v>15</v>
      </c>
    </row>
    <row r="23" spans="1:8" ht="13.5" customHeight="1" thickTop="1">
      <c r="A23" s="488"/>
      <c r="B23" s="486" t="s">
        <v>111</v>
      </c>
      <c r="C23" s="486" t="s">
        <v>125</v>
      </c>
      <c r="D23" s="492" t="s">
        <v>195</v>
      </c>
      <c r="E23" s="493"/>
      <c r="F23" s="493"/>
      <c r="G23" s="493"/>
      <c r="H23" s="494"/>
    </row>
    <row r="24" spans="1:8" ht="25.5">
      <c r="A24" s="489"/>
      <c r="B24" s="490"/>
      <c r="C24" s="487"/>
      <c r="D24" s="14" t="s">
        <v>9</v>
      </c>
      <c r="E24" s="15" t="s">
        <v>10</v>
      </c>
      <c r="F24" s="16" t="s">
        <v>12</v>
      </c>
      <c r="G24" s="15" t="s">
        <v>11</v>
      </c>
      <c r="H24" s="16" t="s">
        <v>14</v>
      </c>
    </row>
    <row r="25" spans="1:8">
      <c r="A25" s="170" t="s">
        <v>151</v>
      </c>
      <c r="B25" s="7">
        <f t="shared" ref="B25:D26" si="2">B7</f>
        <v>1.35</v>
      </c>
      <c r="C25" s="12">
        <f t="shared" si="2"/>
        <v>8.8000000000000007</v>
      </c>
      <c r="D25" s="17">
        <f t="shared" si="2"/>
        <v>6.7692307692307691E-2</v>
      </c>
      <c r="E25" s="18">
        <v>0</v>
      </c>
      <c r="F25" s="132">
        <f>$K$16*E7*$K$10</f>
        <v>1.9462747897435902E-2</v>
      </c>
      <c r="G25" s="18">
        <v>0</v>
      </c>
      <c r="H25" s="132">
        <f>$K$14*G7*$K$10</f>
        <v>7.4202459584859588E-3</v>
      </c>
    </row>
    <row r="26" spans="1:8" ht="13.5" thickBot="1">
      <c r="A26" s="171" t="s">
        <v>152</v>
      </c>
      <c r="B26" s="24">
        <f t="shared" si="2"/>
        <v>2</v>
      </c>
      <c r="C26" s="25">
        <f t="shared" si="2"/>
        <v>4.0999999999999996</v>
      </c>
      <c r="D26" s="26">
        <f t="shared" si="2"/>
        <v>3.4453781512605038E-2</v>
      </c>
      <c r="E26" s="27">
        <v>0</v>
      </c>
      <c r="F26" s="133">
        <f>$K$16*E8*$K$10</f>
        <v>1.5272914823529408E-2</v>
      </c>
      <c r="G26" s="27">
        <v>0</v>
      </c>
      <c r="H26" s="133">
        <f>$K$14*G8*$K$10</f>
        <v>2.9780929971988789E-3</v>
      </c>
    </row>
    <row r="27" spans="1:8" ht="13.5" thickTop="1"/>
    <row r="29" spans="1:8" ht="13.5" thickBot="1">
      <c r="A29" s="9" t="s">
        <v>22</v>
      </c>
      <c r="C29" s="150" t="s">
        <v>300</v>
      </c>
      <c r="D29" s="451" t="str">
        <f>'Clothes Washers User Inputs'!F5</f>
        <v>all</v>
      </c>
    </row>
    <row r="30" spans="1:8" ht="13.5" customHeight="1" thickTop="1">
      <c r="A30" s="488"/>
      <c r="B30" s="486" t="s">
        <v>111</v>
      </c>
      <c r="C30" s="491" t="s">
        <v>125</v>
      </c>
      <c r="D30" s="492" t="s">
        <v>195</v>
      </c>
      <c r="E30" s="493"/>
      <c r="F30" s="493"/>
      <c r="G30" s="493"/>
      <c r="H30" s="494"/>
    </row>
    <row r="31" spans="1:8" ht="25.5">
      <c r="A31" s="489"/>
      <c r="B31" s="490"/>
      <c r="C31" s="487"/>
      <c r="D31" s="14" t="s">
        <v>9</v>
      </c>
      <c r="E31" s="15" t="s">
        <v>10</v>
      </c>
      <c r="F31" s="16" t="s">
        <v>12</v>
      </c>
      <c r="G31" s="15" t="s">
        <v>11</v>
      </c>
      <c r="H31" s="16" t="s">
        <v>14</v>
      </c>
    </row>
    <row r="32" spans="1:8">
      <c r="A32" s="170" t="s">
        <v>151</v>
      </c>
      <c r="B32" s="7">
        <f t="shared" ref="B32:D33" si="3">B7</f>
        <v>1.35</v>
      </c>
      <c r="C32" s="12">
        <f t="shared" si="3"/>
        <v>8.8000000000000007</v>
      </c>
      <c r="D32" s="17">
        <f t="shared" si="3"/>
        <v>6.7692307692307691E-2</v>
      </c>
      <c r="E32" s="18">
        <f>IF('Clothes Washers User Inputs'!$F$5='Clothes Washers User Inputs'!$Q$3, E7*$L$7+E13*$L$6+E19*$K$7+E25*$K$6, ($K$7/SUM($K$6,$K$7))*E7)</f>
        <v>0.30326635693587523</v>
      </c>
      <c r="F32" s="132">
        <f>IF('Clothes Washers User Inputs'!$F$5='Clothes Washers User Inputs'!$Q$3, F7*$L$7+F13*$L$6+F19*$K$7+F25*$K$6, ($K$6/SUM($K$6,$K$7))*F25)</f>
        <v>7.8736060269455916E-3</v>
      </c>
      <c r="G32" s="18">
        <f>IF('Clothes Washers User Inputs'!$F$5='Clothes Washers User Inputs'!$Q$3, G7*$L$7+G13*$L$6+G19*$K$7+G25*$K$6, IF('Clothes Washers User Inputs'!$F$5='Clothes Washers User Inputs'!$Q$4, G7, IF('Clothes Washers User Inputs'!$F$5='Clothes Washers User Inputs'!$Q$5, 0)))</f>
        <v>3.0476850179686748E-3</v>
      </c>
      <c r="H32" s="132">
        <f>IF('Clothes Washers User Inputs'!$F$5='Clothes Washers User Inputs'!$Q$3, H7*$L$7+H13*$L$6+H19*$K$7+H25*$K$6, IF('Clothes Washers User Inputs'!$F$5='Clothes Washers User Inputs'!$Q$4, 0, IF('Clothes Washers User Inputs'!$F$5='Clothes Washers User Inputs'!$Q$5, H19)))</f>
        <v>7.281596608068504E-3</v>
      </c>
    </row>
    <row r="33" spans="1:8" ht="13.5" thickBot="1">
      <c r="A33" s="171" t="s">
        <v>152</v>
      </c>
      <c r="B33" s="24">
        <f t="shared" si="3"/>
        <v>2</v>
      </c>
      <c r="C33" s="25">
        <f t="shared" si="3"/>
        <v>4.0999999999999996</v>
      </c>
      <c r="D33" s="26">
        <f t="shared" si="3"/>
        <v>3.4453781512605038E-2</v>
      </c>
      <c r="E33" s="169">
        <f>IF('Clothes Washers User Inputs'!$F$5='Clothes Washers User Inputs'!$Q$3, E8*$L$7+E14*$L$6+E20*$K$7+E26*$K$6, ($K$7/SUM($K$6,$K$7))*E8)</f>
        <v>0.23798084744929038</v>
      </c>
      <c r="F33" s="133">
        <f>IF('Clothes Washers User Inputs'!$F$5='Clothes Washers User Inputs'!$Q$3, F8*$L$7+F14*$L$6+F20*$K$7+F26*$K$6, ($K$6/SUM($K$6,$K$7))*F26)</f>
        <v>6.1786195267632483E-3</v>
      </c>
      <c r="G33" s="169">
        <f>IF('Clothes Washers User Inputs'!$F$5='Clothes Washers User Inputs'!$Q$3, G8*$L$7+G14*$L$6+G20*$K$7+G26*$K$6, IF('Clothes Washers User Inputs'!$F$5='Clothes Washers User Inputs'!$Q$4, G8, IF('Clothes Washers User Inputs'!$F$5='Clothes Washers User Inputs'!$Q$5, 0)))</f>
        <v>1.2231790509990576E-3</v>
      </c>
      <c r="H33" s="133">
        <f>IF('Clothes Washers User Inputs'!$F$5='Clothes Washers User Inputs'!$Q$3, H8*$L$7+H14*$L$6+H20*$K$7+H26*$K$6, IF('Clothes Washers User Inputs'!$F$5='Clothes Washers User Inputs'!$Q$4, 0, IF('Clothes Washers User Inputs'!$F$5='Clothes Washers User Inputs'!$Q$5, H20)))</f>
        <v>2.9224465049054286E-3</v>
      </c>
    </row>
    <row r="34" spans="1:8" ht="13.5" thickTop="1">
      <c r="A34"/>
      <c r="D34"/>
      <c r="E34"/>
      <c r="F34"/>
      <c r="G34"/>
      <c r="H34"/>
    </row>
    <row r="35" spans="1:8">
      <c r="A35"/>
      <c r="D35"/>
      <c r="E35"/>
      <c r="F35"/>
      <c r="G35"/>
      <c r="H35"/>
    </row>
    <row r="36" spans="1:8">
      <c r="A36"/>
      <c r="D36"/>
      <c r="E36"/>
      <c r="F36"/>
      <c r="G36"/>
      <c r="H36"/>
    </row>
    <row r="37" spans="1:8" ht="26.25" customHeight="1">
      <c r="A37"/>
      <c r="D37"/>
      <c r="E37"/>
      <c r="F37"/>
      <c r="G37"/>
      <c r="H37"/>
    </row>
    <row r="38" spans="1:8">
      <c r="A38"/>
      <c r="D38"/>
      <c r="E38"/>
      <c r="F38"/>
      <c r="G38"/>
      <c r="H38"/>
    </row>
    <row r="39" spans="1:8">
      <c r="A39"/>
      <c r="D39"/>
      <c r="E39"/>
      <c r="F39"/>
      <c r="G39"/>
      <c r="H39"/>
    </row>
    <row r="40" spans="1:8">
      <c r="C40" s="8"/>
      <c r="H40"/>
    </row>
    <row r="41" spans="1:8">
      <c r="C41" s="8"/>
      <c r="H41"/>
    </row>
  </sheetData>
  <mergeCells count="20">
    <mergeCell ref="D5:H5"/>
    <mergeCell ref="D11:H11"/>
    <mergeCell ref="D17:H17"/>
    <mergeCell ref="D23:H23"/>
    <mergeCell ref="D30:H30"/>
    <mergeCell ref="B5:B6"/>
    <mergeCell ref="C5:C6"/>
    <mergeCell ref="A5:A6"/>
    <mergeCell ref="A11:A12"/>
    <mergeCell ref="B11:B12"/>
    <mergeCell ref="C11:C12"/>
    <mergeCell ref="C17:C18"/>
    <mergeCell ref="A23:A24"/>
    <mergeCell ref="B23:B24"/>
    <mergeCell ref="C23:C24"/>
    <mergeCell ref="A30:A31"/>
    <mergeCell ref="B30:B31"/>
    <mergeCell ref="C30:C31"/>
    <mergeCell ref="A17:A18"/>
    <mergeCell ref="B17:B1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workbookViewId="0">
      <selection activeCell="C8" sqref="C8"/>
    </sheetView>
  </sheetViews>
  <sheetFormatPr defaultRowHeight="12.75"/>
  <cols>
    <col min="1" max="1" width="14" style="8" customWidth="1"/>
    <col min="3" max="3" width="9.140625" style="99"/>
    <col min="4" max="8" width="13.28515625" style="8" customWidth="1"/>
    <col min="9" max="9" width="14.85546875" customWidth="1"/>
    <col min="10" max="10" width="29" customWidth="1"/>
  </cols>
  <sheetData>
    <row r="1" spans="1:12" ht="15.75">
      <c r="A1" s="44" t="s">
        <v>291</v>
      </c>
    </row>
    <row r="4" spans="1:12" ht="13.5" thickBot="1">
      <c r="A4" s="9" t="s">
        <v>7</v>
      </c>
      <c r="J4" s="10" t="s">
        <v>284</v>
      </c>
      <c r="K4" s="11"/>
      <c r="L4" s="8"/>
    </row>
    <row r="5" spans="1:12" ht="25.5" customHeight="1" thickTop="1">
      <c r="A5" s="488"/>
      <c r="B5" s="486" t="s">
        <v>111</v>
      </c>
      <c r="C5" s="495" t="s">
        <v>125</v>
      </c>
      <c r="D5" s="492" t="s">
        <v>195</v>
      </c>
      <c r="E5" s="493"/>
      <c r="F5" s="493"/>
      <c r="G5" s="493"/>
      <c r="H5" s="494"/>
      <c r="J5" s="19" t="s">
        <v>17</v>
      </c>
      <c r="K5" s="20" t="s">
        <v>18</v>
      </c>
      <c r="L5" s="20" t="s">
        <v>19</v>
      </c>
    </row>
    <row r="6" spans="1:12" ht="25.5">
      <c r="A6" s="489"/>
      <c r="B6" s="490"/>
      <c r="C6" s="496"/>
      <c r="D6" s="103" t="s">
        <v>9</v>
      </c>
      <c r="E6" s="104" t="s">
        <v>10</v>
      </c>
      <c r="F6" s="105" t="s">
        <v>12</v>
      </c>
      <c r="G6" s="104" t="s">
        <v>11</v>
      </c>
      <c r="H6" s="105" t="s">
        <v>14</v>
      </c>
      <c r="J6" s="21" t="s">
        <v>20</v>
      </c>
      <c r="K6" s="22">
        <f>'Base Case Energy'!K6</f>
        <v>0.40229626294461956</v>
      </c>
      <c r="L6" s="22">
        <f>'Base Case Energy'!L6</f>
        <v>2.2512381809995496E-3</v>
      </c>
    </row>
    <row r="7" spans="1:12">
      <c r="A7" s="170" t="s">
        <v>151</v>
      </c>
      <c r="B7" s="101">
        <f>VLOOKUP('Clothes Washers User Inputs'!B5,'Clothes Washers User Inputs'!B16:N22,2,FALSE)</f>
        <v>0</v>
      </c>
      <c r="C7" s="239">
        <f>VLOOKUP('Clothes Washers User Inputs'!B5,'Clothes Washers User Inputs'!B16:N22,4,FALSE)</f>
        <v>0</v>
      </c>
      <c r="D7" s="165">
        <f>VLOOKUP('Clothes Washers User Inputs'!B5,'Clothes Washers User Inputs'!B16:N22,8,FALSE)</f>
        <v>0</v>
      </c>
      <c r="E7" s="166">
        <f>VLOOKUP('Clothes Washers User Inputs'!B5,'Clothes Washers User Inputs'!B16:N22,9,FALSE)</f>
        <v>0</v>
      </c>
      <c r="F7" s="134">
        <v>0</v>
      </c>
      <c r="G7" s="107">
        <f>VLOOKUP('Clothes Washers User Inputs'!B5,'Clothes Washers User Inputs'!B16:N22,10,FALSE)</f>
        <v>0</v>
      </c>
      <c r="H7" s="132">
        <v>0</v>
      </c>
      <c r="J7" s="21" t="s">
        <v>21</v>
      </c>
      <c r="K7" s="22">
        <f>'Base Case Energy'!K7</f>
        <v>0.57901846015308422</v>
      </c>
      <c r="L7" s="22">
        <f>'Base Case Energy'!L7</f>
        <v>1.6434038721296715E-2</v>
      </c>
    </row>
    <row r="8" spans="1:12" s="99" customFormat="1" ht="13.5" thickBot="1">
      <c r="A8" s="171" t="s">
        <v>152</v>
      </c>
      <c r="B8" s="167">
        <f>VLOOKUP('Clothes Washers User Inputs'!B5,'Clothes Washers User Inputs'!B16:N22,3,FALSE)</f>
        <v>2.2000000000000002</v>
      </c>
      <c r="C8" s="240">
        <f>VLOOKUP('Clothes Washers User Inputs'!B5,'Clothes Washers User Inputs'!B16:N22,5,FALSE)</f>
        <v>4</v>
      </c>
      <c r="D8" s="168">
        <f>VLOOKUP('Clothes Washers User Inputs'!B5,'Clothes Washers User Inputs'!B16:N22,11,FALSE)</f>
        <v>1.95E-2</v>
      </c>
      <c r="E8" s="172">
        <f>VLOOKUP('Clothes Washers User Inputs'!B5,'Clothes Washers User Inputs'!B16:N22,12,FALSE)</f>
        <v>0.36214285714285716</v>
      </c>
      <c r="F8" s="135">
        <v>0</v>
      </c>
      <c r="G8" s="169">
        <f>VLOOKUP('Clothes Washers User Inputs'!B5,'Clothes Washers User Inputs'!B16:N22,13,FALSE)</f>
        <v>7.4378571428571433E-2</v>
      </c>
      <c r="H8" s="133">
        <v>0</v>
      </c>
      <c r="J8" s="114" t="s">
        <v>47</v>
      </c>
    </row>
    <row r="9" spans="1:12" ht="13.5" thickTop="1"/>
    <row r="10" spans="1:12" ht="13.5" thickBot="1">
      <c r="A10" s="9" t="s">
        <v>8</v>
      </c>
      <c r="J10" s="102" t="s">
        <v>16</v>
      </c>
      <c r="K10" s="13">
        <v>3.4119999999999998E-2</v>
      </c>
    </row>
    <row r="11" spans="1:12" ht="13.5" customHeight="1" thickTop="1">
      <c r="A11" s="488"/>
      <c r="B11" s="486" t="s">
        <v>111</v>
      </c>
      <c r="C11" s="495" t="s">
        <v>125</v>
      </c>
      <c r="D11" s="492" t="s">
        <v>195</v>
      </c>
      <c r="E11" s="493"/>
      <c r="F11" s="493"/>
      <c r="G11" s="493"/>
      <c r="H11" s="494"/>
    </row>
    <row r="12" spans="1:12" ht="25.5">
      <c r="A12" s="489"/>
      <c r="B12" s="490"/>
      <c r="C12" s="496"/>
      <c r="D12" s="103" t="s">
        <v>9</v>
      </c>
      <c r="E12" s="122" t="s">
        <v>10</v>
      </c>
      <c r="F12" s="123" t="s">
        <v>12</v>
      </c>
      <c r="G12" s="104" t="s">
        <v>11</v>
      </c>
      <c r="H12" s="105" t="s">
        <v>14</v>
      </c>
      <c r="J12" s="139" t="s">
        <v>120</v>
      </c>
      <c r="K12" s="140">
        <v>1</v>
      </c>
      <c r="L12" s="56" t="s">
        <v>122</v>
      </c>
    </row>
    <row r="13" spans="1:12">
      <c r="A13" s="170" t="s">
        <v>151</v>
      </c>
      <c r="B13" s="101">
        <f>$B$7</f>
        <v>0</v>
      </c>
      <c r="C13" s="239">
        <f>C7</f>
        <v>0</v>
      </c>
      <c r="D13" s="106">
        <f>D7</f>
        <v>0</v>
      </c>
      <c r="E13" s="108">
        <v>0</v>
      </c>
      <c r="F13" s="134">
        <f>$K$16*E7*$K$10</f>
        <v>0</v>
      </c>
      <c r="G13" s="107">
        <f>G7</f>
        <v>0</v>
      </c>
      <c r="H13" s="132">
        <v>0</v>
      </c>
      <c r="J13" s="139" t="s">
        <v>121</v>
      </c>
      <c r="K13" s="140">
        <v>0.75</v>
      </c>
      <c r="L13" s="56" t="s">
        <v>122</v>
      </c>
    </row>
    <row r="14" spans="1:12" s="99" customFormat="1" ht="13.5" thickBot="1">
      <c r="A14" s="171" t="s">
        <v>152</v>
      </c>
      <c r="B14" s="109">
        <f>B8</f>
        <v>2.2000000000000002</v>
      </c>
      <c r="C14" s="240">
        <f>C8</f>
        <v>4</v>
      </c>
      <c r="D14" s="110">
        <f>D8</f>
        <v>1.95E-2</v>
      </c>
      <c r="E14" s="112">
        <v>0</v>
      </c>
      <c r="F14" s="135">
        <f>$K$16*E8*$K$10</f>
        <v>1.3839072000000001E-2</v>
      </c>
      <c r="G14" s="111">
        <f>G8</f>
        <v>7.4378571428571433E-2</v>
      </c>
      <c r="H14" s="133">
        <v>0</v>
      </c>
      <c r="J14" s="142" t="s">
        <v>119</v>
      </c>
      <c r="K14" s="140">
        <f>K12/K13</f>
        <v>1.3333333333333333</v>
      </c>
    </row>
    <row r="15" spans="1:12" ht="13.5" thickTop="1"/>
    <row r="16" spans="1:12" ht="13.5" thickBot="1">
      <c r="A16" s="9" t="s">
        <v>13</v>
      </c>
      <c r="J16" s="142" t="s">
        <v>117</v>
      </c>
      <c r="K16" s="142">
        <v>1.1200000000000001</v>
      </c>
      <c r="L16" s="114" t="s">
        <v>118</v>
      </c>
    </row>
    <row r="17" spans="1:8" ht="13.5" customHeight="1" thickTop="1">
      <c r="A17" s="488"/>
      <c r="B17" s="486" t="s">
        <v>111</v>
      </c>
      <c r="C17" s="495" t="s">
        <v>125</v>
      </c>
      <c r="D17" s="492" t="s">
        <v>195</v>
      </c>
      <c r="E17" s="493"/>
      <c r="F17" s="493"/>
      <c r="G17" s="493"/>
      <c r="H17" s="494"/>
    </row>
    <row r="18" spans="1:8" ht="25.5">
      <c r="A18" s="489"/>
      <c r="B18" s="490"/>
      <c r="C18" s="496"/>
      <c r="D18" s="103" t="s">
        <v>9</v>
      </c>
      <c r="E18" s="122" t="s">
        <v>10</v>
      </c>
      <c r="F18" s="123" t="s">
        <v>12</v>
      </c>
      <c r="G18" s="104" t="s">
        <v>11</v>
      </c>
      <c r="H18" s="105" t="s">
        <v>14</v>
      </c>
    </row>
    <row r="19" spans="1:8">
      <c r="A19" s="170" t="s">
        <v>151</v>
      </c>
      <c r="B19" s="101">
        <f>$B$7</f>
        <v>0</v>
      </c>
      <c r="C19" s="239">
        <f t="shared" ref="C19:E20" si="0">C7</f>
        <v>0</v>
      </c>
      <c r="D19" s="106">
        <f t="shared" si="0"/>
        <v>0</v>
      </c>
      <c r="E19" s="108">
        <f t="shared" si="0"/>
        <v>0</v>
      </c>
      <c r="F19" s="134">
        <v>0</v>
      </c>
      <c r="G19" s="107">
        <v>0</v>
      </c>
      <c r="H19" s="132">
        <f>$K$14*G13*$K$10</f>
        <v>0</v>
      </c>
    </row>
    <row r="20" spans="1:8" s="99" customFormat="1" ht="13.5" thickBot="1">
      <c r="A20" s="171" t="s">
        <v>152</v>
      </c>
      <c r="B20" s="109">
        <f>B8</f>
        <v>2.2000000000000002</v>
      </c>
      <c r="C20" s="240">
        <f t="shared" si="0"/>
        <v>4</v>
      </c>
      <c r="D20" s="110">
        <f t="shared" si="0"/>
        <v>1.95E-2</v>
      </c>
      <c r="E20" s="112">
        <f t="shared" si="0"/>
        <v>0.36214285714285716</v>
      </c>
      <c r="F20" s="135">
        <v>0</v>
      </c>
      <c r="G20" s="111">
        <v>0</v>
      </c>
      <c r="H20" s="133">
        <f>$K$14*G14*$K$10</f>
        <v>3.3837291428571426E-3</v>
      </c>
    </row>
    <row r="21" spans="1:8" ht="13.5" thickTop="1"/>
    <row r="22" spans="1:8" ht="13.5" thickBot="1">
      <c r="A22" s="9" t="s">
        <v>15</v>
      </c>
    </row>
    <row r="23" spans="1:8" ht="13.5" customHeight="1" thickTop="1">
      <c r="A23" s="488"/>
      <c r="B23" s="486" t="s">
        <v>111</v>
      </c>
      <c r="C23" s="495" t="s">
        <v>125</v>
      </c>
      <c r="D23" s="492" t="s">
        <v>195</v>
      </c>
      <c r="E23" s="493"/>
      <c r="F23" s="493"/>
      <c r="G23" s="493"/>
      <c r="H23" s="494"/>
    </row>
    <row r="24" spans="1:8" ht="25.5">
      <c r="A24" s="489"/>
      <c r="B24" s="490"/>
      <c r="C24" s="496"/>
      <c r="D24" s="103" t="s">
        <v>9</v>
      </c>
      <c r="E24" s="122" t="s">
        <v>10</v>
      </c>
      <c r="F24" s="123" t="s">
        <v>12</v>
      </c>
      <c r="G24" s="104" t="s">
        <v>11</v>
      </c>
      <c r="H24" s="105" t="s">
        <v>14</v>
      </c>
    </row>
    <row r="25" spans="1:8">
      <c r="A25" s="170" t="s">
        <v>151</v>
      </c>
      <c r="B25" s="101">
        <f>$B$7</f>
        <v>0</v>
      </c>
      <c r="C25" s="239">
        <f>C7</f>
        <v>0</v>
      </c>
      <c r="D25" s="106">
        <f>D7</f>
        <v>0</v>
      </c>
      <c r="E25" s="108">
        <v>0</v>
      </c>
      <c r="F25" s="134">
        <f>$K$16*E7*$K$10</f>
        <v>0</v>
      </c>
      <c r="G25" s="107">
        <v>0</v>
      </c>
      <c r="H25" s="132">
        <f>$K$14*G7*$K$10</f>
        <v>0</v>
      </c>
    </row>
    <row r="26" spans="1:8" ht="13.5" thickBot="1">
      <c r="A26" s="171" t="s">
        <v>152</v>
      </c>
      <c r="B26" s="124">
        <f>B8</f>
        <v>2.2000000000000002</v>
      </c>
      <c r="C26" s="241">
        <f>C8</f>
        <v>4</v>
      </c>
      <c r="D26" s="110">
        <f>D8</f>
        <v>1.95E-2</v>
      </c>
      <c r="E26" s="112">
        <v>0</v>
      </c>
      <c r="F26" s="135">
        <f>$K$16*E8*$K$10</f>
        <v>1.3839072000000001E-2</v>
      </c>
      <c r="G26" s="111">
        <v>0</v>
      </c>
      <c r="H26" s="133">
        <f>$K$14*G8*$K$10</f>
        <v>3.3837291428571426E-3</v>
      </c>
    </row>
    <row r="27" spans="1:8" ht="13.5" thickTop="1"/>
    <row r="28" spans="1:8" s="441" customFormat="1">
      <c r="A28" s="8"/>
      <c r="D28" s="8"/>
      <c r="E28" s="8"/>
      <c r="F28" s="8"/>
      <c r="G28" s="8"/>
      <c r="H28" s="8"/>
    </row>
    <row r="29" spans="1:8" ht="13.5" thickBot="1">
      <c r="A29" s="9" t="s">
        <v>22</v>
      </c>
      <c r="C29" s="150" t="s">
        <v>300</v>
      </c>
      <c r="D29" s="451" t="str">
        <f>'Clothes Washers User Inputs'!F5</f>
        <v>all</v>
      </c>
    </row>
    <row r="30" spans="1:8" ht="13.5" customHeight="1" thickTop="1">
      <c r="A30" s="488"/>
      <c r="B30" s="486" t="s">
        <v>111</v>
      </c>
      <c r="C30" s="495" t="s">
        <v>125</v>
      </c>
      <c r="D30" s="492" t="s">
        <v>195</v>
      </c>
      <c r="E30" s="493"/>
      <c r="F30" s="493"/>
      <c r="G30" s="493"/>
      <c r="H30" s="494"/>
    </row>
    <row r="31" spans="1:8" ht="25.5">
      <c r="A31" s="489"/>
      <c r="B31" s="490"/>
      <c r="C31" s="496"/>
      <c r="D31" s="103" t="s">
        <v>9</v>
      </c>
      <c r="E31" s="122" t="s">
        <v>10</v>
      </c>
      <c r="F31" s="105" t="s">
        <v>12</v>
      </c>
      <c r="G31" s="104" t="s">
        <v>11</v>
      </c>
      <c r="H31" s="105" t="s">
        <v>14</v>
      </c>
    </row>
    <row r="32" spans="1:8">
      <c r="A32" s="170" t="s">
        <v>151</v>
      </c>
      <c r="B32" s="101">
        <f>$B$7</f>
        <v>0</v>
      </c>
      <c r="C32" s="239">
        <f>C7</f>
        <v>0</v>
      </c>
      <c r="D32" s="106">
        <f>D7</f>
        <v>0</v>
      </c>
      <c r="E32" s="108">
        <f>IF('Clothes Washers User Inputs'!$F$5='Clothes Washers User Inputs'!$Q$3, E7*$L$7+E13*$L$6+E19*$K$7+E25*$K$6, ($K$7/SUM($K$6,$K$7))*E7)</f>
        <v>0</v>
      </c>
      <c r="F32" s="132">
        <f>IF('Clothes Washers User Inputs'!$F$5='Clothes Washers User Inputs'!$Q$3, F7*$L$7+F13*$L$6+F19*$K$7+F25*$K$6, ($K$6/SUM($K$6,$K$7))*F25)</f>
        <v>0</v>
      </c>
      <c r="G32" s="107">
        <f>IF('Clothes Washers User Inputs'!$F$5='Clothes Washers User Inputs'!$Q$3, G7*$L$7+G13*$L$6+G19*$K$7+G25*$K$6, IF('Clothes Washers User Inputs'!$F$5='Clothes Washers User Inputs'!$Q$4, G7, IF('Clothes Washers User Inputs'!$F$5='Clothes Washers User Inputs'!$Q$5, 0)))</f>
        <v>0</v>
      </c>
      <c r="H32" s="132">
        <f>IF('Clothes Washers User Inputs'!$F$5='Clothes Washers User Inputs'!$Q$3, H7*$L$7+H13*$L$6+H19*$K$7+H25*$K$6, IF('Clothes Washers User Inputs'!$F$5='Clothes Washers User Inputs'!$Q$4, 0, IF('Clothes Washers User Inputs'!$F$5='Clothes Washers User Inputs'!$Q$5, H19)))</f>
        <v>0</v>
      </c>
    </row>
    <row r="33" spans="1:8" s="99" customFormat="1" ht="13.5" thickBot="1">
      <c r="A33" s="171" t="s">
        <v>152</v>
      </c>
      <c r="B33" s="109">
        <f>B8</f>
        <v>2.2000000000000002</v>
      </c>
      <c r="C33" s="240">
        <f>C8</f>
        <v>4</v>
      </c>
      <c r="D33" s="110">
        <f>D8</f>
        <v>1.95E-2</v>
      </c>
      <c r="E33" s="169">
        <f>IF('Clothes Washers User Inputs'!$F$5='Clothes Washers User Inputs'!$Q$3, E8*$L$7+E14*$L$6+E20*$K$7+E26*$K$6, ($K$7/SUM($K$6,$K$7))*E8)</f>
        <v>0.21563886923522224</v>
      </c>
      <c r="F33" s="133">
        <f>IF('Clothes Washers User Inputs'!$F$5='Clothes Washers User Inputs'!$Q$3, F8*$L$7+F14*$L$6+F20*$K$7+F26*$K$6, ($K$6/SUM($K$6,$K$7))*F26)</f>
        <v>5.598561995497524E-3</v>
      </c>
      <c r="G33" s="169">
        <f>IF('Clothes Washers User Inputs'!$F$5='Clothes Washers User Inputs'!$Q$3, G8*$L$7+G14*$L$6+G20*$K$7+G26*$K$6, IF('Clothes Washers User Inputs'!$F$5='Clothes Washers User Inputs'!$Q$4, G8, IF('Clothes Washers User Inputs'!$F$5='Clothes Washers User Inputs'!$Q$5, 0)))</f>
        <v>1.3897842027400787E-3</v>
      </c>
      <c r="H33" s="133">
        <f>IF('Clothes Washers User Inputs'!$F$5='Clothes Washers User Inputs'!$Q$3, H8*$L$7+H14*$L$6+H20*$K$7+H26*$K$6, IF('Clothes Washers User Inputs'!$F$5='Clothes Washers User Inputs'!$Q$4, 0, IF('Clothes Washers User Inputs'!$F$5='Clothes Washers User Inputs'!$Q$5, H20)))</f>
        <v>3.3205032268604872E-3</v>
      </c>
    </row>
    <row r="34" spans="1:8" ht="13.5" thickTop="1">
      <c r="A34"/>
      <c r="C34"/>
      <c r="D34"/>
      <c r="E34"/>
      <c r="F34"/>
      <c r="G34"/>
      <c r="H34"/>
    </row>
    <row r="35" spans="1:8">
      <c r="A35"/>
      <c r="D35"/>
      <c r="E35"/>
      <c r="F35"/>
      <c r="G35"/>
      <c r="H35"/>
    </row>
    <row r="36" spans="1:8" ht="39" customHeight="1">
      <c r="A36"/>
      <c r="D36"/>
      <c r="E36"/>
      <c r="F36"/>
      <c r="G36"/>
      <c r="H36"/>
    </row>
    <row r="37" spans="1:8" ht="24.75" customHeight="1">
      <c r="A37"/>
      <c r="D37"/>
      <c r="E37"/>
      <c r="F37"/>
      <c r="G37"/>
      <c r="H37"/>
    </row>
    <row r="38" spans="1:8">
      <c r="A38"/>
      <c r="D38"/>
      <c r="E38"/>
      <c r="F38"/>
      <c r="G38"/>
      <c r="H38"/>
    </row>
    <row r="39" spans="1:8">
      <c r="A39"/>
      <c r="D39"/>
      <c r="E39"/>
      <c r="F39"/>
      <c r="G39"/>
      <c r="H39"/>
    </row>
    <row r="40" spans="1:8">
      <c r="H40"/>
    </row>
  </sheetData>
  <mergeCells count="20">
    <mergeCell ref="A5:A6"/>
    <mergeCell ref="B5:B6"/>
    <mergeCell ref="D5:H5"/>
    <mergeCell ref="A11:A12"/>
    <mergeCell ref="B11:B12"/>
    <mergeCell ref="D11:H11"/>
    <mergeCell ref="C5:C6"/>
    <mergeCell ref="C11:C12"/>
    <mergeCell ref="A30:A31"/>
    <mergeCell ref="B30:B31"/>
    <mergeCell ref="D30:H30"/>
    <mergeCell ref="A17:A18"/>
    <mergeCell ref="B17:B18"/>
    <mergeCell ref="D17:H17"/>
    <mergeCell ref="A23:A24"/>
    <mergeCell ref="B23:B24"/>
    <mergeCell ref="D23:H23"/>
    <mergeCell ref="C17:C18"/>
    <mergeCell ref="C23:C24"/>
    <mergeCell ref="C30:C3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5"/>
  <sheetViews>
    <sheetView workbookViewId="0">
      <selection activeCell="K56" sqref="K56"/>
    </sheetView>
  </sheetViews>
  <sheetFormatPr defaultRowHeight="12.75"/>
  <cols>
    <col min="1" max="1" width="23.140625" style="99" bestFit="1" customWidth="1"/>
    <col min="2" max="7" width="13.28515625" style="1" customWidth="1"/>
    <col min="8" max="8" width="13.85546875" customWidth="1"/>
    <col min="9" max="9" width="27.85546875" bestFit="1" customWidth="1"/>
    <col min="10" max="10" width="22.28515625" style="94" bestFit="1" customWidth="1"/>
    <col min="11" max="11" width="24.85546875" style="94" bestFit="1" customWidth="1"/>
    <col min="12" max="12" width="18.42578125" style="94" bestFit="1" customWidth="1"/>
    <col min="13" max="13" width="21" style="1" bestFit="1" customWidth="1"/>
    <col min="14" max="15" width="13.7109375" style="1" customWidth="1"/>
    <col min="16" max="16" width="86.85546875" bestFit="1" customWidth="1"/>
  </cols>
  <sheetData>
    <row r="2" spans="1:16" ht="15.75">
      <c r="B2" s="48" t="s">
        <v>212</v>
      </c>
      <c r="C2" s="48"/>
      <c r="I2" s="100"/>
      <c r="J2" s="130"/>
      <c r="K2" s="130"/>
      <c r="L2" s="130"/>
    </row>
    <row r="3" spans="1:16">
      <c r="B3" s="49" t="s">
        <v>6</v>
      </c>
      <c r="C3" s="49"/>
      <c r="D3" s="50"/>
      <c r="E3" s="50"/>
      <c r="F3" s="50"/>
      <c r="G3" s="50"/>
      <c r="H3" s="51"/>
      <c r="J3"/>
      <c r="K3"/>
      <c r="L3"/>
      <c r="M3"/>
    </row>
    <row r="4" spans="1:16">
      <c r="B4" s="52" t="s">
        <v>45</v>
      </c>
      <c r="C4" s="52"/>
      <c r="D4" s="50"/>
      <c r="E4" s="50"/>
      <c r="F4" s="50"/>
      <c r="G4" s="50"/>
      <c r="H4" s="51"/>
      <c r="J4"/>
      <c r="K4"/>
      <c r="L4"/>
      <c r="M4"/>
    </row>
    <row r="6" spans="1:16">
      <c r="B6" s="4" t="s">
        <v>217</v>
      </c>
      <c r="C6" s="4"/>
    </row>
    <row r="7" spans="1:16" ht="12.75" customHeight="1">
      <c r="B7" s="500" t="s">
        <v>0</v>
      </c>
      <c r="C7" s="500" t="s">
        <v>111</v>
      </c>
      <c r="D7" s="500" t="s">
        <v>1</v>
      </c>
      <c r="E7" s="497" t="s">
        <v>5</v>
      </c>
      <c r="F7" s="498"/>
      <c r="G7" s="499"/>
      <c r="I7" s="490" t="s">
        <v>113</v>
      </c>
      <c r="J7" s="502" t="s">
        <v>148</v>
      </c>
      <c r="K7" s="502"/>
      <c r="L7" s="502"/>
      <c r="M7" s="502" t="s">
        <v>114</v>
      </c>
      <c r="N7" s="502"/>
      <c r="O7" s="502"/>
    </row>
    <row r="8" spans="1:16" ht="12.75" customHeight="1">
      <c r="B8" s="501"/>
      <c r="C8" s="501"/>
      <c r="D8" s="501"/>
      <c r="E8" s="138" t="s">
        <v>2</v>
      </c>
      <c r="F8" s="138" t="s">
        <v>3</v>
      </c>
      <c r="G8" s="138" t="s">
        <v>4</v>
      </c>
      <c r="I8" s="490"/>
      <c r="J8" s="119" t="s">
        <v>2</v>
      </c>
      <c r="K8" s="119" t="s">
        <v>3</v>
      </c>
      <c r="L8" s="119" t="s">
        <v>4</v>
      </c>
      <c r="M8" s="119" t="s">
        <v>2</v>
      </c>
      <c r="N8" s="119" t="s">
        <v>3</v>
      </c>
      <c r="O8" s="119" t="s">
        <v>4</v>
      </c>
    </row>
    <row r="9" spans="1:16" ht="12.75" customHeight="1">
      <c r="A9" s="129"/>
      <c r="B9" s="101">
        <v>1.26</v>
      </c>
      <c r="C9" s="101">
        <f>0.988*B9-0.4051</f>
        <v>0.83977999999999997</v>
      </c>
      <c r="D9" s="93">
        <v>3.09</v>
      </c>
      <c r="E9" s="93">
        <v>0.27900000000000003</v>
      </c>
      <c r="F9" s="93">
        <v>2.16</v>
      </c>
      <c r="G9" s="93">
        <v>1.24</v>
      </c>
      <c r="I9" s="95">
        <f>D9/C9</f>
        <v>3.6795351163399936</v>
      </c>
      <c r="J9" s="95">
        <f>E9/$D9</f>
        <v>9.029126213592234E-2</v>
      </c>
      <c r="K9" s="116">
        <f t="shared" ref="K9:L9" si="0">F9/$D9</f>
        <v>0.69902912621359237</v>
      </c>
      <c r="L9" s="116">
        <f t="shared" si="0"/>
        <v>0.40129449838187703</v>
      </c>
      <c r="M9" s="128">
        <f>E9/$I9</f>
        <v>7.5824796116504861E-2</v>
      </c>
      <c r="N9" s="128">
        <f>F9/$I9</f>
        <v>0.58703067961165056</v>
      </c>
      <c r="O9" s="128">
        <f>G9/$I9</f>
        <v>0.33699909385113269</v>
      </c>
    </row>
    <row r="10" spans="1:16" ht="12.75" customHeight="1">
      <c r="B10" s="32">
        <v>1.4</v>
      </c>
      <c r="C10" s="101">
        <f t="shared" ref="C10:C17" si="1">0.988*B10-0.4051</f>
        <v>0.97809999999999997</v>
      </c>
      <c r="D10" s="33">
        <v>3.38</v>
      </c>
      <c r="E10" s="33">
        <v>0.28100000000000003</v>
      </c>
      <c r="F10" s="33">
        <v>2.4300000000000002</v>
      </c>
      <c r="G10" s="33">
        <v>0.74</v>
      </c>
      <c r="I10" s="95">
        <f t="shared" ref="I10:I32" si="2">D10/C10</f>
        <v>3.4556793783866682</v>
      </c>
      <c r="J10" s="116">
        <f t="shared" ref="J10:J17" si="3">E10/$D10</f>
        <v>8.3136094674556224E-2</v>
      </c>
      <c r="K10" s="116">
        <f t="shared" ref="K10:K17" si="4">F10/$D10</f>
        <v>0.71893491124260367</v>
      </c>
      <c r="L10" s="116">
        <f t="shared" ref="L10:L17" si="5">G10/$D10</f>
        <v>0.21893491124260356</v>
      </c>
      <c r="M10" s="128">
        <f t="shared" ref="M10:M17" si="6">E10/$I10</f>
        <v>8.1315414201183434E-2</v>
      </c>
      <c r="N10" s="128">
        <f t="shared" ref="N10:N17" si="7">F10/$I10</f>
        <v>0.70319023668639058</v>
      </c>
      <c r="O10" s="128">
        <f t="shared" ref="O10:O17" si="8">G10/$I10</f>
        <v>0.21414023668639051</v>
      </c>
    </row>
    <row r="11" spans="1:16" ht="12.75" customHeight="1">
      <c r="A11" s="117" t="s">
        <v>223</v>
      </c>
      <c r="B11" s="6">
        <v>1.72</v>
      </c>
      <c r="C11" s="6">
        <f t="shared" si="1"/>
        <v>1.29426</v>
      </c>
      <c r="D11" s="5">
        <v>3.38</v>
      </c>
      <c r="E11" s="5">
        <v>0.22800000000000001</v>
      </c>
      <c r="F11" s="5">
        <v>1.69</v>
      </c>
      <c r="G11" s="5">
        <v>0.69</v>
      </c>
      <c r="H11" s="158"/>
      <c r="I11" s="161">
        <f t="shared" si="2"/>
        <v>2.611530913417706</v>
      </c>
      <c r="J11" s="161">
        <f t="shared" si="3"/>
        <v>6.7455621301775154E-2</v>
      </c>
      <c r="K11" s="161">
        <f t="shared" si="4"/>
        <v>0.5</v>
      </c>
      <c r="L11" s="161">
        <f t="shared" si="5"/>
        <v>0.20414201183431951</v>
      </c>
      <c r="M11" s="162">
        <f t="shared" si="6"/>
        <v>8.7305112426035503E-2</v>
      </c>
      <c r="N11" s="162">
        <f t="shared" si="7"/>
        <v>0.64712999999999998</v>
      </c>
      <c r="O11" s="162">
        <f t="shared" si="8"/>
        <v>0.26421284023668634</v>
      </c>
    </row>
    <row r="12" spans="1:16" ht="12.75" customHeight="1">
      <c r="B12" s="32">
        <v>1.8</v>
      </c>
      <c r="C12" s="101">
        <f t="shared" si="1"/>
        <v>1.3733</v>
      </c>
      <c r="D12" s="33">
        <v>3.76</v>
      </c>
      <c r="E12" s="33">
        <v>8.2000000000000003E-2</v>
      </c>
      <c r="F12" s="33">
        <v>1.41</v>
      </c>
      <c r="G12" s="33">
        <v>1.26</v>
      </c>
      <c r="I12" s="95">
        <f t="shared" si="2"/>
        <v>2.7379305322944729</v>
      </c>
      <c r="J12" s="116">
        <f t="shared" si="3"/>
        <v>2.1808510638297876E-2</v>
      </c>
      <c r="K12" s="116">
        <f t="shared" si="4"/>
        <v>0.375</v>
      </c>
      <c r="L12" s="116">
        <f t="shared" si="5"/>
        <v>0.33510638297872342</v>
      </c>
      <c r="M12" s="128">
        <f t="shared" si="6"/>
        <v>2.9949627659574471E-2</v>
      </c>
      <c r="N12" s="128">
        <f t="shared" si="7"/>
        <v>0.51498750000000004</v>
      </c>
      <c r="O12" s="128">
        <f t="shared" si="8"/>
        <v>0.46020159574468089</v>
      </c>
      <c r="P12" s="2"/>
    </row>
    <row r="13" spans="1:16" ht="12.75" customHeight="1">
      <c r="B13" s="32">
        <v>1.8</v>
      </c>
      <c r="C13" s="101">
        <f t="shared" si="1"/>
        <v>1.3733</v>
      </c>
      <c r="D13" s="33">
        <v>3.76</v>
      </c>
      <c r="E13" s="33">
        <v>8.2000000000000003E-2</v>
      </c>
      <c r="F13" s="33">
        <v>1.41</v>
      </c>
      <c r="G13" s="33">
        <v>1.26</v>
      </c>
      <c r="I13" s="95">
        <f t="shared" si="2"/>
        <v>2.7379305322944729</v>
      </c>
      <c r="J13" s="116">
        <f t="shared" si="3"/>
        <v>2.1808510638297876E-2</v>
      </c>
      <c r="K13" s="116">
        <f t="shared" si="4"/>
        <v>0.375</v>
      </c>
      <c r="L13" s="116">
        <f t="shared" si="5"/>
        <v>0.33510638297872342</v>
      </c>
      <c r="M13" s="128">
        <f t="shared" si="6"/>
        <v>2.9949627659574471E-2</v>
      </c>
      <c r="N13" s="128">
        <f t="shared" si="7"/>
        <v>0.51498750000000004</v>
      </c>
      <c r="O13" s="128">
        <f t="shared" si="8"/>
        <v>0.46020159574468089</v>
      </c>
      <c r="P13" s="2"/>
    </row>
    <row r="14" spans="1:16" ht="12.75" customHeight="1">
      <c r="B14" s="32">
        <v>1.8</v>
      </c>
      <c r="C14" s="101">
        <f t="shared" si="1"/>
        <v>1.3733</v>
      </c>
      <c r="D14" s="33">
        <v>3.76</v>
      </c>
      <c r="E14" s="33">
        <v>8.2000000000000003E-2</v>
      </c>
      <c r="F14" s="33">
        <v>1.41</v>
      </c>
      <c r="G14" s="33">
        <v>1.25</v>
      </c>
      <c r="I14" s="95">
        <f t="shared" si="2"/>
        <v>2.7379305322944729</v>
      </c>
      <c r="J14" s="116">
        <f t="shared" si="3"/>
        <v>2.1808510638297876E-2</v>
      </c>
      <c r="K14" s="116">
        <f t="shared" si="4"/>
        <v>0.375</v>
      </c>
      <c r="L14" s="116">
        <f t="shared" si="5"/>
        <v>0.33244680851063829</v>
      </c>
      <c r="M14" s="128">
        <f t="shared" si="6"/>
        <v>2.9949627659574471E-2</v>
      </c>
      <c r="N14" s="128">
        <f t="shared" si="7"/>
        <v>0.51498750000000004</v>
      </c>
      <c r="O14" s="128">
        <f t="shared" si="8"/>
        <v>0.45654920212765959</v>
      </c>
    </row>
    <row r="15" spans="1:16">
      <c r="B15" s="32">
        <v>2</v>
      </c>
      <c r="C15" s="7">
        <f t="shared" si="1"/>
        <v>1.5709</v>
      </c>
      <c r="D15" s="33">
        <v>3.86</v>
      </c>
      <c r="E15" s="33">
        <v>8.2000000000000003E-2</v>
      </c>
      <c r="F15" s="33">
        <v>1.38</v>
      </c>
      <c r="G15" s="33">
        <v>0.99</v>
      </c>
      <c r="I15" s="95">
        <f t="shared" si="2"/>
        <v>2.4571901457763063</v>
      </c>
      <c r="J15" s="116">
        <f t="shared" si="3"/>
        <v>2.1243523316062177E-2</v>
      </c>
      <c r="K15" s="116">
        <f t="shared" si="4"/>
        <v>0.35751295336787564</v>
      </c>
      <c r="L15" s="116">
        <f t="shared" si="5"/>
        <v>0.25647668393782386</v>
      </c>
      <c r="M15" s="128">
        <f t="shared" si="6"/>
        <v>3.3371450777202077E-2</v>
      </c>
      <c r="N15" s="128">
        <f t="shared" si="7"/>
        <v>0.56161709844559582</v>
      </c>
      <c r="O15" s="128">
        <f t="shared" si="8"/>
        <v>0.4028992227979275</v>
      </c>
    </row>
    <row r="16" spans="1:16">
      <c r="B16" s="32">
        <v>2.2599999999999998</v>
      </c>
      <c r="C16" s="7">
        <f t="shared" si="1"/>
        <v>1.8277799999999997</v>
      </c>
      <c r="D16" s="33">
        <v>3.96</v>
      </c>
      <c r="E16" s="33">
        <v>7.6999999999999999E-2</v>
      </c>
      <c r="F16" s="33">
        <v>1.41</v>
      </c>
      <c r="G16" s="33">
        <v>0.67</v>
      </c>
      <c r="I16" s="95">
        <f t="shared" si="2"/>
        <v>2.1665627154252705</v>
      </c>
      <c r="J16" s="116">
        <f t="shared" si="3"/>
        <v>1.9444444444444445E-2</v>
      </c>
      <c r="K16" s="116">
        <f t="shared" si="4"/>
        <v>0.35606060606060602</v>
      </c>
      <c r="L16" s="116">
        <f t="shared" si="5"/>
        <v>0.1691919191919192</v>
      </c>
      <c r="M16" s="128">
        <f t="shared" si="6"/>
        <v>3.5540166666666657E-2</v>
      </c>
      <c r="N16" s="128">
        <f t="shared" si="7"/>
        <v>0.65080045454545432</v>
      </c>
      <c r="O16" s="128">
        <f t="shared" si="8"/>
        <v>0.30924560606060603</v>
      </c>
    </row>
    <row r="17" spans="1:15">
      <c r="A17" s="118" t="s">
        <v>149</v>
      </c>
      <c r="B17" s="187">
        <v>2.4700000000000002</v>
      </c>
      <c r="C17" s="187">
        <f t="shared" si="1"/>
        <v>2.0352600000000001</v>
      </c>
      <c r="D17" s="188">
        <v>4.34</v>
      </c>
      <c r="E17" s="188">
        <v>8.2000000000000003E-2</v>
      </c>
      <c r="F17" s="188">
        <v>1.39</v>
      </c>
      <c r="G17" s="188">
        <v>0.66</v>
      </c>
      <c r="H17" s="118"/>
      <c r="I17" s="97">
        <f t="shared" si="2"/>
        <v>2.132405687725401</v>
      </c>
      <c r="J17" s="97">
        <f t="shared" si="3"/>
        <v>1.8894009216589864E-2</v>
      </c>
      <c r="K17" s="97">
        <f t="shared" si="4"/>
        <v>0.32027649769585254</v>
      </c>
      <c r="L17" s="97">
        <f t="shared" si="5"/>
        <v>0.15207373271889402</v>
      </c>
      <c r="M17" s="189">
        <f t="shared" si="6"/>
        <v>3.8454221198156689E-2</v>
      </c>
      <c r="N17" s="189">
        <f t="shared" si="7"/>
        <v>0.65184594470046087</v>
      </c>
      <c r="O17" s="189">
        <f t="shared" si="8"/>
        <v>0.30950958525345629</v>
      </c>
    </row>
    <row r="18" spans="1:15">
      <c r="A18" s="118" t="s">
        <v>302</v>
      </c>
      <c r="B18" s="190"/>
      <c r="C18" s="190">
        <v>2.38</v>
      </c>
      <c r="D18" s="190">
        <v>4.34</v>
      </c>
      <c r="E18" s="98">
        <f>J18*$D18</f>
        <v>7.0122403361344551E-2</v>
      </c>
      <c r="F18" s="97">
        <f t="shared" ref="F18:G18" si="9">K18*$D18</f>
        <v>1.1886602521008405</v>
      </c>
      <c r="G18" s="97">
        <f t="shared" si="9"/>
        <v>0.56439983193277321</v>
      </c>
      <c r="H18" s="118"/>
      <c r="I18" s="97">
        <f t="shared" si="2"/>
        <v>1.8235294117647058</v>
      </c>
      <c r="J18" s="97">
        <f>1/$C18*M17</f>
        <v>1.6157235797544828E-2</v>
      </c>
      <c r="K18" s="97">
        <f t="shared" ref="K18:L18" si="10">1/$C18*N17</f>
        <v>0.27388485071447938</v>
      </c>
      <c r="L18" s="97">
        <f t="shared" si="10"/>
        <v>0.13004604422414129</v>
      </c>
      <c r="M18" s="189">
        <f t="shared" ref="M18" si="11">E18/$I18</f>
        <v>3.8454221198156689E-2</v>
      </c>
      <c r="N18" s="189">
        <f t="shared" ref="N18" si="12">F18/$I18</f>
        <v>0.65184594470046087</v>
      </c>
      <c r="O18" s="189">
        <f t="shared" ref="O18" si="13">G18/$I18</f>
        <v>0.30950958525345629</v>
      </c>
    </row>
    <row r="19" spans="1:15" hidden="1">
      <c r="A19" s="118" t="s">
        <v>115</v>
      </c>
      <c r="B19" s="97">
        <f>J4</f>
        <v>0</v>
      </c>
      <c r="C19" s="97">
        <f>0.988*B19-0.4051</f>
        <v>-0.40510000000000002</v>
      </c>
      <c r="D19" s="97">
        <f>K4</f>
        <v>0</v>
      </c>
      <c r="E19" s="98">
        <f>M17*$I$19</f>
        <v>0</v>
      </c>
      <c r="F19" s="97">
        <f>N17*$I$19</f>
        <v>0</v>
      </c>
      <c r="G19" s="97">
        <f>O17*$I$19</f>
        <v>0</v>
      </c>
      <c r="H19" s="118"/>
      <c r="I19" s="97">
        <f t="shared" si="2"/>
        <v>0</v>
      </c>
      <c r="J19" s="97" t="e">
        <f>E19*$D$9/$D$19</f>
        <v>#DIV/0!</v>
      </c>
      <c r="K19" s="97" t="e">
        <f t="shared" ref="K19:L19" si="14">F19*$D$9/$D$19</f>
        <v>#DIV/0!</v>
      </c>
      <c r="L19" s="97" t="e">
        <f t="shared" si="14"/>
        <v>#DIV/0!</v>
      </c>
    </row>
    <row r="20" spans="1:15" s="99" customFormat="1">
      <c r="B20" s="100"/>
      <c r="C20" s="100"/>
      <c r="D20" s="100"/>
      <c r="E20" s="100"/>
      <c r="F20" s="100"/>
      <c r="G20" s="100"/>
      <c r="I20" s="116"/>
      <c r="J20" s="116"/>
      <c r="K20" s="116"/>
      <c r="L20" s="116"/>
      <c r="M20" s="100"/>
      <c r="N20" s="100"/>
      <c r="O20" s="100"/>
    </row>
    <row r="21" spans="1:15">
      <c r="B21" s="4" t="s">
        <v>218</v>
      </c>
      <c r="C21" s="4"/>
      <c r="I21" s="95"/>
      <c r="J21" s="95"/>
      <c r="K21" s="95"/>
      <c r="L21" s="95"/>
    </row>
    <row r="22" spans="1:15">
      <c r="B22" s="490" t="s">
        <v>0</v>
      </c>
      <c r="C22" s="500" t="s">
        <v>111</v>
      </c>
      <c r="D22" s="490" t="s">
        <v>1</v>
      </c>
      <c r="E22" s="502" t="s">
        <v>5</v>
      </c>
      <c r="F22" s="502"/>
      <c r="G22" s="502"/>
      <c r="I22" s="490" t="s">
        <v>113</v>
      </c>
      <c r="J22" s="502" t="s">
        <v>148</v>
      </c>
      <c r="K22" s="502"/>
      <c r="L22" s="502"/>
      <c r="M22" s="502" t="s">
        <v>114</v>
      </c>
      <c r="N22" s="502"/>
      <c r="O22" s="502"/>
    </row>
    <row r="23" spans="1:15">
      <c r="B23" s="490" t="s">
        <v>0</v>
      </c>
      <c r="C23" s="501"/>
      <c r="D23" s="490" t="s">
        <v>0</v>
      </c>
      <c r="E23" s="3" t="s">
        <v>2</v>
      </c>
      <c r="F23" s="3" t="s">
        <v>3</v>
      </c>
      <c r="G23" s="3" t="s">
        <v>4</v>
      </c>
      <c r="I23" s="490"/>
      <c r="J23" s="119" t="s">
        <v>2</v>
      </c>
      <c r="K23" s="119" t="s">
        <v>3</v>
      </c>
      <c r="L23" s="119" t="s">
        <v>4</v>
      </c>
      <c r="M23" s="119" t="s">
        <v>2</v>
      </c>
      <c r="N23" s="119" t="s">
        <v>3</v>
      </c>
      <c r="O23" s="119" t="s">
        <v>4</v>
      </c>
    </row>
    <row r="24" spans="1:15">
      <c r="B24" s="32">
        <v>1.72</v>
      </c>
      <c r="C24" s="32">
        <f>0.8979*B24-0.1311</f>
        <v>1.4132880000000001</v>
      </c>
      <c r="D24" s="32">
        <v>3</v>
      </c>
      <c r="E24" s="33">
        <v>0.113</v>
      </c>
      <c r="F24" s="33">
        <v>1.31</v>
      </c>
      <c r="G24" s="32">
        <v>0.69</v>
      </c>
      <c r="I24" s="95">
        <f t="shared" si="2"/>
        <v>2.1227095963455431</v>
      </c>
      <c r="J24" s="116">
        <f>E24/$D24</f>
        <v>3.7666666666666668E-2</v>
      </c>
      <c r="K24" s="116">
        <f t="shared" ref="K24:L24" si="15">F24/$D24</f>
        <v>0.4366666666666667</v>
      </c>
      <c r="L24" s="116">
        <f t="shared" si="15"/>
        <v>0.22999999999999998</v>
      </c>
      <c r="M24" s="128">
        <f>E24/$I24</f>
        <v>5.3233848E-2</v>
      </c>
      <c r="N24" s="128">
        <f>F24/$I24</f>
        <v>0.61713576000000003</v>
      </c>
      <c r="O24" s="128">
        <f>G24/$I24</f>
        <v>0.32505624</v>
      </c>
    </row>
    <row r="25" spans="1:15">
      <c r="B25" s="32">
        <v>1.72</v>
      </c>
      <c r="C25" s="32">
        <f t="shared" ref="C25:C32" si="16">0.8979*B25-0.1311</f>
        <v>1.4132880000000001</v>
      </c>
      <c r="D25" s="32">
        <v>3</v>
      </c>
      <c r="E25" s="33">
        <v>0.113</v>
      </c>
      <c r="F25" s="33">
        <v>1.31</v>
      </c>
      <c r="G25" s="32">
        <v>0.69</v>
      </c>
      <c r="I25" s="95">
        <f t="shared" si="2"/>
        <v>2.1227095963455431</v>
      </c>
      <c r="J25" s="116">
        <f t="shared" ref="J25:J36" si="17">E25/$D25</f>
        <v>3.7666666666666668E-2</v>
      </c>
      <c r="K25" s="116">
        <f t="shared" ref="K25:K36" si="18">F25/$D25</f>
        <v>0.4366666666666667</v>
      </c>
      <c r="L25" s="116">
        <f t="shared" ref="L25:L36" si="19">G25/$D25</f>
        <v>0.22999999999999998</v>
      </c>
      <c r="M25" s="128">
        <f t="shared" ref="M25:M32" si="20">E25/$I25</f>
        <v>5.3233848E-2</v>
      </c>
      <c r="N25" s="128">
        <f t="shared" ref="N25:N32" si="21">F25/$I25</f>
        <v>0.61713576000000003</v>
      </c>
      <c r="O25" s="128">
        <f t="shared" ref="O25:O32" si="22">G25/$I25</f>
        <v>0.32505624</v>
      </c>
    </row>
    <row r="26" spans="1:15">
      <c r="B26" s="32">
        <v>1.72</v>
      </c>
      <c r="C26" s="32">
        <f t="shared" si="16"/>
        <v>1.4132880000000001</v>
      </c>
      <c r="D26" s="32">
        <v>3</v>
      </c>
      <c r="E26" s="33">
        <v>0.113</v>
      </c>
      <c r="F26" s="33">
        <v>1.31</v>
      </c>
      <c r="G26" s="32">
        <v>0.7</v>
      </c>
      <c r="I26" s="95">
        <f t="shared" si="2"/>
        <v>2.1227095963455431</v>
      </c>
      <c r="J26" s="116">
        <f t="shared" si="17"/>
        <v>3.7666666666666668E-2</v>
      </c>
      <c r="K26" s="116">
        <f t="shared" si="18"/>
        <v>0.4366666666666667</v>
      </c>
      <c r="L26" s="116">
        <f t="shared" si="19"/>
        <v>0.23333333333333331</v>
      </c>
      <c r="M26" s="128">
        <f t="shared" si="20"/>
        <v>5.3233848E-2</v>
      </c>
      <c r="N26" s="128">
        <f t="shared" si="21"/>
        <v>0.61713576000000003</v>
      </c>
      <c r="O26" s="128">
        <f t="shared" si="22"/>
        <v>0.32976719999999998</v>
      </c>
    </row>
    <row r="27" spans="1:15">
      <c r="B27" s="32">
        <v>1.8</v>
      </c>
      <c r="C27" s="32">
        <f t="shared" si="16"/>
        <v>1.48512</v>
      </c>
      <c r="D27" s="32">
        <v>3</v>
      </c>
      <c r="E27" s="33">
        <v>0.113</v>
      </c>
      <c r="F27" s="33">
        <v>1.31</v>
      </c>
      <c r="G27" s="32">
        <v>0.6</v>
      </c>
      <c r="I27" s="95">
        <f t="shared" si="2"/>
        <v>2.020038784744667</v>
      </c>
      <c r="J27" s="116">
        <f t="shared" si="17"/>
        <v>3.7666666666666668E-2</v>
      </c>
      <c r="K27" s="116">
        <f t="shared" si="18"/>
        <v>0.4366666666666667</v>
      </c>
      <c r="L27" s="116">
        <f t="shared" si="19"/>
        <v>0.19999999999999998</v>
      </c>
      <c r="M27" s="128">
        <f t="shared" si="20"/>
        <v>5.5939520000000006E-2</v>
      </c>
      <c r="N27" s="128">
        <f t="shared" si="21"/>
        <v>0.64850240000000003</v>
      </c>
      <c r="O27" s="128">
        <f t="shared" si="22"/>
        <v>0.29702400000000001</v>
      </c>
    </row>
    <row r="28" spans="1:15">
      <c r="A28" s="129"/>
      <c r="B28" s="101">
        <v>2</v>
      </c>
      <c r="C28" s="101">
        <f t="shared" si="16"/>
        <v>1.6647000000000001</v>
      </c>
      <c r="D28" s="101">
        <v>3.3</v>
      </c>
      <c r="E28" s="93">
        <v>0.16300000000000001</v>
      </c>
      <c r="F28" s="93">
        <v>1.42</v>
      </c>
      <c r="G28" s="101">
        <v>0.4</v>
      </c>
      <c r="I28" s="95">
        <f t="shared" si="2"/>
        <v>1.9823391602090465</v>
      </c>
      <c r="J28" s="116">
        <f t="shared" si="17"/>
        <v>4.93939393939394E-2</v>
      </c>
      <c r="K28" s="116">
        <f t="shared" si="18"/>
        <v>0.4303030303030303</v>
      </c>
      <c r="L28" s="116">
        <f t="shared" si="19"/>
        <v>0.12121212121212123</v>
      </c>
      <c r="M28" s="128">
        <f t="shared" si="20"/>
        <v>8.2226090909090915E-2</v>
      </c>
      <c r="N28" s="128">
        <f t="shared" si="21"/>
        <v>0.7163254545454546</v>
      </c>
      <c r="O28" s="128">
        <f t="shared" si="22"/>
        <v>0.2017818181818182</v>
      </c>
    </row>
    <row r="29" spans="1:15">
      <c r="A29" s="117" t="s">
        <v>223</v>
      </c>
      <c r="B29" s="6">
        <v>2.2000000000000002</v>
      </c>
      <c r="C29" s="6">
        <f t="shared" si="16"/>
        <v>1.8442800000000001</v>
      </c>
      <c r="D29" s="6">
        <v>3.41</v>
      </c>
      <c r="E29" s="5">
        <v>0.154</v>
      </c>
      <c r="F29" s="5">
        <v>1.34</v>
      </c>
      <c r="G29" s="6">
        <v>0.36</v>
      </c>
      <c r="H29" s="158"/>
      <c r="I29" s="161">
        <f t="shared" si="2"/>
        <v>1.8489600277615112</v>
      </c>
      <c r="J29" s="161">
        <f t="shared" si="17"/>
        <v>4.5161290322580643E-2</v>
      </c>
      <c r="K29" s="161">
        <f t="shared" si="18"/>
        <v>0.39296187683284456</v>
      </c>
      <c r="L29" s="161">
        <f t="shared" si="19"/>
        <v>0.10557184750733137</v>
      </c>
      <c r="M29" s="162">
        <f t="shared" si="20"/>
        <v>8.3290064516129025E-2</v>
      </c>
      <c r="N29" s="162">
        <f t="shared" si="21"/>
        <v>0.72473173020527859</v>
      </c>
      <c r="O29" s="162">
        <f t="shared" si="22"/>
        <v>0.19470404692082111</v>
      </c>
    </row>
    <row r="30" spans="1:15">
      <c r="B30" s="7">
        <v>2.4</v>
      </c>
      <c r="C30" s="32">
        <f t="shared" si="16"/>
        <v>2.02386</v>
      </c>
      <c r="D30" s="7">
        <v>3.6</v>
      </c>
      <c r="E30" s="93">
        <v>0.16400000000000001</v>
      </c>
      <c r="F30" s="93">
        <v>1.41</v>
      </c>
      <c r="G30" s="7">
        <v>0.2</v>
      </c>
      <c r="I30" s="95">
        <f t="shared" si="2"/>
        <v>1.778779164566719</v>
      </c>
      <c r="J30" s="116">
        <f t="shared" si="17"/>
        <v>4.5555555555555557E-2</v>
      </c>
      <c r="K30" s="116">
        <f t="shared" si="18"/>
        <v>0.39166666666666661</v>
      </c>
      <c r="L30" s="116">
        <f t="shared" si="19"/>
        <v>5.5555555555555559E-2</v>
      </c>
      <c r="M30" s="128">
        <f t="shared" si="20"/>
        <v>9.2198066666666675E-2</v>
      </c>
      <c r="N30" s="128">
        <f t="shared" si="21"/>
        <v>0.79267849999999995</v>
      </c>
      <c r="O30" s="128">
        <f t="shared" si="22"/>
        <v>0.11243666666666667</v>
      </c>
    </row>
    <row r="31" spans="1:15">
      <c r="B31" s="32">
        <v>2.6</v>
      </c>
      <c r="C31" s="32">
        <f t="shared" si="16"/>
        <v>2.2034400000000001</v>
      </c>
      <c r="D31" s="32">
        <v>3.83</v>
      </c>
      <c r="E31" s="33">
        <v>0.16700000000000001</v>
      </c>
      <c r="F31" s="33">
        <v>1.37</v>
      </c>
      <c r="G31" s="32">
        <v>0.21</v>
      </c>
      <c r="I31" s="95">
        <f t="shared" si="2"/>
        <v>1.7381911919543986</v>
      </c>
      <c r="J31" s="116">
        <f t="shared" si="17"/>
        <v>4.3603133159268934E-2</v>
      </c>
      <c r="K31" s="116">
        <f t="shared" si="18"/>
        <v>0.35770234986945171</v>
      </c>
      <c r="L31" s="116">
        <f t="shared" si="19"/>
        <v>5.4830287206266315E-2</v>
      </c>
      <c r="M31" s="128">
        <f t="shared" si="20"/>
        <v>9.6076887728459529E-2</v>
      </c>
      <c r="N31" s="128">
        <f t="shared" si="21"/>
        <v>0.78817566579634468</v>
      </c>
      <c r="O31" s="128">
        <f t="shared" si="22"/>
        <v>0.12081524804177544</v>
      </c>
    </row>
    <row r="32" spans="1:15">
      <c r="B32" s="32">
        <v>2.89</v>
      </c>
      <c r="C32" s="32">
        <f t="shared" si="16"/>
        <v>2.4638310000000003</v>
      </c>
      <c r="D32" s="32">
        <v>3.9</v>
      </c>
      <c r="E32" s="33">
        <v>0.155</v>
      </c>
      <c r="F32" s="33">
        <v>1.38</v>
      </c>
      <c r="G32" s="32">
        <v>0.04</v>
      </c>
      <c r="I32" s="95">
        <f t="shared" si="2"/>
        <v>1.5829007752560948</v>
      </c>
      <c r="J32" s="116">
        <f t="shared" si="17"/>
        <v>3.9743589743589741E-2</v>
      </c>
      <c r="K32" s="116">
        <f t="shared" si="18"/>
        <v>0.35384615384615381</v>
      </c>
      <c r="L32" s="116">
        <f t="shared" si="19"/>
        <v>1.0256410256410256E-2</v>
      </c>
      <c r="M32" s="128">
        <f t="shared" si="20"/>
        <v>9.7921488461538475E-2</v>
      </c>
      <c r="N32" s="128">
        <f t="shared" si="21"/>
        <v>0.87181712307692316</v>
      </c>
      <c r="O32" s="128">
        <f t="shared" si="22"/>
        <v>2.5270061538461543E-2</v>
      </c>
    </row>
    <row r="33" spans="1:15">
      <c r="A33" s="118" t="s">
        <v>304</v>
      </c>
      <c r="B33" s="190"/>
      <c r="C33" s="190">
        <v>2.38</v>
      </c>
      <c r="D33" s="190">
        <v>3.9</v>
      </c>
      <c r="E33" s="190">
        <v>0.16</v>
      </c>
      <c r="F33" s="190">
        <v>1.38</v>
      </c>
      <c r="G33" s="190">
        <v>0.09</v>
      </c>
      <c r="H33" s="118"/>
      <c r="I33" s="97">
        <f>D33/C33</f>
        <v>1.6386554621848739</v>
      </c>
      <c r="J33" s="97">
        <f t="shared" si="17"/>
        <v>4.1025641025641026E-2</v>
      </c>
      <c r="K33" s="97">
        <f t="shared" si="18"/>
        <v>0.35384615384615381</v>
      </c>
      <c r="L33" s="97">
        <f t="shared" si="19"/>
        <v>2.3076923076923078E-2</v>
      </c>
      <c r="M33" s="189">
        <f t="shared" ref="M33:M36" si="23">E33/$I33</f>
        <v>9.7641025641025642E-2</v>
      </c>
      <c r="N33" s="189">
        <f t="shared" ref="N33:N36" si="24">F33/$I33</f>
        <v>0.84215384615384614</v>
      </c>
      <c r="O33" s="189">
        <f t="shared" ref="O33:O36" si="25">G33/$I33</f>
        <v>5.4923076923076922E-2</v>
      </c>
    </row>
    <row r="34" spans="1:15" hidden="1">
      <c r="A34" s="118" t="s">
        <v>115</v>
      </c>
      <c r="B34" s="97" t="e">
        <f>#REF!</f>
        <v>#REF!</v>
      </c>
      <c r="C34" s="97" t="e">
        <f>0.8979*B34-0.1311</f>
        <v>#REF!</v>
      </c>
      <c r="D34" s="97" t="e">
        <f>#REF!</f>
        <v>#REF!</v>
      </c>
      <c r="E34" s="98" t="e">
        <f>M31*$I34</f>
        <v>#REF!</v>
      </c>
      <c r="F34" s="97" t="e">
        <f>N31*$I34</f>
        <v>#REF!</v>
      </c>
      <c r="G34" s="97" t="e">
        <f>O31*$I34</f>
        <v>#REF!</v>
      </c>
      <c r="H34" s="118"/>
      <c r="I34" s="97" t="e">
        <f t="shared" ref="I34:I36" si="26">D34/C34</f>
        <v>#REF!</v>
      </c>
      <c r="J34" s="97" t="e">
        <f t="shared" si="17"/>
        <v>#REF!</v>
      </c>
      <c r="K34" s="97" t="e">
        <f t="shared" si="18"/>
        <v>#REF!</v>
      </c>
      <c r="L34" s="97" t="e">
        <f t="shared" si="19"/>
        <v>#REF!</v>
      </c>
      <c r="M34" s="189" t="e">
        <f t="shared" si="23"/>
        <v>#REF!</v>
      </c>
      <c r="N34" s="189" t="e">
        <f t="shared" si="24"/>
        <v>#REF!</v>
      </c>
      <c r="O34" s="189" t="e">
        <f t="shared" si="25"/>
        <v>#REF!</v>
      </c>
    </row>
    <row r="35" spans="1:15">
      <c r="A35" s="118" t="s">
        <v>303</v>
      </c>
      <c r="B35" s="190"/>
      <c r="C35" s="190">
        <v>2.74</v>
      </c>
      <c r="D35" s="190">
        <v>4.2</v>
      </c>
      <c r="E35" s="190">
        <v>0.15</v>
      </c>
      <c r="F35" s="190">
        <v>1.36</v>
      </c>
      <c r="G35" s="190">
        <v>0.04</v>
      </c>
      <c r="H35" s="118"/>
      <c r="I35" s="97">
        <f t="shared" si="26"/>
        <v>1.5328467153284671</v>
      </c>
      <c r="J35" s="97">
        <f t="shared" si="17"/>
        <v>3.5714285714285712E-2</v>
      </c>
      <c r="K35" s="97">
        <f t="shared" si="18"/>
        <v>0.32380952380952382</v>
      </c>
      <c r="L35" s="97">
        <f t="shared" si="19"/>
        <v>9.5238095238095229E-3</v>
      </c>
      <c r="M35" s="189">
        <f t="shared" si="23"/>
        <v>9.7857142857142865E-2</v>
      </c>
      <c r="N35" s="189">
        <f t="shared" si="24"/>
        <v>0.88723809523809538</v>
      </c>
      <c r="O35" s="189">
        <f t="shared" si="25"/>
        <v>2.6095238095238098E-2</v>
      </c>
    </row>
    <row r="36" spans="1:15">
      <c r="A36" s="118" t="s">
        <v>156</v>
      </c>
      <c r="B36" s="190"/>
      <c r="C36" s="190">
        <v>2.92</v>
      </c>
      <c r="D36" s="190">
        <v>4.4000000000000004</v>
      </c>
      <c r="E36" s="190">
        <v>0.13</v>
      </c>
      <c r="F36" s="190">
        <v>1.34</v>
      </c>
      <c r="G36" s="190">
        <v>0.04</v>
      </c>
      <c r="H36" s="118"/>
      <c r="I36" s="97">
        <f t="shared" si="26"/>
        <v>1.5068493150684934</v>
      </c>
      <c r="J36" s="97">
        <f t="shared" si="17"/>
        <v>2.9545454545454545E-2</v>
      </c>
      <c r="K36" s="97">
        <f t="shared" si="18"/>
        <v>0.30454545454545456</v>
      </c>
      <c r="L36" s="97">
        <f t="shared" si="19"/>
        <v>9.0909090909090905E-3</v>
      </c>
      <c r="M36" s="189">
        <f t="shared" si="23"/>
        <v>8.6272727272727265E-2</v>
      </c>
      <c r="N36" s="189">
        <f t="shared" si="24"/>
        <v>0.88927272727272721</v>
      </c>
      <c r="O36" s="189">
        <f t="shared" si="25"/>
        <v>2.6545454545454542E-2</v>
      </c>
    </row>
    <row r="37" spans="1:15">
      <c r="A37"/>
      <c r="B37" s="164"/>
      <c r="C37" s="164"/>
      <c r="D37" s="164"/>
      <c r="E37" s="164"/>
      <c r="F37" s="164"/>
      <c r="G37" s="164"/>
      <c r="J37"/>
      <c r="K37"/>
      <c r="L37"/>
      <c r="M37"/>
      <c r="N37"/>
      <c r="O37"/>
    </row>
    <row r="38" spans="1:15">
      <c r="A38"/>
      <c r="B38" s="96" t="s">
        <v>112</v>
      </c>
      <c r="C38"/>
      <c r="D38"/>
      <c r="E38"/>
      <c r="F38"/>
      <c r="G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J40"/>
      <c r="K40"/>
      <c r="L40"/>
      <c r="M40"/>
      <c r="N40"/>
      <c r="O40"/>
    </row>
    <row r="41" spans="1:15" ht="15.75">
      <c r="A41"/>
      <c r="B41" s="48" t="s">
        <v>213</v>
      </c>
      <c r="C41"/>
      <c r="D41" s="99"/>
      <c r="E41"/>
      <c r="F41"/>
      <c r="G41"/>
      <c r="J41"/>
      <c r="K41"/>
      <c r="L41"/>
      <c r="M41"/>
      <c r="N41"/>
      <c r="O41"/>
    </row>
    <row r="42" spans="1:15">
      <c r="A42" s="114"/>
      <c r="B42" s="49" t="s">
        <v>214</v>
      </c>
      <c r="C42" s="49"/>
      <c r="D42" s="113"/>
      <c r="E42" s="113"/>
      <c r="F42" s="113"/>
      <c r="G42" s="113"/>
    </row>
    <row r="43" spans="1:15">
      <c r="A43" s="114" t="s">
        <v>216</v>
      </c>
      <c r="B43" s="115" t="s">
        <v>215</v>
      </c>
      <c r="C43" s="115"/>
      <c r="D43" s="113"/>
      <c r="E43" s="113"/>
      <c r="F43" s="113"/>
      <c r="G43" s="113"/>
    </row>
    <row r="45" spans="1:15">
      <c r="B45" s="4" t="s">
        <v>220</v>
      </c>
    </row>
    <row r="46" spans="1:15">
      <c r="B46" s="464" t="s">
        <v>211</v>
      </c>
      <c r="C46" s="464" t="s">
        <v>125</v>
      </c>
      <c r="D46" s="464" t="s">
        <v>1</v>
      </c>
      <c r="E46" s="503" t="s">
        <v>5</v>
      </c>
      <c r="F46" s="503"/>
      <c r="G46" s="503"/>
      <c r="H46" s="504" t="s">
        <v>219</v>
      </c>
      <c r="I46" s="464" t="s">
        <v>113</v>
      </c>
      <c r="J46" s="503" t="s">
        <v>148</v>
      </c>
      <c r="K46" s="503"/>
      <c r="L46" s="503"/>
      <c r="M46" s="503" t="s">
        <v>114</v>
      </c>
      <c r="N46" s="503"/>
      <c r="O46" s="503"/>
    </row>
    <row r="47" spans="1:15">
      <c r="B47" s="464" t="s">
        <v>0</v>
      </c>
      <c r="C47" s="464"/>
      <c r="D47" s="464" t="s">
        <v>0</v>
      </c>
      <c r="E47" s="408" t="s">
        <v>2</v>
      </c>
      <c r="F47" s="408" t="s">
        <v>3</v>
      </c>
      <c r="G47" s="408" t="s">
        <v>4</v>
      </c>
      <c r="H47" s="504"/>
      <c r="I47" s="464"/>
      <c r="J47" s="408" t="s">
        <v>2</v>
      </c>
      <c r="K47" s="408" t="s">
        <v>3</v>
      </c>
      <c r="L47" s="408" t="s">
        <v>4</v>
      </c>
      <c r="M47" s="408" t="s">
        <v>2</v>
      </c>
      <c r="N47" s="408" t="s">
        <v>3</v>
      </c>
      <c r="O47" s="408" t="s">
        <v>4</v>
      </c>
    </row>
    <row r="48" spans="1:15" s="129" customFormat="1">
      <c r="B48" s="427">
        <v>1.1499999999999999</v>
      </c>
      <c r="C48" s="427">
        <v>8.9</v>
      </c>
      <c r="D48" s="427">
        <f>H48/C48</f>
        <v>3.101123595505618</v>
      </c>
      <c r="E48" s="428">
        <v>0.22</v>
      </c>
      <c r="F48" s="427">
        <v>2.08</v>
      </c>
      <c r="G48" s="428">
        <v>0.39100000000000001</v>
      </c>
      <c r="H48" s="397">
        <v>27.6</v>
      </c>
      <c r="I48" s="397">
        <f>SUM(E48:G48)</f>
        <v>2.6910000000000003</v>
      </c>
      <c r="J48" s="431">
        <f>E48/$D48</f>
        <v>7.0942028985507249E-2</v>
      </c>
      <c r="K48" s="431">
        <f t="shared" ref="K48:L48" si="27">F48/$D48</f>
        <v>0.67072463768115942</v>
      </c>
      <c r="L48" s="431">
        <f t="shared" si="27"/>
        <v>0.12608333333333333</v>
      </c>
      <c r="M48" s="432">
        <f>E48/$I48</f>
        <v>8.1753994797473056E-2</v>
      </c>
      <c r="N48" s="432">
        <f t="shared" ref="N48:O50" si="28">F48/$I48</f>
        <v>0.77294685990338163</v>
      </c>
      <c r="O48" s="432">
        <f t="shared" si="28"/>
        <v>0.14529914529914528</v>
      </c>
    </row>
    <row r="49" spans="1:15" s="158" customFormat="1" ht="13.5" customHeight="1">
      <c r="A49" s="158" t="s">
        <v>223</v>
      </c>
      <c r="B49" s="414">
        <v>1.35</v>
      </c>
      <c r="C49" s="414">
        <v>8.8000000000000007</v>
      </c>
      <c r="D49" s="414">
        <f t="shared" ref="D49:D50" si="29">H49/C49</f>
        <v>3.1022727272727271</v>
      </c>
      <c r="E49" s="415">
        <v>0.21</v>
      </c>
      <c r="F49" s="414">
        <v>1.58</v>
      </c>
      <c r="G49" s="415">
        <v>0.50600000000000001</v>
      </c>
      <c r="H49" s="416">
        <v>27.3</v>
      </c>
      <c r="I49" s="416">
        <f t="shared" ref="I49:I50" si="30">SUM(E49:G49)</f>
        <v>2.2960000000000003</v>
      </c>
      <c r="J49" s="417">
        <f t="shared" ref="J49:J50" si="31">E49/$D49</f>
        <v>6.7692307692307691E-2</v>
      </c>
      <c r="K49" s="417">
        <f t="shared" ref="K49:K50" si="32">F49/$D49</f>
        <v>0.5093040293040294</v>
      </c>
      <c r="L49" s="417">
        <f t="shared" ref="L49:L50" si="33">G49/$D49</f>
        <v>0.16310622710622713</v>
      </c>
      <c r="M49" s="419">
        <f t="shared" ref="M49:M50" si="34">E49/$I49</f>
        <v>9.1463414634146326E-2</v>
      </c>
      <c r="N49" s="419">
        <f t="shared" si="28"/>
        <v>0.68815331010452951</v>
      </c>
      <c r="O49" s="419">
        <f t="shared" si="28"/>
        <v>0.22038327526132401</v>
      </c>
    </row>
    <row r="50" spans="1:15">
      <c r="B50" s="409">
        <v>1.55</v>
      </c>
      <c r="C50" s="409">
        <v>6.9</v>
      </c>
      <c r="D50" s="409">
        <f t="shared" si="29"/>
        <v>3.3043478260869565</v>
      </c>
      <c r="E50" s="411">
        <v>0.1</v>
      </c>
      <c r="F50" s="409">
        <v>1.62</v>
      </c>
      <c r="G50" s="411">
        <v>0.40799999999999997</v>
      </c>
      <c r="H50" s="395">
        <v>22.8</v>
      </c>
      <c r="I50" s="395">
        <f t="shared" si="30"/>
        <v>2.1280000000000001</v>
      </c>
      <c r="J50" s="431">
        <f t="shared" si="31"/>
        <v>3.0263157894736843E-2</v>
      </c>
      <c r="K50" s="431">
        <f t="shared" si="32"/>
        <v>0.49026315789473685</v>
      </c>
      <c r="L50" s="431">
        <f t="shared" si="33"/>
        <v>0.1234736842105263</v>
      </c>
      <c r="M50" s="413">
        <f t="shared" si="34"/>
        <v>4.6992481203007516E-2</v>
      </c>
      <c r="N50" s="413">
        <f t="shared" si="28"/>
        <v>0.76127819548872178</v>
      </c>
      <c r="O50" s="413">
        <f t="shared" si="28"/>
        <v>0.19172932330827067</v>
      </c>
    </row>
    <row r="51" spans="1:15">
      <c r="J51" s="99"/>
    </row>
    <row r="52" spans="1:15">
      <c r="B52" s="4" t="s">
        <v>221</v>
      </c>
      <c r="I52" s="410"/>
    </row>
    <row r="53" spans="1:15">
      <c r="B53" s="464" t="s">
        <v>211</v>
      </c>
      <c r="C53" s="464" t="s">
        <v>125</v>
      </c>
      <c r="D53" s="464" t="s">
        <v>1</v>
      </c>
      <c r="E53" s="503" t="s">
        <v>5</v>
      </c>
      <c r="F53" s="503"/>
      <c r="G53" s="503"/>
      <c r="H53" s="504" t="s">
        <v>219</v>
      </c>
      <c r="I53" s="464" t="s">
        <v>113</v>
      </c>
      <c r="J53" s="503" t="s">
        <v>148</v>
      </c>
      <c r="K53" s="503"/>
      <c r="L53" s="503"/>
      <c r="M53" s="503" t="s">
        <v>114</v>
      </c>
      <c r="N53" s="503"/>
      <c r="O53" s="503"/>
    </row>
    <row r="54" spans="1:15">
      <c r="B54" s="464" t="s">
        <v>0</v>
      </c>
      <c r="C54" s="464"/>
      <c r="D54" s="464" t="s">
        <v>0</v>
      </c>
      <c r="E54" s="408" t="s">
        <v>2</v>
      </c>
      <c r="F54" s="408" t="s">
        <v>3</v>
      </c>
      <c r="G54" s="408" t="s">
        <v>4</v>
      </c>
      <c r="H54" s="504"/>
      <c r="I54" s="464"/>
      <c r="J54" s="408" t="s">
        <v>2</v>
      </c>
      <c r="K54" s="408" t="s">
        <v>3</v>
      </c>
      <c r="L54" s="408" t="s">
        <v>4</v>
      </c>
      <c r="M54" s="408" t="s">
        <v>2</v>
      </c>
      <c r="N54" s="408" t="s">
        <v>3</v>
      </c>
      <c r="O54" s="408" t="s">
        <v>4</v>
      </c>
    </row>
    <row r="55" spans="1:15" s="129" customFormat="1">
      <c r="B55" s="427">
        <v>1.65</v>
      </c>
      <c r="C55" s="427">
        <v>5.2</v>
      </c>
      <c r="D55" s="427">
        <f>H55/C55</f>
        <v>2.8076923076923075</v>
      </c>
      <c r="E55" s="428">
        <v>0.11</v>
      </c>
      <c r="F55" s="427">
        <v>1.26</v>
      </c>
      <c r="G55" s="428">
        <v>0.32500000000000001</v>
      </c>
      <c r="H55" s="429">
        <v>14.6</v>
      </c>
      <c r="I55" s="430">
        <f>SUM(E55:G55)</f>
        <v>1.6950000000000001</v>
      </c>
      <c r="J55" s="431">
        <f>E55/$D55</f>
        <v>3.9178082191780823E-2</v>
      </c>
      <c r="K55" s="431">
        <f t="shared" ref="K55:L55" si="35">F55/$D55</f>
        <v>0.44876712328767127</v>
      </c>
      <c r="L55" s="431">
        <f t="shared" si="35"/>
        <v>0.11575342465753426</v>
      </c>
      <c r="M55" s="432">
        <f>E55/$I55</f>
        <v>6.4896755162241887E-2</v>
      </c>
      <c r="N55" s="432">
        <f t="shared" ref="N55:N58" si="36">F55/$I55</f>
        <v>0.74336283185840701</v>
      </c>
      <c r="O55" s="432">
        <f t="shared" ref="O55:O58" si="37">G55/$I55</f>
        <v>0.19174041297935104</v>
      </c>
    </row>
    <row r="56" spans="1:15" s="129" customFormat="1">
      <c r="B56" s="427">
        <v>1.8</v>
      </c>
      <c r="C56" s="427">
        <v>4.5</v>
      </c>
      <c r="D56" s="427">
        <f t="shared" ref="D56:D58" si="38">H56/C56</f>
        <v>2.911111111111111</v>
      </c>
      <c r="E56" s="428">
        <v>0.08</v>
      </c>
      <c r="F56" s="427">
        <v>1.19</v>
      </c>
      <c r="G56" s="428">
        <v>0.33700000000000002</v>
      </c>
      <c r="H56" s="429">
        <v>13.1</v>
      </c>
      <c r="I56" s="430">
        <f t="shared" ref="I56:I58" si="39">SUM(E56:G56)</f>
        <v>1.607</v>
      </c>
      <c r="J56" s="431">
        <f t="shared" ref="J56:J58" si="40">E56/$D56</f>
        <v>2.7480916030534354E-2</v>
      </c>
      <c r="K56" s="431">
        <f t="shared" ref="K56:K58" si="41">F56/$D56</f>
        <v>0.40877862595419845</v>
      </c>
      <c r="L56" s="431">
        <f t="shared" ref="L56:L58" si="42">G56/$D56</f>
        <v>0.11576335877862597</v>
      </c>
      <c r="M56" s="432">
        <f t="shared" ref="M56:M58" si="43">E56/$I56</f>
        <v>4.9782202862476664E-2</v>
      </c>
      <c r="N56" s="432">
        <f t="shared" si="36"/>
        <v>0.74051026757934035</v>
      </c>
      <c r="O56" s="432">
        <f t="shared" si="37"/>
        <v>0.20970752955818298</v>
      </c>
    </row>
    <row r="57" spans="1:15" s="158" customFormat="1">
      <c r="A57" s="158" t="s">
        <v>223</v>
      </c>
      <c r="B57" s="414">
        <v>2</v>
      </c>
      <c r="C57" s="414">
        <v>4.0999999999999996</v>
      </c>
      <c r="D57" s="414">
        <f t="shared" si="38"/>
        <v>2.9024390243902443</v>
      </c>
      <c r="E57" s="415">
        <v>0.1</v>
      </c>
      <c r="F57" s="414">
        <v>1.1599999999999999</v>
      </c>
      <c r="G57" s="415">
        <v>0.19</v>
      </c>
      <c r="H57" s="420">
        <v>11.9</v>
      </c>
      <c r="I57" s="418">
        <f t="shared" si="39"/>
        <v>1.45</v>
      </c>
      <c r="J57" s="417">
        <f t="shared" si="40"/>
        <v>3.4453781512605038E-2</v>
      </c>
      <c r="K57" s="417">
        <f t="shared" si="41"/>
        <v>0.39966386554621841</v>
      </c>
      <c r="L57" s="417">
        <f t="shared" si="42"/>
        <v>6.5462184873949572E-2</v>
      </c>
      <c r="M57" s="419">
        <f t="shared" si="43"/>
        <v>6.8965517241379309E-2</v>
      </c>
      <c r="N57" s="419">
        <f t="shared" si="36"/>
        <v>0.79999999999999993</v>
      </c>
      <c r="O57" s="419">
        <f t="shared" si="37"/>
        <v>0.1310344827586207</v>
      </c>
    </row>
    <row r="58" spans="1:15" s="118" customFormat="1">
      <c r="A58" s="118" t="s">
        <v>149</v>
      </c>
      <c r="B58" s="421">
        <v>2.2000000000000002</v>
      </c>
      <c r="C58" s="421">
        <v>3.9</v>
      </c>
      <c r="D58" s="421">
        <f t="shared" si="38"/>
        <v>3.5897435897435899</v>
      </c>
      <c r="E58" s="422">
        <v>7.0000000000000007E-2</v>
      </c>
      <c r="F58" s="421">
        <v>1.3</v>
      </c>
      <c r="G58" s="422">
        <v>0.26700000000000002</v>
      </c>
      <c r="H58" s="423">
        <v>14</v>
      </c>
      <c r="I58" s="424">
        <f t="shared" si="39"/>
        <v>1.637</v>
      </c>
      <c r="J58" s="425">
        <f t="shared" si="40"/>
        <v>1.95E-2</v>
      </c>
      <c r="K58" s="425">
        <f t="shared" si="41"/>
        <v>0.36214285714285716</v>
      </c>
      <c r="L58" s="425">
        <f t="shared" si="42"/>
        <v>7.4378571428571433E-2</v>
      </c>
      <c r="M58" s="426">
        <f t="shared" si="43"/>
        <v>4.2761148442272454E-2</v>
      </c>
      <c r="N58" s="426">
        <f t="shared" si="36"/>
        <v>0.79413561392791698</v>
      </c>
      <c r="O58" s="426">
        <f t="shared" si="37"/>
        <v>0.16310323762981063</v>
      </c>
    </row>
    <row r="59" spans="1:15">
      <c r="K59" s="410"/>
    </row>
    <row r="60" spans="1:15">
      <c r="B60" s="96" t="s">
        <v>222</v>
      </c>
    </row>
    <row r="63" spans="1:15">
      <c r="I63" s="99"/>
    </row>
    <row r="64" spans="1:15">
      <c r="I64" s="99"/>
    </row>
    <row r="65" spans="9:9">
      <c r="I65" s="99"/>
    </row>
  </sheetData>
  <mergeCells count="30">
    <mergeCell ref="M46:O46"/>
    <mergeCell ref="B53:B54"/>
    <mergeCell ref="C53:C54"/>
    <mergeCell ref="D53:D54"/>
    <mergeCell ref="E53:G53"/>
    <mergeCell ref="H53:H54"/>
    <mergeCell ref="I53:I54"/>
    <mergeCell ref="J53:L53"/>
    <mergeCell ref="M53:O53"/>
    <mergeCell ref="B46:B47"/>
    <mergeCell ref="C46:C47"/>
    <mergeCell ref="D46:D47"/>
    <mergeCell ref="E46:G46"/>
    <mergeCell ref="H46:H47"/>
    <mergeCell ref="I46:I47"/>
    <mergeCell ref="J46:L46"/>
    <mergeCell ref="M7:O7"/>
    <mergeCell ref="M22:O22"/>
    <mergeCell ref="I7:I8"/>
    <mergeCell ref="J7:L7"/>
    <mergeCell ref="I22:I23"/>
    <mergeCell ref="J22:L22"/>
    <mergeCell ref="E7:G7"/>
    <mergeCell ref="B7:B8"/>
    <mergeCell ref="D7:D8"/>
    <mergeCell ref="B22:B23"/>
    <mergeCell ref="D22:D23"/>
    <mergeCell ref="E22:G22"/>
    <mergeCell ref="C7:C8"/>
    <mergeCell ref="C22:C23"/>
  </mergeCells>
  <hyperlinks>
    <hyperlink ref="B4" r:id="rId1"/>
    <hyperlink ref="B43" r:id="rId2" location="!documentDetail;D=EERE-2012-BT-STD-0020-0036"/>
  </hyperlinks>
  <pageMargins left="0.7" right="0.7" top="0.75" bottom="0.75" header="0.3" footer="0.3"/>
  <pageSetup orientation="portrait" r:id="rId3"/>
  <ignoredErrors>
    <ignoredError sqref="I48:I50 I55:I5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E62"/>
  <sheetViews>
    <sheetView topLeftCell="A4" workbookViewId="0">
      <selection activeCell="F42" sqref="F42"/>
    </sheetView>
  </sheetViews>
  <sheetFormatPr defaultRowHeight="12.75"/>
  <cols>
    <col min="1" max="1" width="2.7109375" customWidth="1"/>
    <col min="2" max="2" width="15.85546875" customWidth="1"/>
    <col min="3" max="11" width="11.5703125" customWidth="1"/>
  </cols>
  <sheetData>
    <row r="1" spans="2:57" ht="15.75">
      <c r="B1" s="80" t="s">
        <v>186</v>
      </c>
    </row>
    <row r="2" spans="2:57" ht="15">
      <c r="B2" s="120" t="s">
        <v>187</v>
      </c>
    </row>
    <row r="4" spans="2:57">
      <c r="B4" s="69" t="s">
        <v>94</v>
      </c>
      <c r="C4" t="s">
        <v>95</v>
      </c>
      <c r="E4" s="69" t="s">
        <v>100</v>
      </c>
      <c r="F4" t="s">
        <v>64</v>
      </c>
      <c r="U4" s="69" t="s">
        <v>94</v>
      </c>
      <c r="V4" t="s">
        <v>101</v>
      </c>
      <c r="X4" s="69" t="s">
        <v>100</v>
      </c>
      <c r="Y4" t="s">
        <v>64</v>
      </c>
      <c r="AN4" s="69" t="s">
        <v>94</v>
      </c>
      <c r="AO4" s="99" t="s">
        <v>180</v>
      </c>
      <c r="AP4" s="99"/>
      <c r="AQ4" s="69" t="s">
        <v>100</v>
      </c>
      <c r="AR4" s="99" t="s">
        <v>64</v>
      </c>
      <c r="AS4" s="99"/>
      <c r="AT4" s="99"/>
    </row>
    <row r="5" spans="2:57">
      <c r="B5" s="69" t="s">
        <v>96</v>
      </c>
      <c r="C5" t="s">
        <v>97</v>
      </c>
      <c r="E5" s="69" t="s">
        <v>98</v>
      </c>
      <c r="F5" t="s">
        <v>99</v>
      </c>
      <c r="U5" s="69" t="s">
        <v>96</v>
      </c>
      <c r="V5" t="s">
        <v>97</v>
      </c>
      <c r="X5" s="69" t="s">
        <v>98</v>
      </c>
      <c r="Y5" t="s">
        <v>99</v>
      </c>
      <c r="AN5" s="69" t="s">
        <v>96</v>
      </c>
      <c r="AO5" s="99" t="s">
        <v>97</v>
      </c>
      <c r="AP5" s="99"/>
      <c r="AQ5" s="69" t="s">
        <v>98</v>
      </c>
      <c r="AR5" s="99" t="s">
        <v>99</v>
      </c>
      <c r="AS5" s="99"/>
      <c r="AT5" s="99"/>
    </row>
    <row r="6" spans="2:57">
      <c r="AN6" s="99"/>
      <c r="AO6" s="99"/>
      <c r="AP6" s="99"/>
      <c r="AQ6" s="99"/>
      <c r="AR6" s="99"/>
      <c r="AS6" s="99"/>
      <c r="AT6" s="99"/>
    </row>
    <row r="7" spans="2:57" ht="21">
      <c r="B7" s="303" t="s">
        <v>184</v>
      </c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U7" s="351" t="s">
        <v>185</v>
      </c>
      <c r="V7" s="347"/>
      <c r="W7" s="347"/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N7" s="254" t="s">
        <v>181</v>
      </c>
      <c r="AO7" s="250"/>
      <c r="AP7" s="250"/>
      <c r="AQ7" s="250"/>
      <c r="AR7" s="250"/>
      <c r="AS7" s="250"/>
      <c r="AT7" s="250"/>
      <c r="AU7" s="250"/>
      <c r="AV7" s="250"/>
      <c r="AW7" s="250"/>
      <c r="AX7" s="250"/>
      <c r="AY7" s="250"/>
      <c r="AZ7" s="250"/>
      <c r="BA7" s="250"/>
      <c r="BB7" s="250"/>
      <c r="BC7" s="250"/>
      <c r="BD7" s="250"/>
      <c r="BE7" s="250"/>
    </row>
    <row r="8" spans="2:57" ht="15.75" thickBot="1">
      <c r="B8" s="328" t="s">
        <v>182</v>
      </c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U8" s="376" t="s">
        <v>182</v>
      </c>
      <c r="V8" s="347"/>
      <c r="W8" s="347"/>
      <c r="X8" s="347"/>
      <c r="Y8" s="347"/>
      <c r="Z8" s="347"/>
      <c r="AA8" s="347"/>
      <c r="AB8" s="347"/>
      <c r="AC8" s="347"/>
      <c r="AD8" s="347"/>
      <c r="AE8" s="347"/>
      <c r="AF8" s="347"/>
      <c r="AG8" s="347"/>
      <c r="AH8" s="347"/>
      <c r="AI8" s="347"/>
      <c r="AJ8" s="347"/>
      <c r="AK8" s="347"/>
      <c r="AL8" s="347"/>
      <c r="AN8" s="279" t="s">
        <v>182</v>
      </c>
      <c r="AO8" s="250"/>
      <c r="AP8" s="250"/>
      <c r="AQ8" s="250"/>
      <c r="AR8" s="250"/>
      <c r="AS8" s="250"/>
      <c r="AT8" s="250"/>
      <c r="AU8" s="250"/>
      <c r="AV8" s="250"/>
      <c r="AW8" s="250"/>
      <c r="AX8" s="250"/>
      <c r="AY8" s="250"/>
      <c r="AZ8" s="250"/>
      <c r="BA8" s="250"/>
      <c r="BB8" s="250"/>
      <c r="BC8" s="250"/>
      <c r="BD8" s="250"/>
      <c r="BE8" s="250"/>
    </row>
    <row r="9" spans="2:57" ht="15">
      <c r="B9" s="509" t="s">
        <v>166</v>
      </c>
      <c r="C9" s="510"/>
      <c r="D9" s="510"/>
      <c r="E9" s="510"/>
      <c r="F9" s="511"/>
      <c r="G9" s="516" t="s">
        <v>167</v>
      </c>
      <c r="H9" s="517"/>
      <c r="I9" s="516" t="s">
        <v>26</v>
      </c>
      <c r="J9" s="517"/>
      <c r="K9" s="515" t="s">
        <v>51</v>
      </c>
      <c r="L9" s="510"/>
      <c r="M9" s="510"/>
      <c r="N9" s="510"/>
      <c r="O9" s="510"/>
      <c r="P9" s="511"/>
      <c r="Q9" s="516" t="s">
        <v>168</v>
      </c>
      <c r="R9" s="538"/>
      <c r="S9" s="539"/>
      <c r="U9" s="523" t="s">
        <v>166</v>
      </c>
      <c r="V9" s="524"/>
      <c r="W9" s="524"/>
      <c r="X9" s="524"/>
      <c r="Y9" s="525"/>
      <c r="Z9" s="540" t="s">
        <v>167</v>
      </c>
      <c r="AA9" s="543"/>
      <c r="AB9" s="540" t="s">
        <v>26</v>
      </c>
      <c r="AC9" s="543"/>
      <c r="AD9" s="537" t="s">
        <v>51</v>
      </c>
      <c r="AE9" s="524"/>
      <c r="AF9" s="524"/>
      <c r="AG9" s="524"/>
      <c r="AH9" s="524"/>
      <c r="AI9" s="525"/>
      <c r="AJ9" s="540" t="s">
        <v>168</v>
      </c>
      <c r="AK9" s="541"/>
      <c r="AL9" s="542"/>
      <c r="AN9" s="505" t="s">
        <v>166</v>
      </c>
      <c r="AO9" s="506"/>
      <c r="AP9" s="506"/>
      <c r="AQ9" s="506"/>
      <c r="AR9" s="507"/>
      <c r="AS9" s="533" t="s">
        <v>167</v>
      </c>
      <c r="AT9" s="536"/>
      <c r="AU9" s="533" t="s">
        <v>26</v>
      </c>
      <c r="AV9" s="536"/>
      <c r="AW9" s="532" t="s">
        <v>51</v>
      </c>
      <c r="AX9" s="506"/>
      <c r="AY9" s="506"/>
      <c r="AZ9" s="506"/>
      <c r="BA9" s="506"/>
      <c r="BB9" s="507"/>
      <c r="BC9" s="533" t="s">
        <v>168</v>
      </c>
      <c r="BD9" s="534"/>
      <c r="BE9" s="535"/>
    </row>
    <row r="10" spans="2:57" ht="18">
      <c r="B10" s="306" t="s">
        <v>26</v>
      </c>
      <c r="C10" s="323"/>
      <c r="D10" s="323" t="s">
        <v>52</v>
      </c>
      <c r="E10" s="323" t="s">
        <v>52</v>
      </c>
      <c r="F10" s="323" t="s">
        <v>169</v>
      </c>
      <c r="G10" s="325" t="s">
        <v>170</v>
      </c>
      <c r="H10" s="324" t="s">
        <v>171</v>
      </c>
      <c r="I10" s="325" t="s">
        <v>172</v>
      </c>
      <c r="J10" s="324" t="s">
        <v>173</v>
      </c>
      <c r="K10" s="512" t="s">
        <v>174</v>
      </c>
      <c r="L10" s="513"/>
      <c r="M10" s="514"/>
      <c r="N10" s="512" t="s">
        <v>175</v>
      </c>
      <c r="O10" s="513"/>
      <c r="P10" s="514"/>
      <c r="Q10" s="323" t="s">
        <v>53</v>
      </c>
      <c r="R10" s="323" t="s">
        <v>54</v>
      </c>
      <c r="S10" s="311" t="s">
        <v>55</v>
      </c>
      <c r="U10" s="354" t="s">
        <v>26</v>
      </c>
      <c r="V10" s="371"/>
      <c r="W10" s="371" t="s">
        <v>52</v>
      </c>
      <c r="X10" s="371" t="s">
        <v>52</v>
      </c>
      <c r="Y10" s="371" t="s">
        <v>169</v>
      </c>
      <c r="Z10" s="373" t="s">
        <v>170</v>
      </c>
      <c r="AA10" s="372" t="s">
        <v>171</v>
      </c>
      <c r="AB10" s="373" t="s">
        <v>172</v>
      </c>
      <c r="AC10" s="372" t="s">
        <v>173</v>
      </c>
      <c r="AD10" s="526" t="s">
        <v>174</v>
      </c>
      <c r="AE10" s="527"/>
      <c r="AF10" s="528"/>
      <c r="AG10" s="526" t="s">
        <v>175</v>
      </c>
      <c r="AH10" s="527"/>
      <c r="AI10" s="528"/>
      <c r="AJ10" s="371" t="s">
        <v>53</v>
      </c>
      <c r="AK10" s="371" t="s">
        <v>54</v>
      </c>
      <c r="AL10" s="359" t="s">
        <v>55</v>
      </c>
      <c r="AN10" s="257" t="s">
        <v>26</v>
      </c>
      <c r="AO10" s="274"/>
      <c r="AP10" s="274" t="s">
        <v>52</v>
      </c>
      <c r="AQ10" s="274" t="s">
        <v>52</v>
      </c>
      <c r="AR10" s="274" t="s">
        <v>169</v>
      </c>
      <c r="AS10" s="276" t="s">
        <v>170</v>
      </c>
      <c r="AT10" s="275" t="s">
        <v>171</v>
      </c>
      <c r="AU10" s="276" t="s">
        <v>172</v>
      </c>
      <c r="AV10" s="275" t="s">
        <v>173</v>
      </c>
      <c r="AW10" s="529" t="s">
        <v>174</v>
      </c>
      <c r="AX10" s="530"/>
      <c r="AY10" s="531"/>
      <c r="AZ10" s="529" t="s">
        <v>175</v>
      </c>
      <c r="BA10" s="530"/>
      <c r="BB10" s="531"/>
      <c r="BC10" s="274" t="s">
        <v>53</v>
      </c>
      <c r="BD10" s="274" t="s">
        <v>54</v>
      </c>
      <c r="BE10" s="262" t="s">
        <v>55</v>
      </c>
    </row>
    <row r="11" spans="2:57" ht="27" thickBot="1">
      <c r="B11" s="316" t="s">
        <v>56</v>
      </c>
      <c r="C11" s="317" t="s">
        <v>176</v>
      </c>
      <c r="D11" s="317" t="s">
        <v>57</v>
      </c>
      <c r="E11" s="317" t="s">
        <v>56</v>
      </c>
      <c r="F11" s="317" t="s">
        <v>177</v>
      </c>
      <c r="G11" s="318" t="s">
        <v>178</v>
      </c>
      <c r="H11" s="319" t="s">
        <v>62</v>
      </c>
      <c r="I11" s="318" t="s">
        <v>178</v>
      </c>
      <c r="J11" s="319" t="s">
        <v>62</v>
      </c>
      <c r="K11" s="313" t="s">
        <v>58</v>
      </c>
      <c r="L11" s="314" t="s">
        <v>59</v>
      </c>
      <c r="M11" s="312" t="s">
        <v>60</v>
      </c>
      <c r="N11" s="313" t="s">
        <v>58</v>
      </c>
      <c r="O11" s="314" t="s">
        <v>59</v>
      </c>
      <c r="P11" s="312" t="s">
        <v>60</v>
      </c>
      <c r="Q11" s="314" t="s">
        <v>61</v>
      </c>
      <c r="R11" s="314" t="s">
        <v>62</v>
      </c>
      <c r="S11" s="315" t="s">
        <v>63</v>
      </c>
      <c r="U11" s="364" t="s">
        <v>56</v>
      </c>
      <c r="V11" s="365" t="s">
        <v>176</v>
      </c>
      <c r="W11" s="365" t="s">
        <v>57</v>
      </c>
      <c r="X11" s="365" t="s">
        <v>56</v>
      </c>
      <c r="Y11" s="365" t="s">
        <v>177</v>
      </c>
      <c r="Z11" s="366" t="s">
        <v>178</v>
      </c>
      <c r="AA11" s="367" t="s">
        <v>62</v>
      </c>
      <c r="AB11" s="366" t="s">
        <v>178</v>
      </c>
      <c r="AC11" s="367" t="s">
        <v>62</v>
      </c>
      <c r="AD11" s="361" t="s">
        <v>58</v>
      </c>
      <c r="AE11" s="362" t="s">
        <v>59</v>
      </c>
      <c r="AF11" s="360" t="s">
        <v>60</v>
      </c>
      <c r="AG11" s="361" t="s">
        <v>58</v>
      </c>
      <c r="AH11" s="362" t="s">
        <v>59</v>
      </c>
      <c r="AI11" s="360" t="s">
        <v>60</v>
      </c>
      <c r="AJ11" s="362" t="s">
        <v>61</v>
      </c>
      <c r="AK11" s="362" t="s">
        <v>62</v>
      </c>
      <c r="AL11" s="363" t="s">
        <v>63</v>
      </c>
      <c r="AN11" s="267" t="s">
        <v>56</v>
      </c>
      <c r="AO11" s="268" t="s">
        <v>176</v>
      </c>
      <c r="AP11" s="268" t="s">
        <v>57</v>
      </c>
      <c r="AQ11" s="268" t="s">
        <v>56</v>
      </c>
      <c r="AR11" s="268" t="s">
        <v>177</v>
      </c>
      <c r="AS11" s="269" t="s">
        <v>178</v>
      </c>
      <c r="AT11" s="270" t="s">
        <v>62</v>
      </c>
      <c r="AU11" s="269" t="s">
        <v>178</v>
      </c>
      <c r="AV11" s="270" t="s">
        <v>62</v>
      </c>
      <c r="AW11" s="264" t="s">
        <v>58</v>
      </c>
      <c r="AX11" s="265" t="s">
        <v>59</v>
      </c>
      <c r="AY11" s="263" t="s">
        <v>60</v>
      </c>
      <c r="AZ11" s="264" t="s">
        <v>58</v>
      </c>
      <c r="BA11" s="265" t="s">
        <v>59</v>
      </c>
      <c r="BB11" s="263" t="s">
        <v>60</v>
      </c>
      <c r="BC11" s="265" t="s">
        <v>61</v>
      </c>
      <c r="BD11" s="265" t="s">
        <v>62</v>
      </c>
      <c r="BE11" s="266" t="s">
        <v>63</v>
      </c>
    </row>
    <row r="12" spans="2:57" ht="15">
      <c r="B12" s="322" t="s">
        <v>64</v>
      </c>
      <c r="C12" s="300" t="s">
        <v>179</v>
      </c>
      <c r="D12" s="321" t="s">
        <v>66</v>
      </c>
      <c r="E12" s="321" t="s">
        <v>65</v>
      </c>
      <c r="F12" s="300" t="s">
        <v>176</v>
      </c>
      <c r="G12" s="339">
        <v>2300</v>
      </c>
      <c r="H12" s="340">
        <v>0.40900000000000003</v>
      </c>
      <c r="I12" s="339">
        <v>2300</v>
      </c>
      <c r="J12" s="340">
        <v>0.40900000000000003</v>
      </c>
      <c r="K12" s="329">
        <v>2.3831100463867201</v>
      </c>
      <c r="L12" s="329">
        <v>0.47879500198177999</v>
      </c>
      <c r="M12" s="310">
        <v>-2.2790199145674697</v>
      </c>
      <c r="N12" s="329">
        <v>2.3831100463867201</v>
      </c>
      <c r="O12" s="329">
        <v>0.47879500198177999</v>
      </c>
      <c r="P12" s="310">
        <v>-2.2790199145674697</v>
      </c>
      <c r="Q12" s="332">
        <v>1.0361</v>
      </c>
      <c r="R12" s="332">
        <v>1.1706000000000001</v>
      </c>
      <c r="S12" s="333">
        <v>-9.9088000000000006E-3</v>
      </c>
      <c r="U12" s="370" t="s">
        <v>64</v>
      </c>
      <c r="V12" s="348" t="s">
        <v>101</v>
      </c>
      <c r="W12" s="369" t="s">
        <v>66</v>
      </c>
      <c r="X12" s="369" t="s">
        <v>65</v>
      </c>
      <c r="Y12" s="348" t="s">
        <v>176</v>
      </c>
      <c r="Z12" s="387">
        <v>2300</v>
      </c>
      <c r="AA12" s="388">
        <v>0.40900000000000003</v>
      </c>
      <c r="AB12" s="387">
        <v>2300</v>
      </c>
      <c r="AC12" s="388">
        <v>0.40900000000000003</v>
      </c>
      <c r="AD12" s="377">
        <v>2.5600099563598602</v>
      </c>
      <c r="AE12" s="377">
        <v>0.49760501133278001</v>
      </c>
      <c r="AF12" s="358">
        <v>-1.1485300026834</v>
      </c>
      <c r="AG12" s="377">
        <v>2.5600099563598602</v>
      </c>
      <c r="AH12" s="377">
        <v>0.49760501133278001</v>
      </c>
      <c r="AI12" s="358">
        <v>-1.1485300026834</v>
      </c>
      <c r="AJ12" s="380">
        <v>1.113</v>
      </c>
      <c r="AK12" s="380">
        <v>1.2165999999999999</v>
      </c>
      <c r="AL12" s="381">
        <v>-4.9935999999999999E-3</v>
      </c>
      <c r="AN12" s="273" t="s">
        <v>64</v>
      </c>
      <c r="AO12" s="251" t="s">
        <v>183</v>
      </c>
      <c r="AP12" s="272" t="s">
        <v>66</v>
      </c>
      <c r="AQ12" s="272" t="s">
        <v>65</v>
      </c>
      <c r="AR12" s="251" t="s">
        <v>176</v>
      </c>
      <c r="AS12" s="290">
        <v>2300</v>
      </c>
      <c r="AT12" s="291">
        <v>0.40900000000000003</v>
      </c>
      <c r="AU12" s="290">
        <v>2300</v>
      </c>
      <c r="AV12" s="291">
        <v>0.40900000000000003</v>
      </c>
      <c r="AW12" s="280">
        <v>2.5272600650787398</v>
      </c>
      <c r="AX12" s="280">
        <v>0.50324801122769702</v>
      </c>
      <c r="AY12" s="261">
        <v>-1.1799500323832</v>
      </c>
      <c r="AZ12" s="280">
        <v>2.5272600650787398</v>
      </c>
      <c r="BA12" s="280">
        <v>0.50324801122769702</v>
      </c>
      <c r="BB12" s="261">
        <v>-1.1799500323832</v>
      </c>
      <c r="BC12" s="283">
        <v>1.0988</v>
      </c>
      <c r="BD12" s="283">
        <v>1.2303999999999999</v>
      </c>
      <c r="BE12" s="284">
        <v>-5.1301999999999997E-3</v>
      </c>
    </row>
    <row r="13" spans="2:57" ht="15">
      <c r="B13" s="320" t="s">
        <v>64</v>
      </c>
      <c r="C13" s="300" t="s">
        <v>179</v>
      </c>
      <c r="D13" s="301" t="s">
        <v>66</v>
      </c>
      <c r="E13" s="301" t="s">
        <v>67</v>
      </c>
      <c r="F13" s="300" t="s">
        <v>176</v>
      </c>
      <c r="G13" s="341">
        <v>2240</v>
      </c>
      <c r="H13" s="342">
        <v>0.12734000000000001</v>
      </c>
      <c r="I13" s="341">
        <v>2240</v>
      </c>
      <c r="J13" s="342">
        <v>0.12734000000000001</v>
      </c>
      <c r="K13" s="329">
        <v>2.3795900344848602</v>
      </c>
      <c r="L13" s="329">
        <v>0.151779997395352</v>
      </c>
      <c r="M13" s="305">
        <v>-2.2377699613571203</v>
      </c>
      <c r="N13" s="329">
        <v>2.3795900344848602</v>
      </c>
      <c r="O13" s="329">
        <v>0.151779997395352</v>
      </c>
      <c r="P13" s="305">
        <v>-2.2377699613571203</v>
      </c>
      <c r="Q13" s="327">
        <v>1.0623</v>
      </c>
      <c r="R13" s="327">
        <v>1.1919999999999999</v>
      </c>
      <c r="S13" s="334">
        <v>-9.9900000000000006E-3</v>
      </c>
      <c r="U13" s="368" t="s">
        <v>64</v>
      </c>
      <c r="V13" s="348" t="s">
        <v>101</v>
      </c>
      <c r="W13" s="349" t="s">
        <v>66</v>
      </c>
      <c r="X13" s="349" t="s">
        <v>67</v>
      </c>
      <c r="Y13" s="348" t="s">
        <v>176</v>
      </c>
      <c r="Z13" s="389">
        <v>2240</v>
      </c>
      <c r="AA13" s="390">
        <v>0.58982000000000001</v>
      </c>
      <c r="AB13" s="389">
        <v>2240</v>
      </c>
      <c r="AC13" s="390">
        <v>0.58982000000000001</v>
      </c>
      <c r="AD13" s="377">
        <v>2.5585300922393799</v>
      </c>
      <c r="AE13" s="377">
        <v>0.76281500514596701</v>
      </c>
      <c r="AF13" s="353">
        <v>-1.1225700378418</v>
      </c>
      <c r="AG13" s="377">
        <v>2.5585300922393799</v>
      </c>
      <c r="AH13" s="377">
        <v>0.76281500514596701</v>
      </c>
      <c r="AI13" s="353">
        <v>-1.1225700378418</v>
      </c>
      <c r="AJ13" s="375">
        <v>1.1422000000000001</v>
      </c>
      <c r="AK13" s="375">
        <v>1.2932999999999999</v>
      </c>
      <c r="AL13" s="382">
        <v>-5.0115000000000003E-3</v>
      </c>
      <c r="AN13" s="271" t="s">
        <v>64</v>
      </c>
      <c r="AO13" s="251" t="s">
        <v>183</v>
      </c>
      <c r="AP13" s="252" t="s">
        <v>66</v>
      </c>
      <c r="AQ13" s="252" t="s">
        <v>67</v>
      </c>
      <c r="AR13" s="251" t="s">
        <v>176</v>
      </c>
      <c r="AS13" s="292">
        <v>2240</v>
      </c>
      <c r="AT13" s="293">
        <v>0.63</v>
      </c>
      <c r="AU13" s="292">
        <v>2240</v>
      </c>
      <c r="AV13" s="293">
        <v>0.63</v>
      </c>
      <c r="AW13" s="280">
        <v>2.5344700813293501</v>
      </c>
      <c r="AX13" s="280">
        <v>0.80831797095015601</v>
      </c>
      <c r="AY13" s="256">
        <v>-1.0122000239789499</v>
      </c>
      <c r="AZ13" s="280">
        <v>2.5344700813293501</v>
      </c>
      <c r="BA13" s="280">
        <v>0.80831797095015601</v>
      </c>
      <c r="BB13" s="256">
        <v>-1.0122000239789499</v>
      </c>
      <c r="BC13" s="278">
        <v>1.1315</v>
      </c>
      <c r="BD13" s="278">
        <v>1.2829999999999999</v>
      </c>
      <c r="BE13" s="285">
        <v>-4.5187999999999999E-3</v>
      </c>
    </row>
    <row r="14" spans="2:57" ht="15">
      <c r="B14" s="320" t="s">
        <v>64</v>
      </c>
      <c r="C14" s="300" t="s">
        <v>179</v>
      </c>
      <c r="D14" s="301" t="s">
        <v>66</v>
      </c>
      <c r="E14" s="301" t="s">
        <v>68</v>
      </c>
      <c r="F14" s="300" t="s">
        <v>176</v>
      </c>
      <c r="G14" s="341">
        <v>2330</v>
      </c>
      <c r="H14" s="342">
        <v>0.14229</v>
      </c>
      <c r="I14" s="341">
        <v>2330</v>
      </c>
      <c r="J14" s="342">
        <v>0.14229</v>
      </c>
      <c r="K14" s="329">
        <v>2.4528501033782999</v>
      </c>
      <c r="L14" s="329">
        <v>0.16843600315041798</v>
      </c>
      <c r="M14" s="305">
        <v>-2.7763100340962401</v>
      </c>
      <c r="N14" s="329">
        <v>2.4528501033782999</v>
      </c>
      <c r="O14" s="329">
        <v>0.16843600315041798</v>
      </c>
      <c r="P14" s="305">
        <v>-2.7763100340962401</v>
      </c>
      <c r="Q14" s="327">
        <v>1.0527</v>
      </c>
      <c r="R14" s="327">
        <v>1.1837</v>
      </c>
      <c r="S14" s="334">
        <v>-1.1915E-2</v>
      </c>
      <c r="U14" s="368" t="s">
        <v>64</v>
      </c>
      <c r="V14" s="348" t="s">
        <v>101</v>
      </c>
      <c r="W14" s="349" t="s">
        <v>66</v>
      </c>
      <c r="X14" s="349" t="s">
        <v>68</v>
      </c>
      <c r="Y14" s="348" t="s">
        <v>176</v>
      </c>
      <c r="Z14" s="389">
        <v>2330</v>
      </c>
      <c r="AA14" s="390">
        <v>0.66922000000000004</v>
      </c>
      <c r="AB14" s="389">
        <v>2330</v>
      </c>
      <c r="AC14" s="390">
        <v>0.66922000000000004</v>
      </c>
      <c r="AD14" s="377">
        <v>2.6336901187896702</v>
      </c>
      <c r="AE14" s="377">
        <v>0.85379101801663604</v>
      </c>
      <c r="AF14" s="353">
        <v>-1.4832199551165099</v>
      </c>
      <c r="AG14" s="377">
        <v>2.6336901187896702</v>
      </c>
      <c r="AH14" s="377">
        <v>0.85379101801663604</v>
      </c>
      <c r="AI14" s="353">
        <v>-1.4832199551165099</v>
      </c>
      <c r="AJ14" s="375">
        <v>1.1303000000000001</v>
      </c>
      <c r="AK14" s="375">
        <v>1.2758</v>
      </c>
      <c r="AL14" s="382">
        <v>-6.3657999999999996E-3</v>
      </c>
      <c r="AN14" s="271" t="s">
        <v>64</v>
      </c>
      <c r="AO14" s="251" t="s">
        <v>183</v>
      </c>
      <c r="AP14" s="252" t="s">
        <v>66</v>
      </c>
      <c r="AQ14" s="252" t="s">
        <v>68</v>
      </c>
      <c r="AR14" s="251" t="s">
        <v>176</v>
      </c>
      <c r="AS14" s="292">
        <v>2330</v>
      </c>
      <c r="AT14" s="293">
        <v>0.71500000000000008</v>
      </c>
      <c r="AU14" s="292">
        <v>2330</v>
      </c>
      <c r="AV14" s="293">
        <v>0.71500000000000008</v>
      </c>
      <c r="AW14" s="280">
        <v>2.5992701053619398</v>
      </c>
      <c r="AX14" s="280">
        <v>0.89424400357529499</v>
      </c>
      <c r="AY14" s="256">
        <v>-1.2750700116157501</v>
      </c>
      <c r="AZ14" s="280">
        <v>2.5992701053619398</v>
      </c>
      <c r="BA14" s="280">
        <v>0.89424400357529499</v>
      </c>
      <c r="BB14" s="256">
        <v>-1.2750700116157501</v>
      </c>
      <c r="BC14" s="278">
        <v>1.1155999999999999</v>
      </c>
      <c r="BD14" s="278">
        <v>1.2506999999999999</v>
      </c>
      <c r="BE14" s="285">
        <v>-5.4723999999999997E-3</v>
      </c>
    </row>
    <row r="15" spans="2:57" ht="15">
      <c r="B15" s="320" t="s">
        <v>64</v>
      </c>
      <c r="C15" s="300" t="s">
        <v>179</v>
      </c>
      <c r="D15" s="301" t="s">
        <v>66</v>
      </c>
      <c r="E15" s="301" t="s">
        <v>69</v>
      </c>
      <c r="F15" s="300" t="s">
        <v>176</v>
      </c>
      <c r="G15" s="341">
        <v>2420</v>
      </c>
      <c r="H15" s="342">
        <v>0.46327999999999997</v>
      </c>
      <c r="I15" s="341">
        <v>2420</v>
      </c>
      <c r="J15" s="342">
        <v>0.46327999999999997</v>
      </c>
      <c r="K15" s="329">
        <v>2.6470100879669198</v>
      </c>
      <c r="L15" s="329">
        <v>0.58623898075893499</v>
      </c>
      <c r="M15" s="305">
        <v>-2.83994991332293</v>
      </c>
      <c r="N15" s="329">
        <v>2.6470100879669198</v>
      </c>
      <c r="O15" s="329">
        <v>0.58623898075893499</v>
      </c>
      <c r="P15" s="305">
        <v>-2.83994991332293</v>
      </c>
      <c r="Q15" s="327">
        <v>1.0938000000000001</v>
      </c>
      <c r="R15" s="327">
        <v>1.2654000000000001</v>
      </c>
      <c r="S15" s="334">
        <v>-1.1735000000000001E-2</v>
      </c>
      <c r="U15" s="368" t="s">
        <v>64</v>
      </c>
      <c r="V15" s="348" t="s">
        <v>101</v>
      </c>
      <c r="W15" s="349" t="s">
        <v>66</v>
      </c>
      <c r="X15" s="349" t="s">
        <v>69</v>
      </c>
      <c r="Y15" s="348" t="s">
        <v>176</v>
      </c>
      <c r="Z15" s="389">
        <v>2420</v>
      </c>
      <c r="AA15" s="390">
        <v>0.62529999999999997</v>
      </c>
      <c r="AB15" s="389">
        <v>2420</v>
      </c>
      <c r="AC15" s="390">
        <v>0.62529999999999997</v>
      </c>
      <c r="AD15" s="377">
        <v>2.76887011528015</v>
      </c>
      <c r="AE15" s="377">
        <v>0.80100097693502903</v>
      </c>
      <c r="AF15" s="353">
        <v>-1.5315899625420599</v>
      </c>
      <c r="AG15" s="377">
        <v>2.76887011528015</v>
      </c>
      <c r="AH15" s="377">
        <v>0.80100097693502903</v>
      </c>
      <c r="AI15" s="353">
        <v>-1.5315899625420599</v>
      </c>
      <c r="AJ15" s="375">
        <v>1.1442000000000001</v>
      </c>
      <c r="AK15" s="375">
        <v>1.2809999999999999</v>
      </c>
      <c r="AL15" s="382">
        <v>-6.3289000000000002E-3</v>
      </c>
      <c r="AN15" s="271" t="s">
        <v>64</v>
      </c>
      <c r="AO15" s="251" t="s">
        <v>183</v>
      </c>
      <c r="AP15" s="252" t="s">
        <v>66</v>
      </c>
      <c r="AQ15" s="252" t="s">
        <v>69</v>
      </c>
      <c r="AR15" s="251" t="s">
        <v>176</v>
      </c>
      <c r="AS15" s="292">
        <v>2420</v>
      </c>
      <c r="AT15" s="293">
        <v>0.64700000000000002</v>
      </c>
      <c r="AU15" s="292">
        <v>2420</v>
      </c>
      <c r="AV15" s="293">
        <v>0.64700000000000002</v>
      </c>
      <c r="AW15" s="280">
        <v>2.7396199703216602</v>
      </c>
      <c r="AX15" s="280">
        <v>0.827293028123677</v>
      </c>
      <c r="AY15" s="256">
        <v>-1.2478100135922401</v>
      </c>
      <c r="AZ15" s="280">
        <v>2.7396199703216602</v>
      </c>
      <c r="BA15" s="280">
        <v>0.827293028123677</v>
      </c>
      <c r="BB15" s="256">
        <v>-1.2478100135922401</v>
      </c>
      <c r="BC15" s="278">
        <v>1.1321000000000001</v>
      </c>
      <c r="BD15" s="278">
        <v>1.2786999999999999</v>
      </c>
      <c r="BE15" s="285">
        <v>-5.1561999999999997E-3</v>
      </c>
    </row>
    <row r="16" spans="2:57" ht="15">
      <c r="B16" s="320" t="s">
        <v>64</v>
      </c>
      <c r="C16" s="300" t="s">
        <v>179</v>
      </c>
      <c r="D16" s="301" t="s">
        <v>66</v>
      </c>
      <c r="E16" s="301" t="s">
        <v>70</v>
      </c>
      <c r="F16" s="300" t="s">
        <v>176</v>
      </c>
      <c r="G16" s="341">
        <v>2370</v>
      </c>
      <c r="H16" s="342">
        <v>0.48286000000000001</v>
      </c>
      <c r="I16" s="341">
        <v>2370</v>
      </c>
      <c r="J16" s="342">
        <v>0.48286000000000001</v>
      </c>
      <c r="K16" s="329">
        <v>2.6191599369049099</v>
      </c>
      <c r="L16" s="329">
        <v>0.59791997773572803</v>
      </c>
      <c r="M16" s="305">
        <v>-1.6845799982547802</v>
      </c>
      <c r="N16" s="329">
        <v>2.6191599369049099</v>
      </c>
      <c r="O16" s="329">
        <v>0.59791997773572803</v>
      </c>
      <c r="P16" s="305">
        <v>-1.6845799982547802</v>
      </c>
      <c r="Q16" s="327">
        <v>1.1051</v>
      </c>
      <c r="R16" s="327">
        <v>1.2383</v>
      </c>
      <c r="S16" s="334">
        <v>-7.1079000000000003E-3</v>
      </c>
      <c r="U16" s="368" t="s">
        <v>64</v>
      </c>
      <c r="V16" s="348" t="s">
        <v>101</v>
      </c>
      <c r="W16" s="349" t="s">
        <v>66</v>
      </c>
      <c r="X16" s="349" t="s">
        <v>70</v>
      </c>
      <c r="Y16" s="348" t="s">
        <v>176</v>
      </c>
      <c r="Z16" s="389">
        <v>2370</v>
      </c>
      <c r="AA16" s="390">
        <v>0.64700999999999997</v>
      </c>
      <c r="AB16" s="389">
        <v>2370</v>
      </c>
      <c r="AC16" s="390">
        <v>0.64700999999999997</v>
      </c>
      <c r="AD16" s="377">
        <v>2.72230005264282</v>
      </c>
      <c r="AE16" s="377">
        <v>0.82164199557155404</v>
      </c>
      <c r="AF16" s="353">
        <v>-1.10162002965808</v>
      </c>
      <c r="AG16" s="377">
        <v>2.72230005264282</v>
      </c>
      <c r="AH16" s="377">
        <v>0.82164199557155404</v>
      </c>
      <c r="AI16" s="353">
        <v>-1.10162002965808</v>
      </c>
      <c r="AJ16" s="375">
        <v>1.1486000000000001</v>
      </c>
      <c r="AK16" s="375">
        <v>1.2699</v>
      </c>
      <c r="AL16" s="382">
        <v>-4.6481999999999999E-3</v>
      </c>
      <c r="AN16" s="271" t="s">
        <v>64</v>
      </c>
      <c r="AO16" s="251" t="s">
        <v>183</v>
      </c>
      <c r="AP16" s="252" t="s">
        <v>66</v>
      </c>
      <c r="AQ16" s="252" t="s">
        <v>70</v>
      </c>
      <c r="AR16" s="251" t="s">
        <v>176</v>
      </c>
      <c r="AS16" s="292">
        <v>2370</v>
      </c>
      <c r="AT16" s="293">
        <v>0.66900000000000004</v>
      </c>
      <c r="AU16" s="292">
        <v>2370</v>
      </c>
      <c r="AV16" s="293">
        <v>0.66900000000000004</v>
      </c>
      <c r="AW16" s="280">
        <v>2.6948800086975102</v>
      </c>
      <c r="AX16" s="280">
        <v>0.84383797366172097</v>
      </c>
      <c r="AY16" s="256">
        <v>-0.95729203894734405</v>
      </c>
      <c r="AZ16" s="280">
        <v>2.6948800086975102</v>
      </c>
      <c r="BA16" s="280">
        <v>0.84383797366172097</v>
      </c>
      <c r="BB16" s="256">
        <v>-0.95729203894734405</v>
      </c>
      <c r="BC16" s="278">
        <v>1.1371</v>
      </c>
      <c r="BD16" s="278">
        <v>1.2613000000000001</v>
      </c>
      <c r="BE16" s="285">
        <v>-4.0391999999999997E-3</v>
      </c>
    </row>
    <row r="17" spans="2:57" ht="15">
      <c r="B17" s="320" t="s">
        <v>64</v>
      </c>
      <c r="C17" s="300" t="s">
        <v>179</v>
      </c>
      <c r="D17" s="301" t="s">
        <v>66</v>
      </c>
      <c r="E17" s="301" t="s">
        <v>71</v>
      </c>
      <c r="F17" s="300" t="s">
        <v>176</v>
      </c>
      <c r="G17" s="341">
        <v>2600</v>
      </c>
      <c r="H17" s="342">
        <v>0.14541000000000001</v>
      </c>
      <c r="I17" s="341">
        <v>2600</v>
      </c>
      <c r="J17" s="342">
        <v>0.14541000000000001</v>
      </c>
      <c r="K17" s="329">
        <v>2.6693699359893799</v>
      </c>
      <c r="L17" s="329">
        <v>0.170914994669147</v>
      </c>
      <c r="M17" s="305">
        <v>-2.76219993829727</v>
      </c>
      <c r="N17" s="329">
        <v>2.6693699359893799</v>
      </c>
      <c r="O17" s="329">
        <v>0.170914994669147</v>
      </c>
      <c r="P17" s="305">
        <v>-2.76219993829727</v>
      </c>
      <c r="Q17" s="327">
        <v>1.0266999999999999</v>
      </c>
      <c r="R17" s="327">
        <v>1.1754</v>
      </c>
      <c r="S17" s="334">
        <v>-1.0624E-2</v>
      </c>
      <c r="U17" s="368" t="s">
        <v>64</v>
      </c>
      <c r="V17" s="348" t="s">
        <v>101</v>
      </c>
      <c r="W17" s="349" t="s">
        <v>66</v>
      </c>
      <c r="X17" s="349" t="s">
        <v>71</v>
      </c>
      <c r="Y17" s="348" t="s">
        <v>176</v>
      </c>
      <c r="Z17" s="389">
        <v>2600</v>
      </c>
      <c r="AA17" s="390">
        <v>0.68142999999999998</v>
      </c>
      <c r="AB17" s="389">
        <v>2600</v>
      </c>
      <c r="AC17" s="390">
        <v>0.68142999999999998</v>
      </c>
      <c r="AD17" s="377">
        <v>2.8657300472259499</v>
      </c>
      <c r="AE17" s="377">
        <v>0.86028501391410794</v>
      </c>
      <c r="AF17" s="353">
        <v>-1.6370100900530802</v>
      </c>
      <c r="AG17" s="377">
        <v>2.8657300472259499</v>
      </c>
      <c r="AH17" s="377">
        <v>0.86028501391410794</v>
      </c>
      <c r="AI17" s="353">
        <v>-1.6370100900530802</v>
      </c>
      <c r="AJ17" s="375">
        <v>1.1022000000000001</v>
      </c>
      <c r="AK17" s="375">
        <v>1.2625</v>
      </c>
      <c r="AL17" s="382">
        <v>-6.2962000000000001E-3</v>
      </c>
      <c r="AN17" s="271" t="s">
        <v>64</v>
      </c>
      <c r="AO17" s="251" t="s">
        <v>183</v>
      </c>
      <c r="AP17" s="252" t="s">
        <v>66</v>
      </c>
      <c r="AQ17" s="252" t="s">
        <v>71</v>
      </c>
      <c r="AR17" s="251" t="s">
        <v>176</v>
      </c>
      <c r="AS17" s="292">
        <v>2600</v>
      </c>
      <c r="AT17" s="293">
        <v>0.72799999999999998</v>
      </c>
      <c r="AU17" s="292">
        <v>2600</v>
      </c>
      <c r="AV17" s="293">
        <v>0.72799999999999998</v>
      </c>
      <c r="AW17" s="280">
        <v>2.8794500827789302</v>
      </c>
      <c r="AX17" s="280">
        <v>0.90730597730726004</v>
      </c>
      <c r="AY17" s="256">
        <v>-1.426209975034</v>
      </c>
      <c r="AZ17" s="280">
        <v>2.8794500827789302</v>
      </c>
      <c r="BA17" s="280">
        <v>0.90730597730726004</v>
      </c>
      <c r="BB17" s="256">
        <v>-1.426209975034</v>
      </c>
      <c r="BC17" s="278">
        <v>1.1074999999999999</v>
      </c>
      <c r="BD17" s="278">
        <v>1.2463</v>
      </c>
      <c r="BE17" s="285">
        <v>-5.4853999999999997E-3</v>
      </c>
    </row>
    <row r="18" spans="2:57" ht="15">
      <c r="B18" s="320" t="s">
        <v>64</v>
      </c>
      <c r="C18" s="300" t="s">
        <v>179</v>
      </c>
      <c r="D18" s="301" t="s">
        <v>66</v>
      </c>
      <c r="E18" s="301" t="s">
        <v>72</v>
      </c>
      <c r="F18" s="300" t="s">
        <v>176</v>
      </c>
      <c r="G18" s="341">
        <v>3890</v>
      </c>
      <c r="H18" s="342">
        <v>0.495</v>
      </c>
      <c r="I18" s="341">
        <v>3890</v>
      </c>
      <c r="J18" s="342">
        <v>0.495</v>
      </c>
      <c r="K18" s="329">
        <v>3.5875198841095002</v>
      </c>
      <c r="L18" s="329">
        <v>0.64057600684464</v>
      </c>
      <c r="M18" s="305">
        <v>-5.1474198698997498</v>
      </c>
      <c r="N18" s="329">
        <v>3.5875198841095002</v>
      </c>
      <c r="O18" s="329">
        <v>0.64057600684464</v>
      </c>
      <c r="P18" s="305">
        <v>-5.1474198698997498</v>
      </c>
      <c r="Q18" s="327">
        <v>0.92223999999999995</v>
      </c>
      <c r="R18" s="327">
        <v>1.2941</v>
      </c>
      <c r="S18" s="334">
        <v>-1.3232000000000001E-2</v>
      </c>
      <c r="U18" s="368" t="s">
        <v>64</v>
      </c>
      <c r="V18" s="348" t="s">
        <v>101</v>
      </c>
      <c r="W18" s="349" t="s">
        <v>66</v>
      </c>
      <c r="X18" s="349" t="s">
        <v>72</v>
      </c>
      <c r="Y18" s="348" t="s">
        <v>176</v>
      </c>
      <c r="Z18" s="389">
        <v>3890</v>
      </c>
      <c r="AA18" s="390">
        <v>0.495</v>
      </c>
      <c r="AB18" s="389">
        <v>3890</v>
      </c>
      <c r="AC18" s="390">
        <v>0.495</v>
      </c>
      <c r="AD18" s="377">
        <v>4.0354599952697798</v>
      </c>
      <c r="AE18" s="377">
        <v>0.64493500394746706</v>
      </c>
      <c r="AF18" s="353">
        <v>-4.9262799322605098</v>
      </c>
      <c r="AG18" s="377">
        <v>4.0354599952697798</v>
      </c>
      <c r="AH18" s="377">
        <v>0.64493500394746706</v>
      </c>
      <c r="AI18" s="353">
        <v>-4.9262799322605098</v>
      </c>
      <c r="AJ18" s="375">
        <v>1.0374000000000001</v>
      </c>
      <c r="AK18" s="375">
        <v>1.3028999999999999</v>
      </c>
      <c r="AL18" s="382">
        <v>-1.2664E-2</v>
      </c>
      <c r="AN18" s="271" t="s">
        <v>64</v>
      </c>
      <c r="AO18" s="251" t="s">
        <v>183</v>
      </c>
      <c r="AP18" s="252" t="s">
        <v>66</v>
      </c>
      <c r="AQ18" s="252" t="s">
        <v>72</v>
      </c>
      <c r="AR18" s="251" t="s">
        <v>176</v>
      </c>
      <c r="AS18" s="292">
        <v>3890</v>
      </c>
      <c r="AT18" s="293">
        <v>0.495</v>
      </c>
      <c r="AU18" s="292">
        <v>3890</v>
      </c>
      <c r="AV18" s="293">
        <v>0.495</v>
      </c>
      <c r="AW18" s="280">
        <v>3.8946299552917498</v>
      </c>
      <c r="AX18" s="280">
        <v>0.61862799338996399</v>
      </c>
      <c r="AY18" s="256">
        <v>-5.3621601313352603</v>
      </c>
      <c r="AZ18" s="280">
        <v>3.8946299552917498</v>
      </c>
      <c r="BA18" s="280">
        <v>0.61862799338996399</v>
      </c>
      <c r="BB18" s="256">
        <v>-5.3621601313352603</v>
      </c>
      <c r="BC18" s="278">
        <v>1.0012000000000001</v>
      </c>
      <c r="BD18" s="278">
        <v>1.2498</v>
      </c>
      <c r="BE18" s="285">
        <v>-1.3783999999999999E-2</v>
      </c>
    </row>
    <row r="19" spans="2:57" ht="15">
      <c r="B19" s="320" t="s">
        <v>64</v>
      </c>
      <c r="C19" s="300" t="s">
        <v>179</v>
      </c>
      <c r="D19" s="301" t="s">
        <v>66</v>
      </c>
      <c r="E19" s="301" t="s">
        <v>73</v>
      </c>
      <c r="F19" s="300" t="s">
        <v>176</v>
      </c>
      <c r="G19" s="341">
        <v>4200</v>
      </c>
      <c r="H19" s="342">
        <v>0.71699999999999997</v>
      </c>
      <c r="I19" s="341">
        <v>4200</v>
      </c>
      <c r="J19" s="342">
        <v>0.71699999999999997</v>
      </c>
      <c r="K19" s="329">
        <v>4.6531100273132298</v>
      </c>
      <c r="L19" s="329">
        <v>0.87415002053603497</v>
      </c>
      <c r="M19" s="305">
        <v>-2.6964999735355399</v>
      </c>
      <c r="N19" s="329">
        <v>4.6531100273132298</v>
      </c>
      <c r="O19" s="329">
        <v>0.87415002053603497</v>
      </c>
      <c r="P19" s="305">
        <v>-2.6964999735355399</v>
      </c>
      <c r="Q19" s="327">
        <v>1.1079000000000001</v>
      </c>
      <c r="R19" s="327">
        <v>1.2192000000000001</v>
      </c>
      <c r="S19" s="334">
        <v>-6.4202E-3</v>
      </c>
      <c r="U19" s="368" t="s">
        <v>64</v>
      </c>
      <c r="V19" s="348" t="s">
        <v>101</v>
      </c>
      <c r="W19" s="349" t="s">
        <v>66</v>
      </c>
      <c r="X19" s="349" t="s">
        <v>73</v>
      </c>
      <c r="Y19" s="348" t="s">
        <v>176</v>
      </c>
      <c r="Z19" s="389">
        <v>4200</v>
      </c>
      <c r="AA19" s="390">
        <v>0.71699999999999997</v>
      </c>
      <c r="AB19" s="389">
        <v>4200</v>
      </c>
      <c r="AC19" s="390">
        <v>0.71699999999999997</v>
      </c>
      <c r="AD19" s="377">
        <v>4.8497800827026403</v>
      </c>
      <c r="AE19" s="377">
        <v>0.901114020962268</v>
      </c>
      <c r="AF19" s="353">
        <v>-2.2939400747418399</v>
      </c>
      <c r="AG19" s="377">
        <v>4.8497800827026403</v>
      </c>
      <c r="AH19" s="377">
        <v>0.901114020962268</v>
      </c>
      <c r="AI19" s="353">
        <v>-2.2939400747418399</v>
      </c>
      <c r="AJ19" s="375">
        <v>1.1547000000000001</v>
      </c>
      <c r="AK19" s="375">
        <v>1.2567999999999999</v>
      </c>
      <c r="AL19" s="382">
        <v>-5.4618000000000002E-3</v>
      </c>
      <c r="AN19" s="271" t="s">
        <v>64</v>
      </c>
      <c r="AO19" s="251" t="s">
        <v>183</v>
      </c>
      <c r="AP19" s="252" t="s">
        <v>66</v>
      </c>
      <c r="AQ19" s="252" t="s">
        <v>73</v>
      </c>
      <c r="AR19" s="251" t="s">
        <v>176</v>
      </c>
      <c r="AS19" s="292">
        <v>4200</v>
      </c>
      <c r="AT19" s="293">
        <v>0.71699999999999997</v>
      </c>
      <c r="AU19" s="292">
        <v>4200</v>
      </c>
      <c r="AV19" s="293">
        <v>0.71699999999999997</v>
      </c>
      <c r="AW19" s="280">
        <v>4.8041200637817401</v>
      </c>
      <c r="AX19" s="280">
        <v>0.88340701768174801</v>
      </c>
      <c r="AY19" s="256">
        <v>-2.12393999099731</v>
      </c>
      <c r="AZ19" s="280">
        <v>4.8041200637817401</v>
      </c>
      <c r="BA19" s="280">
        <v>0.88340701768174801</v>
      </c>
      <c r="BB19" s="256">
        <v>-2.12393999099731</v>
      </c>
      <c r="BC19" s="278">
        <v>1.1437999999999999</v>
      </c>
      <c r="BD19" s="278">
        <v>1.2321</v>
      </c>
      <c r="BE19" s="285">
        <v>-5.0569999999999999E-3</v>
      </c>
    </row>
    <row r="20" spans="2:57" ht="15">
      <c r="B20" s="320" t="s">
        <v>64</v>
      </c>
      <c r="C20" s="300" t="s">
        <v>179</v>
      </c>
      <c r="D20" s="301" t="s">
        <v>66</v>
      </c>
      <c r="E20" s="301" t="s">
        <v>74</v>
      </c>
      <c r="F20" s="300" t="s">
        <v>176</v>
      </c>
      <c r="G20" s="341">
        <v>3570</v>
      </c>
      <c r="H20" s="342">
        <v>0.56499999999999995</v>
      </c>
      <c r="I20" s="341">
        <v>3570</v>
      </c>
      <c r="J20" s="342">
        <v>0.56499999999999995</v>
      </c>
      <c r="K20" s="329">
        <v>3.7328999042511</v>
      </c>
      <c r="L20" s="329">
        <v>0.702338991686702</v>
      </c>
      <c r="M20" s="305">
        <v>-4.7858498990535701</v>
      </c>
      <c r="N20" s="329">
        <v>3.7328999042511</v>
      </c>
      <c r="O20" s="329">
        <v>0.702338991686702</v>
      </c>
      <c r="P20" s="305">
        <v>-4.7858498990535701</v>
      </c>
      <c r="Q20" s="327">
        <v>1.0456000000000001</v>
      </c>
      <c r="R20" s="327">
        <v>1.2431000000000001</v>
      </c>
      <c r="S20" s="334">
        <v>-1.3406E-2</v>
      </c>
      <c r="U20" s="368" t="s">
        <v>64</v>
      </c>
      <c r="V20" s="348" t="s">
        <v>101</v>
      </c>
      <c r="W20" s="349" t="s">
        <v>66</v>
      </c>
      <c r="X20" s="349" t="s">
        <v>74</v>
      </c>
      <c r="Y20" s="348" t="s">
        <v>176</v>
      </c>
      <c r="Z20" s="389">
        <v>3570</v>
      </c>
      <c r="AA20" s="390">
        <v>0.56499999999999995</v>
      </c>
      <c r="AB20" s="389">
        <v>3570</v>
      </c>
      <c r="AC20" s="390">
        <v>0.56499999999999995</v>
      </c>
      <c r="AD20" s="377">
        <v>3.9041399955749498</v>
      </c>
      <c r="AE20" s="377">
        <v>0.73916901601478502</v>
      </c>
      <c r="AF20" s="353">
        <v>-3.4692998975515401</v>
      </c>
      <c r="AG20" s="377">
        <v>3.9041399955749498</v>
      </c>
      <c r="AH20" s="377">
        <v>0.73916901601478502</v>
      </c>
      <c r="AI20" s="353">
        <v>-3.4692998975515401</v>
      </c>
      <c r="AJ20" s="375">
        <v>1.0935999999999999</v>
      </c>
      <c r="AK20" s="375">
        <v>1.3083</v>
      </c>
      <c r="AL20" s="382">
        <v>-9.7178999999999998E-3</v>
      </c>
      <c r="AN20" s="271" t="s">
        <v>64</v>
      </c>
      <c r="AO20" s="251" t="s">
        <v>183</v>
      </c>
      <c r="AP20" s="252" t="s">
        <v>66</v>
      </c>
      <c r="AQ20" s="252" t="s">
        <v>74</v>
      </c>
      <c r="AR20" s="251" t="s">
        <v>176</v>
      </c>
      <c r="AS20" s="292">
        <v>3570</v>
      </c>
      <c r="AT20" s="293">
        <v>0.56499999999999995</v>
      </c>
      <c r="AU20" s="292">
        <v>3570</v>
      </c>
      <c r="AV20" s="293">
        <v>0.56499999999999995</v>
      </c>
      <c r="AW20" s="280">
        <v>3.8599998950958301</v>
      </c>
      <c r="AX20" s="280">
        <v>0.72252302197739504</v>
      </c>
      <c r="AY20" s="256">
        <v>-3.0891200527548799</v>
      </c>
      <c r="AZ20" s="280">
        <v>3.8599998950958301</v>
      </c>
      <c r="BA20" s="280">
        <v>0.72252302197739504</v>
      </c>
      <c r="BB20" s="256">
        <v>-3.0891200527548799</v>
      </c>
      <c r="BC20" s="278">
        <v>1.0811999999999999</v>
      </c>
      <c r="BD20" s="278">
        <v>1.2787999999999999</v>
      </c>
      <c r="BE20" s="285">
        <v>-8.6529999999999992E-3</v>
      </c>
    </row>
    <row r="21" spans="2:57" ht="15">
      <c r="B21" s="320" t="s">
        <v>64</v>
      </c>
      <c r="C21" s="300" t="s">
        <v>179</v>
      </c>
      <c r="D21" s="301" t="s">
        <v>66</v>
      </c>
      <c r="E21" s="301" t="s">
        <v>75</v>
      </c>
      <c r="F21" s="300" t="s">
        <v>176</v>
      </c>
      <c r="G21" s="341">
        <v>1670</v>
      </c>
      <c r="H21" s="342">
        <v>0.19900000000000001</v>
      </c>
      <c r="I21" s="341">
        <v>1670</v>
      </c>
      <c r="J21" s="342">
        <v>0.19900000000000001</v>
      </c>
      <c r="K21" s="329">
        <v>1.6815600395202599</v>
      </c>
      <c r="L21" s="329">
        <v>0.24583301274105901</v>
      </c>
      <c r="M21" s="305">
        <v>-0.59568900614976905</v>
      </c>
      <c r="N21" s="329">
        <v>1.6815600395202599</v>
      </c>
      <c r="O21" s="329">
        <v>0.24583301274105901</v>
      </c>
      <c r="P21" s="305">
        <v>-0.59568900614976905</v>
      </c>
      <c r="Q21" s="327">
        <v>1.0068999999999999</v>
      </c>
      <c r="R21" s="327">
        <v>1.2353000000000001</v>
      </c>
      <c r="S21" s="334">
        <v>-3.5669999999999999E-3</v>
      </c>
      <c r="U21" s="368" t="s">
        <v>64</v>
      </c>
      <c r="V21" s="348" t="s">
        <v>101</v>
      </c>
      <c r="W21" s="349" t="s">
        <v>66</v>
      </c>
      <c r="X21" s="349" t="s">
        <v>75</v>
      </c>
      <c r="Y21" s="348" t="s">
        <v>176</v>
      </c>
      <c r="Z21" s="389">
        <v>1670</v>
      </c>
      <c r="AA21" s="390">
        <v>0.19900000000000001</v>
      </c>
      <c r="AB21" s="389">
        <v>1670</v>
      </c>
      <c r="AC21" s="390">
        <v>0.19900000000000001</v>
      </c>
      <c r="AD21" s="377">
        <v>1.8516999483108501</v>
      </c>
      <c r="AE21" s="377">
        <v>0.25455199647694798</v>
      </c>
      <c r="AF21" s="353">
        <v>-0.31022899784147701</v>
      </c>
      <c r="AG21" s="377">
        <v>1.8516999483108501</v>
      </c>
      <c r="AH21" s="377">
        <v>0.25455199647694798</v>
      </c>
      <c r="AI21" s="353">
        <v>-0.31022899784147701</v>
      </c>
      <c r="AJ21" s="375">
        <v>1.1088</v>
      </c>
      <c r="AK21" s="375">
        <v>1.2791999999999999</v>
      </c>
      <c r="AL21" s="382">
        <v>-1.8577000000000001E-3</v>
      </c>
      <c r="AN21" s="271" t="s">
        <v>64</v>
      </c>
      <c r="AO21" s="251" t="s">
        <v>183</v>
      </c>
      <c r="AP21" s="252" t="s">
        <v>66</v>
      </c>
      <c r="AQ21" s="252" t="s">
        <v>75</v>
      </c>
      <c r="AR21" s="251" t="s">
        <v>176</v>
      </c>
      <c r="AS21" s="292">
        <v>1670</v>
      </c>
      <c r="AT21" s="293">
        <v>0.19900000000000001</v>
      </c>
      <c r="AU21" s="292">
        <v>1670</v>
      </c>
      <c r="AV21" s="293">
        <v>0.19900000000000001</v>
      </c>
      <c r="AW21" s="280">
        <v>1.8457599878311199</v>
      </c>
      <c r="AX21" s="280">
        <v>0.24805098655633601</v>
      </c>
      <c r="AY21" s="256">
        <v>-0.27761899400502399</v>
      </c>
      <c r="AZ21" s="280">
        <v>1.8457599878311199</v>
      </c>
      <c r="BA21" s="280">
        <v>0.24805098655633601</v>
      </c>
      <c r="BB21" s="256">
        <v>-0.27761899400502399</v>
      </c>
      <c r="BC21" s="278">
        <v>1.1052</v>
      </c>
      <c r="BD21" s="278">
        <v>1.2464999999999999</v>
      </c>
      <c r="BE21" s="285">
        <v>-1.6624000000000001E-3</v>
      </c>
    </row>
    <row r="22" spans="2:57" ht="15">
      <c r="B22" s="320" t="s">
        <v>64</v>
      </c>
      <c r="C22" s="300" t="s">
        <v>179</v>
      </c>
      <c r="D22" s="301" t="s">
        <v>66</v>
      </c>
      <c r="E22" s="301" t="s">
        <v>76</v>
      </c>
      <c r="F22" s="300" t="s">
        <v>176</v>
      </c>
      <c r="G22" s="341">
        <v>1370</v>
      </c>
      <c r="H22" s="342">
        <v>0.15100000000000002</v>
      </c>
      <c r="I22" s="341">
        <v>1370</v>
      </c>
      <c r="J22" s="342">
        <v>0.15100000000000002</v>
      </c>
      <c r="K22" s="329">
        <v>1.44604003429413</v>
      </c>
      <c r="L22" s="329">
        <v>0.18412800272926699</v>
      </c>
      <c r="M22" s="305">
        <v>-0.72997198440134503</v>
      </c>
      <c r="N22" s="329">
        <v>1.44604003429413</v>
      </c>
      <c r="O22" s="329">
        <v>0.18412800272926699</v>
      </c>
      <c r="P22" s="305">
        <v>-0.72997198440134503</v>
      </c>
      <c r="Q22" s="327">
        <v>1.0555000000000001</v>
      </c>
      <c r="R22" s="327">
        <v>1.2194</v>
      </c>
      <c r="S22" s="334">
        <v>-5.3283000000000002E-3</v>
      </c>
      <c r="U22" s="368" t="s">
        <v>64</v>
      </c>
      <c r="V22" s="348" t="s">
        <v>101</v>
      </c>
      <c r="W22" s="349" t="s">
        <v>66</v>
      </c>
      <c r="X22" s="349" t="s">
        <v>76</v>
      </c>
      <c r="Y22" s="348" t="s">
        <v>176</v>
      </c>
      <c r="Z22" s="389">
        <v>1370</v>
      </c>
      <c r="AA22" s="390">
        <v>0.15100000000000002</v>
      </c>
      <c r="AB22" s="389">
        <v>1370</v>
      </c>
      <c r="AC22" s="390">
        <v>0.15100000000000002</v>
      </c>
      <c r="AD22" s="377">
        <v>1.5760799646377599</v>
      </c>
      <c r="AE22" s="377">
        <v>0.19455999427009402</v>
      </c>
      <c r="AF22" s="353">
        <v>-0.32372400164604198</v>
      </c>
      <c r="AG22" s="377">
        <v>1.5760799646377599</v>
      </c>
      <c r="AH22" s="377">
        <v>0.19455999427009402</v>
      </c>
      <c r="AI22" s="353">
        <v>-0.32372400164604198</v>
      </c>
      <c r="AJ22" s="375">
        <v>1.1504000000000001</v>
      </c>
      <c r="AK22" s="375">
        <v>1.2885</v>
      </c>
      <c r="AL22" s="382">
        <v>-2.3628999999999998E-3</v>
      </c>
      <c r="AN22" s="271" t="s">
        <v>64</v>
      </c>
      <c r="AO22" s="251" t="s">
        <v>183</v>
      </c>
      <c r="AP22" s="252" t="s">
        <v>66</v>
      </c>
      <c r="AQ22" s="252" t="s">
        <v>76</v>
      </c>
      <c r="AR22" s="251" t="s">
        <v>176</v>
      </c>
      <c r="AS22" s="292">
        <v>1370</v>
      </c>
      <c r="AT22" s="293">
        <v>0.15100000000000002</v>
      </c>
      <c r="AU22" s="292">
        <v>1370</v>
      </c>
      <c r="AV22" s="293">
        <v>0.15100000000000002</v>
      </c>
      <c r="AW22" s="280">
        <v>1.5767799615860001</v>
      </c>
      <c r="AX22" s="280">
        <v>0.18918099522125001</v>
      </c>
      <c r="AY22" s="256">
        <v>-0.275123002938926</v>
      </c>
      <c r="AZ22" s="280">
        <v>1.5767799615860001</v>
      </c>
      <c r="BA22" s="280">
        <v>0.18918099522125001</v>
      </c>
      <c r="BB22" s="256">
        <v>-0.275123002938926</v>
      </c>
      <c r="BC22" s="278">
        <v>1.1509</v>
      </c>
      <c r="BD22" s="278">
        <v>1.2528999999999999</v>
      </c>
      <c r="BE22" s="285">
        <v>-2.0081999999999999E-3</v>
      </c>
    </row>
    <row r="23" spans="2:57" ht="15">
      <c r="B23" s="320" t="s">
        <v>64</v>
      </c>
      <c r="C23" s="300" t="s">
        <v>179</v>
      </c>
      <c r="D23" s="301" t="s">
        <v>66</v>
      </c>
      <c r="E23" s="301" t="s">
        <v>77</v>
      </c>
      <c r="F23" s="300" t="s">
        <v>176</v>
      </c>
      <c r="G23" s="341">
        <v>3090</v>
      </c>
      <c r="H23" s="342">
        <v>0.78</v>
      </c>
      <c r="I23" s="341">
        <v>3090</v>
      </c>
      <c r="J23" s="342">
        <v>0.78</v>
      </c>
      <c r="K23" s="329">
        <v>3.4432001113891602</v>
      </c>
      <c r="L23" s="329">
        <v>0.92275202041491899</v>
      </c>
      <c r="M23" s="305">
        <v>-0.16649899771436999</v>
      </c>
      <c r="N23" s="329">
        <v>3.4432001113891602</v>
      </c>
      <c r="O23" s="329">
        <v>0.92275202041491899</v>
      </c>
      <c r="P23" s="305">
        <v>-0.16649899771436999</v>
      </c>
      <c r="Q23" s="327">
        <v>1.1143000000000001</v>
      </c>
      <c r="R23" s="327">
        <v>1.1830000000000001</v>
      </c>
      <c r="S23" s="334">
        <v>-5.3883000000000002E-4</v>
      </c>
      <c r="U23" s="368" t="s">
        <v>64</v>
      </c>
      <c r="V23" s="348" t="s">
        <v>101</v>
      </c>
      <c r="W23" s="349" t="s">
        <v>66</v>
      </c>
      <c r="X23" s="349" t="s">
        <v>77</v>
      </c>
      <c r="Y23" s="348" t="s">
        <v>176</v>
      </c>
      <c r="Z23" s="389">
        <v>3090</v>
      </c>
      <c r="AA23" s="390">
        <v>0.78</v>
      </c>
      <c r="AB23" s="389">
        <v>3090</v>
      </c>
      <c r="AC23" s="390">
        <v>0.78</v>
      </c>
      <c r="AD23" s="377">
        <v>3.60076999664307</v>
      </c>
      <c r="AE23" s="377">
        <v>0.97292201826348901</v>
      </c>
      <c r="AF23" s="353">
        <v>-8.0033502308651805E-2</v>
      </c>
      <c r="AG23" s="377">
        <v>3.60076999664307</v>
      </c>
      <c r="AH23" s="377">
        <v>0.97292201826348901</v>
      </c>
      <c r="AI23" s="353">
        <v>-8.0033502308651805E-2</v>
      </c>
      <c r="AJ23" s="375">
        <v>1.1653</v>
      </c>
      <c r="AK23" s="375">
        <v>1.2473000000000001</v>
      </c>
      <c r="AL23" s="382">
        <v>-2.5901E-4</v>
      </c>
      <c r="AN23" s="271" t="s">
        <v>64</v>
      </c>
      <c r="AO23" s="251" t="s">
        <v>183</v>
      </c>
      <c r="AP23" s="252" t="s">
        <v>66</v>
      </c>
      <c r="AQ23" s="252" t="s">
        <v>77</v>
      </c>
      <c r="AR23" s="251" t="s">
        <v>176</v>
      </c>
      <c r="AS23" s="292">
        <v>3090</v>
      </c>
      <c r="AT23" s="293">
        <v>0.78</v>
      </c>
      <c r="AU23" s="292">
        <v>3090</v>
      </c>
      <c r="AV23" s="293">
        <v>0.78</v>
      </c>
      <c r="AW23" s="280">
        <v>3.5833399295806898</v>
      </c>
      <c r="AX23" s="280">
        <v>0.95107802189886603</v>
      </c>
      <c r="AY23" s="256">
        <v>-4.50010993517935E-2</v>
      </c>
      <c r="AZ23" s="280">
        <v>3.5833399295806898</v>
      </c>
      <c r="BA23" s="280">
        <v>0.95107802189886603</v>
      </c>
      <c r="BB23" s="256">
        <v>-4.50010993517935E-2</v>
      </c>
      <c r="BC23" s="278">
        <v>1.1597</v>
      </c>
      <c r="BD23" s="278">
        <v>1.2193000000000001</v>
      </c>
      <c r="BE23" s="285">
        <v>-1.4563E-4</v>
      </c>
    </row>
    <row r="24" spans="2:57" ht="15">
      <c r="B24" s="320" t="s">
        <v>64</v>
      </c>
      <c r="C24" s="300" t="s">
        <v>179</v>
      </c>
      <c r="D24" s="301" t="s">
        <v>66</v>
      </c>
      <c r="E24" s="301" t="s">
        <v>78</v>
      </c>
      <c r="F24" s="300" t="s">
        <v>176</v>
      </c>
      <c r="G24" s="341">
        <v>2580</v>
      </c>
      <c r="H24" s="342">
        <v>0.77700000000000002</v>
      </c>
      <c r="I24" s="341">
        <v>2580</v>
      </c>
      <c r="J24" s="342">
        <v>0.77700000000000002</v>
      </c>
      <c r="K24" s="329">
        <v>2.6997599601745601</v>
      </c>
      <c r="L24" s="329">
        <v>0.89930999092757702</v>
      </c>
      <c r="M24" s="305">
        <v>-1.3792799785733201</v>
      </c>
      <c r="N24" s="329">
        <v>2.6997599601745601</v>
      </c>
      <c r="O24" s="329">
        <v>0.89930999092757702</v>
      </c>
      <c r="P24" s="305">
        <v>-1.3792799785733201</v>
      </c>
      <c r="Q24" s="327">
        <v>1.0464</v>
      </c>
      <c r="R24" s="327">
        <v>1.1574</v>
      </c>
      <c r="S24" s="334">
        <v>-5.3460000000000001E-3</v>
      </c>
      <c r="U24" s="368" t="s">
        <v>64</v>
      </c>
      <c r="V24" s="348" t="s">
        <v>101</v>
      </c>
      <c r="W24" s="349" t="s">
        <v>66</v>
      </c>
      <c r="X24" s="349" t="s">
        <v>78</v>
      </c>
      <c r="Y24" s="348" t="s">
        <v>176</v>
      </c>
      <c r="Z24" s="389">
        <v>2580</v>
      </c>
      <c r="AA24" s="390">
        <v>0.77700000000000002</v>
      </c>
      <c r="AB24" s="389">
        <v>2580</v>
      </c>
      <c r="AC24" s="390">
        <v>0.77700000000000002</v>
      </c>
      <c r="AD24" s="377">
        <v>2.8489100933075</v>
      </c>
      <c r="AE24" s="377">
        <v>0.92828099150210597</v>
      </c>
      <c r="AF24" s="353">
        <v>-0.55918800644576494</v>
      </c>
      <c r="AG24" s="377">
        <v>2.8489100933075</v>
      </c>
      <c r="AH24" s="377">
        <v>0.92828099150210597</v>
      </c>
      <c r="AI24" s="353">
        <v>-0.55918800644576494</v>
      </c>
      <c r="AJ24" s="375">
        <v>1.1042000000000001</v>
      </c>
      <c r="AK24" s="375">
        <v>1.1947000000000001</v>
      </c>
      <c r="AL24" s="382">
        <v>-2.1673999999999999E-3</v>
      </c>
      <c r="AN24" s="271" t="s">
        <v>64</v>
      </c>
      <c r="AO24" s="251" t="s">
        <v>183</v>
      </c>
      <c r="AP24" s="252" t="s">
        <v>66</v>
      </c>
      <c r="AQ24" s="252" t="s">
        <v>78</v>
      </c>
      <c r="AR24" s="251" t="s">
        <v>176</v>
      </c>
      <c r="AS24" s="292">
        <v>2580</v>
      </c>
      <c r="AT24" s="293">
        <v>0.77700000000000002</v>
      </c>
      <c r="AU24" s="292">
        <v>2580</v>
      </c>
      <c r="AV24" s="293">
        <v>0.77700000000000002</v>
      </c>
      <c r="AW24" s="280">
        <v>2.7968099117279102</v>
      </c>
      <c r="AX24" s="280">
        <v>0.92752702767029405</v>
      </c>
      <c r="AY24" s="256">
        <v>-0.41337502188980596</v>
      </c>
      <c r="AZ24" s="280">
        <v>2.7968099117279102</v>
      </c>
      <c r="BA24" s="280">
        <v>0.92752702767029405</v>
      </c>
      <c r="BB24" s="256">
        <v>-0.41337502188980596</v>
      </c>
      <c r="BC24" s="278">
        <v>1.0840000000000001</v>
      </c>
      <c r="BD24" s="278">
        <v>1.1937</v>
      </c>
      <c r="BE24" s="285">
        <v>-1.6022E-3</v>
      </c>
    </row>
    <row r="25" spans="2:57" ht="15">
      <c r="B25" s="320" t="s">
        <v>64</v>
      </c>
      <c r="C25" s="300" t="s">
        <v>179</v>
      </c>
      <c r="D25" s="301" t="s">
        <v>66</v>
      </c>
      <c r="E25" s="201" t="s">
        <v>79</v>
      </c>
      <c r="F25" s="300" t="s">
        <v>176</v>
      </c>
      <c r="G25" s="341">
        <v>3000</v>
      </c>
      <c r="H25" s="342">
        <v>0.625</v>
      </c>
      <c r="I25" s="341">
        <v>3000</v>
      </c>
      <c r="J25" s="342">
        <v>0.625</v>
      </c>
      <c r="K25" s="329">
        <v>3.30305004119873</v>
      </c>
      <c r="L25" s="329">
        <v>0.81828102702274896</v>
      </c>
      <c r="M25" s="305">
        <v>-1.8885400146246001</v>
      </c>
      <c r="N25" s="329">
        <v>3.30305004119873</v>
      </c>
      <c r="O25" s="329">
        <v>0.81828102702274896</v>
      </c>
      <c r="P25" s="305">
        <v>-1.8885400146246001</v>
      </c>
      <c r="Q25" s="327">
        <v>1.101</v>
      </c>
      <c r="R25" s="327">
        <v>1.3091999999999999</v>
      </c>
      <c r="S25" s="334">
        <v>-6.2950999999999997E-3</v>
      </c>
      <c r="U25" s="368" t="s">
        <v>64</v>
      </c>
      <c r="V25" s="348" t="s">
        <v>101</v>
      </c>
      <c r="W25" s="349" t="s">
        <v>66</v>
      </c>
      <c r="X25" s="349" t="s">
        <v>79</v>
      </c>
      <c r="Y25" s="348" t="s">
        <v>176</v>
      </c>
      <c r="Z25" s="389">
        <v>3000</v>
      </c>
      <c r="AA25" s="390">
        <v>0.625</v>
      </c>
      <c r="AB25" s="389">
        <v>3000</v>
      </c>
      <c r="AC25" s="390">
        <v>0.625</v>
      </c>
      <c r="AD25" s="377">
        <v>3.4741899967193599</v>
      </c>
      <c r="AE25" s="377">
        <v>0.84216898540034901</v>
      </c>
      <c r="AF25" s="353">
        <v>-1.3655600138008599</v>
      </c>
      <c r="AG25" s="377">
        <v>3.4741899967193599</v>
      </c>
      <c r="AH25" s="377">
        <v>0.84216898540034901</v>
      </c>
      <c r="AI25" s="353">
        <v>-1.3655600138008599</v>
      </c>
      <c r="AJ25" s="375">
        <v>1.1580999999999999</v>
      </c>
      <c r="AK25" s="375">
        <v>1.3474999999999999</v>
      </c>
      <c r="AL25" s="382">
        <v>-4.5519000000000002E-3</v>
      </c>
      <c r="AN25" s="271" t="s">
        <v>64</v>
      </c>
      <c r="AO25" s="251" t="s">
        <v>183</v>
      </c>
      <c r="AP25" s="252" t="s">
        <v>66</v>
      </c>
      <c r="AQ25" s="252" t="s">
        <v>79</v>
      </c>
      <c r="AR25" s="251" t="s">
        <v>176</v>
      </c>
      <c r="AS25" s="292">
        <v>3000</v>
      </c>
      <c r="AT25" s="293">
        <v>0.625</v>
      </c>
      <c r="AU25" s="292">
        <v>3000</v>
      </c>
      <c r="AV25" s="293">
        <v>0.625</v>
      </c>
      <c r="AW25" s="280">
        <v>3.4389100074768102</v>
      </c>
      <c r="AX25" s="280">
        <v>0.79281901707872704</v>
      </c>
      <c r="AY25" s="256">
        <v>-0.65447902306914307</v>
      </c>
      <c r="AZ25" s="280">
        <v>3.4389100074768102</v>
      </c>
      <c r="BA25" s="280">
        <v>0.79281901707872704</v>
      </c>
      <c r="BB25" s="256">
        <v>-0.65447902306914307</v>
      </c>
      <c r="BC25" s="278">
        <v>1.1463000000000001</v>
      </c>
      <c r="BD25" s="278">
        <v>1.2685</v>
      </c>
      <c r="BE25" s="285">
        <v>-2.1816000000000001E-3</v>
      </c>
    </row>
    <row r="26" spans="2:57" ht="15">
      <c r="B26" s="320" t="s">
        <v>64</v>
      </c>
      <c r="C26" s="300" t="s">
        <v>179</v>
      </c>
      <c r="D26" s="301" t="s">
        <v>66</v>
      </c>
      <c r="E26" s="301" t="s">
        <v>80</v>
      </c>
      <c r="F26" s="300" t="s">
        <v>176</v>
      </c>
      <c r="G26" s="341">
        <v>2980</v>
      </c>
      <c r="H26" s="342">
        <v>0.67800000000000005</v>
      </c>
      <c r="I26" s="341">
        <v>2980</v>
      </c>
      <c r="J26" s="342">
        <v>0.67800000000000005</v>
      </c>
      <c r="K26" s="329">
        <v>3.1507101058960001</v>
      </c>
      <c r="L26" s="329">
        <v>0.827101990580559</v>
      </c>
      <c r="M26" s="305">
        <v>-1.1082800105214099</v>
      </c>
      <c r="N26" s="329">
        <v>3.1507101058960001</v>
      </c>
      <c r="O26" s="329">
        <v>0.827101990580559</v>
      </c>
      <c r="P26" s="305">
        <v>-1.1082800105214099</v>
      </c>
      <c r="Q26" s="199">
        <v>1.0572999999999999</v>
      </c>
      <c r="R26" s="199">
        <v>1.2199</v>
      </c>
      <c r="S26" s="200">
        <v>-3.7190999999999999E-3</v>
      </c>
      <c r="U26" s="368" t="s">
        <v>64</v>
      </c>
      <c r="V26" s="348" t="s">
        <v>101</v>
      </c>
      <c r="W26" s="349" t="s">
        <v>66</v>
      </c>
      <c r="X26" s="205" t="s">
        <v>80</v>
      </c>
      <c r="Y26" s="348" t="s">
        <v>176</v>
      </c>
      <c r="Z26" s="389">
        <v>2980</v>
      </c>
      <c r="AA26" s="390">
        <v>0.67800000000000005</v>
      </c>
      <c r="AB26" s="389">
        <v>2980</v>
      </c>
      <c r="AC26" s="390">
        <v>0.67800000000000005</v>
      </c>
      <c r="AD26" s="377">
        <v>3.3840000629425</v>
      </c>
      <c r="AE26" s="377">
        <v>0.86855201516300395</v>
      </c>
      <c r="AF26" s="353">
        <v>-0.507987011224031</v>
      </c>
      <c r="AG26" s="377">
        <v>3.3840000629425</v>
      </c>
      <c r="AH26" s="377">
        <v>0.86855201516300395</v>
      </c>
      <c r="AI26" s="353">
        <v>-0.507987011224031</v>
      </c>
      <c r="AJ26" s="207">
        <v>1.1355999999999999</v>
      </c>
      <c r="AK26" s="207">
        <v>1.2810999999999999</v>
      </c>
      <c r="AL26" s="208">
        <v>-1.7047E-3</v>
      </c>
      <c r="AN26" s="271" t="s">
        <v>64</v>
      </c>
      <c r="AO26" s="251" t="s">
        <v>183</v>
      </c>
      <c r="AP26" s="252" t="s">
        <v>66</v>
      </c>
      <c r="AQ26" s="211" t="s">
        <v>80</v>
      </c>
      <c r="AR26" s="251" t="s">
        <v>176</v>
      </c>
      <c r="AS26" s="292">
        <v>2980</v>
      </c>
      <c r="AT26" s="293">
        <v>0.67800000000000005</v>
      </c>
      <c r="AU26" s="292">
        <v>2980</v>
      </c>
      <c r="AV26" s="293">
        <v>0.67800000000000005</v>
      </c>
      <c r="AW26" s="280">
        <v>3.41990995407104</v>
      </c>
      <c r="AX26" s="280">
        <v>0.84855698514729694</v>
      </c>
      <c r="AY26" s="256">
        <v>-0.11713899439200801</v>
      </c>
      <c r="AZ26" s="280">
        <v>3.41990995407104</v>
      </c>
      <c r="BA26" s="280">
        <v>0.84855698514729694</v>
      </c>
      <c r="BB26" s="256">
        <v>-0.11713899439200801</v>
      </c>
      <c r="BC26" s="213">
        <v>1.1476</v>
      </c>
      <c r="BD26" s="213">
        <v>1.2516</v>
      </c>
      <c r="BE26" s="214">
        <v>-3.9308000000000002E-4</v>
      </c>
    </row>
    <row r="27" spans="2:57" ht="15">
      <c r="B27" s="320" t="s">
        <v>64</v>
      </c>
      <c r="C27" s="300" t="s">
        <v>179</v>
      </c>
      <c r="D27" s="301" t="s">
        <v>66</v>
      </c>
      <c r="E27" s="301" t="s">
        <v>81</v>
      </c>
      <c r="F27" s="300" t="s">
        <v>176</v>
      </c>
      <c r="G27" s="341">
        <v>4830</v>
      </c>
      <c r="H27" s="342">
        <v>0.8</v>
      </c>
      <c r="I27" s="341">
        <v>4830</v>
      </c>
      <c r="J27" s="342">
        <v>0.8</v>
      </c>
      <c r="K27" s="329">
        <v>5.0232300758361799</v>
      </c>
      <c r="L27" s="329">
        <v>0.93527097487822197</v>
      </c>
      <c r="M27" s="305">
        <v>-3.4529499709606197</v>
      </c>
      <c r="N27" s="329">
        <v>5.0232300758361799</v>
      </c>
      <c r="O27" s="329">
        <v>0.93527097487822197</v>
      </c>
      <c r="P27" s="305">
        <v>-3.4529499709606197</v>
      </c>
      <c r="Q27" s="327">
        <v>1.04</v>
      </c>
      <c r="R27" s="327">
        <v>1.1691</v>
      </c>
      <c r="S27" s="334">
        <v>-7.149E-3</v>
      </c>
      <c r="U27" s="368" t="s">
        <v>64</v>
      </c>
      <c r="V27" s="348" t="s">
        <v>101</v>
      </c>
      <c r="W27" s="349" t="s">
        <v>66</v>
      </c>
      <c r="X27" s="349" t="s">
        <v>81</v>
      </c>
      <c r="Y27" s="348" t="s">
        <v>176</v>
      </c>
      <c r="Z27" s="389">
        <v>4830</v>
      </c>
      <c r="AA27" s="390">
        <v>0.8</v>
      </c>
      <c r="AB27" s="389">
        <v>4830</v>
      </c>
      <c r="AC27" s="390">
        <v>0.8</v>
      </c>
      <c r="AD27" s="377">
        <v>5.3676900863647496</v>
      </c>
      <c r="AE27" s="377">
        <v>0.96639001276344105</v>
      </c>
      <c r="AF27" s="353">
        <v>-2.2424399852752699</v>
      </c>
      <c r="AG27" s="377">
        <v>5.3676900863647496</v>
      </c>
      <c r="AH27" s="377">
        <v>0.96639001276344105</v>
      </c>
      <c r="AI27" s="353">
        <v>-2.2424399852752699</v>
      </c>
      <c r="AJ27" s="375">
        <v>1.1113</v>
      </c>
      <c r="AK27" s="375">
        <v>1.208</v>
      </c>
      <c r="AL27" s="382">
        <v>-4.6426999999999996E-3</v>
      </c>
      <c r="AN27" s="271" t="s">
        <v>64</v>
      </c>
      <c r="AO27" s="251" t="s">
        <v>183</v>
      </c>
      <c r="AP27" s="252" t="s">
        <v>66</v>
      </c>
      <c r="AQ27" s="252" t="s">
        <v>81</v>
      </c>
      <c r="AR27" s="251" t="s">
        <v>176</v>
      </c>
      <c r="AS27" s="292">
        <v>4830</v>
      </c>
      <c r="AT27" s="293">
        <v>0.8</v>
      </c>
      <c r="AU27" s="292">
        <v>4830</v>
      </c>
      <c r="AV27" s="293">
        <v>0.8</v>
      </c>
      <c r="AW27" s="280">
        <v>5.46293020248413</v>
      </c>
      <c r="AX27" s="280">
        <v>0.98811800125986293</v>
      </c>
      <c r="AY27" s="256">
        <v>-2.08973996341228</v>
      </c>
      <c r="AZ27" s="280">
        <v>5.46293020248413</v>
      </c>
      <c r="BA27" s="280">
        <v>0.98811800125986293</v>
      </c>
      <c r="BB27" s="256">
        <v>-2.08973996341228</v>
      </c>
      <c r="BC27" s="278">
        <v>1.131</v>
      </c>
      <c r="BD27" s="278">
        <v>1.2351000000000001</v>
      </c>
      <c r="BE27" s="285">
        <v>-4.3265999999999999E-3</v>
      </c>
    </row>
    <row r="28" spans="2:57" ht="15">
      <c r="B28" s="320" t="s">
        <v>64</v>
      </c>
      <c r="C28" s="300" t="s">
        <v>179</v>
      </c>
      <c r="D28" s="301" t="s">
        <v>66</v>
      </c>
      <c r="E28" s="301" t="s">
        <v>82</v>
      </c>
      <c r="F28" s="300" t="s">
        <v>176</v>
      </c>
      <c r="G28" s="341">
        <v>4810</v>
      </c>
      <c r="H28" s="342">
        <v>0.80800000000000005</v>
      </c>
      <c r="I28" s="341">
        <v>4810</v>
      </c>
      <c r="J28" s="342">
        <v>0.80800000000000005</v>
      </c>
      <c r="K28" s="329">
        <v>4.9885601997375497</v>
      </c>
      <c r="L28" s="329">
        <v>0.93854102306067899</v>
      </c>
      <c r="M28" s="305">
        <v>-3.4654401242733002</v>
      </c>
      <c r="N28" s="329">
        <v>4.9885601997375497</v>
      </c>
      <c r="O28" s="329">
        <v>0.93854102306067899</v>
      </c>
      <c r="P28" s="305">
        <v>-3.4654401242733002</v>
      </c>
      <c r="Q28" s="327">
        <v>1.0370999999999999</v>
      </c>
      <c r="R28" s="327">
        <v>1.1616</v>
      </c>
      <c r="S28" s="334">
        <v>-7.2046999999999996E-3</v>
      </c>
      <c r="U28" s="368" t="s">
        <v>64</v>
      </c>
      <c r="V28" s="348" t="s">
        <v>101</v>
      </c>
      <c r="W28" s="349" t="s">
        <v>66</v>
      </c>
      <c r="X28" s="349" t="s">
        <v>82</v>
      </c>
      <c r="Y28" s="348" t="s">
        <v>176</v>
      </c>
      <c r="Z28" s="389">
        <v>4810</v>
      </c>
      <c r="AA28" s="390">
        <v>0.80800000000000005</v>
      </c>
      <c r="AB28" s="389">
        <v>4810</v>
      </c>
      <c r="AC28" s="390">
        <v>0.80800000000000005</v>
      </c>
      <c r="AD28" s="377">
        <v>5.2521200180053702</v>
      </c>
      <c r="AE28" s="377">
        <v>0.97738602198660396</v>
      </c>
      <c r="AF28" s="353">
        <v>-2.5008700788021101</v>
      </c>
      <c r="AG28" s="377">
        <v>5.2521200180053702</v>
      </c>
      <c r="AH28" s="377">
        <v>0.97738602198660396</v>
      </c>
      <c r="AI28" s="353">
        <v>-2.5008700788021101</v>
      </c>
      <c r="AJ28" s="375">
        <v>1.0919000000000001</v>
      </c>
      <c r="AK28" s="375">
        <v>1.2096</v>
      </c>
      <c r="AL28" s="382">
        <v>-5.1992999999999996E-3</v>
      </c>
      <c r="AN28" s="271" t="s">
        <v>64</v>
      </c>
      <c r="AO28" s="251" t="s">
        <v>183</v>
      </c>
      <c r="AP28" s="252" t="s">
        <v>66</v>
      </c>
      <c r="AQ28" s="252" t="s">
        <v>82</v>
      </c>
      <c r="AR28" s="251" t="s">
        <v>176</v>
      </c>
      <c r="AS28" s="292">
        <v>4810</v>
      </c>
      <c r="AT28" s="293">
        <v>0.80800000000000005</v>
      </c>
      <c r="AU28" s="292">
        <v>4810</v>
      </c>
      <c r="AV28" s="293">
        <v>0.80800000000000005</v>
      </c>
      <c r="AW28" s="280">
        <v>5.3585000038146999</v>
      </c>
      <c r="AX28" s="280">
        <v>0.98294299095869109</v>
      </c>
      <c r="AY28" s="256">
        <v>-2.3673899471759801</v>
      </c>
      <c r="AZ28" s="280">
        <v>5.3585000038146999</v>
      </c>
      <c r="BA28" s="280">
        <v>0.98294299095869109</v>
      </c>
      <c r="BB28" s="256">
        <v>-2.3673899471759801</v>
      </c>
      <c r="BC28" s="278">
        <v>1.1140000000000001</v>
      </c>
      <c r="BD28" s="278">
        <v>1.2164999999999999</v>
      </c>
      <c r="BE28" s="285">
        <v>-4.9217999999999996E-3</v>
      </c>
    </row>
    <row r="29" spans="2:57" ht="15">
      <c r="B29" s="320" t="s">
        <v>64</v>
      </c>
      <c r="C29" s="300" t="s">
        <v>179</v>
      </c>
      <c r="D29" s="301" t="s">
        <v>66</v>
      </c>
      <c r="E29" s="301" t="s">
        <v>83</v>
      </c>
      <c r="F29" s="300" t="s">
        <v>176</v>
      </c>
      <c r="G29" s="341">
        <v>3710</v>
      </c>
      <c r="H29" s="342">
        <v>0.63100000000000001</v>
      </c>
      <c r="I29" s="341">
        <v>3710</v>
      </c>
      <c r="J29" s="342">
        <v>0.63100000000000001</v>
      </c>
      <c r="K29" s="329">
        <v>3.9305799007415798</v>
      </c>
      <c r="L29" s="329">
        <v>0.772876024711877</v>
      </c>
      <c r="M29" s="305">
        <v>-2.5172799825668299</v>
      </c>
      <c r="N29" s="329">
        <v>3.9305799007415798</v>
      </c>
      <c r="O29" s="329">
        <v>0.772876024711877</v>
      </c>
      <c r="P29" s="305">
        <v>-2.5172799825668299</v>
      </c>
      <c r="Q29" s="327">
        <v>1.0595000000000001</v>
      </c>
      <c r="R29" s="327">
        <v>1.2248000000000001</v>
      </c>
      <c r="S29" s="334">
        <v>-6.7850999999999996E-3</v>
      </c>
      <c r="U29" s="368" t="s">
        <v>64</v>
      </c>
      <c r="V29" s="348" t="s">
        <v>101</v>
      </c>
      <c r="W29" s="349" t="s">
        <v>66</v>
      </c>
      <c r="X29" s="349" t="s">
        <v>83</v>
      </c>
      <c r="Y29" s="348" t="s">
        <v>176</v>
      </c>
      <c r="Z29" s="389">
        <v>3710</v>
      </c>
      <c r="AA29" s="390">
        <v>0.63100000000000001</v>
      </c>
      <c r="AB29" s="389">
        <v>3710</v>
      </c>
      <c r="AC29" s="390">
        <v>0.63100000000000001</v>
      </c>
      <c r="AD29" s="377">
        <v>4.2167301177978498</v>
      </c>
      <c r="AE29" s="377">
        <v>0.791729020420462</v>
      </c>
      <c r="AF29" s="353">
        <v>-0.77408500947058201</v>
      </c>
      <c r="AG29" s="377">
        <v>4.2167301177978498</v>
      </c>
      <c r="AH29" s="377">
        <v>0.791729020420462</v>
      </c>
      <c r="AI29" s="353">
        <v>-0.77408500947058201</v>
      </c>
      <c r="AJ29" s="375">
        <v>1.1366000000000001</v>
      </c>
      <c r="AK29" s="375">
        <v>1.2546999999999999</v>
      </c>
      <c r="AL29" s="382">
        <v>-2.0864999999999998E-3</v>
      </c>
      <c r="AN29" s="271" t="s">
        <v>64</v>
      </c>
      <c r="AO29" s="251" t="s">
        <v>183</v>
      </c>
      <c r="AP29" s="252" t="s">
        <v>66</v>
      </c>
      <c r="AQ29" s="252" t="s">
        <v>83</v>
      </c>
      <c r="AR29" s="251" t="s">
        <v>176</v>
      </c>
      <c r="AS29" s="292">
        <v>3710</v>
      </c>
      <c r="AT29" s="293">
        <v>0.63100000000000001</v>
      </c>
      <c r="AU29" s="292">
        <v>3710</v>
      </c>
      <c r="AV29" s="293">
        <v>0.63100000000000001</v>
      </c>
      <c r="AW29" s="280">
        <v>4.2313199043273899</v>
      </c>
      <c r="AX29" s="280">
        <v>0.78190700151026193</v>
      </c>
      <c r="AY29" s="256">
        <v>-0.41020698845386494</v>
      </c>
      <c r="AZ29" s="280">
        <v>4.2313199043273899</v>
      </c>
      <c r="BA29" s="280">
        <v>0.78190700151026193</v>
      </c>
      <c r="BB29" s="256">
        <v>-0.41020698845386494</v>
      </c>
      <c r="BC29" s="278">
        <v>1.1405000000000001</v>
      </c>
      <c r="BD29" s="278">
        <v>1.2392000000000001</v>
      </c>
      <c r="BE29" s="285">
        <v>-1.1057E-3</v>
      </c>
    </row>
    <row r="30" spans="2:57" ht="15">
      <c r="B30" s="320" t="s">
        <v>64</v>
      </c>
      <c r="C30" s="300" t="s">
        <v>179</v>
      </c>
      <c r="D30" s="301" t="s">
        <v>66</v>
      </c>
      <c r="E30" s="301" t="s">
        <v>84</v>
      </c>
      <c r="F30" s="300" t="s">
        <v>176</v>
      </c>
      <c r="G30" s="341">
        <v>4350</v>
      </c>
      <c r="H30" s="342">
        <v>0.68900000000000006</v>
      </c>
      <c r="I30" s="341">
        <v>4350</v>
      </c>
      <c r="J30" s="342">
        <v>0.68900000000000006</v>
      </c>
      <c r="K30" s="329">
        <v>4.6101799011230504</v>
      </c>
      <c r="L30" s="329">
        <v>0.84089097799733303</v>
      </c>
      <c r="M30" s="305">
        <v>-2.7300899848341902</v>
      </c>
      <c r="N30" s="329">
        <v>4.6101799011230504</v>
      </c>
      <c r="O30" s="329">
        <v>0.84089097799733303</v>
      </c>
      <c r="P30" s="305">
        <v>-2.7300899848341902</v>
      </c>
      <c r="Q30" s="327">
        <v>1.0598000000000001</v>
      </c>
      <c r="R30" s="327">
        <v>1.2204999999999999</v>
      </c>
      <c r="S30" s="334">
        <v>-6.2760999999999997E-3</v>
      </c>
      <c r="U30" s="368" t="s">
        <v>64</v>
      </c>
      <c r="V30" s="348" t="s">
        <v>101</v>
      </c>
      <c r="W30" s="349" t="s">
        <v>66</v>
      </c>
      <c r="X30" s="349" t="s">
        <v>84</v>
      </c>
      <c r="Y30" s="348" t="s">
        <v>176</v>
      </c>
      <c r="Z30" s="389">
        <v>4350</v>
      </c>
      <c r="AA30" s="390">
        <v>0.68900000000000006</v>
      </c>
      <c r="AB30" s="389">
        <v>4350</v>
      </c>
      <c r="AC30" s="390">
        <v>0.68900000000000006</v>
      </c>
      <c r="AD30" s="377">
        <v>4.90100002288818</v>
      </c>
      <c r="AE30" s="377">
        <v>0.87993097258731701</v>
      </c>
      <c r="AF30" s="353">
        <v>-1.1665799655020201</v>
      </c>
      <c r="AG30" s="377">
        <v>4.90100002288818</v>
      </c>
      <c r="AH30" s="377">
        <v>0.87993097258731701</v>
      </c>
      <c r="AI30" s="353">
        <v>-1.1665799655020201</v>
      </c>
      <c r="AJ30" s="375">
        <v>1.1267</v>
      </c>
      <c r="AK30" s="375">
        <v>1.2770999999999999</v>
      </c>
      <c r="AL30" s="382">
        <v>-2.6817999999999998E-3</v>
      </c>
      <c r="AN30" s="271" t="s">
        <v>64</v>
      </c>
      <c r="AO30" s="251" t="s">
        <v>183</v>
      </c>
      <c r="AP30" s="252" t="s">
        <v>66</v>
      </c>
      <c r="AQ30" s="252" t="s">
        <v>84</v>
      </c>
      <c r="AR30" s="251" t="s">
        <v>176</v>
      </c>
      <c r="AS30" s="292">
        <v>4350</v>
      </c>
      <c r="AT30" s="293">
        <v>0.68900000000000006</v>
      </c>
      <c r="AU30" s="292">
        <v>4350</v>
      </c>
      <c r="AV30" s="293">
        <v>0.68900000000000006</v>
      </c>
      <c r="AW30" s="280">
        <v>4.9155797958373997</v>
      </c>
      <c r="AX30" s="280">
        <v>0.87330298265442297</v>
      </c>
      <c r="AY30" s="256">
        <v>-0.90372497215867009</v>
      </c>
      <c r="AZ30" s="280">
        <v>4.9155797958373997</v>
      </c>
      <c r="BA30" s="280">
        <v>0.87330298265442297</v>
      </c>
      <c r="BB30" s="256">
        <v>-0.90372497215867009</v>
      </c>
      <c r="BC30" s="278">
        <v>1.1299999999999999</v>
      </c>
      <c r="BD30" s="278">
        <v>1.2675000000000001</v>
      </c>
      <c r="BE30" s="285">
        <v>-2.0774999999999999E-3</v>
      </c>
    </row>
    <row r="31" spans="2:57" ht="15">
      <c r="B31" s="320" t="s">
        <v>64</v>
      </c>
      <c r="C31" s="300" t="s">
        <v>179</v>
      </c>
      <c r="D31" s="301" t="s">
        <v>66</v>
      </c>
      <c r="E31" s="301" t="s">
        <v>85</v>
      </c>
      <c r="F31" s="300" t="s">
        <v>176</v>
      </c>
      <c r="G31" s="341">
        <v>4010</v>
      </c>
      <c r="H31" s="342">
        <v>0.7</v>
      </c>
      <c r="I31" s="341">
        <v>4010</v>
      </c>
      <c r="J31" s="342">
        <v>0.7</v>
      </c>
      <c r="K31" s="329">
        <v>4.2007498741149902</v>
      </c>
      <c r="L31" s="329">
        <v>0.84619998233392801</v>
      </c>
      <c r="M31" s="305">
        <v>-2.4223100394010499</v>
      </c>
      <c r="N31" s="329">
        <v>4.2007498741149902</v>
      </c>
      <c r="O31" s="329">
        <v>0.84619998233392801</v>
      </c>
      <c r="P31" s="305">
        <v>-2.4223100394010499</v>
      </c>
      <c r="Q31" s="327">
        <v>1.0476000000000001</v>
      </c>
      <c r="R31" s="327">
        <v>1.2089000000000001</v>
      </c>
      <c r="S31" s="334">
        <v>-6.0407000000000004E-3</v>
      </c>
      <c r="U31" s="368" t="s">
        <v>64</v>
      </c>
      <c r="V31" s="348" t="s">
        <v>101</v>
      </c>
      <c r="W31" s="349" t="s">
        <v>66</v>
      </c>
      <c r="X31" s="349" t="s">
        <v>85</v>
      </c>
      <c r="Y31" s="348" t="s">
        <v>176</v>
      </c>
      <c r="Z31" s="389">
        <v>4010</v>
      </c>
      <c r="AA31" s="390">
        <v>0.7</v>
      </c>
      <c r="AB31" s="389">
        <v>4010</v>
      </c>
      <c r="AC31" s="390">
        <v>0.7</v>
      </c>
      <c r="AD31" s="377">
        <v>4.4634299278259304</v>
      </c>
      <c r="AE31" s="377">
        <v>0.882085005287081</v>
      </c>
      <c r="AF31" s="353">
        <v>-0.89414604008197807</v>
      </c>
      <c r="AG31" s="377">
        <v>4.4634299278259304</v>
      </c>
      <c r="AH31" s="377">
        <v>0.882085005287081</v>
      </c>
      <c r="AI31" s="353">
        <v>-0.89414604008197807</v>
      </c>
      <c r="AJ31" s="375">
        <v>1.1131</v>
      </c>
      <c r="AK31" s="375">
        <v>1.2601</v>
      </c>
      <c r="AL31" s="382">
        <v>-2.2298000000000001E-3</v>
      </c>
      <c r="AN31" s="271" t="s">
        <v>64</v>
      </c>
      <c r="AO31" s="251" t="s">
        <v>183</v>
      </c>
      <c r="AP31" s="252" t="s">
        <v>66</v>
      </c>
      <c r="AQ31" s="252" t="s">
        <v>85</v>
      </c>
      <c r="AR31" s="251" t="s">
        <v>176</v>
      </c>
      <c r="AS31" s="292">
        <v>4010</v>
      </c>
      <c r="AT31" s="293">
        <v>0.7</v>
      </c>
      <c r="AU31" s="292">
        <v>4010</v>
      </c>
      <c r="AV31" s="293">
        <v>0.7</v>
      </c>
      <c r="AW31" s="280">
        <v>4.4508500099182102</v>
      </c>
      <c r="AX31" s="280">
        <v>0.86509500397369299</v>
      </c>
      <c r="AY31" s="256">
        <v>-0.62228399328887496</v>
      </c>
      <c r="AZ31" s="280">
        <v>4.4508500099182102</v>
      </c>
      <c r="BA31" s="280">
        <v>0.86509500397369299</v>
      </c>
      <c r="BB31" s="256">
        <v>-0.62228399328887496</v>
      </c>
      <c r="BC31" s="278">
        <v>1.1099000000000001</v>
      </c>
      <c r="BD31" s="278">
        <v>1.2359</v>
      </c>
      <c r="BE31" s="285">
        <v>-1.5518000000000001E-3</v>
      </c>
    </row>
    <row r="32" spans="2:57" ht="15">
      <c r="B32" s="320" t="s">
        <v>64</v>
      </c>
      <c r="C32" s="300" t="s">
        <v>179</v>
      </c>
      <c r="D32" s="301" t="s">
        <v>66</v>
      </c>
      <c r="E32" s="301" t="s">
        <v>86</v>
      </c>
      <c r="F32" s="300" t="s">
        <v>176</v>
      </c>
      <c r="G32" s="341">
        <v>2760</v>
      </c>
      <c r="H32" s="342">
        <v>0.57499999999999996</v>
      </c>
      <c r="I32" s="341">
        <v>2760</v>
      </c>
      <c r="J32" s="342">
        <v>0.57499999999999996</v>
      </c>
      <c r="K32" s="329">
        <v>2.6548800468444802</v>
      </c>
      <c r="L32" s="329">
        <v>0.723531004041433</v>
      </c>
      <c r="M32" s="305">
        <v>-2.4199100211262699</v>
      </c>
      <c r="N32" s="329">
        <v>2.6548800468444802</v>
      </c>
      <c r="O32" s="329">
        <v>0.723531004041433</v>
      </c>
      <c r="P32" s="305">
        <v>-2.4199100211262699</v>
      </c>
      <c r="Q32" s="327">
        <v>0.96191000000000004</v>
      </c>
      <c r="R32" s="327">
        <v>1.2583</v>
      </c>
      <c r="S32" s="334">
        <v>-8.7677999999999992E-3</v>
      </c>
      <c r="U32" s="368" t="s">
        <v>64</v>
      </c>
      <c r="V32" s="348" t="s">
        <v>101</v>
      </c>
      <c r="W32" s="349" t="s">
        <v>66</v>
      </c>
      <c r="X32" s="349" t="s">
        <v>86</v>
      </c>
      <c r="Y32" s="348" t="s">
        <v>176</v>
      </c>
      <c r="Z32" s="389">
        <v>2760</v>
      </c>
      <c r="AA32" s="390">
        <v>0.57499999999999996</v>
      </c>
      <c r="AB32" s="389">
        <v>2760</v>
      </c>
      <c r="AC32" s="390">
        <v>0.57499999999999996</v>
      </c>
      <c r="AD32" s="377">
        <v>2.8845899105071999</v>
      </c>
      <c r="AE32" s="377">
        <v>0.74618298094719604</v>
      </c>
      <c r="AF32" s="353">
        <v>-1.4318799600005099</v>
      </c>
      <c r="AG32" s="377">
        <v>2.8845899105071999</v>
      </c>
      <c r="AH32" s="377">
        <v>0.74618298094719604</v>
      </c>
      <c r="AI32" s="353">
        <v>-1.4318799600005099</v>
      </c>
      <c r="AJ32" s="375">
        <v>1.0450999999999999</v>
      </c>
      <c r="AK32" s="375">
        <v>1.2977000000000001</v>
      </c>
      <c r="AL32" s="382">
        <v>-5.1879999999999999E-3</v>
      </c>
      <c r="AN32" s="271" t="s">
        <v>64</v>
      </c>
      <c r="AO32" s="251" t="s">
        <v>183</v>
      </c>
      <c r="AP32" s="252" t="s">
        <v>66</v>
      </c>
      <c r="AQ32" s="252" t="s">
        <v>86</v>
      </c>
      <c r="AR32" s="251" t="s">
        <v>176</v>
      </c>
      <c r="AS32" s="292">
        <v>2760</v>
      </c>
      <c r="AT32" s="293">
        <v>0.57499999999999996</v>
      </c>
      <c r="AU32" s="292">
        <v>2760</v>
      </c>
      <c r="AV32" s="293">
        <v>0.57499999999999996</v>
      </c>
      <c r="AW32" s="280">
        <v>2.8229799270629901</v>
      </c>
      <c r="AX32" s="280">
        <v>0.74428302468731999</v>
      </c>
      <c r="AY32" s="256">
        <v>-1.2935499660670802</v>
      </c>
      <c r="AZ32" s="280">
        <v>2.8229799270629901</v>
      </c>
      <c r="BA32" s="280">
        <v>0.74428302468731999</v>
      </c>
      <c r="BB32" s="256">
        <v>-1.2935499660670802</v>
      </c>
      <c r="BC32" s="278">
        <v>1.0227999999999999</v>
      </c>
      <c r="BD32" s="278">
        <v>1.2944</v>
      </c>
      <c r="BE32" s="285">
        <v>-4.6867999999999996E-3</v>
      </c>
    </row>
    <row r="33" spans="2:57" ht="15">
      <c r="B33" s="320" t="s">
        <v>64</v>
      </c>
      <c r="C33" s="300" t="s">
        <v>179</v>
      </c>
      <c r="D33" s="301" t="s">
        <v>66</v>
      </c>
      <c r="E33" s="301" t="s">
        <v>87</v>
      </c>
      <c r="F33" s="300" t="s">
        <v>176</v>
      </c>
      <c r="G33" s="341">
        <v>2760</v>
      </c>
      <c r="H33" s="342">
        <v>0.57499999999999996</v>
      </c>
      <c r="I33" s="341">
        <v>2760</v>
      </c>
      <c r="J33" s="342">
        <v>0.57499999999999996</v>
      </c>
      <c r="K33" s="329">
        <v>2.7599999904632599</v>
      </c>
      <c r="L33" s="329">
        <v>0.57500001275911894</v>
      </c>
      <c r="M33" s="305">
        <v>0</v>
      </c>
      <c r="N33" s="329">
        <v>2.7599999904632599</v>
      </c>
      <c r="O33" s="329">
        <v>0.57500001275911894</v>
      </c>
      <c r="P33" s="305">
        <v>0</v>
      </c>
      <c r="Q33" s="327">
        <v>1</v>
      </c>
      <c r="R33" s="327">
        <v>1</v>
      </c>
      <c r="S33" s="334">
        <v>0</v>
      </c>
      <c r="U33" s="368" t="s">
        <v>64</v>
      </c>
      <c r="V33" s="348" t="s">
        <v>101</v>
      </c>
      <c r="W33" s="349" t="s">
        <v>66</v>
      </c>
      <c r="X33" s="349" t="s">
        <v>87</v>
      </c>
      <c r="Y33" s="348" t="s">
        <v>176</v>
      </c>
      <c r="Z33" s="389">
        <v>2760</v>
      </c>
      <c r="AA33" s="390">
        <v>0.57499999999999996</v>
      </c>
      <c r="AB33" s="389">
        <v>2760</v>
      </c>
      <c r="AC33" s="390">
        <v>0.57499999999999996</v>
      </c>
      <c r="AD33" s="377">
        <v>2.7599999904632599</v>
      </c>
      <c r="AE33" s="377">
        <v>0.57500001275911894</v>
      </c>
      <c r="AF33" s="353">
        <v>0</v>
      </c>
      <c r="AG33" s="377">
        <v>2.7599999904632599</v>
      </c>
      <c r="AH33" s="377">
        <v>0.57500001275911894</v>
      </c>
      <c r="AI33" s="353">
        <v>0</v>
      </c>
      <c r="AJ33" s="375">
        <v>1</v>
      </c>
      <c r="AK33" s="375">
        <v>1</v>
      </c>
      <c r="AL33" s="382">
        <v>0</v>
      </c>
      <c r="AN33" s="271" t="s">
        <v>64</v>
      </c>
      <c r="AO33" s="251" t="s">
        <v>183</v>
      </c>
      <c r="AP33" s="252" t="s">
        <v>66</v>
      </c>
      <c r="AQ33" s="252" t="s">
        <v>87</v>
      </c>
      <c r="AR33" s="251" t="s">
        <v>176</v>
      </c>
      <c r="AS33" s="292">
        <v>2760</v>
      </c>
      <c r="AT33" s="293">
        <v>0.57499999999999996</v>
      </c>
      <c r="AU33" s="292">
        <v>2760</v>
      </c>
      <c r="AV33" s="293">
        <v>0.57499999999999996</v>
      </c>
      <c r="AW33" s="280">
        <v>2.7599999904632599</v>
      </c>
      <c r="AX33" s="280">
        <v>0.57500001275911894</v>
      </c>
      <c r="AY33" s="256">
        <v>0</v>
      </c>
      <c r="AZ33" s="280">
        <v>2.7599999904632599</v>
      </c>
      <c r="BA33" s="280">
        <v>0.57500001275911894</v>
      </c>
      <c r="BB33" s="256">
        <v>0</v>
      </c>
      <c r="BC33" s="278">
        <v>1</v>
      </c>
      <c r="BD33" s="278">
        <v>1</v>
      </c>
      <c r="BE33" s="285">
        <v>0</v>
      </c>
    </row>
    <row r="34" spans="2:57" ht="15">
      <c r="B34" s="320" t="s">
        <v>64</v>
      </c>
      <c r="C34" s="300" t="s">
        <v>179</v>
      </c>
      <c r="D34" s="301" t="s">
        <v>66</v>
      </c>
      <c r="E34" s="301" t="s">
        <v>88</v>
      </c>
      <c r="F34" s="300" t="s">
        <v>176</v>
      </c>
      <c r="G34" s="341">
        <v>4730</v>
      </c>
      <c r="H34" s="342">
        <v>0.54799999999999993</v>
      </c>
      <c r="I34" s="341">
        <v>4730</v>
      </c>
      <c r="J34" s="342">
        <v>0.54799999999999993</v>
      </c>
      <c r="K34" s="329">
        <v>7.64487981796265</v>
      </c>
      <c r="L34" s="329">
        <v>0.70847402093931999</v>
      </c>
      <c r="M34" s="305">
        <v>0</v>
      </c>
      <c r="N34" s="329">
        <v>7.64487981796265</v>
      </c>
      <c r="O34" s="329">
        <v>0.70847402093931999</v>
      </c>
      <c r="P34" s="305">
        <v>0</v>
      </c>
      <c r="Q34" s="327">
        <v>1.6163000000000001</v>
      </c>
      <c r="R34" s="327">
        <v>1.2927999999999999</v>
      </c>
      <c r="S34" s="334">
        <v>0</v>
      </c>
      <c r="U34" s="368" t="s">
        <v>64</v>
      </c>
      <c r="V34" s="348" t="s">
        <v>101</v>
      </c>
      <c r="W34" s="349" t="s">
        <v>66</v>
      </c>
      <c r="X34" s="349" t="s">
        <v>88</v>
      </c>
      <c r="Y34" s="348" t="s">
        <v>176</v>
      </c>
      <c r="Z34" s="389">
        <v>4730</v>
      </c>
      <c r="AA34" s="390">
        <v>0.54799999999999993</v>
      </c>
      <c r="AB34" s="389">
        <v>4730</v>
      </c>
      <c r="AC34" s="390">
        <v>0.54799999999999993</v>
      </c>
      <c r="AD34" s="377">
        <v>7.5062398910522496</v>
      </c>
      <c r="AE34" s="377">
        <v>0.69169898051768497</v>
      </c>
      <c r="AF34" s="353">
        <v>0</v>
      </c>
      <c r="AG34" s="377">
        <v>7.5062398910522496</v>
      </c>
      <c r="AH34" s="377">
        <v>0.69169898051768497</v>
      </c>
      <c r="AI34" s="353">
        <v>0</v>
      </c>
      <c r="AJ34" s="375">
        <v>1.5869</v>
      </c>
      <c r="AK34" s="375">
        <v>1.2622</v>
      </c>
      <c r="AL34" s="382">
        <v>0</v>
      </c>
      <c r="AN34" s="271" t="s">
        <v>64</v>
      </c>
      <c r="AO34" s="251" t="s">
        <v>183</v>
      </c>
      <c r="AP34" s="252" t="s">
        <v>66</v>
      </c>
      <c r="AQ34" s="252" t="s">
        <v>88</v>
      </c>
      <c r="AR34" s="251" t="s">
        <v>176</v>
      </c>
      <c r="AS34" s="292">
        <v>4730</v>
      </c>
      <c r="AT34" s="293">
        <v>0.54799999999999993</v>
      </c>
      <c r="AU34" s="292">
        <v>4730</v>
      </c>
      <c r="AV34" s="293">
        <v>0.54799999999999993</v>
      </c>
      <c r="AW34" s="280">
        <v>7.4509601593017596</v>
      </c>
      <c r="AX34" s="280">
        <v>0.68908702814951495</v>
      </c>
      <c r="AY34" s="256">
        <v>0</v>
      </c>
      <c r="AZ34" s="280">
        <v>7.4509601593017596</v>
      </c>
      <c r="BA34" s="280">
        <v>0.68908702814951495</v>
      </c>
      <c r="BB34" s="256">
        <v>0</v>
      </c>
      <c r="BC34" s="278">
        <v>1.5752999999999999</v>
      </c>
      <c r="BD34" s="278">
        <v>1.2575000000000001</v>
      </c>
      <c r="BE34" s="285">
        <v>0</v>
      </c>
    </row>
    <row r="35" spans="2:57" ht="15">
      <c r="B35" s="308" t="s">
        <v>64</v>
      </c>
      <c r="C35" s="304" t="s">
        <v>179</v>
      </c>
      <c r="D35" s="304" t="s">
        <v>66</v>
      </c>
      <c r="E35" s="304" t="s">
        <v>89</v>
      </c>
      <c r="F35" s="304" t="s">
        <v>176</v>
      </c>
      <c r="G35" s="343">
        <v>3049.5</v>
      </c>
      <c r="H35" s="344">
        <v>0.56101000000000001</v>
      </c>
      <c r="I35" s="343">
        <v>3049.5</v>
      </c>
      <c r="J35" s="344">
        <v>0.56101000000000001</v>
      </c>
      <c r="K35" s="336">
        <v>3.2368299961090101</v>
      </c>
      <c r="L35" s="330">
        <v>0.68281299900263503</v>
      </c>
      <c r="M35" s="309">
        <v>-2.0125899463892001</v>
      </c>
      <c r="N35" s="336">
        <v>3.2368299961090101</v>
      </c>
      <c r="O35" s="330">
        <v>0.68281299900263503</v>
      </c>
      <c r="P35" s="309">
        <v>-2.0125899463892001</v>
      </c>
      <c r="Q35" s="326">
        <v>1.0613999999999999</v>
      </c>
      <c r="R35" s="326">
        <v>1.2171000000000001</v>
      </c>
      <c r="S35" s="335">
        <v>-6.5998000000000003E-3</v>
      </c>
      <c r="U35" s="356" t="s">
        <v>64</v>
      </c>
      <c r="V35" s="352" t="s">
        <v>101</v>
      </c>
      <c r="W35" s="352" t="s">
        <v>66</v>
      </c>
      <c r="X35" s="352" t="s">
        <v>89</v>
      </c>
      <c r="Y35" s="352" t="s">
        <v>176</v>
      </c>
      <c r="Z35" s="391">
        <v>3077.1000000000004</v>
      </c>
      <c r="AA35" s="392">
        <v>0.61758999999999997</v>
      </c>
      <c r="AB35" s="391">
        <v>3077.1000000000004</v>
      </c>
      <c r="AC35" s="392">
        <v>0.61758999999999997</v>
      </c>
      <c r="AD35" s="384">
        <v>3.4351999759674099</v>
      </c>
      <c r="AE35" s="378">
        <v>0.773917010519654</v>
      </c>
      <c r="AF35" s="357">
        <v>-1.19730001315475</v>
      </c>
      <c r="AG35" s="384">
        <v>3.4351999759674099</v>
      </c>
      <c r="AH35" s="378">
        <v>0.773917010519654</v>
      </c>
      <c r="AI35" s="357">
        <v>-1.19730001315475</v>
      </c>
      <c r="AJ35" s="374">
        <v>1.1164000000000001</v>
      </c>
      <c r="AK35" s="374">
        <v>1.2531000000000001</v>
      </c>
      <c r="AL35" s="383">
        <v>-3.8909999999999999E-3</v>
      </c>
      <c r="AN35" s="259" t="s">
        <v>64</v>
      </c>
      <c r="AO35" s="255" t="s">
        <v>183</v>
      </c>
      <c r="AP35" s="255" t="s">
        <v>66</v>
      </c>
      <c r="AQ35" s="255" t="s">
        <v>89</v>
      </c>
      <c r="AR35" s="255" t="s">
        <v>176</v>
      </c>
      <c r="AS35" s="294">
        <v>3059.2999999999997</v>
      </c>
      <c r="AT35" s="295">
        <v>0.61043000000000003</v>
      </c>
      <c r="AU35" s="294">
        <v>3059.2999999999997</v>
      </c>
      <c r="AV35" s="295">
        <v>0.61043000000000003</v>
      </c>
      <c r="AW35" s="287">
        <v>3.3968799114227299</v>
      </c>
      <c r="AX35" s="281">
        <v>0.75527199078351304</v>
      </c>
      <c r="AY35" s="260">
        <v>-1.00493002682924</v>
      </c>
      <c r="AZ35" s="287">
        <v>3.3968799114227299</v>
      </c>
      <c r="BA35" s="281">
        <v>0.75527199078351304</v>
      </c>
      <c r="BB35" s="260">
        <v>-1.00493002682924</v>
      </c>
      <c r="BC35" s="277">
        <v>1.1103000000000001</v>
      </c>
      <c r="BD35" s="277">
        <v>1.2373000000000001</v>
      </c>
      <c r="BE35" s="286">
        <v>-3.2848E-3</v>
      </c>
    </row>
    <row r="36" spans="2:57" ht="15">
      <c r="B36" s="320" t="s">
        <v>64</v>
      </c>
      <c r="C36" s="301" t="s">
        <v>179</v>
      </c>
      <c r="D36" s="301" t="s">
        <v>66</v>
      </c>
      <c r="E36" s="301" t="s">
        <v>90</v>
      </c>
      <c r="F36" s="301" t="s">
        <v>176</v>
      </c>
      <c r="G36" s="341">
        <v>541</v>
      </c>
      <c r="H36" s="342">
        <v>4.3999999999999997E-2</v>
      </c>
      <c r="I36" s="341">
        <v>541</v>
      </c>
      <c r="J36" s="342">
        <v>4.3999999999999997E-2</v>
      </c>
      <c r="K36" s="329">
        <v>0.558000028133392</v>
      </c>
      <c r="L36" s="329">
        <v>6.1200000345706898E-2</v>
      </c>
      <c r="M36" s="337">
        <v>-1.37999998405576</v>
      </c>
      <c r="N36" s="329">
        <v>0.558000028133392</v>
      </c>
      <c r="O36" s="329">
        <v>6.1200000345706898E-2</v>
      </c>
      <c r="P36" s="337">
        <v>-1.37999998405576</v>
      </c>
      <c r="Q36" s="327">
        <v>1.0314000000000001</v>
      </c>
      <c r="R36" s="327">
        <v>1.3909</v>
      </c>
      <c r="S36" s="334">
        <v>-2.5507999999999999E-2</v>
      </c>
      <c r="U36" s="368" t="s">
        <v>64</v>
      </c>
      <c r="V36" s="349" t="s">
        <v>101</v>
      </c>
      <c r="W36" s="349" t="s">
        <v>66</v>
      </c>
      <c r="X36" s="349" t="s">
        <v>90</v>
      </c>
      <c r="Y36" s="349" t="s">
        <v>176</v>
      </c>
      <c r="Z36" s="389">
        <v>541</v>
      </c>
      <c r="AA36" s="390">
        <v>4.3999999999999997E-2</v>
      </c>
      <c r="AB36" s="389">
        <v>541</v>
      </c>
      <c r="AC36" s="390">
        <v>4.3999999999999997E-2</v>
      </c>
      <c r="AD36" s="377">
        <v>0.57899999618530296</v>
      </c>
      <c r="AE36" s="377">
        <v>6.1799997638445292E-2</v>
      </c>
      <c r="AF36" s="385">
        <v>-1.1400000192224999</v>
      </c>
      <c r="AG36" s="377">
        <v>0.57899999618530296</v>
      </c>
      <c r="AH36" s="377">
        <v>6.1799997638445292E-2</v>
      </c>
      <c r="AI36" s="385">
        <v>-1.1400000192224999</v>
      </c>
      <c r="AJ36" s="375">
        <v>1.0702</v>
      </c>
      <c r="AK36" s="375">
        <v>1.4045000000000001</v>
      </c>
      <c r="AL36" s="382">
        <v>-2.1072E-2</v>
      </c>
      <c r="AN36" s="271" t="s">
        <v>64</v>
      </c>
      <c r="AO36" s="252" t="s">
        <v>183</v>
      </c>
      <c r="AP36" s="252" t="s">
        <v>66</v>
      </c>
      <c r="AQ36" s="252" t="s">
        <v>90</v>
      </c>
      <c r="AR36" s="252" t="s">
        <v>176</v>
      </c>
      <c r="AS36" s="292">
        <v>541</v>
      </c>
      <c r="AT36" s="293">
        <v>4.5000000000000005E-2</v>
      </c>
      <c r="AU36" s="292">
        <v>541</v>
      </c>
      <c r="AV36" s="293">
        <v>4.5000000000000005E-2</v>
      </c>
      <c r="AW36" s="280">
        <v>0.55699998140335105</v>
      </c>
      <c r="AX36" s="280">
        <v>5.8599998737918199E-2</v>
      </c>
      <c r="AY36" s="288">
        <v>-1.09999999403954</v>
      </c>
      <c r="AZ36" s="280">
        <v>0.55699998140335105</v>
      </c>
      <c r="BA36" s="280">
        <v>5.8599998737918199E-2</v>
      </c>
      <c r="BB36" s="288">
        <v>-1.09999999403954</v>
      </c>
      <c r="BC36" s="278">
        <v>1.0296000000000001</v>
      </c>
      <c r="BD36" s="278">
        <v>1.3022</v>
      </c>
      <c r="BE36" s="285">
        <v>-2.0333E-2</v>
      </c>
    </row>
    <row r="37" spans="2:57" ht="15">
      <c r="B37" s="320" t="s">
        <v>64</v>
      </c>
      <c r="C37" s="301" t="s">
        <v>179</v>
      </c>
      <c r="D37" s="301" t="s">
        <v>66</v>
      </c>
      <c r="E37" s="301" t="s">
        <v>91</v>
      </c>
      <c r="F37" s="301" t="s">
        <v>176</v>
      </c>
      <c r="G37" s="341">
        <v>541</v>
      </c>
      <c r="H37" s="342">
        <v>4.3999999999999997E-2</v>
      </c>
      <c r="I37" s="341">
        <v>541</v>
      </c>
      <c r="J37" s="342">
        <v>4.3999999999999997E-2</v>
      </c>
      <c r="K37" s="329">
        <v>0.53500002622604403</v>
      </c>
      <c r="L37" s="329">
        <v>5.3600000683218199E-2</v>
      </c>
      <c r="M37" s="305">
        <v>-1.15000000223517</v>
      </c>
      <c r="N37" s="329">
        <v>0.53500002622604403</v>
      </c>
      <c r="O37" s="329">
        <v>5.3600000683218199E-2</v>
      </c>
      <c r="P37" s="305">
        <v>-1.15000000223517</v>
      </c>
      <c r="Q37" s="327">
        <v>0.98890999999999996</v>
      </c>
      <c r="R37" s="327">
        <v>1.2181999999999999</v>
      </c>
      <c r="S37" s="334">
        <v>-2.1257000000000002E-2</v>
      </c>
      <c r="U37" s="368" t="s">
        <v>64</v>
      </c>
      <c r="V37" s="349" t="s">
        <v>101</v>
      </c>
      <c r="W37" s="349" t="s">
        <v>66</v>
      </c>
      <c r="X37" s="349" t="s">
        <v>91</v>
      </c>
      <c r="Y37" s="349" t="s">
        <v>176</v>
      </c>
      <c r="Z37" s="389">
        <v>541</v>
      </c>
      <c r="AA37" s="390">
        <v>4.5000000000000005E-2</v>
      </c>
      <c r="AB37" s="389">
        <v>541</v>
      </c>
      <c r="AC37" s="390">
        <v>4.5000000000000005E-2</v>
      </c>
      <c r="AD37" s="377">
        <v>0.57099997997283902</v>
      </c>
      <c r="AE37" s="377">
        <v>5.80999985686503E-2</v>
      </c>
      <c r="AF37" s="353">
        <v>-0.80199996009468999</v>
      </c>
      <c r="AG37" s="377">
        <v>0.57099997997283902</v>
      </c>
      <c r="AH37" s="377">
        <v>5.80999985686503E-2</v>
      </c>
      <c r="AI37" s="353">
        <v>-0.80199996009468999</v>
      </c>
      <c r="AJ37" s="375">
        <v>1.0555000000000001</v>
      </c>
      <c r="AK37" s="375">
        <v>1.2910999999999999</v>
      </c>
      <c r="AL37" s="382">
        <v>-1.4824E-2</v>
      </c>
      <c r="AN37" s="271" t="s">
        <v>64</v>
      </c>
      <c r="AO37" s="252" t="s">
        <v>183</v>
      </c>
      <c r="AP37" s="252" t="s">
        <v>66</v>
      </c>
      <c r="AQ37" s="252" t="s">
        <v>91</v>
      </c>
      <c r="AR37" s="252" t="s">
        <v>176</v>
      </c>
      <c r="AS37" s="292">
        <v>541</v>
      </c>
      <c r="AT37" s="293">
        <v>4.5999999999999999E-2</v>
      </c>
      <c r="AU37" s="292">
        <v>541</v>
      </c>
      <c r="AV37" s="293">
        <v>4.5999999999999999E-2</v>
      </c>
      <c r="AW37" s="280">
        <v>0.55699998140335105</v>
      </c>
      <c r="AX37" s="280">
        <v>5.5500000598840402E-2</v>
      </c>
      <c r="AY37" s="256">
        <v>-0.65999999642372098</v>
      </c>
      <c r="AZ37" s="280">
        <v>0.55699998140335105</v>
      </c>
      <c r="BA37" s="280">
        <v>5.5500000598840402E-2</v>
      </c>
      <c r="BB37" s="256">
        <v>-0.65999999642372098</v>
      </c>
      <c r="BC37" s="278">
        <v>1.0296000000000001</v>
      </c>
      <c r="BD37" s="278">
        <v>1.2064999999999999</v>
      </c>
      <c r="BE37" s="285">
        <v>-1.2200000000000001E-2</v>
      </c>
    </row>
    <row r="38" spans="2:57" ht="15">
      <c r="B38" s="320" t="s">
        <v>64</v>
      </c>
      <c r="C38" s="301" t="s">
        <v>179</v>
      </c>
      <c r="D38" s="301" t="s">
        <v>66</v>
      </c>
      <c r="E38" s="301" t="s">
        <v>92</v>
      </c>
      <c r="F38" s="301" t="s">
        <v>176</v>
      </c>
      <c r="G38" s="341">
        <v>541</v>
      </c>
      <c r="H38" s="342">
        <v>4.3999999999999997E-2</v>
      </c>
      <c r="I38" s="341">
        <v>541</v>
      </c>
      <c r="J38" s="342">
        <v>4.3999999999999997E-2</v>
      </c>
      <c r="K38" s="329">
        <v>0.60600000619888295</v>
      </c>
      <c r="L38" s="329">
        <v>7.1800001023802906E-2</v>
      </c>
      <c r="M38" s="305">
        <v>-1.11999996006489</v>
      </c>
      <c r="N38" s="329">
        <v>0.60600000619888295</v>
      </c>
      <c r="O38" s="329">
        <v>7.1800001023802906E-2</v>
      </c>
      <c r="P38" s="305">
        <v>-1.11999996006489</v>
      </c>
      <c r="Q38" s="327">
        <v>1.1201000000000001</v>
      </c>
      <c r="R38" s="327">
        <v>1.6317999999999999</v>
      </c>
      <c r="S38" s="334">
        <v>-2.0702000000000002E-2</v>
      </c>
      <c r="U38" s="368" t="s">
        <v>64</v>
      </c>
      <c r="V38" s="349" t="s">
        <v>101</v>
      </c>
      <c r="W38" s="349" t="s">
        <v>66</v>
      </c>
      <c r="X38" s="349" t="s">
        <v>92</v>
      </c>
      <c r="Y38" s="349" t="s">
        <v>176</v>
      </c>
      <c r="Z38" s="389">
        <v>541</v>
      </c>
      <c r="AA38" s="390">
        <v>4.3999999999999997E-2</v>
      </c>
      <c r="AB38" s="389">
        <v>541</v>
      </c>
      <c r="AC38" s="390">
        <v>4.3999999999999997E-2</v>
      </c>
      <c r="AD38" s="377">
        <v>0.62800002098083496</v>
      </c>
      <c r="AE38" s="377">
        <v>7.1100002969615203E-2</v>
      </c>
      <c r="AF38" s="353">
        <v>-0.94600003212690409</v>
      </c>
      <c r="AG38" s="377">
        <v>0.62800002098083496</v>
      </c>
      <c r="AH38" s="377">
        <v>7.1100002969615203E-2</v>
      </c>
      <c r="AI38" s="353">
        <v>-0.94600003212690409</v>
      </c>
      <c r="AJ38" s="375">
        <v>1.1608000000000001</v>
      </c>
      <c r="AK38" s="375">
        <v>1.6158999999999999</v>
      </c>
      <c r="AL38" s="382">
        <v>-1.7486000000000002E-2</v>
      </c>
      <c r="AN38" s="271" t="s">
        <v>64</v>
      </c>
      <c r="AO38" s="252" t="s">
        <v>183</v>
      </c>
      <c r="AP38" s="252" t="s">
        <v>66</v>
      </c>
      <c r="AQ38" s="252" t="s">
        <v>92</v>
      </c>
      <c r="AR38" s="252" t="s">
        <v>176</v>
      </c>
      <c r="AS38" s="292">
        <v>541</v>
      </c>
      <c r="AT38" s="293">
        <v>4.5000000000000005E-2</v>
      </c>
      <c r="AU38" s="292">
        <v>541</v>
      </c>
      <c r="AV38" s="293">
        <v>4.5000000000000005E-2</v>
      </c>
      <c r="AW38" s="280">
        <v>0.59200000762939498</v>
      </c>
      <c r="AX38" s="280">
        <v>6.2500002968590707E-2</v>
      </c>
      <c r="AY38" s="256">
        <v>-0.86500002071261406</v>
      </c>
      <c r="AZ38" s="280">
        <v>0.59200000762939498</v>
      </c>
      <c r="BA38" s="280">
        <v>6.2500002968590707E-2</v>
      </c>
      <c r="BB38" s="256">
        <v>-0.86500002071261406</v>
      </c>
      <c r="BC38" s="278">
        <v>1.0943000000000001</v>
      </c>
      <c r="BD38" s="278">
        <v>1.3889</v>
      </c>
      <c r="BE38" s="285">
        <v>-1.5989E-2</v>
      </c>
    </row>
    <row r="39" spans="2:57" ht="15.75" thickBot="1">
      <c r="B39" s="307" t="s">
        <v>64</v>
      </c>
      <c r="C39" s="302" t="s">
        <v>179</v>
      </c>
      <c r="D39" s="302" t="s">
        <v>66</v>
      </c>
      <c r="E39" s="202" t="s">
        <v>93</v>
      </c>
      <c r="F39" s="302" t="s">
        <v>176</v>
      </c>
      <c r="G39" s="345">
        <v>541</v>
      </c>
      <c r="H39" s="346">
        <v>4.3999999999999997E-2</v>
      </c>
      <c r="I39" s="345">
        <v>541</v>
      </c>
      <c r="J39" s="346">
        <v>4.3999999999999997E-2</v>
      </c>
      <c r="K39" s="331">
        <v>0.55326801538467396</v>
      </c>
      <c r="L39" s="331">
        <v>5.9389698435552397E-2</v>
      </c>
      <c r="M39" s="338">
        <v>-1.2980000115930999</v>
      </c>
      <c r="N39" s="331">
        <v>0.55326801538467396</v>
      </c>
      <c r="O39" s="331">
        <v>5.9389698435552397E-2</v>
      </c>
      <c r="P39" s="338">
        <v>-1.2980000115930999</v>
      </c>
      <c r="Q39" s="203">
        <v>1.0226999999999999</v>
      </c>
      <c r="R39" s="203">
        <v>1.3498000000000001</v>
      </c>
      <c r="S39" s="204">
        <v>-2.3993E-2</v>
      </c>
      <c r="U39" s="355" t="s">
        <v>64</v>
      </c>
      <c r="V39" s="350" t="s">
        <v>101</v>
      </c>
      <c r="W39" s="350" t="s">
        <v>66</v>
      </c>
      <c r="X39" s="206" t="s">
        <v>93</v>
      </c>
      <c r="Y39" s="350" t="s">
        <v>176</v>
      </c>
      <c r="Z39" s="393">
        <v>541</v>
      </c>
      <c r="AA39" s="394">
        <v>4.4273E-2</v>
      </c>
      <c r="AB39" s="393">
        <v>541</v>
      </c>
      <c r="AC39" s="394">
        <v>4.4273E-2</v>
      </c>
      <c r="AD39" s="379">
        <v>0.57936698198318504</v>
      </c>
      <c r="AE39" s="379">
        <v>6.1273996834643199E-2</v>
      </c>
      <c r="AF39" s="386">
        <v>-1.0376100428402399</v>
      </c>
      <c r="AG39" s="379">
        <v>0.57936698198318504</v>
      </c>
      <c r="AH39" s="379">
        <v>6.1273996834643199E-2</v>
      </c>
      <c r="AI39" s="386">
        <v>-1.0376100428402399</v>
      </c>
      <c r="AJ39" s="209">
        <v>1.0709</v>
      </c>
      <c r="AK39" s="209">
        <v>1.3839999999999999</v>
      </c>
      <c r="AL39" s="210">
        <v>-1.9179000000000002E-2</v>
      </c>
      <c r="AN39" s="258" t="s">
        <v>64</v>
      </c>
      <c r="AO39" s="253" t="s">
        <v>183</v>
      </c>
      <c r="AP39" s="253" t="s">
        <v>66</v>
      </c>
      <c r="AQ39" s="212" t="s">
        <v>93</v>
      </c>
      <c r="AR39" s="253" t="s">
        <v>176</v>
      </c>
      <c r="AS39" s="296">
        <v>541</v>
      </c>
      <c r="AT39" s="297">
        <v>4.5309000000000002E-2</v>
      </c>
      <c r="AU39" s="296">
        <v>541</v>
      </c>
      <c r="AV39" s="297">
        <v>4.5309000000000002E-2</v>
      </c>
      <c r="AW39" s="282">
        <v>0.55870497226715099</v>
      </c>
      <c r="AX39" s="282">
        <v>5.7831199228530701E-2</v>
      </c>
      <c r="AY39" s="289">
        <v>-0.95247300341725294</v>
      </c>
      <c r="AZ39" s="282">
        <v>0.55870497226715099</v>
      </c>
      <c r="BA39" s="282">
        <v>5.7831199228530701E-2</v>
      </c>
      <c r="BB39" s="289">
        <v>-0.95247300341725294</v>
      </c>
      <c r="BC39" s="215">
        <v>1.0327</v>
      </c>
      <c r="BD39" s="215">
        <v>1.2764</v>
      </c>
      <c r="BE39" s="249">
        <v>-1.7606E-2</v>
      </c>
    </row>
    <row r="42" spans="2:57"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2:57" ht="13.5" thickBot="1">
      <c r="B43" s="70" t="s">
        <v>107</v>
      </c>
      <c r="C43" s="34"/>
      <c r="D43" s="34"/>
      <c r="E43" s="34"/>
      <c r="F43" s="34"/>
      <c r="G43" s="34"/>
      <c r="H43" s="34"/>
      <c r="I43" s="34"/>
      <c r="J43" s="34"/>
      <c r="K43" s="34"/>
    </row>
    <row r="44" spans="2:57">
      <c r="B44" s="71"/>
      <c r="C44" s="518" t="s">
        <v>105</v>
      </c>
      <c r="D44" s="519"/>
      <c r="E44" s="520"/>
      <c r="F44" s="518" t="s">
        <v>104</v>
      </c>
      <c r="G44" s="519"/>
      <c r="H44" s="520"/>
      <c r="I44" s="518" t="s">
        <v>188</v>
      </c>
      <c r="J44" s="519"/>
      <c r="K44" s="520"/>
    </row>
    <row r="45" spans="2:57">
      <c r="B45" s="72" t="s">
        <v>102</v>
      </c>
      <c r="C45" s="73" t="s">
        <v>62</v>
      </c>
      <c r="D45" s="23" t="s">
        <v>61</v>
      </c>
      <c r="E45" s="74" t="s">
        <v>63</v>
      </c>
      <c r="F45" s="73" t="s">
        <v>62</v>
      </c>
      <c r="G45" s="23" t="s">
        <v>61</v>
      </c>
      <c r="H45" s="74" t="s">
        <v>63</v>
      </c>
      <c r="I45" s="73" t="s">
        <v>62</v>
      </c>
      <c r="J45" s="23" t="s">
        <v>61</v>
      </c>
      <c r="K45" s="74" t="s">
        <v>63</v>
      </c>
    </row>
    <row r="46" spans="2:57">
      <c r="B46" s="75" t="s">
        <v>93</v>
      </c>
      <c r="C46" s="76">
        <f>Q39</f>
        <v>1.0226999999999999</v>
      </c>
      <c r="D46" s="76">
        <f t="shared" ref="D46:E46" si="0">R39</f>
        <v>1.3498000000000001</v>
      </c>
      <c r="E46" s="76">
        <f t="shared" si="0"/>
        <v>-2.3993E-2</v>
      </c>
      <c r="F46" s="76">
        <f>AJ39</f>
        <v>1.0709</v>
      </c>
      <c r="G46" s="76">
        <f t="shared" ref="G46:H46" si="1">AK39</f>
        <v>1.3839999999999999</v>
      </c>
      <c r="H46" s="76">
        <f t="shared" si="1"/>
        <v>-1.9179000000000002E-2</v>
      </c>
      <c r="I46" s="121">
        <f>BC39</f>
        <v>1.0327</v>
      </c>
      <c r="J46" s="121">
        <f t="shared" ref="J46:K46" si="2">BD39</f>
        <v>1.2764</v>
      </c>
      <c r="K46" s="121">
        <f t="shared" si="2"/>
        <v>-1.7606E-2</v>
      </c>
    </row>
    <row r="47" spans="2:57" ht="13.5" thickBot="1">
      <c r="B47" s="77" t="s">
        <v>103</v>
      </c>
      <c r="C47" s="78">
        <f>Q26</f>
        <v>1.0572999999999999</v>
      </c>
      <c r="D47" s="78">
        <f t="shared" ref="D47:E47" si="3">R26</f>
        <v>1.2199</v>
      </c>
      <c r="E47" s="78">
        <f t="shared" si="3"/>
        <v>-3.7190999999999999E-3</v>
      </c>
      <c r="F47" s="78">
        <f>AJ26</f>
        <v>1.1355999999999999</v>
      </c>
      <c r="G47" s="78">
        <f t="shared" ref="G47:H47" si="4">AK26</f>
        <v>1.2810999999999999</v>
      </c>
      <c r="H47" s="78">
        <f t="shared" si="4"/>
        <v>-1.7047E-3</v>
      </c>
      <c r="I47" s="78">
        <f>BC26</f>
        <v>1.1476</v>
      </c>
      <c r="J47" s="78">
        <f t="shared" ref="J47:K47" si="5">BD26</f>
        <v>1.2516</v>
      </c>
      <c r="K47" s="78">
        <f t="shared" si="5"/>
        <v>-3.9308000000000002E-4</v>
      </c>
    </row>
    <row r="48" spans="2:57">
      <c r="B48" s="34"/>
      <c r="C48" s="34"/>
      <c r="D48" s="34"/>
      <c r="E48" s="34"/>
      <c r="F48" s="34"/>
      <c r="G48" s="34"/>
      <c r="H48" s="34"/>
      <c r="I48" s="34"/>
      <c r="J48" s="34"/>
      <c r="K48" s="34"/>
    </row>
    <row r="49" spans="2:11" ht="13.5" thickBot="1">
      <c r="B49" s="34"/>
      <c r="C49" s="34"/>
      <c r="D49" s="34"/>
      <c r="E49" s="34"/>
      <c r="F49" s="34"/>
      <c r="G49" s="34"/>
      <c r="H49" s="34"/>
      <c r="I49" s="34"/>
      <c r="J49" s="34"/>
      <c r="K49" s="34"/>
    </row>
    <row r="50" spans="2:11">
      <c r="B50" s="521" t="s">
        <v>102</v>
      </c>
      <c r="C50" s="518" t="s">
        <v>106</v>
      </c>
      <c r="D50" s="519"/>
      <c r="E50" s="520"/>
      <c r="F50" s="34"/>
      <c r="G50" s="34"/>
      <c r="H50" s="34"/>
      <c r="I50" s="34"/>
      <c r="J50" s="34"/>
      <c r="K50" s="34"/>
    </row>
    <row r="51" spans="2:11">
      <c r="B51" s="522"/>
      <c r="C51" s="73" t="s">
        <v>62</v>
      </c>
      <c r="D51" s="23" t="s">
        <v>61</v>
      </c>
      <c r="E51" s="74" t="s">
        <v>63</v>
      </c>
      <c r="F51" s="34"/>
      <c r="G51" s="34"/>
      <c r="H51" s="34"/>
      <c r="I51" s="34"/>
      <c r="J51" s="34"/>
      <c r="K51" s="34"/>
    </row>
    <row r="52" spans="2:11" ht="17.25" customHeight="1">
      <c r="B52" s="75" t="s">
        <v>93</v>
      </c>
      <c r="C52" s="121">
        <f>AVERAGE(C46,F46,I46)</f>
        <v>1.0420999999999998</v>
      </c>
      <c r="D52" s="121">
        <f t="shared" ref="D52:E52" si="6">AVERAGE(D46,G46,J46)</f>
        <v>1.3367333333333333</v>
      </c>
      <c r="E52" s="121">
        <f t="shared" si="6"/>
        <v>-2.0259333333333334E-2</v>
      </c>
      <c r="F52" s="34"/>
      <c r="G52" s="34"/>
      <c r="H52" s="34"/>
      <c r="I52" s="34"/>
      <c r="J52" s="34"/>
      <c r="K52" s="34"/>
    </row>
    <row r="53" spans="2:11" ht="42" customHeight="1" thickBot="1">
      <c r="B53" s="79" t="s">
        <v>108</v>
      </c>
      <c r="C53" s="78">
        <f>AVERAGE(C47,F47,I47)</f>
        <v>1.1134999999999999</v>
      </c>
      <c r="D53" s="78">
        <f t="shared" ref="D53:E53" si="7">AVERAGE(D47,G47,J47)</f>
        <v>1.2508666666666668</v>
      </c>
      <c r="E53" s="78">
        <f t="shared" si="7"/>
        <v>-1.9389599999999998E-3</v>
      </c>
      <c r="F53" s="34"/>
      <c r="G53" s="34"/>
      <c r="H53" s="34"/>
      <c r="I53" s="34"/>
      <c r="J53" s="34"/>
      <c r="K53" s="34"/>
    </row>
    <row r="54" spans="2:11">
      <c r="B54" s="34"/>
      <c r="C54" s="34"/>
      <c r="D54" s="34"/>
      <c r="E54" s="34"/>
      <c r="F54" s="34"/>
      <c r="G54" s="34"/>
      <c r="H54" s="34"/>
      <c r="I54" s="34"/>
      <c r="J54" s="34"/>
      <c r="K54" s="34"/>
    </row>
    <row r="55" spans="2:11">
      <c r="B55" s="34"/>
      <c r="C55" s="34"/>
      <c r="D55" s="34"/>
      <c r="E55" s="34"/>
      <c r="F55" s="34"/>
      <c r="G55" s="34"/>
      <c r="H55" s="34"/>
      <c r="I55" s="34"/>
      <c r="J55" s="34"/>
      <c r="K55" s="34"/>
    </row>
    <row r="56" spans="2:11">
      <c r="B56" s="150" t="s">
        <v>285</v>
      </c>
    </row>
    <row r="57" spans="2:11" s="441" customFormat="1">
      <c r="B57" s="395"/>
      <c r="C57" s="508" t="s">
        <v>93</v>
      </c>
      <c r="D57" s="508"/>
      <c r="E57" s="508"/>
      <c r="F57" s="508" t="s">
        <v>103</v>
      </c>
      <c r="G57" s="508"/>
      <c r="H57" s="508"/>
    </row>
    <row r="58" spans="2:11" s="441" customFormat="1">
      <c r="B58" s="395"/>
      <c r="C58" s="436" t="s">
        <v>62</v>
      </c>
      <c r="D58" s="436" t="s">
        <v>61</v>
      </c>
      <c r="E58" s="436" t="s">
        <v>63</v>
      </c>
      <c r="F58" s="436" t="s">
        <v>62</v>
      </c>
      <c r="G58" s="436" t="s">
        <v>61</v>
      </c>
      <c r="H58" s="436" t="s">
        <v>63</v>
      </c>
    </row>
    <row r="59" spans="2:11">
      <c r="B59" s="436" t="s">
        <v>95</v>
      </c>
      <c r="C59" s="395">
        <f>C46</f>
        <v>1.0226999999999999</v>
      </c>
      <c r="D59" s="395">
        <f t="shared" ref="D59:E59" si="8">D46</f>
        <v>1.3498000000000001</v>
      </c>
      <c r="E59" s="395">
        <f t="shared" si="8"/>
        <v>-2.3993E-2</v>
      </c>
      <c r="F59" s="395">
        <f>C47</f>
        <v>1.0572999999999999</v>
      </c>
      <c r="G59" s="395">
        <f t="shared" ref="G59:H59" si="9">D47</f>
        <v>1.2199</v>
      </c>
      <c r="H59" s="395">
        <f t="shared" si="9"/>
        <v>-3.7190999999999999E-3</v>
      </c>
    </row>
    <row r="60" spans="2:11">
      <c r="B60" s="436" t="s">
        <v>101</v>
      </c>
      <c r="C60" s="395">
        <f>F46</f>
        <v>1.0709</v>
      </c>
      <c r="D60" s="395">
        <f t="shared" ref="D60:E60" si="10">G46</f>
        <v>1.3839999999999999</v>
      </c>
      <c r="E60" s="395">
        <f t="shared" si="10"/>
        <v>-1.9179000000000002E-2</v>
      </c>
      <c r="F60" s="395">
        <f>F47</f>
        <v>1.1355999999999999</v>
      </c>
      <c r="G60" s="395">
        <f t="shared" ref="G60:H60" si="11">G47</f>
        <v>1.2810999999999999</v>
      </c>
      <c r="H60" s="395">
        <f t="shared" si="11"/>
        <v>-1.7047E-3</v>
      </c>
    </row>
    <row r="61" spans="2:11">
      <c r="B61" s="436" t="s">
        <v>202</v>
      </c>
      <c r="C61" s="395">
        <f>F46</f>
        <v>1.0709</v>
      </c>
      <c r="D61" s="395">
        <f t="shared" ref="D61:E61" si="12">G46</f>
        <v>1.3839999999999999</v>
      </c>
      <c r="E61" s="395">
        <f t="shared" si="12"/>
        <v>-1.9179000000000002E-2</v>
      </c>
      <c r="F61" s="395">
        <f>F47</f>
        <v>1.1355999999999999</v>
      </c>
      <c r="G61" s="395">
        <f t="shared" ref="G61:H61" si="13">G47</f>
        <v>1.2810999999999999</v>
      </c>
      <c r="H61" s="395">
        <f t="shared" si="13"/>
        <v>-1.7047E-3</v>
      </c>
    </row>
    <row r="62" spans="2:11">
      <c r="B62" s="436" t="s">
        <v>180</v>
      </c>
      <c r="C62" s="412">
        <f>I46</f>
        <v>1.0327</v>
      </c>
      <c r="D62" s="412">
        <f t="shared" ref="D62:E62" si="14">J46</f>
        <v>1.2764</v>
      </c>
      <c r="E62" s="412">
        <f t="shared" si="14"/>
        <v>-1.7606E-2</v>
      </c>
      <c r="F62" s="395">
        <f>I47</f>
        <v>1.1476</v>
      </c>
      <c r="G62" s="395">
        <f t="shared" ref="G62:H62" si="15">J47</f>
        <v>1.2516</v>
      </c>
      <c r="H62" s="395">
        <f t="shared" si="15"/>
        <v>-3.9308000000000002E-4</v>
      </c>
    </row>
  </sheetData>
  <mergeCells count="28">
    <mergeCell ref="AD10:AF10"/>
    <mergeCell ref="AD9:AI9"/>
    <mergeCell ref="Q9:S9"/>
    <mergeCell ref="AJ9:AL9"/>
    <mergeCell ref="Z9:AA9"/>
    <mergeCell ref="AB9:AC9"/>
    <mergeCell ref="AZ10:BB10"/>
    <mergeCell ref="AW9:BB9"/>
    <mergeCell ref="BC9:BE9"/>
    <mergeCell ref="AS9:AT9"/>
    <mergeCell ref="AU9:AV9"/>
    <mergeCell ref="AW10:AY10"/>
    <mergeCell ref="AN9:AR9"/>
    <mergeCell ref="C57:E57"/>
    <mergeCell ref="F57:H57"/>
    <mergeCell ref="B9:F9"/>
    <mergeCell ref="N10:P10"/>
    <mergeCell ref="K9:P9"/>
    <mergeCell ref="G9:H9"/>
    <mergeCell ref="I9:J9"/>
    <mergeCell ref="K10:M10"/>
    <mergeCell ref="C50:E50"/>
    <mergeCell ref="B50:B51"/>
    <mergeCell ref="C44:E44"/>
    <mergeCell ref="F44:H44"/>
    <mergeCell ref="I44:K44"/>
    <mergeCell ref="U9:Y9"/>
    <mergeCell ref="AG10:AI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Clothes Washers User Inputs</vt:lpstr>
      <vt:lpstr>Federal Code Requirements</vt:lpstr>
      <vt:lpstr>SFM. MFM In-Unit Energy Savings</vt:lpstr>
      <vt:lpstr>Nonres Energy Savings</vt:lpstr>
      <vt:lpstr>MFM Common Area Energy Savings</vt:lpstr>
      <vt:lpstr>Base Case Energy</vt:lpstr>
      <vt:lpstr>Measure Case Energy</vt:lpstr>
      <vt:lpstr>Cycle Energy Use</vt:lpstr>
      <vt:lpstr>Interactive Effects</vt:lpstr>
      <vt:lpstr>2009 RASS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Roecks, Jennifer</dc:creator>
  <cp:lastModifiedBy>Huang, Jia Chang</cp:lastModifiedBy>
  <dcterms:created xsi:type="dcterms:W3CDTF">2012-06-11T15:48:29Z</dcterms:created>
  <dcterms:modified xsi:type="dcterms:W3CDTF">2017-12-26T17:26:32Z</dcterms:modified>
</cp:coreProperties>
</file>