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6605" windowHeight="9435"/>
  </bookViews>
  <sheets>
    <sheet name="Well Pumps" sheetId="1" r:id="rId1"/>
    <sheet name="Booster Pumps" sheetId="3" r:id="rId2"/>
  </sheets>
  <calcPr calcId="145621"/>
</workbook>
</file>

<file path=xl/calcChain.xml><?xml version="1.0" encoding="utf-8"?>
<calcChain xmlns="http://schemas.openxmlformats.org/spreadsheetml/2006/main">
  <c r="AM201" i="1" l="1"/>
  <c r="AL103" i="3"/>
  <c r="AY75" i="3"/>
  <c r="E63" i="3"/>
  <c r="AX63" i="3" s="1"/>
  <c r="E25" i="3"/>
  <c r="AZ25" i="3" s="1"/>
  <c r="E17" i="3"/>
  <c r="AZ17" i="3" s="1"/>
  <c r="E39" i="3"/>
  <c r="AZ39" i="3" s="1"/>
  <c r="E64" i="3"/>
  <c r="AX64" i="3" s="1"/>
  <c r="E40" i="3"/>
  <c r="AZ40" i="3" s="1"/>
  <c r="E65" i="3"/>
  <c r="AZ65" i="3" s="1"/>
  <c r="E96" i="3"/>
  <c r="AZ96" i="3" s="1"/>
  <c r="E66" i="3"/>
  <c r="AX66" i="3" s="1"/>
  <c r="E67" i="3"/>
  <c r="AZ67" i="3" s="1"/>
  <c r="E6" i="3"/>
  <c r="AZ6" i="3" s="1"/>
  <c r="E41" i="3"/>
  <c r="AZ41" i="3" s="1"/>
  <c r="E26" i="3"/>
  <c r="AX26" i="3" s="1"/>
  <c r="E68" i="3"/>
  <c r="AZ68" i="3" s="1"/>
  <c r="E88" i="3"/>
  <c r="AZ88" i="3" s="1"/>
  <c r="E89" i="3"/>
  <c r="AZ89" i="3" s="1"/>
  <c r="E97" i="3"/>
  <c r="AX97" i="3" s="1"/>
  <c r="E27" i="3"/>
  <c r="AZ27" i="3" s="1"/>
  <c r="E98" i="3"/>
  <c r="AZ98" i="3" s="1"/>
  <c r="E69" i="3"/>
  <c r="AZ69" i="3" s="1"/>
  <c r="E7" i="3"/>
  <c r="AX7" i="3" s="1"/>
  <c r="AX98" i="3" l="1"/>
  <c r="AX88" i="3"/>
  <c r="AX6" i="3"/>
  <c r="AX65" i="3"/>
  <c r="AX17" i="3"/>
  <c r="AZ7" i="3"/>
  <c r="AZ97" i="3"/>
  <c r="AZ26" i="3"/>
  <c r="AZ66" i="3"/>
  <c r="AZ64" i="3"/>
  <c r="AZ63" i="3"/>
  <c r="AX69" i="3"/>
  <c r="AX27" i="3"/>
  <c r="AX89" i="3"/>
  <c r="AX68" i="3"/>
  <c r="AX41" i="3"/>
  <c r="AX67" i="3"/>
  <c r="AX96" i="3"/>
  <c r="AX40" i="3"/>
  <c r="AX39" i="3"/>
  <c r="AX25" i="3"/>
  <c r="BB14" i="1"/>
  <c r="BB24" i="1"/>
  <c r="BB25" i="1"/>
  <c r="BB26" i="1"/>
  <c r="BB27" i="1"/>
  <c r="BB50" i="1"/>
  <c r="BB101" i="1"/>
  <c r="BB102" i="1"/>
  <c r="BB199" i="1"/>
  <c r="BB9" i="1"/>
  <c r="BB51" i="1"/>
  <c r="BB103" i="1"/>
  <c r="BB10" i="1"/>
  <c r="BB104" i="1"/>
  <c r="BB32" i="1"/>
  <c r="BB158" i="1"/>
  <c r="BB159" i="1"/>
  <c r="BB72" i="1"/>
  <c r="BB130" i="1"/>
  <c r="BB11" i="1"/>
  <c r="BB73" i="1"/>
  <c r="BB74" i="1"/>
  <c r="BB75" i="1"/>
  <c r="BB76" i="1"/>
  <c r="BB131" i="1"/>
  <c r="BB132" i="1"/>
  <c r="BB52" i="1"/>
  <c r="BB12" i="1"/>
  <c r="BB49" i="1"/>
  <c r="AZ49" i="1"/>
  <c r="AZ14" i="1"/>
  <c r="AZ24" i="1"/>
  <c r="AZ25" i="1"/>
  <c r="AZ26" i="1"/>
  <c r="AZ27" i="1"/>
  <c r="AZ50" i="1"/>
  <c r="AZ101" i="1"/>
  <c r="AZ102" i="1"/>
  <c r="AZ199" i="1"/>
  <c r="AZ9" i="1"/>
  <c r="AZ51" i="1"/>
  <c r="AZ103" i="1"/>
  <c r="AZ10" i="1"/>
  <c r="AZ104" i="1"/>
  <c r="AZ32" i="1"/>
  <c r="AZ158" i="1"/>
  <c r="AZ159" i="1"/>
  <c r="AZ72" i="1"/>
  <c r="AZ130" i="1"/>
  <c r="AZ11" i="1"/>
  <c r="AZ73" i="1"/>
  <c r="AZ74" i="1"/>
  <c r="AZ75" i="1"/>
  <c r="AZ76" i="1"/>
  <c r="AZ131" i="1"/>
  <c r="AZ132" i="1"/>
  <c r="AZ52" i="1"/>
  <c r="AZ12" i="1"/>
  <c r="E62" i="3" l="1"/>
  <c r="AL62" i="3"/>
  <c r="AM62" i="3"/>
  <c r="AO62" i="3"/>
  <c r="AP62" i="3"/>
  <c r="AQ62" i="3"/>
  <c r="AR62" i="3"/>
  <c r="AN62" i="3" l="1"/>
  <c r="AT39" i="1"/>
  <c r="E56" i="3"/>
  <c r="E81" i="3"/>
  <c r="E35" i="3"/>
  <c r="E70" i="3"/>
  <c r="E71" i="3"/>
  <c r="E4" i="3"/>
  <c r="E72" i="3"/>
  <c r="E28" i="3"/>
  <c r="E19" i="3"/>
  <c r="E90" i="3"/>
  <c r="E45" i="3"/>
  <c r="E91" i="3"/>
  <c r="E46" i="3"/>
  <c r="E47" i="3"/>
  <c r="E75" i="3"/>
  <c r="E48" i="3"/>
  <c r="E33" i="3"/>
  <c r="E49" i="3"/>
  <c r="E76" i="3"/>
  <c r="E50" i="3"/>
  <c r="E99" i="3"/>
  <c r="AT62" i="3" l="1"/>
  <c r="AU62" i="3"/>
  <c r="AW62" i="3"/>
  <c r="AX62" i="3" s="1"/>
  <c r="AR101" i="3"/>
  <c r="AQ101" i="3"/>
  <c r="AP101" i="3"/>
  <c r="AO101" i="3"/>
  <c r="AM101" i="3"/>
  <c r="AL101" i="3"/>
  <c r="E101" i="3"/>
  <c r="AR95" i="3"/>
  <c r="AQ95" i="3"/>
  <c r="AP95" i="3"/>
  <c r="AE95" i="3"/>
  <c r="Z95" i="3"/>
  <c r="S95" i="3"/>
  <c r="O95" i="3"/>
  <c r="AO95" i="3" s="1"/>
  <c r="N95" i="3"/>
  <c r="E95" i="3"/>
  <c r="AQ94" i="3"/>
  <c r="AE94" i="3"/>
  <c r="AD94" i="3"/>
  <c r="AB94" i="3"/>
  <c r="AA94" i="3"/>
  <c r="Z94" i="3"/>
  <c r="Y94" i="3"/>
  <c r="X94" i="3"/>
  <c r="V94" i="3"/>
  <c r="U94" i="3"/>
  <c r="T94" i="3"/>
  <c r="S94" i="3"/>
  <c r="R94" i="3"/>
  <c r="P94" i="3"/>
  <c r="O94" i="3"/>
  <c r="N94" i="3"/>
  <c r="M94" i="3"/>
  <c r="L94" i="3"/>
  <c r="J94" i="3"/>
  <c r="I94" i="3"/>
  <c r="H94" i="3"/>
  <c r="E94" i="3"/>
  <c r="AR93" i="3"/>
  <c r="AQ93" i="3"/>
  <c r="AP93" i="3"/>
  <c r="AO93" i="3"/>
  <c r="AM93" i="3"/>
  <c r="AL93" i="3"/>
  <c r="E93" i="3"/>
  <c r="AR100" i="3"/>
  <c r="AQ100" i="3"/>
  <c r="AP100" i="3"/>
  <c r="AO100" i="3"/>
  <c r="AM100" i="3"/>
  <c r="AL100" i="3"/>
  <c r="E100" i="3"/>
  <c r="AR92" i="3"/>
  <c r="AQ92" i="3"/>
  <c r="AP92" i="3"/>
  <c r="AO92" i="3"/>
  <c r="AM92" i="3"/>
  <c r="AL92" i="3"/>
  <c r="E92" i="3"/>
  <c r="AR99" i="3"/>
  <c r="AQ99" i="3"/>
  <c r="AP99" i="3"/>
  <c r="AO99" i="3"/>
  <c r="AM99" i="3"/>
  <c r="AL99" i="3"/>
  <c r="AR91" i="3"/>
  <c r="AQ91" i="3"/>
  <c r="AP91" i="3"/>
  <c r="AO91" i="3"/>
  <c r="AM91" i="3"/>
  <c r="AL91" i="3"/>
  <c r="AR90" i="3"/>
  <c r="AQ90" i="3"/>
  <c r="AP90" i="3"/>
  <c r="AO90" i="3"/>
  <c r="AM90" i="3"/>
  <c r="AL90" i="3"/>
  <c r="AR87" i="3"/>
  <c r="AQ87" i="3"/>
  <c r="AP87" i="3"/>
  <c r="AO87" i="3"/>
  <c r="AM87" i="3"/>
  <c r="AL87" i="3"/>
  <c r="E87" i="3"/>
  <c r="AR86" i="3"/>
  <c r="AQ86" i="3"/>
  <c r="AP86" i="3"/>
  <c r="AO86" i="3"/>
  <c r="AM86" i="3"/>
  <c r="AL86" i="3"/>
  <c r="E86" i="3"/>
  <c r="AR85" i="3"/>
  <c r="AQ85" i="3"/>
  <c r="AP85" i="3"/>
  <c r="AO85" i="3"/>
  <c r="AM85" i="3"/>
  <c r="AL85" i="3"/>
  <c r="E85" i="3"/>
  <c r="AR84" i="3"/>
  <c r="AQ84" i="3"/>
  <c r="AP84" i="3"/>
  <c r="AO84" i="3"/>
  <c r="AM84" i="3"/>
  <c r="AL84" i="3"/>
  <c r="E84" i="3"/>
  <c r="AR83" i="3"/>
  <c r="AQ83" i="3"/>
  <c r="AP83" i="3"/>
  <c r="AO83" i="3"/>
  <c r="AM83" i="3"/>
  <c r="AL83" i="3"/>
  <c r="E83" i="3"/>
  <c r="AR82" i="3"/>
  <c r="AQ82" i="3"/>
  <c r="AP82" i="3"/>
  <c r="AO82" i="3"/>
  <c r="AM82" i="3"/>
  <c r="AL82" i="3"/>
  <c r="E82" i="3"/>
  <c r="AR81" i="3"/>
  <c r="AQ81" i="3"/>
  <c r="AP81" i="3"/>
  <c r="AO81" i="3"/>
  <c r="AM81" i="3"/>
  <c r="AL81" i="3"/>
  <c r="AR80" i="3"/>
  <c r="AQ80" i="3"/>
  <c r="AP80" i="3"/>
  <c r="AO80" i="3"/>
  <c r="AM80" i="3"/>
  <c r="AL80" i="3"/>
  <c r="E80" i="3"/>
  <c r="AR78" i="3"/>
  <c r="AQ78" i="3"/>
  <c r="AP78" i="3"/>
  <c r="AO78" i="3"/>
  <c r="AM78" i="3"/>
  <c r="AL78" i="3"/>
  <c r="E78" i="3"/>
  <c r="AR77" i="3"/>
  <c r="AQ77" i="3"/>
  <c r="AP77" i="3"/>
  <c r="AO77" i="3"/>
  <c r="AM77" i="3"/>
  <c r="AL77" i="3"/>
  <c r="E77" i="3"/>
  <c r="AQ79" i="3"/>
  <c r="AJ79" i="3"/>
  <c r="AH79" i="3"/>
  <c r="AG79" i="3"/>
  <c r="AF79" i="3"/>
  <c r="Y79" i="3"/>
  <c r="AL79" i="3" s="1"/>
  <c r="X79" i="3"/>
  <c r="V79" i="3"/>
  <c r="U79" i="3"/>
  <c r="T79" i="3"/>
  <c r="E79" i="3"/>
  <c r="AR76" i="3"/>
  <c r="AQ76" i="3"/>
  <c r="AP76" i="3"/>
  <c r="AO76" i="3"/>
  <c r="AM76" i="3"/>
  <c r="AL76" i="3"/>
  <c r="AR75" i="3"/>
  <c r="AQ75" i="3"/>
  <c r="AP75" i="3"/>
  <c r="AO75" i="3"/>
  <c r="AM75" i="3"/>
  <c r="AL75" i="3"/>
  <c r="AR74" i="3"/>
  <c r="AQ74" i="3"/>
  <c r="AP74" i="3"/>
  <c r="AO74" i="3"/>
  <c r="AM74" i="3"/>
  <c r="AL74" i="3"/>
  <c r="E74" i="3"/>
  <c r="AR73" i="3"/>
  <c r="AQ73" i="3"/>
  <c r="AP73" i="3"/>
  <c r="AO73" i="3"/>
  <c r="AM73" i="3"/>
  <c r="AL73" i="3"/>
  <c r="E73" i="3"/>
  <c r="AR72" i="3"/>
  <c r="AQ72" i="3"/>
  <c r="AP72" i="3"/>
  <c r="AO72" i="3"/>
  <c r="AM72" i="3"/>
  <c r="AL72" i="3"/>
  <c r="AR71" i="3"/>
  <c r="AQ71" i="3"/>
  <c r="AP71" i="3"/>
  <c r="AO71" i="3"/>
  <c r="AM71" i="3"/>
  <c r="AL71" i="3"/>
  <c r="AR70" i="3"/>
  <c r="AQ70" i="3"/>
  <c r="AP70" i="3"/>
  <c r="AO70" i="3"/>
  <c r="AM70" i="3"/>
  <c r="AL70" i="3"/>
  <c r="AR61" i="3"/>
  <c r="AQ61" i="3"/>
  <c r="AP61" i="3"/>
  <c r="AO61" i="3"/>
  <c r="AM61" i="3"/>
  <c r="AL61" i="3"/>
  <c r="E61" i="3"/>
  <c r="AR60" i="3"/>
  <c r="AQ60" i="3"/>
  <c r="AP60" i="3"/>
  <c r="AO60" i="3"/>
  <c r="AM60" i="3"/>
  <c r="AL60" i="3"/>
  <c r="E60" i="3"/>
  <c r="AR59" i="3"/>
  <c r="AQ59" i="3"/>
  <c r="AP59" i="3"/>
  <c r="AO59" i="3"/>
  <c r="AM59" i="3"/>
  <c r="AL59" i="3"/>
  <c r="E59" i="3"/>
  <c r="AR58" i="3"/>
  <c r="AQ58" i="3"/>
  <c r="AP58" i="3"/>
  <c r="AO58" i="3"/>
  <c r="AM58" i="3"/>
  <c r="AL58" i="3"/>
  <c r="E58" i="3"/>
  <c r="AR57" i="3"/>
  <c r="AQ57" i="3"/>
  <c r="AP57" i="3"/>
  <c r="AO57" i="3"/>
  <c r="AM57" i="3"/>
  <c r="AL57" i="3"/>
  <c r="E57" i="3"/>
  <c r="AR56" i="3"/>
  <c r="AQ56" i="3"/>
  <c r="AP56" i="3"/>
  <c r="AO56" i="3"/>
  <c r="AM56" i="3"/>
  <c r="AL56" i="3"/>
  <c r="AR55" i="3"/>
  <c r="AQ55" i="3"/>
  <c r="AP55" i="3"/>
  <c r="AO55" i="3"/>
  <c r="AM55" i="3"/>
  <c r="AL55" i="3"/>
  <c r="E55" i="3"/>
  <c r="AR54" i="3"/>
  <c r="AQ54" i="3"/>
  <c r="AP54" i="3"/>
  <c r="AO54" i="3"/>
  <c r="AM54" i="3"/>
  <c r="AL54" i="3"/>
  <c r="E54" i="3"/>
  <c r="AR53" i="3"/>
  <c r="AQ53" i="3"/>
  <c r="AP53" i="3"/>
  <c r="AO53" i="3"/>
  <c r="N53" i="3"/>
  <c r="M53" i="3"/>
  <c r="AL53" i="3" s="1"/>
  <c r="H53" i="3"/>
  <c r="E53" i="3"/>
  <c r="AR52" i="3"/>
  <c r="AQ52" i="3"/>
  <c r="AP52" i="3"/>
  <c r="AO52" i="3"/>
  <c r="AM52" i="3"/>
  <c r="AL52" i="3"/>
  <c r="E52" i="3"/>
  <c r="AR51" i="3"/>
  <c r="AQ51" i="3"/>
  <c r="AP51" i="3"/>
  <c r="AO51" i="3"/>
  <c r="AM51" i="3"/>
  <c r="AL51" i="3"/>
  <c r="E51" i="3"/>
  <c r="AQ50" i="3"/>
  <c r="AE50" i="3"/>
  <c r="AD50" i="3"/>
  <c r="AB50" i="3"/>
  <c r="AA50" i="3"/>
  <c r="Z50" i="3"/>
  <c r="Y50" i="3"/>
  <c r="X50" i="3"/>
  <c r="V50" i="3"/>
  <c r="U50" i="3"/>
  <c r="T50" i="3"/>
  <c r="S50" i="3"/>
  <c r="R50" i="3"/>
  <c r="P50" i="3"/>
  <c r="O50" i="3"/>
  <c r="N50" i="3"/>
  <c r="AR49" i="3"/>
  <c r="AQ49" i="3"/>
  <c r="AP49" i="3"/>
  <c r="AO49" i="3"/>
  <c r="AM49" i="3"/>
  <c r="AL49" i="3"/>
  <c r="AR48" i="3"/>
  <c r="AQ48" i="3"/>
  <c r="AP48" i="3"/>
  <c r="AO48" i="3"/>
  <c r="AM48" i="3"/>
  <c r="AL48" i="3"/>
  <c r="AR47" i="3"/>
  <c r="AQ47" i="3"/>
  <c r="AP47" i="3"/>
  <c r="AO47" i="3"/>
  <c r="AM47" i="3"/>
  <c r="AL47" i="3"/>
  <c r="AR46" i="3"/>
  <c r="AQ46" i="3"/>
  <c r="AP46" i="3"/>
  <c r="AO46" i="3"/>
  <c r="Y46" i="3"/>
  <c r="S46" i="3"/>
  <c r="M46" i="3"/>
  <c r="AR45" i="3"/>
  <c r="AQ45" i="3"/>
  <c r="AP45" i="3"/>
  <c r="AO45" i="3"/>
  <c r="AM45" i="3"/>
  <c r="AL45" i="3"/>
  <c r="AR44" i="3"/>
  <c r="AQ44" i="3"/>
  <c r="AP44" i="3"/>
  <c r="AO44" i="3"/>
  <c r="AM44" i="3"/>
  <c r="AL44" i="3"/>
  <c r="E44" i="3"/>
  <c r="AR43" i="3"/>
  <c r="AQ43" i="3"/>
  <c r="AP43" i="3"/>
  <c r="AO43" i="3"/>
  <c r="AM43" i="3"/>
  <c r="AL43" i="3"/>
  <c r="E43" i="3"/>
  <c r="AR42" i="3"/>
  <c r="AQ42" i="3"/>
  <c r="AP42" i="3"/>
  <c r="AO42" i="3"/>
  <c r="AM42" i="3"/>
  <c r="AL42" i="3"/>
  <c r="E42" i="3"/>
  <c r="AR37" i="3"/>
  <c r="AQ37" i="3"/>
  <c r="AP37" i="3"/>
  <c r="AO37" i="3"/>
  <c r="AM37" i="3"/>
  <c r="AL37" i="3"/>
  <c r="E37" i="3"/>
  <c r="AR38" i="3"/>
  <c r="AQ38" i="3"/>
  <c r="AP38" i="3"/>
  <c r="AO38" i="3"/>
  <c r="AM38" i="3"/>
  <c r="AL38" i="3"/>
  <c r="E38" i="3"/>
  <c r="AR36" i="3"/>
  <c r="AQ36" i="3"/>
  <c r="AP36" i="3"/>
  <c r="AO36" i="3"/>
  <c r="AM36" i="3"/>
  <c r="AL36" i="3"/>
  <c r="E36" i="3"/>
  <c r="AR35" i="3"/>
  <c r="AQ35" i="3"/>
  <c r="AP35" i="3"/>
  <c r="AO35" i="3"/>
  <c r="AM35" i="3"/>
  <c r="AL35" i="3"/>
  <c r="AR34" i="3"/>
  <c r="AQ34" i="3"/>
  <c r="AP34" i="3"/>
  <c r="AO34" i="3"/>
  <c r="AM34" i="3"/>
  <c r="AL34" i="3"/>
  <c r="E34" i="3"/>
  <c r="AR33" i="3"/>
  <c r="AQ33" i="3"/>
  <c r="AP33" i="3"/>
  <c r="AO33" i="3"/>
  <c r="AM33" i="3"/>
  <c r="AL33" i="3"/>
  <c r="AR32" i="3"/>
  <c r="AQ32" i="3"/>
  <c r="AP32" i="3"/>
  <c r="AO32" i="3"/>
  <c r="AM32" i="3"/>
  <c r="AL32" i="3"/>
  <c r="E32" i="3"/>
  <c r="AR31" i="3"/>
  <c r="AQ31" i="3"/>
  <c r="AP31" i="3"/>
  <c r="AO31" i="3"/>
  <c r="AM31" i="3"/>
  <c r="AL31" i="3"/>
  <c r="E31" i="3"/>
  <c r="AR30" i="3"/>
  <c r="AQ30" i="3"/>
  <c r="AP30" i="3"/>
  <c r="AO30" i="3"/>
  <c r="AM30" i="3"/>
  <c r="AL30" i="3"/>
  <c r="E30" i="3"/>
  <c r="AR29" i="3"/>
  <c r="AQ29" i="3"/>
  <c r="AP29" i="3"/>
  <c r="AO29" i="3"/>
  <c r="AM29" i="3"/>
  <c r="AL29" i="3"/>
  <c r="E29" i="3"/>
  <c r="AR28" i="3"/>
  <c r="AQ28" i="3"/>
  <c r="AP28" i="3"/>
  <c r="AO28" i="3"/>
  <c r="AM28" i="3"/>
  <c r="AL28" i="3"/>
  <c r="AR16" i="3"/>
  <c r="AQ16" i="3"/>
  <c r="AP16" i="3"/>
  <c r="AO16" i="3"/>
  <c r="AM16" i="3"/>
  <c r="AL16" i="3"/>
  <c r="E16" i="3"/>
  <c r="AR15" i="3"/>
  <c r="AQ15" i="3"/>
  <c r="AP15" i="3"/>
  <c r="AO15" i="3"/>
  <c r="AM15" i="3"/>
  <c r="AL15" i="3"/>
  <c r="E15" i="3"/>
  <c r="AR5" i="3"/>
  <c r="AQ5" i="3"/>
  <c r="AP5" i="3"/>
  <c r="AO5" i="3"/>
  <c r="AM5" i="3"/>
  <c r="AL5" i="3"/>
  <c r="E5" i="3"/>
  <c r="AR14" i="3"/>
  <c r="AQ14" i="3"/>
  <c r="AP14" i="3"/>
  <c r="AO14" i="3"/>
  <c r="AM14" i="3"/>
  <c r="AL14" i="3"/>
  <c r="E14" i="3"/>
  <c r="AR13" i="3"/>
  <c r="AQ13" i="3"/>
  <c r="AP13" i="3"/>
  <c r="AO13" i="3"/>
  <c r="AM13" i="3"/>
  <c r="AL13" i="3"/>
  <c r="E13" i="3"/>
  <c r="AR12" i="3"/>
  <c r="AQ12" i="3"/>
  <c r="AP12" i="3"/>
  <c r="AO12" i="3"/>
  <c r="AM12" i="3"/>
  <c r="AL12" i="3"/>
  <c r="E12" i="3"/>
  <c r="AR24" i="3"/>
  <c r="AQ24" i="3"/>
  <c r="AP24" i="3"/>
  <c r="AO24" i="3"/>
  <c r="AM24" i="3"/>
  <c r="AL24" i="3"/>
  <c r="E24" i="3"/>
  <c r="AR23" i="3"/>
  <c r="AQ23" i="3"/>
  <c r="AP23" i="3"/>
  <c r="AO23" i="3"/>
  <c r="AM23" i="3"/>
  <c r="AL23" i="3"/>
  <c r="E23" i="3"/>
  <c r="AR3" i="3"/>
  <c r="AQ3" i="3"/>
  <c r="AP3" i="3"/>
  <c r="AO3" i="3"/>
  <c r="AM3" i="3"/>
  <c r="AL3" i="3"/>
  <c r="E3" i="3"/>
  <c r="AR11" i="3"/>
  <c r="AQ11" i="3"/>
  <c r="AP11" i="3"/>
  <c r="AO11" i="3"/>
  <c r="AM11" i="3"/>
  <c r="AL11" i="3"/>
  <c r="E11" i="3"/>
  <c r="AR22" i="3"/>
  <c r="AQ22" i="3"/>
  <c r="AP22" i="3"/>
  <c r="AO22" i="3"/>
  <c r="AM22" i="3"/>
  <c r="AL22" i="3"/>
  <c r="E22" i="3"/>
  <c r="AR10" i="3"/>
  <c r="AQ10" i="3"/>
  <c r="AP10" i="3"/>
  <c r="AO10" i="3"/>
  <c r="AM10" i="3"/>
  <c r="AL10" i="3"/>
  <c r="E10" i="3"/>
  <c r="AR9" i="3"/>
  <c r="AQ9" i="3"/>
  <c r="AP9" i="3"/>
  <c r="AO9" i="3"/>
  <c r="AM9" i="3"/>
  <c r="AL9" i="3"/>
  <c r="E9" i="3"/>
  <c r="AR21" i="3"/>
  <c r="AQ21" i="3"/>
  <c r="AP21" i="3"/>
  <c r="AO21" i="3"/>
  <c r="AM21" i="3"/>
  <c r="AL21" i="3"/>
  <c r="E21" i="3"/>
  <c r="AR8" i="3"/>
  <c r="AQ8" i="3"/>
  <c r="AP8" i="3"/>
  <c r="AO8" i="3"/>
  <c r="AM8" i="3"/>
  <c r="AL8" i="3"/>
  <c r="E8" i="3"/>
  <c r="AR20" i="3"/>
  <c r="AQ20" i="3"/>
  <c r="AP20" i="3"/>
  <c r="AO20" i="3"/>
  <c r="AM20" i="3"/>
  <c r="AL20" i="3"/>
  <c r="E20" i="3"/>
  <c r="AR19" i="3"/>
  <c r="AQ19" i="3"/>
  <c r="AP19" i="3"/>
  <c r="AO19" i="3"/>
  <c r="AM19" i="3"/>
  <c r="AL19" i="3"/>
  <c r="AR4" i="3"/>
  <c r="AQ4" i="3"/>
  <c r="AP4" i="3"/>
  <c r="AO4" i="3"/>
  <c r="AM4" i="3"/>
  <c r="AL4" i="3"/>
  <c r="AR18" i="3"/>
  <c r="AQ18" i="3"/>
  <c r="AP18" i="3"/>
  <c r="AO18" i="3"/>
  <c r="AM18" i="3"/>
  <c r="AL18" i="3"/>
  <c r="E18" i="3"/>
  <c r="AY62" i="3" l="1"/>
  <c r="AZ62" i="3" s="1"/>
  <c r="AN18" i="3"/>
  <c r="AW18" i="3" s="1"/>
  <c r="AN15" i="3"/>
  <c r="AN47" i="3"/>
  <c r="AN23" i="3"/>
  <c r="AL95" i="3"/>
  <c r="AN101" i="3"/>
  <c r="AN16" i="3"/>
  <c r="AN43" i="3"/>
  <c r="AN9" i="3"/>
  <c r="AN3" i="3"/>
  <c r="AN24" i="3"/>
  <c r="AN5" i="3"/>
  <c r="AN52" i="3"/>
  <c r="AN54" i="3"/>
  <c r="AM79" i="3"/>
  <c r="AN79" i="3" s="1"/>
  <c r="AN20" i="3"/>
  <c r="AN19" i="3"/>
  <c r="AN21" i="3"/>
  <c r="AN11" i="3"/>
  <c r="AN14" i="3"/>
  <c r="AN28" i="3"/>
  <c r="AM95" i="3"/>
  <c r="AW5" i="3"/>
  <c r="AY5" i="3" s="1"/>
  <c r="AZ5" i="3" s="1"/>
  <c r="AW14" i="3"/>
  <c r="AX14" i="3" s="1"/>
  <c r="AN45" i="3"/>
  <c r="AM53" i="3"/>
  <c r="AN53" i="3" s="1"/>
  <c r="AN55" i="3"/>
  <c r="AN60" i="3"/>
  <c r="AN77" i="3"/>
  <c r="AN82" i="3"/>
  <c r="AN86" i="3"/>
  <c r="AN99" i="3"/>
  <c r="AN22" i="3"/>
  <c r="AN38" i="3"/>
  <c r="AN44" i="3"/>
  <c r="AL50" i="3"/>
  <c r="AN51" i="3"/>
  <c r="AN56" i="3"/>
  <c r="AN58" i="3"/>
  <c r="AN71" i="3"/>
  <c r="AN75" i="3"/>
  <c r="AN76" i="3"/>
  <c r="AN80" i="3"/>
  <c r="AN84" i="3"/>
  <c r="AN90" i="3"/>
  <c r="AN10" i="3"/>
  <c r="AR94" i="3"/>
  <c r="AW20" i="3"/>
  <c r="AX20" i="3" s="1"/>
  <c r="AN37" i="3"/>
  <c r="AN48" i="3"/>
  <c r="AP50" i="3"/>
  <c r="AO50" i="3"/>
  <c r="AN59" i="3"/>
  <c r="AN61" i="3"/>
  <c r="AN72" i="3"/>
  <c r="AR79" i="3"/>
  <c r="AN78" i="3"/>
  <c r="AN83" i="3"/>
  <c r="AN87" i="3"/>
  <c r="AN92" i="3"/>
  <c r="AN93" i="3"/>
  <c r="AN4" i="3"/>
  <c r="AN36" i="3"/>
  <c r="AM50" i="3"/>
  <c r="AR50" i="3"/>
  <c r="AN57" i="3"/>
  <c r="AN70" i="3"/>
  <c r="AN74" i="3"/>
  <c r="AO79" i="3"/>
  <c r="AN81" i="3"/>
  <c r="AN85" i="3"/>
  <c r="AN91" i="3"/>
  <c r="AM94" i="3"/>
  <c r="AN12" i="3"/>
  <c r="AN42" i="3"/>
  <c r="AN49" i="3"/>
  <c r="AN73" i="3"/>
  <c r="AL94" i="3"/>
  <c r="AP94" i="3"/>
  <c r="AO94" i="3"/>
  <c r="AN13" i="3"/>
  <c r="AN29" i="3"/>
  <c r="AN30" i="3"/>
  <c r="AN31" i="3"/>
  <c r="AN32" i="3"/>
  <c r="AN33" i="3"/>
  <c r="AN34" i="3"/>
  <c r="AN35" i="3"/>
  <c r="AN8" i="3"/>
  <c r="AL46" i="3"/>
  <c r="AM46" i="3"/>
  <c r="AW80" i="3"/>
  <c r="AN100" i="3"/>
  <c r="AP79" i="3"/>
  <c r="AZ21" i="1"/>
  <c r="AT198" i="1"/>
  <c r="AS198" i="1"/>
  <c r="AQ198" i="1"/>
  <c r="AO198" i="1"/>
  <c r="AN198" i="1"/>
  <c r="AM198" i="1"/>
  <c r="AR198" i="1" s="1"/>
  <c r="AT197" i="1"/>
  <c r="AS197" i="1"/>
  <c r="AQ197" i="1"/>
  <c r="AO197" i="1"/>
  <c r="AN197" i="1"/>
  <c r="AM197" i="1"/>
  <c r="AR197" i="1" s="1"/>
  <c r="AT196" i="1"/>
  <c r="AS196" i="1"/>
  <c r="AQ196" i="1"/>
  <c r="AO196" i="1"/>
  <c r="AN196" i="1"/>
  <c r="AM196" i="1"/>
  <c r="AR196" i="1" s="1"/>
  <c r="AT195" i="1"/>
  <c r="AS195" i="1"/>
  <c r="AQ195" i="1"/>
  <c r="AO195" i="1"/>
  <c r="AN195" i="1"/>
  <c r="AM195" i="1"/>
  <c r="AR195" i="1" s="1"/>
  <c r="AT194" i="1"/>
  <c r="AS194" i="1"/>
  <c r="AQ194" i="1"/>
  <c r="AO194" i="1"/>
  <c r="AN194" i="1"/>
  <c r="AM194" i="1"/>
  <c r="AR194" i="1" s="1"/>
  <c r="AT193" i="1"/>
  <c r="AS193" i="1"/>
  <c r="AQ193" i="1"/>
  <c r="AO193" i="1"/>
  <c r="AN193" i="1"/>
  <c r="AM193" i="1"/>
  <c r="AR193" i="1" s="1"/>
  <c r="AT192" i="1"/>
  <c r="AS192" i="1"/>
  <c r="AQ192" i="1"/>
  <c r="AO192" i="1"/>
  <c r="AN192" i="1"/>
  <c r="AM192" i="1"/>
  <c r="AR192" i="1" s="1"/>
  <c r="AT191" i="1"/>
  <c r="AS191" i="1"/>
  <c r="AQ191" i="1"/>
  <c r="AO191" i="1"/>
  <c r="AN191" i="1"/>
  <c r="AM191" i="1"/>
  <c r="AR191" i="1" s="1"/>
  <c r="AT190" i="1"/>
  <c r="AS190" i="1"/>
  <c r="AQ190" i="1"/>
  <c r="AO190" i="1"/>
  <c r="AN190" i="1"/>
  <c r="AM190" i="1"/>
  <c r="AR190" i="1" s="1"/>
  <c r="AT189" i="1"/>
  <c r="AS189" i="1"/>
  <c r="AQ189" i="1"/>
  <c r="AO189" i="1"/>
  <c r="AN189" i="1"/>
  <c r="AM189" i="1"/>
  <c r="AR189" i="1" s="1"/>
  <c r="AT188" i="1"/>
  <c r="AS188" i="1"/>
  <c r="AQ188" i="1"/>
  <c r="AO188" i="1"/>
  <c r="AN188" i="1"/>
  <c r="AM188" i="1"/>
  <c r="AR188" i="1" s="1"/>
  <c r="AT187" i="1"/>
  <c r="AS187" i="1"/>
  <c r="AQ187" i="1"/>
  <c r="AO187" i="1"/>
  <c r="AN187" i="1"/>
  <c r="AM187" i="1"/>
  <c r="AR187" i="1" s="1"/>
  <c r="AT186" i="1"/>
  <c r="AS186" i="1"/>
  <c r="AQ186" i="1"/>
  <c r="AO186" i="1"/>
  <c r="AN186" i="1"/>
  <c r="AM186" i="1"/>
  <c r="AR186" i="1" s="1"/>
  <c r="H186" i="1"/>
  <c r="AT185" i="1"/>
  <c r="AS185" i="1"/>
  <c r="AQ185" i="1"/>
  <c r="AO185" i="1"/>
  <c r="AN185" i="1"/>
  <c r="AM185" i="1"/>
  <c r="AR185" i="1" s="1"/>
  <c r="AT184" i="1"/>
  <c r="AS184" i="1"/>
  <c r="AQ184" i="1"/>
  <c r="AO184" i="1"/>
  <c r="AN184" i="1"/>
  <c r="AM184" i="1"/>
  <c r="AR184" i="1" s="1"/>
  <c r="AT183" i="1"/>
  <c r="AS183" i="1"/>
  <c r="AQ183" i="1"/>
  <c r="AO183" i="1"/>
  <c r="AN183" i="1"/>
  <c r="AM183" i="1"/>
  <c r="AT182" i="1"/>
  <c r="AS182" i="1"/>
  <c r="AQ182" i="1"/>
  <c r="AO182" i="1"/>
  <c r="AN182" i="1"/>
  <c r="AM182" i="1"/>
  <c r="AT181" i="1"/>
  <c r="AS181" i="1"/>
  <c r="AQ181" i="1"/>
  <c r="AO181" i="1"/>
  <c r="AN181" i="1"/>
  <c r="AM181" i="1"/>
  <c r="AR181" i="1" s="1"/>
  <c r="AT180" i="1"/>
  <c r="AS180" i="1"/>
  <c r="AQ180" i="1"/>
  <c r="AO180" i="1"/>
  <c r="AN180" i="1"/>
  <c r="AM180" i="1"/>
  <c r="AR180" i="1" s="1"/>
  <c r="AT179" i="1"/>
  <c r="AS179" i="1"/>
  <c r="AQ179" i="1"/>
  <c r="AO179" i="1"/>
  <c r="AN179" i="1"/>
  <c r="AM179" i="1"/>
  <c r="AR179" i="1" s="1"/>
  <c r="AT178" i="1"/>
  <c r="AS178" i="1"/>
  <c r="AQ178" i="1"/>
  <c r="AO178" i="1"/>
  <c r="AN178" i="1"/>
  <c r="AM178" i="1"/>
  <c r="AR178" i="1" s="1"/>
  <c r="AT177" i="1"/>
  <c r="AS177" i="1"/>
  <c r="AQ177" i="1"/>
  <c r="AO177" i="1"/>
  <c r="AN177" i="1"/>
  <c r="AM177" i="1"/>
  <c r="AT176" i="1"/>
  <c r="AS176" i="1"/>
  <c r="AQ176" i="1"/>
  <c r="AO176" i="1"/>
  <c r="AN176" i="1"/>
  <c r="AM176" i="1"/>
  <c r="AR176" i="1" s="1"/>
  <c r="AT175" i="1"/>
  <c r="AS175" i="1"/>
  <c r="AQ175" i="1"/>
  <c r="AO175" i="1"/>
  <c r="AN175" i="1"/>
  <c r="AM175" i="1"/>
  <c r="AR175" i="1" s="1"/>
  <c r="AT174" i="1"/>
  <c r="AS174" i="1"/>
  <c r="AQ174" i="1"/>
  <c r="AO174" i="1"/>
  <c r="AN174" i="1"/>
  <c r="AM174" i="1"/>
  <c r="AR174" i="1" s="1"/>
  <c r="AT173" i="1"/>
  <c r="AS173" i="1"/>
  <c r="AQ173" i="1"/>
  <c r="AO173" i="1"/>
  <c r="AN173" i="1"/>
  <c r="AM173" i="1"/>
  <c r="AR173" i="1" s="1"/>
  <c r="AT172" i="1"/>
  <c r="AS172" i="1"/>
  <c r="AQ172" i="1"/>
  <c r="AO172" i="1"/>
  <c r="AN172" i="1"/>
  <c r="AM172" i="1"/>
  <c r="AR172" i="1" s="1"/>
  <c r="AT171" i="1"/>
  <c r="AS171" i="1"/>
  <c r="AQ171" i="1"/>
  <c r="AO171" i="1"/>
  <c r="AN171" i="1"/>
  <c r="AM171" i="1"/>
  <c r="AR171" i="1" s="1"/>
  <c r="AO170" i="1"/>
  <c r="AN170" i="1"/>
  <c r="AM170" i="1"/>
  <c r="BA170" i="1" s="1"/>
  <c r="BB170" i="1" s="1"/>
  <c r="AT169" i="1"/>
  <c r="AS169" i="1"/>
  <c r="AQ169" i="1"/>
  <c r="AO169" i="1"/>
  <c r="AN169" i="1"/>
  <c r="AM169" i="1"/>
  <c r="AR169" i="1" s="1"/>
  <c r="AT168" i="1"/>
  <c r="AS168" i="1"/>
  <c r="AQ168" i="1"/>
  <c r="AO168" i="1"/>
  <c r="AN168" i="1"/>
  <c r="AM168" i="1"/>
  <c r="AR168" i="1" s="1"/>
  <c r="AT167" i="1"/>
  <c r="AS167" i="1"/>
  <c r="AQ167" i="1"/>
  <c r="AO167" i="1"/>
  <c r="AN167" i="1"/>
  <c r="AM167" i="1"/>
  <c r="AR167" i="1" s="1"/>
  <c r="AT166" i="1"/>
  <c r="AS166" i="1"/>
  <c r="AQ166" i="1"/>
  <c r="AO166" i="1"/>
  <c r="AN166" i="1"/>
  <c r="AM166" i="1"/>
  <c r="AR166" i="1" s="1"/>
  <c r="AT165" i="1"/>
  <c r="AS165" i="1"/>
  <c r="AQ165" i="1"/>
  <c r="AO165" i="1"/>
  <c r="AN165" i="1"/>
  <c r="AM165" i="1"/>
  <c r="AR165" i="1" s="1"/>
  <c r="AT164" i="1"/>
  <c r="AS164" i="1"/>
  <c r="AQ164" i="1"/>
  <c r="AO164" i="1"/>
  <c r="AN164" i="1"/>
  <c r="AM164" i="1"/>
  <c r="AR164" i="1" s="1"/>
  <c r="AT163" i="1"/>
  <c r="AS163" i="1"/>
  <c r="AQ163" i="1"/>
  <c r="AO163" i="1"/>
  <c r="AN163" i="1"/>
  <c r="AM163" i="1"/>
  <c r="AR163" i="1" s="1"/>
  <c r="AT162" i="1"/>
  <c r="AS162" i="1"/>
  <c r="AQ162" i="1"/>
  <c r="AO162" i="1"/>
  <c r="AN162" i="1"/>
  <c r="AM162" i="1"/>
  <c r="AR162" i="1" s="1"/>
  <c r="AT161" i="1"/>
  <c r="AQ161" i="1"/>
  <c r="AO161" i="1"/>
  <c r="AN161" i="1"/>
  <c r="AM161" i="1"/>
  <c r="AR161" i="1" s="1"/>
  <c r="X161" i="1"/>
  <c r="AS161" i="1" s="1"/>
  <c r="AT160" i="1"/>
  <c r="AS160" i="1"/>
  <c r="AQ160" i="1"/>
  <c r="AO160" i="1"/>
  <c r="AN160" i="1"/>
  <c r="AM160" i="1"/>
  <c r="AR160" i="1" s="1"/>
  <c r="AT157" i="1"/>
  <c r="AS157" i="1"/>
  <c r="AQ157" i="1"/>
  <c r="AO157" i="1"/>
  <c r="AN157" i="1"/>
  <c r="AM157" i="1"/>
  <c r="AR157" i="1" s="1"/>
  <c r="AT156" i="1"/>
  <c r="AS156" i="1"/>
  <c r="AQ156" i="1"/>
  <c r="AO156" i="1"/>
  <c r="AN156" i="1"/>
  <c r="AM156" i="1"/>
  <c r="AR156" i="1" s="1"/>
  <c r="AT155" i="1"/>
  <c r="AS155" i="1"/>
  <c r="AQ155" i="1"/>
  <c r="AO155" i="1"/>
  <c r="AN155" i="1"/>
  <c r="AM155" i="1"/>
  <c r="AR155" i="1" s="1"/>
  <c r="AZ154" i="1"/>
  <c r="AO154" i="1"/>
  <c r="AN154" i="1"/>
  <c r="AM154" i="1"/>
  <c r="AT153" i="1"/>
  <c r="AS153" i="1"/>
  <c r="AQ153" i="1"/>
  <c r="AO153" i="1"/>
  <c r="AN153" i="1"/>
  <c r="AM153" i="1"/>
  <c r="AR153" i="1" s="1"/>
  <c r="AT152" i="1"/>
  <c r="AS152" i="1"/>
  <c r="AQ152" i="1"/>
  <c r="AO152" i="1"/>
  <c r="AN152" i="1"/>
  <c r="AM152" i="1"/>
  <c r="AR152" i="1" s="1"/>
  <c r="AT151" i="1"/>
  <c r="AS151" i="1"/>
  <c r="AQ151" i="1"/>
  <c r="AO151" i="1"/>
  <c r="AN151" i="1"/>
  <c r="AM151" i="1"/>
  <c r="AR151" i="1" s="1"/>
  <c r="AT150" i="1"/>
  <c r="AS150" i="1"/>
  <c r="AQ150" i="1"/>
  <c r="AO150" i="1"/>
  <c r="AN150" i="1"/>
  <c r="AM150" i="1"/>
  <c r="AR150" i="1" s="1"/>
  <c r="AT149" i="1"/>
  <c r="AS149" i="1"/>
  <c r="AQ149" i="1"/>
  <c r="AO149" i="1"/>
  <c r="AN149" i="1"/>
  <c r="AM149" i="1"/>
  <c r="AR149" i="1" s="1"/>
  <c r="AT148" i="1"/>
  <c r="AS148" i="1"/>
  <c r="AQ148" i="1"/>
  <c r="AO148" i="1"/>
  <c r="AN148" i="1"/>
  <c r="AM148" i="1"/>
  <c r="AR148" i="1" s="1"/>
  <c r="AT147" i="1"/>
  <c r="AS147" i="1"/>
  <c r="AQ147" i="1"/>
  <c r="AO147" i="1"/>
  <c r="AN147" i="1"/>
  <c r="AM147" i="1"/>
  <c r="AR147" i="1" s="1"/>
  <c r="AT146" i="1"/>
  <c r="AS146" i="1"/>
  <c r="AQ146" i="1"/>
  <c r="AO146" i="1"/>
  <c r="AN146" i="1"/>
  <c r="AM146" i="1"/>
  <c r="AR146" i="1" s="1"/>
  <c r="AT145" i="1"/>
  <c r="AS145" i="1"/>
  <c r="AQ145" i="1"/>
  <c r="AO145" i="1"/>
  <c r="AN145" i="1"/>
  <c r="AM145" i="1"/>
  <c r="AR145" i="1" s="1"/>
  <c r="AT144" i="1"/>
  <c r="AS144" i="1"/>
  <c r="AQ144" i="1"/>
  <c r="AO144" i="1"/>
  <c r="AN144" i="1"/>
  <c r="AM144" i="1"/>
  <c r="AT143" i="1"/>
  <c r="AS143" i="1"/>
  <c r="AQ143" i="1"/>
  <c r="AO143" i="1"/>
  <c r="AN143" i="1"/>
  <c r="AM143" i="1"/>
  <c r="AR143" i="1" s="1"/>
  <c r="AT142" i="1"/>
  <c r="AS142" i="1"/>
  <c r="AQ142" i="1"/>
  <c r="AO142" i="1"/>
  <c r="AN142" i="1"/>
  <c r="AM142" i="1"/>
  <c r="AR142" i="1" s="1"/>
  <c r="AO141" i="1"/>
  <c r="AN141" i="1"/>
  <c r="AM141" i="1"/>
  <c r="AO140" i="1"/>
  <c r="AN140" i="1"/>
  <c r="AM140" i="1"/>
  <c r="BA140" i="1" s="1"/>
  <c r="BB140" i="1" s="1"/>
  <c r="AT139" i="1"/>
  <c r="AS139" i="1"/>
  <c r="AQ139" i="1"/>
  <c r="AO139" i="1"/>
  <c r="AN139" i="1"/>
  <c r="AM139" i="1"/>
  <c r="AT138" i="1"/>
  <c r="AS138" i="1"/>
  <c r="AQ138" i="1"/>
  <c r="AO138" i="1"/>
  <c r="AN138" i="1"/>
  <c r="AM138" i="1"/>
  <c r="AT137" i="1"/>
  <c r="AS137" i="1"/>
  <c r="AQ137" i="1"/>
  <c r="AO137" i="1"/>
  <c r="AN137" i="1"/>
  <c r="AM137" i="1"/>
  <c r="AO136" i="1"/>
  <c r="AN136" i="1"/>
  <c r="AM136" i="1"/>
  <c r="AO135" i="1"/>
  <c r="AN135" i="1"/>
  <c r="AM135" i="1"/>
  <c r="AO134" i="1"/>
  <c r="AN134" i="1"/>
  <c r="AM134" i="1"/>
  <c r="AZ133" i="1"/>
  <c r="AO133" i="1"/>
  <c r="AN133" i="1"/>
  <c r="AM133" i="1"/>
  <c r="AT129" i="1"/>
  <c r="AS129" i="1"/>
  <c r="AQ129" i="1"/>
  <c r="AO129" i="1"/>
  <c r="AN129" i="1"/>
  <c r="AM129" i="1"/>
  <c r="AR129" i="1" s="1"/>
  <c r="AT128" i="1"/>
  <c r="AS128" i="1"/>
  <c r="AQ128" i="1"/>
  <c r="AO128" i="1"/>
  <c r="AN128" i="1"/>
  <c r="AM128" i="1"/>
  <c r="AR128" i="1" s="1"/>
  <c r="AT127" i="1"/>
  <c r="AS127" i="1"/>
  <c r="AQ127" i="1"/>
  <c r="AO127" i="1"/>
  <c r="AN127" i="1"/>
  <c r="AM127" i="1"/>
  <c r="AR127" i="1" s="1"/>
  <c r="AT126" i="1"/>
  <c r="AS126" i="1"/>
  <c r="AQ126" i="1"/>
  <c r="AO126" i="1"/>
  <c r="AN126" i="1"/>
  <c r="AM126" i="1"/>
  <c r="AR126" i="1" s="1"/>
  <c r="AZ125" i="1"/>
  <c r="AO125" i="1"/>
  <c r="AN125" i="1"/>
  <c r="AM125" i="1"/>
  <c r="AO124" i="1"/>
  <c r="AN124" i="1"/>
  <c r="AM124" i="1"/>
  <c r="BA124" i="1" s="1"/>
  <c r="BB124" i="1" s="1"/>
  <c r="AZ123" i="1"/>
  <c r="AO123" i="1"/>
  <c r="AN123" i="1"/>
  <c r="AM123" i="1"/>
  <c r="AO122" i="1"/>
  <c r="AN122" i="1"/>
  <c r="AM122" i="1"/>
  <c r="BA122" i="1" s="1"/>
  <c r="BB122" i="1" s="1"/>
  <c r="AT121" i="1"/>
  <c r="AS121" i="1"/>
  <c r="AQ121" i="1"/>
  <c r="AO121" i="1"/>
  <c r="AN121" i="1"/>
  <c r="AM121" i="1"/>
  <c r="AR121" i="1" s="1"/>
  <c r="AT120" i="1"/>
  <c r="AS120" i="1"/>
  <c r="AQ120" i="1"/>
  <c r="AO120" i="1"/>
  <c r="AN120" i="1"/>
  <c r="AM120" i="1"/>
  <c r="AR120" i="1" s="1"/>
  <c r="AT119" i="1"/>
  <c r="AS119" i="1"/>
  <c r="AQ119" i="1"/>
  <c r="AO119" i="1"/>
  <c r="AN119" i="1"/>
  <c r="AM119" i="1"/>
  <c r="AR119" i="1" s="1"/>
  <c r="AT118" i="1"/>
  <c r="AS118" i="1"/>
  <c r="AQ118" i="1"/>
  <c r="AO118" i="1"/>
  <c r="AN118" i="1"/>
  <c r="AM118" i="1"/>
  <c r="AR118" i="1" s="1"/>
  <c r="AT117" i="1"/>
  <c r="AB117" i="1"/>
  <c r="AA117" i="1"/>
  <c r="V117" i="1"/>
  <c r="U117" i="1"/>
  <c r="T117" i="1"/>
  <c r="AM117" i="1" s="1"/>
  <c r="R117" i="1"/>
  <c r="AS117" i="1" s="1"/>
  <c r="Q117" i="1"/>
  <c r="P117" i="1"/>
  <c r="O117" i="1"/>
  <c r="K117" i="1"/>
  <c r="J117" i="1"/>
  <c r="I117" i="1"/>
  <c r="AT116" i="1"/>
  <c r="AS116" i="1"/>
  <c r="AQ116" i="1"/>
  <c r="AO116" i="1"/>
  <c r="AN116" i="1"/>
  <c r="AM116" i="1"/>
  <c r="AR116" i="1" s="1"/>
  <c r="AT115" i="1"/>
  <c r="AS115" i="1"/>
  <c r="AQ115" i="1"/>
  <c r="AO115" i="1"/>
  <c r="AN115" i="1"/>
  <c r="AM115" i="1"/>
  <c r="AR115" i="1" s="1"/>
  <c r="AZ114" i="1"/>
  <c r="AO114" i="1"/>
  <c r="AN114" i="1"/>
  <c r="AM114" i="1"/>
  <c r="AT113" i="1"/>
  <c r="AS113" i="1"/>
  <c r="AQ113" i="1"/>
  <c r="AO113" i="1"/>
  <c r="AN113" i="1"/>
  <c r="AM113" i="1"/>
  <c r="AR113" i="1" s="1"/>
  <c r="AT112" i="1"/>
  <c r="AS112" i="1"/>
  <c r="AQ112" i="1"/>
  <c r="AO112" i="1"/>
  <c r="AN112" i="1"/>
  <c r="AM112" i="1"/>
  <c r="AR112" i="1" s="1"/>
  <c r="AT111" i="1"/>
  <c r="AS111" i="1"/>
  <c r="AQ111" i="1"/>
  <c r="AO111" i="1"/>
  <c r="AN111" i="1"/>
  <c r="AM111" i="1"/>
  <c r="AR111" i="1" s="1"/>
  <c r="AT110" i="1"/>
  <c r="AS110" i="1"/>
  <c r="AQ110" i="1"/>
  <c r="AO110" i="1"/>
  <c r="AN110" i="1"/>
  <c r="AM110" i="1"/>
  <c r="AR110" i="1" s="1"/>
  <c r="AT109" i="1"/>
  <c r="AS109" i="1"/>
  <c r="AQ109" i="1"/>
  <c r="AO109" i="1"/>
  <c r="AN109" i="1"/>
  <c r="AM109" i="1"/>
  <c r="AR109" i="1" s="1"/>
  <c r="AT108" i="1"/>
  <c r="AS108" i="1"/>
  <c r="AQ108" i="1"/>
  <c r="AO108" i="1"/>
  <c r="AN108" i="1"/>
  <c r="AM108" i="1"/>
  <c r="AR108" i="1" s="1"/>
  <c r="AT107" i="1"/>
  <c r="AS107" i="1"/>
  <c r="AQ107" i="1"/>
  <c r="AO107" i="1"/>
  <c r="AN107" i="1"/>
  <c r="AM107" i="1"/>
  <c r="AR107" i="1" s="1"/>
  <c r="AT106" i="1"/>
  <c r="AS106" i="1"/>
  <c r="AQ106" i="1"/>
  <c r="AO106" i="1"/>
  <c r="AN106" i="1"/>
  <c r="AM106" i="1"/>
  <c r="AR106" i="1" s="1"/>
  <c r="AT105" i="1"/>
  <c r="AS105" i="1"/>
  <c r="AQ105" i="1"/>
  <c r="AO105" i="1"/>
  <c r="AN105" i="1"/>
  <c r="AM105" i="1"/>
  <c r="AR105" i="1" s="1"/>
  <c r="AT100" i="1"/>
  <c r="AS100" i="1"/>
  <c r="AQ100" i="1"/>
  <c r="AO100" i="1"/>
  <c r="AN100" i="1"/>
  <c r="AM100" i="1"/>
  <c r="AR100" i="1" s="1"/>
  <c r="AT99" i="1"/>
  <c r="AS99" i="1"/>
  <c r="AQ99" i="1"/>
  <c r="AO99" i="1"/>
  <c r="AN99" i="1"/>
  <c r="AM99" i="1"/>
  <c r="AR99" i="1" s="1"/>
  <c r="AT98" i="1"/>
  <c r="AS98" i="1"/>
  <c r="AQ98" i="1"/>
  <c r="AO98" i="1"/>
  <c r="AN98" i="1"/>
  <c r="AM98" i="1"/>
  <c r="AT97" i="1"/>
  <c r="AS97" i="1"/>
  <c r="AQ97" i="1"/>
  <c r="AO97" i="1"/>
  <c r="AN97" i="1"/>
  <c r="AM97" i="1"/>
  <c r="AR97" i="1" s="1"/>
  <c r="AT96" i="1"/>
  <c r="AS96" i="1"/>
  <c r="AQ96" i="1"/>
  <c r="AO96" i="1"/>
  <c r="AN96" i="1"/>
  <c r="AM96" i="1"/>
  <c r="AR96" i="1" s="1"/>
  <c r="AT95" i="1"/>
  <c r="AS95" i="1"/>
  <c r="AQ95" i="1"/>
  <c r="AO95" i="1"/>
  <c r="AN95" i="1"/>
  <c r="AM95" i="1"/>
  <c r="AR95" i="1" s="1"/>
  <c r="AT94" i="1"/>
  <c r="AS94" i="1"/>
  <c r="AQ94" i="1"/>
  <c r="AO94" i="1"/>
  <c r="AN94" i="1"/>
  <c r="AM94" i="1"/>
  <c r="AR94" i="1" s="1"/>
  <c r="AZ93" i="1"/>
  <c r="AO93" i="1"/>
  <c r="AN93" i="1"/>
  <c r="AM93" i="1"/>
  <c r="AT92" i="1"/>
  <c r="AS92" i="1"/>
  <c r="AQ92" i="1"/>
  <c r="AO92" i="1"/>
  <c r="AN92" i="1"/>
  <c r="AM92" i="1"/>
  <c r="AR92" i="1" s="1"/>
  <c r="AT91" i="1"/>
  <c r="AS91" i="1"/>
  <c r="AQ91" i="1"/>
  <c r="AO91" i="1"/>
  <c r="AN91" i="1"/>
  <c r="AM91" i="1"/>
  <c r="AR91" i="1" s="1"/>
  <c r="AT90" i="1"/>
  <c r="AS90" i="1"/>
  <c r="AQ90" i="1"/>
  <c r="AO90" i="1"/>
  <c r="AN90" i="1"/>
  <c r="AM90" i="1"/>
  <c r="AR90" i="1" s="1"/>
  <c r="AT89" i="1"/>
  <c r="AS89" i="1"/>
  <c r="AQ89" i="1"/>
  <c r="AO89" i="1"/>
  <c r="AN89" i="1"/>
  <c r="AM89" i="1"/>
  <c r="AR89" i="1" s="1"/>
  <c r="AT88" i="1"/>
  <c r="AS88" i="1"/>
  <c r="AQ88" i="1"/>
  <c r="AO88" i="1"/>
  <c r="AN88" i="1"/>
  <c r="AM88" i="1"/>
  <c r="AR88" i="1" s="1"/>
  <c r="AT86" i="1"/>
  <c r="AS86" i="1"/>
  <c r="AQ86" i="1"/>
  <c r="AO86" i="1"/>
  <c r="AN86" i="1"/>
  <c r="AM86" i="1"/>
  <c r="AR86" i="1" s="1"/>
  <c r="AT85" i="1"/>
  <c r="AS85" i="1"/>
  <c r="AQ85" i="1"/>
  <c r="AO85" i="1"/>
  <c r="AN85" i="1"/>
  <c r="AM85" i="1"/>
  <c r="AR85" i="1" s="1"/>
  <c r="AT87" i="1"/>
  <c r="AS87" i="1"/>
  <c r="AQ87" i="1"/>
  <c r="AO87" i="1"/>
  <c r="AN87" i="1"/>
  <c r="AM87" i="1"/>
  <c r="AR87" i="1" s="1"/>
  <c r="AT84" i="1"/>
  <c r="AS84" i="1"/>
  <c r="AQ84" i="1"/>
  <c r="AO84" i="1"/>
  <c r="AN84" i="1"/>
  <c r="AM84" i="1"/>
  <c r="AR84" i="1" s="1"/>
  <c r="AT83" i="1"/>
  <c r="AS83" i="1"/>
  <c r="AQ83" i="1"/>
  <c r="AO83" i="1"/>
  <c r="AN83" i="1"/>
  <c r="AM83" i="1"/>
  <c r="AR83" i="1" s="1"/>
  <c r="AT82" i="1"/>
  <c r="AS82" i="1"/>
  <c r="AQ82" i="1"/>
  <c r="AO82" i="1"/>
  <c r="AN82" i="1"/>
  <c r="AM82" i="1"/>
  <c r="AR82" i="1" s="1"/>
  <c r="AS81" i="1"/>
  <c r="Z81" i="1"/>
  <c r="Y81" i="1"/>
  <c r="W81" i="1"/>
  <c r="V81" i="1"/>
  <c r="U81" i="1"/>
  <c r="N81" i="1"/>
  <c r="M81" i="1"/>
  <c r="K81" i="1"/>
  <c r="J81" i="1"/>
  <c r="I81" i="1"/>
  <c r="AT80" i="1"/>
  <c r="AS80" i="1"/>
  <c r="AQ80" i="1"/>
  <c r="AO80" i="1"/>
  <c r="AN80" i="1"/>
  <c r="AM80" i="1"/>
  <c r="AR80" i="1" s="1"/>
  <c r="AS79" i="1"/>
  <c r="AO79" i="1"/>
  <c r="T79" i="1"/>
  <c r="AM79" i="1" s="1"/>
  <c r="S79" i="1"/>
  <c r="AT79" i="1" s="1"/>
  <c r="Q79" i="1"/>
  <c r="P79" i="1"/>
  <c r="AQ79" i="1" s="1"/>
  <c r="AT78" i="1"/>
  <c r="AS78" i="1"/>
  <c r="AQ78" i="1"/>
  <c r="AO78" i="1"/>
  <c r="AN78" i="1"/>
  <c r="AM78" i="1"/>
  <c r="AR78" i="1" s="1"/>
  <c r="AT77" i="1"/>
  <c r="AS77" i="1"/>
  <c r="AQ77" i="1"/>
  <c r="AO77" i="1"/>
  <c r="AN77" i="1"/>
  <c r="AM77" i="1"/>
  <c r="AR77" i="1" s="1"/>
  <c r="AT71" i="1"/>
  <c r="AS71" i="1"/>
  <c r="AQ71" i="1"/>
  <c r="AO71" i="1"/>
  <c r="AN71" i="1"/>
  <c r="AM71" i="1"/>
  <c r="AR71" i="1" s="1"/>
  <c r="AT70" i="1"/>
  <c r="AS70" i="1"/>
  <c r="AQ70" i="1"/>
  <c r="AO70" i="1"/>
  <c r="AN70" i="1"/>
  <c r="AM70" i="1"/>
  <c r="AR70" i="1" s="1"/>
  <c r="AT69" i="1"/>
  <c r="AS69" i="1"/>
  <c r="AQ69" i="1"/>
  <c r="AO69" i="1"/>
  <c r="AN69" i="1"/>
  <c r="AM69" i="1"/>
  <c r="AR69" i="1" s="1"/>
  <c r="AL64" i="1"/>
  <c r="AK64" i="1"/>
  <c r="AJ64" i="1"/>
  <c r="AI64" i="1"/>
  <c r="AH64" i="1"/>
  <c r="AG64" i="1"/>
  <c r="AF64" i="1"/>
  <c r="AE64" i="1"/>
  <c r="AD64" i="1"/>
  <c r="AC64" i="1"/>
  <c r="AB64" i="1"/>
  <c r="AA64" i="1"/>
  <c r="AT63" i="1"/>
  <c r="AS63" i="1"/>
  <c r="AQ63" i="1"/>
  <c r="AO63" i="1"/>
  <c r="AN63" i="1"/>
  <c r="AM63" i="1"/>
  <c r="AR63" i="1" s="1"/>
  <c r="AT68" i="1"/>
  <c r="AS68" i="1"/>
  <c r="AQ68" i="1"/>
  <c r="AO68" i="1"/>
  <c r="AN68" i="1"/>
  <c r="AM68" i="1"/>
  <c r="AR68" i="1" s="1"/>
  <c r="AT67" i="1"/>
  <c r="AS67" i="1"/>
  <c r="AQ67" i="1"/>
  <c r="AO67" i="1"/>
  <c r="AN67" i="1"/>
  <c r="AM67" i="1"/>
  <c r="AR67" i="1" s="1"/>
  <c r="AT66" i="1"/>
  <c r="AS66" i="1"/>
  <c r="AQ66" i="1"/>
  <c r="AO66" i="1"/>
  <c r="AN66" i="1"/>
  <c r="AM66" i="1"/>
  <c r="AR66" i="1" s="1"/>
  <c r="AT65" i="1"/>
  <c r="AS65" i="1"/>
  <c r="AQ65" i="1"/>
  <c r="AO65" i="1"/>
  <c r="AN65" i="1"/>
  <c r="AM65" i="1"/>
  <c r="AR65" i="1" s="1"/>
  <c r="AT62" i="1"/>
  <c r="AS62" i="1"/>
  <c r="AQ62" i="1"/>
  <c r="AO62" i="1"/>
  <c r="AN62" i="1"/>
  <c r="AM62" i="1"/>
  <c r="AR62" i="1" s="1"/>
  <c r="AT61" i="1"/>
  <c r="AS61" i="1"/>
  <c r="AQ61" i="1"/>
  <c r="AO61" i="1"/>
  <c r="AN61" i="1"/>
  <c r="AM61" i="1"/>
  <c r="AT60" i="1"/>
  <c r="AS60" i="1"/>
  <c r="AQ60" i="1"/>
  <c r="AO60" i="1"/>
  <c r="AN60" i="1"/>
  <c r="AM60" i="1"/>
  <c r="AR60" i="1" s="1"/>
  <c r="AT59" i="1"/>
  <c r="AS59" i="1"/>
  <c r="AQ59" i="1"/>
  <c r="AO59" i="1"/>
  <c r="AN59" i="1"/>
  <c r="AM59" i="1"/>
  <c r="AR59" i="1" s="1"/>
  <c r="AT58" i="1"/>
  <c r="AS58" i="1"/>
  <c r="AQ58" i="1"/>
  <c r="AO58" i="1"/>
  <c r="AN58" i="1"/>
  <c r="AM58" i="1"/>
  <c r="AR58" i="1" s="1"/>
  <c r="AT57" i="1"/>
  <c r="AS57" i="1"/>
  <c r="AQ57" i="1"/>
  <c r="AO57" i="1"/>
  <c r="AN57" i="1"/>
  <c r="AM57" i="1"/>
  <c r="AR57" i="1" s="1"/>
  <c r="AT56" i="1"/>
  <c r="AS56" i="1"/>
  <c r="AQ56" i="1"/>
  <c r="AO56" i="1"/>
  <c r="AN56" i="1"/>
  <c r="AM56" i="1"/>
  <c r="AR56" i="1" s="1"/>
  <c r="AO55" i="1"/>
  <c r="AN55" i="1"/>
  <c r="AM55" i="1"/>
  <c r="AO54" i="1"/>
  <c r="AN54" i="1"/>
  <c r="AM54" i="1"/>
  <c r="AZ53" i="1"/>
  <c r="AO53" i="1"/>
  <c r="AN53" i="1"/>
  <c r="AM53" i="1"/>
  <c r="BA53" i="1" s="1"/>
  <c r="AT48" i="1"/>
  <c r="AS48" i="1"/>
  <c r="AQ48" i="1"/>
  <c r="AO48" i="1"/>
  <c r="AN48" i="1"/>
  <c r="AM48" i="1"/>
  <c r="AR48" i="1" s="1"/>
  <c r="AT47" i="1"/>
  <c r="AS47" i="1"/>
  <c r="AQ47" i="1"/>
  <c r="AO47" i="1"/>
  <c r="AN47" i="1"/>
  <c r="AM47" i="1"/>
  <c r="AR47" i="1" s="1"/>
  <c r="AT31" i="1"/>
  <c r="AS31" i="1"/>
  <c r="AQ31" i="1"/>
  <c r="AO31" i="1"/>
  <c r="AN31" i="1"/>
  <c r="AM31" i="1"/>
  <c r="AR31" i="1" s="1"/>
  <c r="AT46" i="1"/>
  <c r="AS46" i="1"/>
  <c r="AQ46" i="1"/>
  <c r="AO46" i="1"/>
  <c r="AN46" i="1"/>
  <c r="AM46" i="1"/>
  <c r="AR46" i="1" s="1"/>
  <c r="AT45" i="1"/>
  <c r="AS45" i="1"/>
  <c r="AQ45" i="1"/>
  <c r="AO45" i="1"/>
  <c r="AN45" i="1"/>
  <c r="AM45" i="1"/>
  <c r="AR45" i="1" s="1"/>
  <c r="AT44" i="1"/>
  <c r="AS44" i="1"/>
  <c r="AQ44" i="1"/>
  <c r="AO44" i="1"/>
  <c r="AN44" i="1"/>
  <c r="AM44" i="1"/>
  <c r="AR44" i="1" s="1"/>
  <c r="AS43" i="1"/>
  <c r="AF43" i="1"/>
  <c r="AM43" i="1" s="1"/>
  <c r="AE43" i="1"/>
  <c r="AT43" i="1" s="1"/>
  <c r="AC43" i="1"/>
  <c r="AB43" i="1"/>
  <c r="AQ43" i="1" s="1"/>
  <c r="AA43" i="1"/>
  <c r="AT42" i="1"/>
  <c r="AS42" i="1"/>
  <c r="AQ42" i="1"/>
  <c r="AO42" i="1"/>
  <c r="AN42" i="1"/>
  <c r="AM42" i="1"/>
  <c r="AR42" i="1" s="1"/>
  <c r="AT30" i="1"/>
  <c r="AS30" i="1"/>
  <c r="AQ30" i="1"/>
  <c r="AO30" i="1"/>
  <c r="AN30" i="1"/>
  <c r="AM30" i="1"/>
  <c r="AR30" i="1" s="1"/>
  <c r="AT41" i="1"/>
  <c r="AS41" i="1"/>
  <c r="AQ41" i="1"/>
  <c r="AO41" i="1"/>
  <c r="AN41" i="1"/>
  <c r="AM41" i="1"/>
  <c r="AR41" i="1" s="1"/>
  <c r="AT40" i="1"/>
  <c r="AS40" i="1"/>
  <c r="AQ40" i="1"/>
  <c r="AO40" i="1"/>
  <c r="AN40" i="1"/>
  <c r="AM40" i="1"/>
  <c r="AR40" i="1" s="1"/>
  <c r="AS39" i="1"/>
  <c r="AQ39" i="1"/>
  <c r="AO39" i="1"/>
  <c r="AN39" i="1"/>
  <c r="AM39" i="1"/>
  <c r="AR39" i="1" s="1"/>
  <c r="AT38" i="1"/>
  <c r="AS38" i="1"/>
  <c r="AQ38" i="1"/>
  <c r="AO38" i="1"/>
  <c r="AN38" i="1"/>
  <c r="AM38" i="1"/>
  <c r="AR38" i="1" s="1"/>
  <c r="AT37" i="1"/>
  <c r="AS37" i="1"/>
  <c r="AQ37" i="1"/>
  <c r="AO37" i="1"/>
  <c r="AN37" i="1"/>
  <c r="AM37" i="1"/>
  <c r="AR37" i="1" s="1"/>
  <c r="AT29" i="1"/>
  <c r="AS29" i="1"/>
  <c r="AQ29" i="1"/>
  <c r="AO29" i="1"/>
  <c r="AN29" i="1"/>
  <c r="AM29" i="1"/>
  <c r="AR29" i="1" s="1"/>
  <c r="AT28" i="1"/>
  <c r="AS28" i="1"/>
  <c r="AQ28" i="1"/>
  <c r="AO28" i="1"/>
  <c r="AN28" i="1"/>
  <c r="AM28" i="1"/>
  <c r="AR28" i="1" s="1"/>
  <c r="AS36" i="1"/>
  <c r="AO36" i="1"/>
  <c r="T36" i="1"/>
  <c r="S36" i="1"/>
  <c r="Q36" i="1"/>
  <c r="P36" i="1"/>
  <c r="N36" i="1"/>
  <c r="AN36" i="1" s="1"/>
  <c r="M36" i="1"/>
  <c r="K36" i="1"/>
  <c r="J36" i="1"/>
  <c r="AT35" i="1"/>
  <c r="AS35" i="1"/>
  <c r="AQ35" i="1"/>
  <c r="AO35" i="1"/>
  <c r="AN35" i="1"/>
  <c r="AM35" i="1"/>
  <c r="AR35" i="1" s="1"/>
  <c r="AT34" i="1"/>
  <c r="AS34" i="1"/>
  <c r="AQ34" i="1"/>
  <c r="AO34" i="1"/>
  <c r="AN34" i="1"/>
  <c r="AM34" i="1"/>
  <c r="AR34" i="1" s="1"/>
  <c r="AT33" i="1"/>
  <c r="AS33" i="1"/>
  <c r="AQ33" i="1"/>
  <c r="AO33" i="1"/>
  <c r="AN33" i="1"/>
  <c r="AM33" i="1"/>
  <c r="AR33" i="1" s="1"/>
  <c r="AT13" i="1"/>
  <c r="AS13" i="1"/>
  <c r="AQ13" i="1"/>
  <c r="AO13" i="1"/>
  <c r="AN13" i="1"/>
  <c r="AM13" i="1"/>
  <c r="AR13" i="1" s="1"/>
  <c r="AT8" i="1"/>
  <c r="AS8" i="1"/>
  <c r="AQ8" i="1"/>
  <c r="AO8" i="1"/>
  <c r="AN8" i="1"/>
  <c r="AM8" i="1"/>
  <c r="AR8" i="1" s="1"/>
  <c r="AT23" i="1"/>
  <c r="AS23" i="1"/>
  <c r="AQ23" i="1"/>
  <c r="AO23" i="1"/>
  <c r="AN23" i="1"/>
  <c r="AM23" i="1"/>
  <c r="AR23" i="1" s="1"/>
  <c r="AT22" i="1"/>
  <c r="AS22" i="1"/>
  <c r="AQ22" i="1"/>
  <c r="AO22" i="1"/>
  <c r="AN22" i="1"/>
  <c r="AM22" i="1"/>
  <c r="AR22" i="1" s="1"/>
  <c r="AQ21" i="1"/>
  <c r="AO21" i="1"/>
  <c r="AN21" i="1"/>
  <c r="AM21" i="1"/>
  <c r="AT20" i="1"/>
  <c r="AS20" i="1"/>
  <c r="AQ20" i="1"/>
  <c r="AO20" i="1"/>
  <c r="AN20" i="1"/>
  <c r="AM20" i="1"/>
  <c r="AR20" i="1" s="1"/>
  <c r="AT19" i="1"/>
  <c r="AS19" i="1"/>
  <c r="AQ19" i="1"/>
  <c r="AO19" i="1"/>
  <c r="AN19" i="1"/>
  <c r="AM19" i="1"/>
  <c r="AR19" i="1" s="1"/>
  <c r="AT18" i="1"/>
  <c r="AS18" i="1"/>
  <c r="AQ18" i="1"/>
  <c r="AO18" i="1"/>
  <c r="AN18" i="1"/>
  <c r="AM18" i="1"/>
  <c r="AT17" i="1"/>
  <c r="AS17" i="1"/>
  <c r="AQ17" i="1"/>
  <c r="AO17" i="1"/>
  <c r="AN17" i="1"/>
  <c r="AM17" i="1"/>
  <c r="AR17" i="1" s="1"/>
  <c r="AT7" i="1"/>
  <c r="AS7" i="1"/>
  <c r="AQ7" i="1"/>
  <c r="AO7" i="1"/>
  <c r="AN7" i="1"/>
  <c r="AM7" i="1"/>
  <c r="AR7" i="1" s="1"/>
  <c r="AT16" i="1"/>
  <c r="AS16" i="1"/>
  <c r="AQ16" i="1"/>
  <c r="AO16" i="1"/>
  <c r="AN16" i="1"/>
  <c r="AM16" i="1"/>
  <c r="AR16" i="1" s="1"/>
  <c r="AT4" i="1"/>
  <c r="AS4" i="1"/>
  <c r="AQ4" i="1"/>
  <c r="AO4" i="1"/>
  <c r="AN4" i="1"/>
  <c r="AM4" i="1"/>
  <c r="AT15" i="1"/>
  <c r="AS15" i="1"/>
  <c r="AQ15" i="1"/>
  <c r="AO15" i="1"/>
  <c r="AN15" i="1"/>
  <c r="AM15" i="1"/>
  <c r="AR15" i="1" s="1"/>
  <c r="AT3" i="1"/>
  <c r="AS3" i="1"/>
  <c r="AQ3" i="1"/>
  <c r="AO3" i="1"/>
  <c r="AN3" i="1"/>
  <c r="AM3" i="1"/>
  <c r="AR3" i="1" s="1"/>
  <c r="AT6" i="1"/>
  <c r="AS6" i="1"/>
  <c r="AQ6" i="1"/>
  <c r="AO6" i="1"/>
  <c r="AN6" i="1"/>
  <c r="AM6" i="1"/>
  <c r="AR6" i="1" s="1"/>
  <c r="AT5" i="1"/>
  <c r="AS5" i="1"/>
  <c r="AQ5" i="1"/>
  <c r="AO5" i="1"/>
  <c r="AN5" i="1"/>
  <c r="AM5" i="1"/>
  <c r="AR5" i="1" s="1"/>
  <c r="AY18" i="3" l="1"/>
  <c r="BB53" i="1"/>
  <c r="AW100" i="3"/>
  <c r="AT100" i="3"/>
  <c r="AU100" i="3"/>
  <c r="AW8" i="3"/>
  <c r="AT8" i="3"/>
  <c r="AU8" i="3"/>
  <c r="AW34" i="3"/>
  <c r="AT34" i="3"/>
  <c r="AU34" i="3"/>
  <c r="AW32" i="3"/>
  <c r="AT32" i="3"/>
  <c r="AU32" i="3"/>
  <c r="AW30" i="3"/>
  <c r="AT30" i="3"/>
  <c r="AU30" i="3"/>
  <c r="AW13" i="3"/>
  <c r="AT13" i="3"/>
  <c r="AU13" i="3"/>
  <c r="AW73" i="3"/>
  <c r="AT73" i="3"/>
  <c r="AU73" i="3"/>
  <c r="AW42" i="3"/>
  <c r="AT42" i="3"/>
  <c r="AU42" i="3"/>
  <c r="AW85" i="3"/>
  <c r="AY85" i="3" s="1"/>
  <c r="AZ85" i="3" s="1"/>
  <c r="AT85" i="3"/>
  <c r="AU85" i="3"/>
  <c r="AW70" i="3"/>
  <c r="AT70" i="3"/>
  <c r="AU70" i="3"/>
  <c r="AW36" i="3"/>
  <c r="AX36" i="3" s="1"/>
  <c r="AT36" i="3"/>
  <c r="AU36" i="3"/>
  <c r="AW93" i="3"/>
  <c r="AT93" i="3"/>
  <c r="AU93" i="3"/>
  <c r="AW87" i="3"/>
  <c r="AX87" i="3" s="1"/>
  <c r="AT87" i="3"/>
  <c r="AU87" i="3"/>
  <c r="AW78" i="3"/>
  <c r="AT78" i="3"/>
  <c r="AU78" i="3"/>
  <c r="AW72" i="3"/>
  <c r="AT72" i="3"/>
  <c r="AU72" i="3"/>
  <c r="AW59" i="3"/>
  <c r="AT59" i="3"/>
  <c r="AU59" i="3"/>
  <c r="AW37" i="3"/>
  <c r="AX37" i="3" s="1"/>
  <c r="AT37" i="3"/>
  <c r="AU37" i="3"/>
  <c r="AW10" i="3"/>
  <c r="AY10" i="3" s="1"/>
  <c r="AZ10" i="3" s="1"/>
  <c r="AT10" i="3"/>
  <c r="AU10" i="3"/>
  <c r="AW84" i="3"/>
  <c r="AT84" i="3"/>
  <c r="AU84" i="3"/>
  <c r="AW76" i="3"/>
  <c r="AY76" i="3" s="1"/>
  <c r="AZ76" i="3" s="1"/>
  <c r="AT76" i="3"/>
  <c r="AU76" i="3"/>
  <c r="AW71" i="3"/>
  <c r="AT71" i="3"/>
  <c r="AU71" i="3"/>
  <c r="AW56" i="3"/>
  <c r="AT56" i="3"/>
  <c r="AU56" i="3"/>
  <c r="AW38" i="3"/>
  <c r="AX38" i="3" s="1"/>
  <c r="AT38" i="3"/>
  <c r="AU38" i="3"/>
  <c r="AW99" i="3"/>
  <c r="AX99" i="3" s="1"/>
  <c r="AT99" i="3"/>
  <c r="AU99" i="3"/>
  <c r="AW82" i="3"/>
  <c r="AY82" i="3" s="1"/>
  <c r="AZ82" i="3" s="1"/>
  <c r="AT82" i="3"/>
  <c r="AU82" i="3"/>
  <c r="AW60" i="3"/>
  <c r="AY60" i="3" s="1"/>
  <c r="AZ60" i="3" s="1"/>
  <c r="AT60" i="3"/>
  <c r="AU60" i="3"/>
  <c r="AW53" i="3"/>
  <c r="AX53" i="3" s="1"/>
  <c r="AT53" i="3"/>
  <c r="AU53" i="3"/>
  <c r="AT14" i="3"/>
  <c r="AU14" i="3"/>
  <c r="AW21" i="3"/>
  <c r="AX21" i="3" s="1"/>
  <c r="AT21" i="3"/>
  <c r="AU21" i="3"/>
  <c r="AT20" i="3"/>
  <c r="AU20" i="3"/>
  <c r="AW54" i="3"/>
  <c r="AY54" i="3" s="1"/>
  <c r="AZ54" i="3" s="1"/>
  <c r="AT54" i="3"/>
  <c r="AU54" i="3"/>
  <c r="AT5" i="3"/>
  <c r="AU5" i="3"/>
  <c r="AU3" i="3"/>
  <c r="AW3" i="3"/>
  <c r="AT3" i="3"/>
  <c r="AV3" i="3" s="1"/>
  <c r="AW43" i="3"/>
  <c r="AT43" i="3"/>
  <c r="AU43" i="3"/>
  <c r="AW101" i="3"/>
  <c r="AX101" i="3" s="1"/>
  <c r="AT101" i="3"/>
  <c r="AU101" i="3"/>
  <c r="AW23" i="3"/>
  <c r="AT23" i="3"/>
  <c r="AU23" i="3"/>
  <c r="AW15" i="3"/>
  <c r="AY15" i="3" s="1"/>
  <c r="AZ15" i="3" s="1"/>
  <c r="AT15" i="3"/>
  <c r="AU15" i="3"/>
  <c r="AW35" i="3"/>
  <c r="AT35" i="3"/>
  <c r="AU35" i="3"/>
  <c r="AW33" i="3"/>
  <c r="AX33" i="3" s="1"/>
  <c r="AT33" i="3"/>
  <c r="AU33" i="3"/>
  <c r="AW31" i="3"/>
  <c r="AT31" i="3"/>
  <c r="AU31" i="3"/>
  <c r="AW29" i="3"/>
  <c r="AT29" i="3"/>
  <c r="AU29" i="3"/>
  <c r="AW49" i="3"/>
  <c r="AX49" i="3" s="1"/>
  <c r="AT49" i="3"/>
  <c r="AU49" i="3"/>
  <c r="AW12" i="3"/>
  <c r="AX12" i="3" s="1"/>
  <c r="AT12" i="3"/>
  <c r="AU12" i="3"/>
  <c r="AW91" i="3"/>
  <c r="AX91" i="3" s="1"/>
  <c r="AT91" i="3"/>
  <c r="AU91" i="3"/>
  <c r="AW81" i="3"/>
  <c r="AT81" i="3"/>
  <c r="AU81" i="3"/>
  <c r="AW74" i="3"/>
  <c r="AT74" i="3"/>
  <c r="AU74" i="3"/>
  <c r="AW57" i="3"/>
  <c r="AX57" i="3" s="1"/>
  <c r="AT57" i="3"/>
  <c r="AU57" i="3"/>
  <c r="AW4" i="3"/>
  <c r="AY4" i="3" s="1"/>
  <c r="AT4" i="3"/>
  <c r="AU4" i="3"/>
  <c r="AW92" i="3"/>
  <c r="AY92" i="3" s="1"/>
  <c r="AZ92" i="3" s="1"/>
  <c r="AT92" i="3"/>
  <c r="AU92" i="3"/>
  <c r="AW83" i="3"/>
  <c r="AT83" i="3"/>
  <c r="AU83" i="3"/>
  <c r="AW61" i="3"/>
  <c r="AX61" i="3" s="1"/>
  <c r="AT61" i="3"/>
  <c r="AU61" i="3"/>
  <c r="AW48" i="3"/>
  <c r="AT48" i="3"/>
  <c r="AU48" i="3"/>
  <c r="AW90" i="3"/>
  <c r="AT90" i="3"/>
  <c r="AU90" i="3"/>
  <c r="AT80" i="3"/>
  <c r="AU80" i="3"/>
  <c r="AW75" i="3"/>
  <c r="AT75" i="3"/>
  <c r="AU75" i="3"/>
  <c r="AW58" i="3"/>
  <c r="AT58" i="3"/>
  <c r="AU58" i="3"/>
  <c r="AW51" i="3"/>
  <c r="AX51" i="3" s="1"/>
  <c r="AT51" i="3"/>
  <c r="AU51" i="3"/>
  <c r="AW44" i="3"/>
  <c r="AX44" i="3" s="1"/>
  <c r="AT44" i="3"/>
  <c r="AU44" i="3"/>
  <c r="AW22" i="3"/>
  <c r="AX22" i="3" s="1"/>
  <c r="AT22" i="3"/>
  <c r="AU22" i="3"/>
  <c r="AW86" i="3"/>
  <c r="AY86" i="3" s="1"/>
  <c r="AZ86" i="3" s="1"/>
  <c r="AT86" i="3"/>
  <c r="AU86" i="3"/>
  <c r="AW77" i="3"/>
  <c r="AT77" i="3"/>
  <c r="AU77" i="3"/>
  <c r="AW55" i="3"/>
  <c r="AY55" i="3" s="1"/>
  <c r="AZ55" i="3" s="1"/>
  <c r="AT55" i="3"/>
  <c r="AU55" i="3"/>
  <c r="AW45" i="3"/>
  <c r="AX45" i="3" s="1"/>
  <c r="AT45" i="3"/>
  <c r="AU45" i="3"/>
  <c r="AW28" i="3"/>
  <c r="AT28" i="3"/>
  <c r="AU28" i="3"/>
  <c r="AW11" i="3"/>
  <c r="AX11" i="3" s="1"/>
  <c r="AT11" i="3"/>
  <c r="AU11" i="3"/>
  <c r="AW19" i="3"/>
  <c r="AY19" i="3" s="1"/>
  <c r="AZ19" i="3" s="1"/>
  <c r="AT19" i="3"/>
  <c r="AU19" i="3"/>
  <c r="AT79" i="3"/>
  <c r="AU79" i="3"/>
  <c r="AW52" i="3"/>
  <c r="AY52" i="3" s="1"/>
  <c r="AZ52" i="3" s="1"/>
  <c r="AT52" i="3"/>
  <c r="AU52" i="3"/>
  <c r="AW24" i="3"/>
  <c r="AX24" i="3" s="1"/>
  <c r="AT24" i="3"/>
  <c r="AU24" i="3"/>
  <c r="AW9" i="3"/>
  <c r="AT9" i="3"/>
  <c r="AU9" i="3"/>
  <c r="AW16" i="3"/>
  <c r="AY16" i="3" s="1"/>
  <c r="AZ16" i="3" s="1"/>
  <c r="AT16" i="3"/>
  <c r="AU16" i="3"/>
  <c r="AW47" i="3"/>
  <c r="AX47" i="3" s="1"/>
  <c r="AT47" i="3"/>
  <c r="AU47" i="3"/>
  <c r="AT18" i="3"/>
  <c r="AU18" i="3"/>
  <c r="AX3" i="3"/>
  <c r="AX28" i="3"/>
  <c r="AP141" i="1"/>
  <c r="AX5" i="3"/>
  <c r="AY53" i="3"/>
  <c r="AZ53" i="3" s="1"/>
  <c r="AZ4" i="3"/>
  <c r="AX4" i="3"/>
  <c r="AX15" i="3"/>
  <c r="AX18" i="3"/>
  <c r="AN95" i="3"/>
  <c r="AY42" i="3"/>
  <c r="AY101" i="3"/>
  <c r="AZ101" i="3" s="1"/>
  <c r="AY99" i="3"/>
  <c r="AZ99" i="3" s="1"/>
  <c r="AY45" i="3"/>
  <c r="AZ45" i="3" s="1"/>
  <c r="AY47" i="3"/>
  <c r="AZ47" i="3" s="1"/>
  <c r="AX54" i="3"/>
  <c r="AX86" i="3"/>
  <c r="AY9" i="3"/>
  <c r="AZ9" i="3" s="1"/>
  <c r="AX9" i="3"/>
  <c r="AX52" i="3"/>
  <c r="AX55" i="3"/>
  <c r="AX90" i="3"/>
  <c r="AY90" i="3"/>
  <c r="AY14" i="3"/>
  <c r="AZ14" i="3" s="1"/>
  <c r="AY22" i="3"/>
  <c r="AZ22" i="3" s="1"/>
  <c r="AW79" i="3"/>
  <c r="AY79" i="3" s="1"/>
  <c r="AZ79" i="3" s="1"/>
  <c r="AY11" i="3"/>
  <c r="AZ11" i="3" s="1"/>
  <c r="AY71" i="3"/>
  <c r="AZ71" i="3" s="1"/>
  <c r="AX71" i="3"/>
  <c r="AX16" i="3"/>
  <c r="AY59" i="3"/>
  <c r="AZ59" i="3" s="1"/>
  <c r="AX59" i="3"/>
  <c r="AY43" i="3"/>
  <c r="AZ43" i="3" s="1"/>
  <c r="AX43" i="3"/>
  <c r="AN94" i="3"/>
  <c r="AY84" i="3"/>
  <c r="AZ84" i="3" s="1"/>
  <c r="AX84" i="3"/>
  <c r="AY58" i="3"/>
  <c r="AX58" i="3"/>
  <c r="AZ75" i="3"/>
  <c r="AX75" i="3"/>
  <c r="AY91" i="3"/>
  <c r="AZ91" i="3" s="1"/>
  <c r="AY20" i="3"/>
  <c r="AZ20" i="3" s="1"/>
  <c r="AN50" i="3"/>
  <c r="AY51" i="3"/>
  <c r="AZ51" i="3" s="1"/>
  <c r="AX76" i="3"/>
  <c r="AY3" i="3"/>
  <c r="BC3" i="3" s="1"/>
  <c r="AY38" i="3"/>
  <c r="AZ38" i="3" s="1"/>
  <c r="AY49" i="3"/>
  <c r="AZ49" i="3" s="1"/>
  <c r="AY36" i="3"/>
  <c r="AZ36" i="3" s="1"/>
  <c r="AY37" i="3"/>
  <c r="AZ37" i="3" s="1"/>
  <c r="AY73" i="3"/>
  <c r="AZ73" i="3" s="1"/>
  <c r="AX73" i="3"/>
  <c r="AX74" i="3"/>
  <c r="AY74" i="3"/>
  <c r="AZ74" i="3" s="1"/>
  <c r="AY57" i="3"/>
  <c r="AZ57" i="3" s="1"/>
  <c r="AY83" i="3"/>
  <c r="AZ83" i="3" s="1"/>
  <c r="AX83" i="3"/>
  <c r="AY48" i="3"/>
  <c r="AZ48" i="3" s="1"/>
  <c r="AX48" i="3"/>
  <c r="AX72" i="3"/>
  <c r="AY72" i="3"/>
  <c r="AZ72" i="3" s="1"/>
  <c r="AY87" i="3"/>
  <c r="AZ87" i="3" s="1"/>
  <c r="AX92" i="3"/>
  <c r="AX85" i="3"/>
  <c r="AX82" i="3"/>
  <c r="AY29" i="3"/>
  <c r="AZ29" i="3" s="1"/>
  <c r="AX29" i="3"/>
  <c r="AX80" i="3"/>
  <c r="AY80" i="3"/>
  <c r="AZ80" i="3" s="1"/>
  <c r="AN46" i="3"/>
  <c r="AY34" i="3"/>
  <c r="AZ34" i="3" s="1"/>
  <c r="AX34" i="3"/>
  <c r="AY30" i="3"/>
  <c r="AZ30" i="3" s="1"/>
  <c r="AX30" i="3"/>
  <c r="AY13" i="3"/>
  <c r="AZ13" i="3" s="1"/>
  <c r="AX13" i="3"/>
  <c r="AY61" i="3"/>
  <c r="AZ61" i="3" s="1"/>
  <c r="AX77" i="3"/>
  <c r="AY77" i="3"/>
  <c r="AZ77" i="3" s="1"/>
  <c r="AY56" i="3"/>
  <c r="AZ56" i="3" s="1"/>
  <c r="AX56" i="3"/>
  <c r="AY32" i="3"/>
  <c r="AZ32" i="3" s="1"/>
  <c r="AX32" i="3"/>
  <c r="AX78" i="3"/>
  <c r="AY78" i="3"/>
  <c r="AZ78" i="3" s="1"/>
  <c r="AY33" i="3"/>
  <c r="AZ33" i="3" s="1"/>
  <c r="AY100" i="3"/>
  <c r="AX100" i="3"/>
  <c r="AY93" i="3"/>
  <c r="AZ93" i="3" s="1"/>
  <c r="AX93" i="3"/>
  <c r="AX81" i="3"/>
  <c r="AY81" i="3"/>
  <c r="AX70" i="3"/>
  <c r="AY70" i="3"/>
  <c r="AY23" i="3"/>
  <c r="AZ23" i="3" s="1"/>
  <c r="AX23" i="3"/>
  <c r="AY8" i="3"/>
  <c r="AX8" i="3"/>
  <c r="AY35" i="3"/>
  <c r="AX35" i="3"/>
  <c r="AY31" i="3"/>
  <c r="AZ31" i="3" s="1"/>
  <c r="AX31" i="3"/>
  <c r="AZ18" i="3"/>
  <c r="AP118" i="1"/>
  <c r="AP120" i="1"/>
  <c r="AP122" i="1"/>
  <c r="AP60" i="1"/>
  <c r="AP172" i="1"/>
  <c r="AP62" i="1"/>
  <c r="AP66" i="1"/>
  <c r="AP63" i="1"/>
  <c r="AP82" i="1"/>
  <c r="AP84" i="1"/>
  <c r="AP85" i="1"/>
  <c r="AP88" i="1"/>
  <c r="AP90" i="1"/>
  <c r="AP92" i="1"/>
  <c r="AP174" i="1"/>
  <c r="AM81" i="1"/>
  <c r="AR81" i="1" s="1"/>
  <c r="AP56" i="1"/>
  <c r="AP124" i="1"/>
  <c r="AP143" i="1"/>
  <c r="AP147" i="1"/>
  <c r="AP149" i="1"/>
  <c r="AP151" i="1"/>
  <c r="AP153" i="1"/>
  <c r="AP156" i="1"/>
  <c r="AP160" i="1"/>
  <c r="AP170" i="1"/>
  <c r="AP97" i="1"/>
  <c r="AP99" i="1"/>
  <c r="AP105" i="1"/>
  <c r="AP107" i="1"/>
  <c r="AP109" i="1"/>
  <c r="AP116" i="1"/>
  <c r="AP146" i="1"/>
  <c r="AP148" i="1"/>
  <c r="AP150" i="1"/>
  <c r="AP152" i="1"/>
  <c r="AP163" i="1"/>
  <c r="AP165" i="1"/>
  <c r="AP167" i="1"/>
  <c r="AP6" i="1"/>
  <c r="AP7" i="1"/>
  <c r="AP20" i="1"/>
  <c r="AP89" i="1"/>
  <c r="AP126" i="1"/>
  <c r="AP35" i="1"/>
  <c r="AP28" i="1"/>
  <c r="AP39" i="1"/>
  <c r="AP94" i="1"/>
  <c r="AP96" i="1"/>
  <c r="AP100" i="1"/>
  <c r="AP108" i="1"/>
  <c r="AP189" i="1"/>
  <c r="AP193" i="1"/>
  <c r="AP17" i="1"/>
  <c r="AQ64" i="1"/>
  <c r="AM64" i="1"/>
  <c r="AR64" i="1" s="1"/>
  <c r="AO81" i="1"/>
  <c r="AP183" i="1"/>
  <c r="AP194" i="1"/>
  <c r="AP198" i="1"/>
  <c r="AP23" i="1"/>
  <c r="AP13" i="1"/>
  <c r="AP19" i="1"/>
  <c r="AP29" i="1"/>
  <c r="AP38" i="1"/>
  <c r="AP58" i="1"/>
  <c r="AN79" i="1"/>
  <c r="AP79" i="1" s="1"/>
  <c r="AQ81" i="1"/>
  <c r="AP111" i="1"/>
  <c r="AP113" i="1"/>
  <c r="AP121" i="1"/>
  <c r="AP123" i="1"/>
  <c r="AZ124" i="1"/>
  <c r="BA125" i="1"/>
  <c r="BB125" i="1" s="1"/>
  <c r="AP128" i="1"/>
  <c r="AP142" i="1"/>
  <c r="AP171" i="1"/>
  <c r="AP175" i="1"/>
  <c r="AP37" i="1"/>
  <c r="AP48" i="1"/>
  <c r="AP57" i="1"/>
  <c r="AP59" i="1"/>
  <c r="AT81" i="1"/>
  <c r="AN117" i="1"/>
  <c r="AP117" i="1" s="1"/>
  <c r="AZ122" i="1"/>
  <c r="BA123" i="1"/>
  <c r="BB123" i="1" s="1"/>
  <c r="AP125" i="1"/>
  <c r="AP127" i="1"/>
  <c r="AP138" i="1"/>
  <c r="AP140" i="1"/>
  <c r="AP161" i="1"/>
  <c r="AZ170" i="1"/>
  <c r="AP173" i="1"/>
  <c r="AP178" i="1"/>
  <c r="AP184" i="1"/>
  <c r="AP185" i="1"/>
  <c r="AP5" i="1"/>
  <c r="AP15" i="1"/>
  <c r="AP16" i="1"/>
  <c r="AP41" i="1"/>
  <c r="AP42" i="1"/>
  <c r="AP46" i="1"/>
  <c r="AP65" i="1"/>
  <c r="AP67" i="1"/>
  <c r="AP69" i="1"/>
  <c r="BA21" i="1"/>
  <c r="BB21" i="1" s="1"/>
  <c r="AR18" i="1"/>
  <c r="AP18" i="1"/>
  <c r="AP21" i="1"/>
  <c r="AR79" i="1"/>
  <c r="BA114" i="1"/>
  <c r="BB114" i="1" s="1"/>
  <c r="AP144" i="1"/>
  <c r="AR144" i="1"/>
  <c r="AR61" i="1"/>
  <c r="AP61" i="1"/>
  <c r="AR4" i="1"/>
  <c r="AP4" i="1"/>
  <c r="AP45" i="1"/>
  <c r="AP54" i="1"/>
  <c r="AP78" i="1"/>
  <c r="AP93" i="1"/>
  <c r="AP110" i="1"/>
  <c r="BA133" i="1"/>
  <c r="AP155" i="1"/>
  <c r="AP3" i="1"/>
  <c r="AP22" i="1"/>
  <c r="AP33" i="1"/>
  <c r="AT36" i="1"/>
  <c r="AP47" i="1"/>
  <c r="AP55" i="1"/>
  <c r="AN64" i="1"/>
  <c r="AN81" i="1"/>
  <c r="AP83" i="1"/>
  <c r="AP87" i="1"/>
  <c r="AP91" i="1"/>
  <c r="AP95" i="1"/>
  <c r="AP106" i="1"/>
  <c r="AP114" i="1"/>
  <c r="AQ117" i="1"/>
  <c r="AP133" i="1"/>
  <c r="BA134" i="1"/>
  <c r="BB134" i="1" s="1"/>
  <c r="BA135" i="1"/>
  <c r="BB135" i="1" s="1"/>
  <c r="BA136" i="1"/>
  <c r="BB136" i="1" s="1"/>
  <c r="BA141" i="1"/>
  <c r="BB141" i="1" s="1"/>
  <c r="AP145" i="1"/>
  <c r="AP154" i="1"/>
  <c r="AP162" i="1"/>
  <c r="AP169" i="1"/>
  <c r="AP181" i="1"/>
  <c r="AP188" i="1"/>
  <c r="AP192" i="1"/>
  <c r="AP195" i="1"/>
  <c r="AP197" i="1"/>
  <c r="AM36" i="1"/>
  <c r="AR36" i="1" s="1"/>
  <c r="AS64" i="1"/>
  <c r="AR117" i="1"/>
  <c r="AO117" i="1"/>
  <c r="AP119" i="1"/>
  <c r="AP129" i="1"/>
  <c r="AP134" i="1"/>
  <c r="AP135" i="1"/>
  <c r="AP136" i="1"/>
  <c r="AP137" i="1"/>
  <c r="AP139" i="1"/>
  <c r="AP164" i="1"/>
  <c r="AP166" i="1"/>
  <c r="AP168" i="1"/>
  <c r="AP180" i="1"/>
  <c r="AP187" i="1"/>
  <c r="AP191" i="1"/>
  <c r="AP8" i="1"/>
  <c r="AP34" i="1"/>
  <c r="AQ36" i="1"/>
  <c r="AP53" i="1"/>
  <c r="AP77" i="1"/>
  <c r="AP86" i="1"/>
  <c r="AP112" i="1"/>
  <c r="AP115" i="1"/>
  <c r="AP157" i="1"/>
  <c r="AP176" i="1"/>
  <c r="AP179" i="1"/>
  <c r="AP182" i="1"/>
  <c r="AP186" i="1"/>
  <c r="AP190" i="1"/>
  <c r="AP196" i="1"/>
  <c r="AP40" i="1"/>
  <c r="AP30" i="1"/>
  <c r="AR43" i="1"/>
  <c r="AP31" i="1"/>
  <c r="AP70" i="1"/>
  <c r="AP44" i="1"/>
  <c r="AZ55" i="1"/>
  <c r="BA55" i="1"/>
  <c r="BB55" i="1" s="1"/>
  <c r="AR98" i="1"/>
  <c r="AP98" i="1"/>
  <c r="AN43" i="1"/>
  <c r="AP43" i="1" s="1"/>
  <c r="AO43" i="1"/>
  <c r="AZ54" i="1"/>
  <c r="BA54" i="1"/>
  <c r="BB54" i="1" s="1"/>
  <c r="AP68" i="1"/>
  <c r="AO64" i="1"/>
  <c r="AT64" i="1"/>
  <c r="AP71" i="1"/>
  <c r="AP80" i="1"/>
  <c r="BA93" i="1"/>
  <c r="BB93" i="1" s="1"/>
  <c r="AZ134" i="1"/>
  <c r="AZ135" i="1"/>
  <c r="AZ136" i="1"/>
  <c r="AR137" i="1"/>
  <c r="AR138" i="1"/>
  <c r="AR139" i="1"/>
  <c r="AZ140" i="1"/>
  <c r="AZ141" i="1"/>
  <c r="BA154" i="1"/>
  <c r="BB154" i="1" s="1"/>
  <c r="AR177" i="1"/>
  <c r="AR182" i="1"/>
  <c r="AR183" i="1"/>
  <c r="AP177" i="1"/>
  <c r="BB133" i="1" l="1"/>
  <c r="AX60" i="3"/>
  <c r="AY24" i="3"/>
  <c r="AZ24" i="3" s="1"/>
  <c r="AX19" i="3"/>
  <c r="BB28" i="3"/>
  <c r="AX42" i="3"/>
  <c r="AZ8" i="3"/>
  <c r="BC8" i="3"/>
  <c r="BC70" i="3"/>
  <c r="AY12" i="3"/>
  <c r="AZ12" i="3" s="1"/>
  <c r="AX10" i="3"/>
  <c r="BB70" i="3"/>
  <c r="BB8" i="3"/>
  <c r="BB18" i="3"/>
  <c r="AZ90" i="3"/>
  <c r="AY44" i="3"/>
  <c r="AZ44" i="3" s="1"/>
  <c r="AY21" i="3"/>
  <c r="AZ21" i="3" s="1"/>
  <c r="AZ42" i="3"/>
  <c r="AY28" i="3"/>
  <c r="BB3" i="3"/>
  <c r="BC18" i="3"/>
  <c r="AW46" i="3"/>
  <c r="BB42" i="3" s="1"/>
  <c r="AT46" i="3"/>
  <c r="AU46" i="3"/>
  <c r="AW50" i="3"/>
  <c r="AY50" i="3" s="1"/>
  <c r="AZ50" i="3" s="1"/>
  <c r="AT50" i="3"/>
  <c r="AU50" i="3"/>
  <c r="AW94" i="3"/>
  <c r="AY94" i="3" s="1"/>
  <c r="AZ94" i="3" s="1"/>
  <c r="AT94" i="3"/>
  <c r="AU94" i="3"/>
  <c r="AW95" i="3"/>
  <c r="AT95" i="3"/>
  <c r="AU95" i="3"/>
  <c r="AY80" i="1"/>
  <c r="AV80" i="1"/>
  <c r="AW80" i="1"/>
  <c r="AY68" i="1"/>
  <c r="BA68" i="1" s="1"/>
  <c r="BB68" i="1" s="1"/>
  <c r="AV68" i="1"/>
  <c r="AW68" i="1"/>
  <c r="AY43" i="1"/>
  <c r="AV43" i="1"/>
  <c r="AW43" i="1"/>
  <c r="AY31" i="1"/>
  <c r="AV31" i="1"/>
  <c r="AW31" i="1"/>
  <c r="AY30" i="1"/>
  <c r="AV30" i="1"/>
  <c r="AW30" i="1"/>
  <c r="AY196" i="1"/>
  <c r="AZ196" i="1" s="1"/>
  <c r="AV196" i="1"/>
  <c r="AW196" i="1"/>
  <c r="AV186" i="1"/>
  <c r="AW186" i="1"/>
  <c r="AY179" i="1"/>
  <c r="AV179" i="1"/>
  <c r="AW179" i="1"/>
  <c r="AV157" i="1"/>
  <c r="AW157" i="1"/>
  <c r="AV115" i="1"/>
  <c r="AW115" i="1"/>
  <c r="AV86" i="1"/>
  <c r="AW86" i="1"/>
  <c r="AY34" i="1"/>
  <c r="AV34" i="1"/>
  <c r="AW34" i="1"/>
  <c r="AY187" i="1"/>
  <c r="AV187" i="1"/>
  <c r="AW187" i="1"/>
  <c r="AV168" i="1"/>
  <c r="AW168" i="1"/>
  <c r="AY164" i="1"/>
  <c r="AV164" i="1"/>
  <c r="AW164" i="1"/>
  <c r="AV137" i="1"/>
  <c r="AW137" i="1"/>
  <c r="AV129" i="1"/>
  <c r="AW129" i="1"/>
  <c r="AY195" i="1"/>
  <c r="AV195" i="1"/>
  <c r="AW195" i="1"/>
  <c r="AV188" i="1"/>
  <c r="AW188" i="1"/>
  <c r="AV169" i="1"/>
  <c r="AW169" i="1"/>
  <c r="AV95" i="1"/>
  <c r="AW95" i="1"/>
  <c r="AV87" i="1"/>
  <c r="AW87" i="1"/>
  <c r="AV22" i="1"/>
  <c r="AW22" i="1"/>
  <c r="AV155" i="1"/>
  <c r="AW155" i="1"/>
  <c r="AY110" i="1"/>
  <c r="BA110" i="1" s="1"/>
  <c r="BB110" i="1" s="1"/>
  <c r="AV110" i="1"/>
  <c r="AW110" i="1"/>
  <c r="AV4" i="1"/>
  <c r="AW4" i="1"/>
  <c r="AV144" i="1"/>
  <c r="AW144" i="1"/>
  <c r="AV18" i="1"/>
  <c r="AW18" i="1"/>
  <c r="AV69" i="1"/>
  <c r="AW69" i="1"/>
  <c r="AY65" i="1"/>
  <c r="BA65" i="1" s="1"/>
  <c r="BB65" i="1" s="1"/>
  <c r="AV65" i="1"/>
  <c r="AW65" i="1"/>
  <c r="AY42" i="1"/>
  <c r="AV42" i="1"/>
  <c r="AW42" i="1"/>
  <c r="AY16" i="1"/>
  <c r="AV16" i="1"/>
  <c r="AW16" i="1"/>
  <c r="AV5" i="1"/>
  <c r="AW5" i="1"/>
  <c r="AY184" i="1"/>
  <c r="AV184" i="1"/>
  <c r="AW184" i="1"/>
  <c r="AV173" i="1"/>
  <c r="AW173" i="1"/>
  <c r="AY161" i="1"/>
  <c r="AZ161" i="1" s="1"/>
  <c r="AV161" i="1"/>
  <c r="AW161" i="1"/>
  <c r="AV138" i="1"/>
  <c r="AW138" i="1"/>
  <c r="AY57" i="1"/>
  <c r="AZ57" i="1" s="1"/>
  <c r="AV57" i="1"/>
  <c r="AX57" i="1" s="1"/>
  <c r="AW57" i="1"/>
  <c r="AY37" i="1"/>
  <c r="BA37" i="1" s="1"/>
  <c r="BB37" i="1" s="1"/>
  <c r="AV37" i="1"/>
  <c r="AW37" i="1"/>
  <c r="AY175" i="1"/>
  <c r="AV175" i="1"/>
  <c r="AW175" i="1"/>
  <c r="AV142" i="1"/>
  <c r="AX142" i="1" s="1"/>
  <c r="AW142" i="1"/>
  <c r="AV113" i="1"/>
  <c r="AW113" i="1"/>
  <c r="AY58" i="1"/>
  <c r="AV58" i="1"/>
  <c r="AW58" i="1"/>
  <c r="AY29" i="1"/>
  <c r="AZ29" i="1" s="1"/>
  <c r="AV29" i="1"/>
  <c r="AX29" i="1" s="1"/>
  <c r="AW29" i="1"/>
  <c r="AV13" i="1"/>
  <c r="AW13" i="1"/>
  <c r="AY198" i="1"/>
  <c r="AV198" i="1"/>
  <c r="AW198" i="1"/>
  <c r="AV183" i="1"/>
  <c r="AW183" i="1"/>
  <c r="AV17" i="1"/>
  <c r="AW17" i="1"/>
  <c r="AY189" i="1"/>
  <c r="BA189" i="1" s="1"/>
  <c r="BB189" i="1" s="1"/>
  <c r="AV189" i="1"/>
  <c r="AW189" i="1"/>
  <c r="AY100" i="1"/>
  <c r="BA100" i="1" s="1"/>
  <c r="BB100" i="1" s="1"/>
  <c r="AV100" i="1"/>
  <c r="AW100" i="1"/>
  <c r="AY94" i="1"/>
  <c r="AV94" i="1"/>
  <c r="AW94" i="1"/>
  <c r="AY28" i="1"/>
  <c r="AV28" i="1"/>
  <c r="AW28" i="1"/>
  <c r="AY126" i="1"/>
  <c r="AZ126" i="1" s="1"/>
  <c r="AV126" i="1"/>
  <c r="AW126" i="1"/>
  <c r="AY20" i="1"/>
  <c r="BA20" i="1" s="1"/>
  <c r="BB20" i="1" s="1"/>
  <c r="AV20" i="1"/>
  <c r="AW20" i="1"/>
  <c r="AY6" i="1"/>
  <c r="AV6" i="1"/>
  <c r="AW6" i="1"/>
  <c r="AV165" i="1"/>
  <c r="AX165" i="1" s="1"/>
  <c r="AW165" i="1"/>
  <c r="AY152" i="1"/>
  <c r="AZ152" i="1" s="1"/>
  <c r="AV152" i="1"/>
  <c r="AW152" i="1"/>
  <c r="AY148" i="1"/>
  <c r="AV148" i="1"/>
  <c r="AW148" i="1"/>
  <c r="AY116" i="1"/>
  <c r="BA116" i="1" s="1"/>
  <c r="BB116" i="1" s="1"/>
  <c r="AV116" i="1"/>
  <c r="AW116" i="1"/>
  <c r="AY107" i="1"/>
  <c r="AZ107" i="1" s="1"/>
  <c r="AV107" i="1"/>
  <c r="AX107" i="1" s="1"/>
  <c r="AW107" i="1"/>
  <c r="AY99" i="1"/>
  <c r="AV99" i="1"/>
  <c r="AW99" i="1"/>
  <c r="AY156" i="1"/>
  <c r="BA156" i="1" s="1"/>
  <c r="BB156" i="1" s="1"/>
  <c r="AV156" i="1"/>
  <c r="AW156" i="1"/>
  <c r="AV151" i="1"/>
  <c r="AX151" i="1" s="1"/>
  <c r="AW151" i="1"/>
  <c r="AY147" i="1"/>
  <c r="AV147" i="1"/>
  <c r="AW147" i="1"/>
  <c r="AV92" i="1"/>
  <c r="AW92" i="1"/>
  <c r="AY88" i="1"/>
  <c r="AZ88" i="1" s="1"/>
  <c r="AV88" i="1"/>
  <c r="AW88" i="1"/>
  <c r="AV84" i="1"/>
  <c r="AW84" i="1"/>
  <c r="AV63" i="1"/>
  <c r="AW63" i="1"/>
  <c r="AY62" i="1"/>
  <c r="AZ62" i="1" s="1"/>
  <c r="AV62" i="1"/>
  <c r="AW62" i="1"/>
  <c r="AY60" i="1"/>
  <c r="AV60" i="1"/>
  <c r="AW60" i="1"/>
  <c r="AY120" i="1"/>
  <c r="AV120" i="1"/>
  <c r="AW120" i="1"/>
  <c r="AV177" i="1"/>
  <c r="AW177" i="1"/>
  <c r="AY71" i="1"/>
  <c r="AV71" i="1"/>
  <c r="AW71" i="1"/>
  <c r="AV98" i="1"/>
  <c r="AW98" i="1"/>
  <c r="AY44" i="1"/>
  <c r="BA44" i="1" s="1"/>
  <c r="BB44" i="1" s="1"/>
  <c r="AV44" i="1"/>
  <c r="AW44" i="1"/>
  <c r="AY70" i="1"/>
  <c r="AV70" i="1"/>
  <c r="AW70" i="1"/>
  <c r="AY40" i="1"/>
  <c r="AV40" i="1"/>
  <c r="AW40" i="1"/>
  <c r="AV190" i="1"/>
  <c r="AW190" i="1"/>
  <c r="AV182" i="1"/>
  <c r="AW182" i="1"/>
  <c r="AV176" i="1"/>
  <c r="AW176" i="1"/>
  <c r="AV112" i="1"/>
  <c r="AW112" i="1"/>
  <c r="AV77" i="1"/>
  <c r="AW77" i="1"/>
  <c r="AV8" i="1"/>
  <c r="AW8" i="1"/>
  <c r="AV191" i="1"/>
  <c r="AW191" i="1"/>
  <c r="AV180" i="1"/>
  <c r="AW180" i="1"/>
  <c r="AY166" i="1"/>
  <c r="BA166" i="1" s="1"/>
  <c r="BB166" i="1" s="1"/>
  <c r="AV166" i="1"/>
  <c r="AX166" i="1" s="1"/>
  <c r="AW166" i="1"/>
  <c r="AV139" i="1"/>
  <c r="AW139" i="1"/>
  <c r="AY119" i="1"/>
  <c r="AV119" i="1"/>
  <c r="AW119" i="1"/>
  <c r="AY197" i="1"/>
  <c r="AZ197" i="1" s="1"/>
  <c r="AV197" i="1"/>
  <c r="AX197" i="1" s="1"/>
  <c r="AW197" i="1"/>
  <c r="AV192" i="1"/>
  <c r="AW192" i="1"/>
  <c r="AV181" i="1"/>
  <c r="AX181" i="1" s="1"/>
  <c r="AW181" i="1"/>
  <c r="AV162" i="1"/>
  <c r="AW162" i="1"/>
  <c r="AV145" i="1"/>
  <c r="AX145" i="1" s="1"/>
  <c r="AW145" i="1"/>
  <c r="AY106" i="1"/>
  <c r="AZ106" i="1" s="1"/>
  <c r="AV106" i="1"/>
  <c r="AW106" i="1"/>
  <c r="AV91" i="1"/>
  <c r="AW91" i="1"/>
  <c r="AV83" i="1"/>
  <c r="AW83" i="1"/>
  <c r="AV47" i="1"/>
  <c r="AW47" i="1"/>
  <c r="AY33" i="1"/>
  <c r="BA33" i="1" s="1"/>
  <c r="AV33" i="1"/>
  <c r="AX33" i="1" s="1"/>
  <c r="AW33" i="1"/>
  <c r="AW3" i="1"/>
  <c r="AV3" i="1"/>
  <c r="AY78" i="1"/>
  <c r="AV78" i="1"/>
  <c r="AW78" i="1"/>
  <c r="AV45" i="1"/>
  <c r="AW45" i="1"/>
  <c r="AV61" i="1"/>
  <c r="AW61" i="1"/>
  <c r="AY67" i="1"/>
  <c r="AV67" i="1"/>
  <c r="AX67" i="1" s="1"/>
  <c r="AW67" i="1"/>
  <c r="AV46" i="1"/>
  <c r="AW46" i="1"/>
  <c r="AV41" i="1"/>
  <c r="AX41" i="1" s="1"/>
  <c r="AW41" i="1"/>
  <c r="AY15" i="1"/>
  <c r="AV15" i="1"/>
  <c r="AW15" i="1"/>
  <c r="AY185" i="1"/>
  <c r="AV185" i="1"/>
  <c r="AW185" i="1"/>
  <c r="AY178" i="1"/>
  <c r="BA178" i="1" s="1"/>
  <c r="BB178" i="1" s="1"/>
  <c r="AV178" i="1"/>
  <c r="AW178" i="1"/>
  <c r="AY127" i="1"/>
  <c r="AZ127" i="1" s="1"/>
  <c r="AV127" i="1"/>
  <c r="AX127" i="1" s="1"/>
  <c r="AW127" i="1"/>
  <c r="AV117" i="1"/>
  <c r="AW117" i="1"/>
  <c r="AV59" i="1"/>
  <c r="AX59" i="1" s="1"/>
  <c r="AW59" i="1"/>
  <c r="AV48" i="1"/>
  <c r="AW48" i="1"/>
  <c r="AY171" i="1"/>
  <c r="AV171" i="1"/>
  <c r="AW171" i="1"/>
  <c r="AY128" i="1"/>
  <c r="BA128" i="1" s="1"/>
  <c r="BB128" i="1" s="1"/>
  <c r="AV128" i="1"/>
  <c r="AX128" i="1" s="1"/>
  <c r="AW128" i="1"/>
  <c r="AV121" i="1"/>
  <c r="AW121" i="1"/>
  <c r="AY111" i="1"/>
  <c r="AV111" i="1"/>
  <c r="AW111" i="1"/>
  <c r="AV79" i="1"/>
  <c r="AW79" i="1"/>
  <c r="AV38" i="1"/>
  <c r="AW38" i="1"/>
  <c r="AV19" i="1"/>
  <c r="AW19" i="1"/>
  <c r="AY23" i="1"/>
  <c r="AV23" i="1"/>
  <c r="AW23" i="1"/>
  <c r="AY194" i="1"/>
  <c r="AV194" i="1"/>
  <c r="AW194" i="1"/>
  <c r="AY193" i="1"/>
  <c r="BA193" i="1" s="1"/>
  <c r="BB193" i="1" s="1"/>
  <c r="AV193" i="1"/>
  <c r="AX193" i="1" s="1"/>
  <c r="AW193" i="1"/>
  <c r="AY108" i="1"/>
  <c r="AZ108" i="1" s="1"/>
  <c r="AV108" i="1"/>
  <c r="AW108" i="1"/>
  <c r="AY96" i="1"/>
  <c r="AV96" i="1"/>
  <c r="AW96" i="1"/>
  <c r="AY39" i="1"/>
  <c r="AV39" i="1"/>
  <c r="AW39" i="1"/>
  <c r="AY35" i="1"/>
  <c r="BA35" i="1" s="1"/>
  <c r="BB35" i="1" s="1"/>
  <c r="AV35" i="1"/>
  <c r="AX35" i="1" s="1"/>
  <c r="AW35" i="1"/>
  <c r="AY89" i="1"/>
  <c r="AZ89" i="1" s="1"/>
  <c r="AV89" i="1"/>
  <c r="AW89" i="1"/>
  <c r="AY7" i="1"/>
  <c r="AV7" i="1"/>
  <c r="AW7" i="1"/>
  <c r="AY167" i="1"/>
  <c r="AZ167" i="1" s="1"/>
  <c r="AV167" i="1"/>
  <c r="AW167" i="1"/>
  <c r="AY163" i="1"/>
  <c r="BA163" i="1" s="1"/>
  <c r="BB163" i="1" s="1"/>
  <c r="AV163" i="1"/>
  <c r="AX163" i="1" s="1"/>
  <c r="AW163" i="1"/>
  <c r="AY150" i="1"/>
  <c r="BA150" i="1" s="1"/>
  <c r="BB150" i="1" s="1"/>
  <c r="AV150" i="1"/>
  <c r="AW150" i="1"/>
  <c r="AY146" i="1"/>
  <c r="AV146" i="1"/>
  <c r="AW146" i="1"/>
  <c r="AY109" i="1"/>
  <c r="AV109" i="1"/>
  <c r="AW109" i="1"/>
  <c r="AY105" i="1"/>
  <c r="AV105" i="1"/>
  <c r="AX105" i="1" s="1"/>
  <c r="AW105" i="1"/>
  <c r="AV97" i="1"/>
  <c r="AW97" i="1"/>
  <c r="AY160" i="1"/>
  <c r="AV160" i="1"/>
  <c r="AW160" i="1"/>
  <c r="AY153" i="1"/>
  <c r="BA153" i="1" s="1"/>
  <c r="BB153" i="1" s="1"/>
  <c r="AV153" i="1"/>
  <c r="AX153" i="1" s="1"/>
  <c r="AW153" i="1"/>
  <c r="AY149" i="1"/>
  <c r="AV149" i="1"/>
  <c r="AW149" i="1"/>
  <c r="AV143" i="1"/>
  <c r="AW143" i="1"/>
  <c r="AY56" i="1"/>
  <c r="AV56" i="1"/>
  <c r="AX56" i="1" s="1"/>
  <c r="AW56" i="1"/>
  <c r="AY174" i="1"/>
  <c r="AV174" i="1"/>
  <c r="AW174" i="1"/>
  <c r="AY90" i="1"/>
  <c r="BA90" i="1" s="1"/>
  <c r="BB90" i="1" s="1"/>
  <c r="AV90" i="1"/>
  <c r="AW90" i="1"/>
  <c r="AY85" i="1"/>
  <c r="BA85" i="1" s="1"/>
  <c r="BB85" i="1" s="1"/>
  <c r="AV85" i="1"/>
  <c r="AW85" i="1"/>
  <c r="AY82" i="1"/>
  <c r="AV82" i="1"/>
  <c r="AX82" i="1" s="1"/>
  <c r="AW82" i="1"/>
  <c r="AY66" i="1"/>
  <c r="AV66" i="1"/>
  <c r="AW66" i="1"/>
  <c r="AY172" i="1"/>
  <c r="AZ172" i="1" s="1"/>
  <c r="AV172" i="1"/>
  <c r="AW172" i="1"/>
  <c r="AY118" i="1"/>
  <c r="AV118" i="1"/>
  <c r="AW118" i="1"/>
  <c r="AY3" i="1"/>
  <c r="AY4" i="1"/>
  <c r="AZ3" i="3"/>
  <c r="AY157" i="1"/>
  <c r="BA157" i="1" s="1"/>
  <c r="BB157" i="1" s="1"/>
  <c r="AY86" i="1"/>
  <c r="AZ86" i="1" s="1"/>
  <c r="AY168" i="1"/>
  <c r="BA168" i="1" s="1"/>
  <c r="BB168" i="1" s="1"/>
  <c r="AY192" i="1"/>
  <c r="BA192" i="1" s="1"/>
  <c r="BB192" i="1" s="1"/>
  <c r="AY181" i="1"/>
  <c r="BA181" i="1" s="1"/>
  <c r="BB181" i="1" s="1"/>
  <c r="AY145" i="1"/>
  <c r="AZ145" i="1" s="1"/>
  <c r="AY48" i="1"/>
  <c r="AZ48" i="1" s="1"/>
  <c r="AY142" i="1"/>
  <c r="BA142" i="1" s="1"/>
  <c r="BB142" i="1" s="1"/>
  <c r="AY113" i="1"/>
  <c r="AZ113" i="1" s="1"/>
  <c r="AY13" i="1"/>
  <c r="AZ13" i="1" s="1"/>
  <c r="AY17" i="1"/>
  <c r="BA17" i="1" s="1"/>
  <c r="BB17" i="1" s="1"/>
  <c r="AY165" i="1"/>
  <c r="AZ165" i="1" s="1"/>
  <c r="AY137" i="1"/>
  <c r="AY117" i="1"/>
  <c r="AY183" i="1"/>
  <c r="AY186" i="1"/>
  <c r="BA186" i="1" s="1"/>
  <c r="BB186" i="1" s="1"/>
  <c r="BA115" i="1"/>
  <c r="BB115" i="1" s="1"/>
  <c r="AY115" i="1"/>
  <c r="AY129" i="1"/>
  <c r="AZ129" i="1" s="1"/>
  <c r="AY162" i="1"/>
  <c r="AZ162" i="1" s="1"/>
  <c r="AY91" i="1"/>
  <c r="AZ91" i="1" s="1"/>
  <c r="AY83" i="1"/>
  <c r="AZ83" i="1" s="1"/>
  <c r="AY47" i="1"/>
  <c r="AZ47" i="1" s="1"/>
  <c r="AY46" i="1"/>
  <c r="AZ46" i="1" s="1"/>
  <c r="AY41" i="1"/>
  <c r="AZ41" i="1" s="1"/>
  <c r="AY59" i="1"/>
  <c r="AZ59" i="1" s="1"/>
  <c r="AY151" i="1"/>
  <c r="BA151" i="1" s="1"/>
  <c r="BB151" i="1" s="1"/>
  <c r="AY92" i="1"/>
  <c r="AZ92" i="1" s="1"/>
  <c r="AY84" i="1"/>
  <c r="BA84" i="1" s="1"/>
  <c r="BB84" i="1" s="1"/>
  <c r="AY63" i="1"/>
  <c r="AZ63" i="1" s="1"/>
  <c r="AY190" i="1"/>
  <c r="AZ190" i="1" s="1"/>
  <c r="AY176" i="1"/>
  <c r="AZ176" i="1" s="1"/>
  <c r="AY112" i="1"/>
  <c r="BA112" i="1" s="1"/>
  <c r="BB112" i="1" s="1"/>
  <c r="AY77" i="1"/>
  <c r="BA77" i="1" s="1"/>
  <c r="AY8" i="1"/>
  <c r="BA8" i="1" s="1"/>
  <c r="BB8" i="1" s="1"/>
  <c r="AY191" i="1"/>
  <c r="AZ191" i="1" s="1"/>
  <c r="AY180" i="1"/>
  <c r="AZ180" i="1" s="1"/>
  <c r="AY188" i="1"/>
  <c r="AZ188" i="1" s="1"/>
  <c r="AY169" i="1"/>
  <c r="BA169" i="1" s="1"/>
  <c r="BB169" i="1" s="1"/>
  <c r="AY95" i="1"/>
  <c r="BA95" i="1" s="1"/>
  <c r="BB95" i="1" s="1"/>
  <c r="AY87" i="1"/>
  <c r="AZ87" i="1" s="1"/>
  <c r="AY22" i="1"/>
  <c r="BA22" i="1" s="1"/>
  <c r="BB22" i="1" s="1"/>
  <c r="AY155" i="1"/>
  <c r="BA155" i="1" s="1"/>
  <c r="BB155" i="1" s="1"/>
  <c r="AY45" i="1"/>
  <c r="AZ45" i="1" s="1"/>
  <c r="AY69" i="1"/>
  <c r="BA69" i="1" s="1"/>
  <c r="BB69" i="1" s="1"/>
  <c r="AY5" i="1"/>
  <c r="BA5" i="1" s="1"/>
  <c r="BB5" i="1" s="1"/>
  <c r="AY173" i="1"/>
  <c r="BA173" i="1" s="1"/>
  <c r="BB173" i="1" s="1"/>
  <c r="AY121" i="1"/>
  <c r="AZ121" i="1" s="1"/>
  <c r="AY38" i="1"/>
  <c r="BA38" i="1" s="1"/>
  <c r="BB38" i="1" s="1"/>
  <c r="AY19" i="1"/>
  <c r="BA19" i="1" s="1"/>
  <c r="BB19" i="1" s="1"/>
  <c r="AY97" i="1"/>
  <c r="BA97" i="1" s="1"/>
  <c r="BB97" i="1" s="1"/>
  <c r="AY143" i="1"/>
  <c r="AZ143" i="1" s="1"/>
  <c r="AY177" i="1"/>
  <c r="AZ156" i="1"/>
  <c r="BA88" i="1"/>
  <c r="BB88" i="1" s="1"/>
  <c r="AY98" i="1"/>
  <c r="AZ98" i="1" s="1"/>
  <c r="AY182" i="1"/>
  <c r="AY139" i="1"/>
  <c r="AZ139" i="1" s="1"/>
  <c r="AP81" i="1"/>
  <c r="AY61" i="1"/>
  <c r="AY144" i="1"/>
  <c r="AY18" i="1"/>
  <c r="AY138" i="1"/>
  <c r="BA138" i="1" s="1"/>
  <c r="BB138" i="1" s="1"/>
  <c r="AY79" i="1"/>
  <c r="AZ79" i="1" s="1"/>
  <c r="AX79" i="3"/>
  <c r="AZ58" i="3"/>
  <c r="AZ39" i="1"/>
  <c r="AX94" i="3"/>
  <c r="AZ100" i="3"/>
  <c r="AX46" i="3"/>
  <c r="AY46" i="3"/>
  <c r="BC42" i="3" s="1"/>
  <c r="AZ35" i="3"/>
  <c r="AZ81" i="3"/>
  <c r="AZ70" i="3"/>
  <c r="BA92" i="1"/>
  <c r="BB92" i="1" s="1"/>
  <c r="AZ112" i="1"/>
  <c r="AZ148" i="1"/>
  <c r="BA148" i="1"/>
  <c r="BB148" i="1" s="1"/>
  <c r="BA183" i="1"/>
  <c r="BB183" i="1" s="1"/>
  <c r="BA152" i="1"/>
  <c r="BB152" i="1" s="1"/>
  <c r="AZ69" i="1"/>
  <c r="AZ116" i="1"/>
  <c r="AZ146" i="1"/>
  <c r="BA146" i="1"/>
  <c r="BB146" i="1" s="1"/>
  <c r="AZ149" i="1"/>
  <c r="BA149" i="1"/>
  <c r="BB149" i="1" s="1"/>
  <c r="AP64" i="1"/>
  <c r="BA176" i="1"/>
  <c r="BB176" i="1" s="1"/>
  <c r="AZ115" i="1"/>
  <c r="BA3" i="1"/>
  <c r="AZ153" i="1"/>
  <c r="BA143" i="1"/>
  <c r="BB143" i="1" s="1"/>
  <c r="BA167" i="1"/>
  <c r="BB167" i="1" s="1"/>
  <c r="BA39" i="1"/>
  <c r="BB39" i="1" s="1"/>
  <c r="AZ192" i="1"/>
  <c r="BA23" i="1"/>
  <c r="BB23" i="1" s="1"/>
  <c r="AZ23" i="1"/>
  <c r="BA185" i="1"/>
  <c r="BB185" i="1" s="1"/>
  <c r="AZ185" i="1"/>
  <c r="BA96" i="1"/>
  <c r="BB96" i="1" s="1"/>
  <c r="AZ96" i="1"/>
  <c r="AZ84" i="1"/>
  <c r="BA47" i="1"/>
  <c r="BB47" i="1" s="1"/>
  <c r="AZ38" i="1"/>
  <c r="AZ178" i="1"/>
  <c r="BA83" i="1"/>
  <c r="BB83" i="1" s="1"/>
  <c r="AZ85" i="1"/>
  <c r="AZ90" i="1"/>
  <c r="BA160" i="1"/>
  <c r="BA172" i="1"/>
  <c r="BB172" i="1" s="1"/>
  <c r="BA127" i="1"/>
  <c r="BB127" i="1" s="1"/>
  <c r="AP36" i="1"/>
  <c r="AZ42" i="1"/>
  <c r="BA42" i="1"/>
  <c r="BB42" i="1" s="1"/>
  <c r="AZ182" i="1"/>
  <c r="BA121" i="1"/>
  <c r="BB121" i="1" s="1"/>
  <c r="AZ128" i="1"/>
  <c r="BA43" i="1"/>
  <c r="BB43" i="1" s="1"/>
  <c r="BA161" i="1"/>
  <c r="BB161" i="1" s="1"/>
  <c r="BA91" i="1"/>
  <c r="BB91" i="1" s="1"/>
  <c r="BA45" i="1"/>
  <c r="BB45" i="1" s="1"/>
  <c r="BA46" i="1"/>
  <c r="BB46" i="1" s="1"/>
  <c r="AZ189" i="1"/>
  <c r="BA180" i="1"/>
  <c r="BB180" i="1" s="1"/>
  <c r="BA139" i="1"/>
  <c r="BB139" i="1" s="1"/>
  <c r="BA184" i="1"/>
  <c r="BB184" i="1" s="1"/>
  <c r="AZ184" i="1"/>
  <c r="BA198" i="1"/>
  <c r="BB198" i="1" s="1"/>
  <c r="AZ198" i="1"/>
  <c r="BA195" i="1"/>
  <c r="BB195" i="1" s="1"/>
  <c r="AZ195" i="1"/>
  <c r="AZ164" i="1"/>
  <c r="BA164" i="1"/>
  <c r="BB164" i="1" s="1"/>
  <c r="BA108" i="1"/>
  <c r="BB108" i="1" s="1"/>
  <c r="BA62" i="1"/>
  <c r="BB62" i="1" s="1"/>
  <c r="AZ78" i="1"/>
  <c r="BA78" i="1"/>
  <c r="BB78" i="1" s="1"/>
  <c r="BA111" i="1"/>
  <c r="BB111" i="1" s="1"/>
  <c r="AZ111" i="1"/>
  <c r="BA107" i="1"/>
  <c r="BB107" i="1" s="1"/>
  <c r="AZ100" i="1"/>
  <c r="AZ61" i="1"/>
  <c r="BA61" i="1"/>
  <c r="BB61" i="1" s="1"/>
  <c r="AZ58" i="1"/>
  <c r="BA58" i="1"/>
  <c r="BB58" i="1" s="1"/>
  <c r="AZ44" i="1"/>
  <c r="BA70" i="1"/>
  <c r="BB70" i="1" s="1"/>
  <c r="AZ70" i="1"/>
  <c r="AZ30" i="1"/>
  <c r="BA30" i="1"/>
  <c r="BB30" i="1" s="1"/>
  <c r="AZ20" i="1"/>
  <c r="AZ16" i="1"/>
  <c r="BA16" i="1"/>
  <c r="BB16" i="1" s="1"/>
  <c r="AZ37" i="1"/>
  <c r="AZ7" i="1"/>
  <c r="BA7" i="1"/>
  <c r="BB7" i="1" s="1"/>
  <c r="BA80" i="1"/>
  <c r="BB80" i="1" s="1"/>
  <c r="AZ80" i="1"/>
  <c r="AZ60" i="1"/>
  <c r="BA60" i="1"/>
  <c r="BB60" i="1" s="1"/>
  <c r="AZ40" i="1"/>
  <c r="BA40" i="1"/>
  <c r="BB40" i="1" s="1"/>
  <c r="BA29" i="1"/>
  <c r="BB29" i="1" s="1"/>
  <c r="BA6" i="1"/>
  <c r="BB6" i="1" s="1"/>
  <c r="AZ6" i="1"/>
  <c r="BA15" i="1"/>
  <c r="BA175" i="1"/>
  <c r="BB175" i="1" s="1"/>
  <c r="AZ175" i="1"/>
  <c r="BA194" i="1"/>
  <c r="BB194" i="1" s="1"/>
  <c r="AZ194" i="1"/>
  <c r="BA197" i="1"/>
  <c r="BB197" i="1" s="1"/>
  <c r="AZ118" i="1"/>
  <c r="BA118" i="1"/>
  <c r="BB118" i="1" s="1"/>
  <c r="BA109" i="1"/>
  <c r="BB109" i="1" s="1"/>
  <c r="AZ109" i="1"/>
  <c r="AZ119" i="1"/>
  <c r="BA119" i="1"/>
  <c r="BB119" i="1" s="1"/>
  <c r="BA71" i="1"/>
  <c r="BB71" i="1" s="1"/>
  <c r="AZ71" i="1"/>
  <c r="AZ65" i="1"/>
  <c r="AZ94" i="1"/>
  <c r="BA94" i="1"/>
  <c r="BB94" i="1" s="1"/>
  <c r="AZ31" i="1"/>
  <c r="BA31" i="1"/>
  <c r="BB31" i="1" s="1"/>
  <c r="BA28" i="1"/>
  <c r="BB28" i="1" s="1"/>
  <c r="AZ28" i="1"/>
  <c r="BB77" i="1" l="1"/>
  <c r="BB33" i="1"/>
  <c r="BB15" i="1"/>
  <c r="BD133" i="1"/>
  <c r="BD3" i="1"/>
  <c r="BD105" i="1"/>
  <c r="BA57" i="1"/>
  <c r="BB57" i="1" s="1"/>
  <c r="BA56" i="1"/>
  <c r="AZ68" i="1"/>
  <c r="AZ110" i="1"/>
  <c r="AZ151" i="1"/>
  <c r="BA126" i="1"/>
  <c r="BB126" i="1" s="1"/>
  <c r="AZ163" i="1"/>
  <c r="AZ186" i="1"/>
  <c r="AX97" i="1"/>
  <c r="AX146" i="1"/>
  <c r="AX23" i="1"/>
  <c r="AX117" i="1"/>
  <c r="BD15" i="1"/>
  <c r="AX192" i="1"/>
  <c r="AX139" i="1"/>
  <c r="AX156" i="1"/>
  <c r="AX13" i="1"/>
  <c r="AX186" i="1"/>
  <c r="BB90" i="3"/>
  <c r="BB103" i="3" s="1"/>
  <c r="AZ56" i="1"/>
  <c r="AZ166" i="1"/>
  <c r="BA196" i="1"/>
  <c r="BB196" i="1" s="1"/>
  <c r="BA13" i="1"/>
  <c r="BB13" i="1" s="1"/>
  <c r="BA162" i="1"/>
  <c r="BB162" i="1" s="1"/>
  <c r="AZ137" i="1"/>
  <c r="AZ155" i="1"/>
  <c r="AZ97" i="1"/>
  <c r="AZ173" i="1"/>
  <c r="AZ150" i="1"/>
  <c r="BA113" i="1"/>
  <c r="BB113" i="1" s="1"/>
  <c r="BA188" i="1"/>
  <c r="BB188" i="1" s="1"/>
  <c r="BA190" i="1"/>
  <c r="BB190" i="1" s="1"/>
  <c r="BA191" i="1"/>
  <c r="BB191" i="1" s="1"/>
  <c r="AX50" i="3"/>
  <c r="AX103" i="3" s="1"/>
  <c r="BD177" i="1"/>
  <c r="BC28" i="3"/>
  <c r="AZ28" i="3"/>
  <c r="AZ33" i="1"/>
  <c r="AZ169" i="1"/>
  <c r="AZ193" i="1"/>
  <c r="AZ35" i="1"/>
  <c r="BA129" i="1"/>
  <c r="BB129" i="1" s="1"/>
  <c r="AZ77" i="1"/>
  <c r="AX172" i="1"/>
  <c r="AX90" i="1"/>
  <c r="AX7" i="1"/>
  <c r="AX96" i="1"/>
  <c r="AX121" i="1"/>
  <c r="AX48" i="1"/>
  <c r="AX185" i="1"/>
  <c r="AX46" i="1"/>
  <c r="AX162" i="1"/>
  <c r="AX113" i="1"/>
  <c r="AZ15" i="1"/>
  <c r="AZ8" i="1"/>
  <c r="AZ157" i="1"/>
  <c r="BA59" i="1"/>
  <c r="BB59" i="1" s="1"/>
  <c r="BB160" i="1"/>
  <c r="BA63" i="1"/>
  <c r="BB63" i="1" s="1"/>
  <c r="BA165" i="1"/>
  <c r="BB165" i="1" s="1"/>
  <c r="AZ142" i="1"/>
  <c r="BA89" i="1"/>
  <c r="BB89" i="1" s="1"/>
  <c r="BA106" i="1"/>
  <c r="BB106" i="1" s="1"/>
  <c r="AZ3" i="1"/>
  <c r="AZ160" i="1"/>
  <c r="BD160" i="1"/>
  <c r="BC90" i="3"/>
  <c r="BC103" i="3" s="1"/>
  <c r="AU103" i="3"/>
  <c r="AV103" i="3" s="1"/>
  <c r="AY95" i="3"/>
  <c r="AZ95" i="3" s="1"/>
  <c r="AX95" i="3"/>
  <c r="AY103" i="3"/>
  <c r="AW103" i="3"/>
  <c r="AX148" i="1"/>
  <c r="AX6" i="1"/>
  <c r="AX196" i="1"/>
  <c r="AX70" i="1"/>
  <c r="AX63" i="1"/>
  <c r="AX189" i="1"/>
  <c r="AX175" i="1"/>
  <c r="AX184" i="1"/>
  <c r="AX42" i="1"/>
  <c r="AX69" i="1"/>
  <c r="AX18" i="1"/>
  <c r="AX4" i="1"/>
  <c r="AX110" i="1"/>
  <c r="AX129" i="1"/>
  <c r="AX31" i="1"/>
  <c r="AX98" i="1"/>
  <c r="AX71" i="1"/>
  <c r="AX60" i="1"/>
  <c r="AX84" i="1"/>
  <c r="AX88" i="1"/>
  <c r="AX126" i="1"/>
  <c r="AX94" i="1"/>
  <c r="AX173" i="1"/>
  <c r="AX144" i="1"/>
  <c r="AX137" i="1"/>
  <c r="AX164" i="1"/>
  <c r="AX34" i="1"/>
  <c r="AX68" i="1"/>
  <c r="AY81" i="1"/>
  <c r="BD77" i="1" s="1"/>
  <c r="AV81" i="1"/>
  <c r="AW81" i="1"/>
  <c r="BA66" i="1"/>
  <c r="BB66" i="1" s="1"/>
  <c r="AZ66" i="1"/>
  <c r="AZ174" i="1"/>
  <c r="BA174" i="1"/>
  <c r="BB174" i="1" s="1"/>
  <c r="AZ171" i="1"/>
  <c r="BA171" i="1"/>
  <c r="BB171" i="1" s="1"/>
  <c r="BA120" i="1"/>
  <c r="BB120" i="1" s="1"/>
  <c r="AZ120" i="1"/>
  <c r="BA147" i="1"/>
  <c r="BB147" i="1" s="1"/>
  <c r="AZ147" i="1"/>
  <c r="BA99" i="1"/>
  <c r="BB99" i="1" s="1"/>
  <c r="AZ99" i="1"/>
  <c r="AZ187" i="1"/>
  <c r="BA187" i="1"/>
  <c r="BB187" i="1" s="1"/>
  <c r="BA179" i="1"/>
  <c r="BB179" i="1" s="1"/>
  <c r="AZ179" i="1"/>
  <c r="AY36" i="1"/>
  <c r="AZ36" i="1" s="1"/>
  <c r="AV36" i="1"/>
  <c r="AW36" i="1"/>
  <c r="AV64" i="1"/>
  <c r="AW64" i="1"/>
  <c r="AZ82" i="1"/>
  <c r="BA82" i="1"/>
  <c r="BB82" i="1" s="1"/>
  <c r="AZ105" i="1"/>
  <c r="BA105" i="1"/>
  <c r="AZ67" i="1"/>
  <c r="BA67" i="1"/>
  <c r="BB67" i="1" s="1"/>
  <c r="AZ34" i="1"/>
  <c r="BA34" i="1"/>
  <c r="BB34" i="1" s="1"/>
  <c r="AX118" i="1"/>
  <c r="AX66" i="1"/>
  <c r="AX85" i="1"/>
  <c r="AX174" i="1"/>
  <c r="AX143" i="1"/>
  <c r="AX149" i="1"/>
  <c r="AX160" i="1"/>
  <c r="AX109" i="1"/>
  <c r="AX150" i="1"/>
  <c r="AX167" i="1"/>
  <c r="AX89" i="1"/>
  <c r="AX39" i="1"/>
  <c r="AX108" i="1"/>
  <c r="AX194" i="1"/>
  <c r="AX19" i="1"/>
  <c r="AX38" i="1"/>
  <c r="AX79" i="1"/>
  <c r="AX111" i="1"/>
  <c r="AX171" i="1"/>
  <c r="AX178" i="1"/>
  <c r="AX15" i="1"/>
  <c r="AX61" i="1"/>
  <c r="AX45" i="1"/>
  <c r="AX78" i="1"/>
  <c r="AX3" i="1"/>
  <c r="AX47" i="1"/>
  <c r="AX83" i="1"/>
  <c r="AX91" i="1"/>
  <c r="AX106" i="1"/>
  <c r="AX119" i="1"/>
  <c r="AX180" i="1"/>
  <c r="AX191" i="1"/>
  <c r="AX8" i="1"/>
  <c r="AX77" i="1"/>
  <c r="AX112" i="1"/>
  <c r="AX176" i="1"/>
  <c r="AX182" i="1"/>
  <c r="AX190" i="1"/>
  <c r="AX40" i="1"/>
  <c r="AX44" i="1"/>
  <c r="AX177" i="1"/>
  <c r="AX120" i="1"/>
  <c r="AX62" i="1"/>
  <c r="AX92" i="1"/>
  <c r="AX147" i="1"/>
  <c r="AX99" i="1"/>
  <c r="AX116" i="1"/>
  <c r="AX152" i="1"/>
  <c r="AX20" i="1"/>
  <c r="AX28" i="1"/>
  <c r="AX100" i="1"/>
  <c r="AX17" i="1"/>
  <c r="AX183" i="1"/>
  <c r="AX198" i="1"/>
  <c r="AX58" i="1"/>
  <c r="AX37" i="1"/>
  <c r="AX138" i="1"/>
  <c r="AX161" i="1"/>
  <c r="AX5" i="1"/>
  <c r="AX16" i="1"/>
  <c r="AX65" i="1"/>
  <c r="AX155" i="1"/>
  <c r="AX22" i="1"/>
  <c r="AX87" i="1"/>
  <c r="AX95" i="1"/>
  <c r="AX169" i="1"/>
  <c r="AX188" i="1"/>
  <c r="AX195" i="1"/>
  <c r="AX168" i="1"/>
  <c r="AX187" i="1"/>
  <c r="AX86" i="1"/>
  <c r="AX115" i="1"/>
  <c r="AX157" i="1"/>
  <c r="AX179" i="1"/>
  <c r="AX30" i="1"/>
  <c r="AX43" i="1"/>
  <c r="AX80" i="1"/>
  <c r="BA41" i="1"/>
  <c r="BB41" i="1" s="1"/>
  <c r="BB3" i="1"/>
  <c r="AY64" i="1"/>
  <c r="AZ64" i="1" s="1"/>
  <c r="AZ17" i="1"/>
  <c r="BA48" i="1"/>
  <c r="BB48" i="1" s="1"/>
  <c r="BA145" i="1"/>
  <c r="BB145" i="1" s="1"/>
  <c r="AZ181" i="1"/>
  <c r="AZ168" i="1"/>
  <c r="BA86" i="1"/>
  <c r="BB86" i="1" s="1"/>
  <c r="AZ19" i="1"/>
  <c r="AZ5" i="1"/>
  <c r="AZ22" i="1"/>
  <c r="BA87" i="1"/>
  <c r="BB87" i="1" s="1"/>
  <c r="AZ95" i="1"/>
  <c r="BA137" i="1"/>
  <c r="AZ46" i="3"/>
  <c r="AZ103" i="3" s="1"/>
  <c r="AZ183" i="1"/>
  <c r="BA117" i="1"/>
  <c r="BB117" i="1" s="1"/>
  <c r="AZ117" i="1"/>
  <c r="AZ43" i="1"/>
  <c r="AZ138" i="1"/>
  <c r="BA98" i="1"/>
  <c r="BB98" i="1" s="1"/>
  <c r="BA182" i="1"/>
  <c r="BB182" i="1" s="1"/>
  <c r="BA4" i="1"/>
  <c r="BB4" i="1" s="1"/>
  <c r="AZ4" i="1"/>
  <c r="BA64" i="1"/>
  <c r="BB64" i="1" s="1"/>
  <c r="BA79" i="1"/>
  <c r="BB79" i="1" s="1"/>
  <c r="BA81" i="1"/>
  <c r="BB81" i="1" s="1"/>
  <c r="BA36" i="1"/>
  <c r="BB36" i="1" s="1"/>
  <c r="BA18" i="1"/>
  <c r="BB18" i="1" s="1"/>
  <c r="AZ18" i="1"/>
  <c r="AZ144" i="1"/>
  <c r="BA144" i="1"/>
  <c r="BB144" i="1" s="1"/>
  <c r="BA177" i="1"/>
  <c r="AZ177" i="1"/>
  <c r="BB177" i="1" l="1"/>
  <c r="BE177" i="1"/>
  <c r="AZ81" i="1"/>
  <c r="AY201" i="1"/>
  <c r="BE33" i="1"/>
  <c r="BD33" i="1"/>
  <c r="BE15" i="1"/>
  <c r="BB137" i="1"/>
  <c r="BE133" i="1"/>
  <c r="BE160" i="1"/>
  <c r="BE3" i="1"/>
  <c r="BD53" i="1"/>
  <c r="BD201" i="1" s="1"/>
  <c r="BE77" i="1"/>
  <c r="BB105" i="1"/>
  <c r="BE105" i="1"/>
  <c r="BB56" i="1"/>
  <c r="BB201" i="1" s="1"/>
  <c r="BE53" i="1"/>
  <c r="AW201" i="1"/>
  <c r="AX201" i="1" s="1"/>
  <c r="AZ201" i="1"/>
  <c r="AX64" i="1"/>
  <c r="AX36" i="1"/>
  <c r="AX81" i="1"/>
  <c r="BA201" i="1"/>
  <c r="BE201" i="1" l="1"/>
</calcChain>
</file>

<file path=xl/sharedStrings.xml><?xml version="1.0" encoding="utf-8"?>
<sst xmlns="http://schemas.openxmlformats.org/spreadsheetml/2006/main" count="694" uniqueCount="333">
  <si>
    <t>Project Name</t>
  </si>
  <si>
    <t>Location</t>
  </si>
  <si>
    <t># of Pumps</t>
  </si>
  <si>
    <t>Pump HP</t>
  </si>
  <si>
    <t>Design Flow</t>
  </si>
  <si>
    <t>Static Head</t>
  </si>
  <si>
    <t>Total Head</t>
  </si>
  <si>
    <t>Dynamic Head</t>
  </si>
  <si>
    <t>Flow 1</t>
  </si>
  <si>
    <r>
      <t>Head</t>
    </r>
    <r>
      <rPr>
        <b/>
        <vertAlign val="subscript"/>
        <sz val="11"/>
        <rFont val="Calibri"/>
        <family val="2"/>
        <scheme val="minor"/>
      </rPr>
      <t>Base</t>
    </r>
  </si>
  <si>
    <r>
      <t>Pump Eff</t>
    </r>
    <r>
      <rPr>
        <b/>
        <vertAlign val="subscript"/>
        <sz val="11"/>
        <rFont val="Calibri"/>
        <family val="2"/>
        <scheme val="minor"/>
      </rPr>
      <t>BASE</t>
    </r>
  </si>
  <si>
    <r>
      <t>Head</t>
    </r>
    <r>
      <rPr>
        <b/>
        <vertAlign val="subscript"/>
        <sz val="11"/>
        <rFont val="Calibri"/>
        <family val="2"/>
        <scheme val="minor"/>
      </rPr>
      <t>VFD</t>
    </r>
  </si>
  <si>
    <r>
      <t>Pump Eff</t>
    </r>
    <r>
      <rPr>
        <b/>
        <vertAlign val="subscript"/>
        <sz val="11"/>
        <rFont val="Calibri"/>
        <family val="2"/>
        <scheme val="minor"/>
      </rPr>
      <t>VFD</t>
    </r>
  </si>
  <si>
    <t>Hour 1</t>
  </si>
  <si>
    <t>Flow 2</t>
  </si>
  <si>
    <t>Hour 2</t>
  </si>
  <si>
    <t>Flow 3</t>
  </si>
  <si>
    <t>Hour 3</t>
  </si>
  <si>
    <t>Flow 4</t>
  </si>
  <si>
    <t>Hour 4</t>
  </si>
  <si>
    <t>Flow 5</t>
  </si>
  <si>
    <t>Hour 5</t>
  </si>
  <si>
    <t>Total Hours</t>
  </si>
  <si>
    <t>Gallons/Yr</t>
  </si>
  <si>
    <t>Max Flow</t>
  </si>
  <si>
    <t>Avg Flow</t>
  </si>
  <si>
    <t>kWh Savings</t>
  </si>
  <si>
    <t>kWh/hp</t>
  </si>
  <si>
    <t>kW</t>
  </si>
  <si>
    <t>kW/hp</t>
  </si>
  <si>
    <t>(gpm)</t>
  </si>
  <si>
    <t>(ft)</t>
  </si>
  <si>
    <t>(hr/yr)</t>
  </si>
  <si>
    <t>(gal/yr)</t>
  </si>
  <si>
    <t>Derek Moffitt Farms</t>
  </si>
  <si>
    <t>Biggs</t>
  </si>
  <si>
    <t>Four Point Farm</t>
  </si>
  <si>
    <t>Winters</t>
  </si>
  <si>
    <t>Bishel Farms</t>
  </si>
  <si>
    <t>Madera</t>
  </si>
  <si>
    <t>Larry Hirahira Family Farms</t>
  </si>
  <si>
    <t>Creekside Land Company</t>
  </si>
  <si>
    <t>Hollister</t>
  </si>
  <si>
    <t>Richard Shiffrar Farms</t>
  </si>
  <si>
    <t>Nipomo</t>
  </si>
  <si>
    <t>J Lohr Vineyard (Well #1)</t>
  </si>
  <si>
    <t>Paso Robles</t>
  </si>
  <si>
    <t>J Lohr Vineyard (Well #3)</t>
  </si>
  <si>
    <t>Keyawa Orchards</t>
  </si>
  <si>
    <t>Chico</t>
  </si>
  <si>
    <t>Norene Ranches, Inc</t>
  </si>
  <si>
    <t>Rio Oso</t>
  </si>
  <si>
    <t>Yuki Farms (Higashi Farms)</t>
  </si>
  <si>
    <t>Quinco Corp</t>
  </si>
  <si>
    <t>Marysville</t>
  </si>
  <si>
    <t>Gallo Vineyards (Caldiera)</t>
  </si>
  <si>
    <t>Livingston</t>
  </si>
  <si>
    <t>Cal Clementine</t>
  </si>
  <si>
    <t>Visalia</t>
  </si>
  <si>
    <t>John H Davis Farm</t>
  </si>
  <si>
    <t>Esparto</t>
  </si>
  <si>
    <t>Meyers Farming LLC</t>
  </si>
  <si>
    <t>Mendota</t>
  </si>
  <si>
    <t>Reclamation District 108</t>
  </si>
  <si>
    <t>Grimes</t>
  </si>
  <si>
    <t>D&amp;G Merwin</t>
  </si>
  <si>
    <t>Clarksburg</t>
  </si>
  <si>
    <t>Riaz Siddiqui</t>
  </si>
  <si>
    <t>J Lohr Ranch</t>
  </si>
  <si>
    <t>J Lohr Vineyard (Well #2)</t>
  </si>
  <si>
    <t>J Lohr Vineyard (Well #5)</t>
  </si>
  <si>
    <t>Deseret Farms</t>
  </si>
  <si>
    <t>T&amp;P Farms</t>
  </si>
  <si>
    <t>Arbuckle</t>
  </si>
  <si>
    <t>J&amp;M Britton</t>
  </si>
  <si>
    <t>Firebaugh</t>
  </si>
  <si>
    <t>Gordon Farm</t>
  </si>
  <si>
    <t>Brooks</t>
  </si>
  <si>
    <t>Craig Miller Farm</t>
  </si>
  <si>
    <t>Tracy</t>
  </si>
  <si>
    <t>Bowles Farming</t>
  </si>
  <si>
    <t>Los Banos</t>
  </si>
  <si>
    <t>San Juan Ranch</t>
  </si>
  <si>
    <t>Dos Palos</t>
  </si>
  <si>
    <t>Flores Pistachio Ranch</t>
  </si>
  <si>
    <t>Lemoore</t>
  </si>
  <si>
    <t>John De Jong Dairy</t>
  </si>
  <si>
    <t>Hanford</t>
  </si>
  <si>
    <t>Chad Rava (Rancho Fortunato Vineyard)</t>
  </si>
  <si>
    <t>Iest Family Farm 900 Ranch</t>
  </si>
  <si>
    <t>San Ysidro Farms</t>
  </si>
  <si>
    <t>Orcutt</t>
  </si>
  <si>
    <t>Dunnigan Hills Ranch</t>
  </si>
  <si>
    <t>Zamora</t>
  </si>
  <si>
    <t>Capaul Ranch</t>
  </si>
  <si>
    <t>Meridian</t>
  </si>
  <si>
    <t>Scott Raven Farming Co</t>
  </si>
  <si>
    <t>Selma</t>
  </si>
  <si>
    <t>Emmert Well</t>
  </si>
  <si>
    <t>California Olive Ranch</t>
  </si>
  <si>
    <t>Corning</t>
  </si>
  <si>
    <t>Ed Silva &amp; Sons</t>
  </si>
  <si>
    <t>Santa Maria</t>
  </si>
  <si>
    <t>Clarke Ornbaun</t>
  </si>
  <si>
    <t>Houlding Farms (Kendall Jackson Ranch)</t>
  </si>
  <si>
    <t>Golden Sand Orchards</t>
  </si>
  <si>
    <t>Iest Family Farm (Gunter Ranch)</t>
  </si>
  <si>
    <t>Cosyns Farms</t>
  </si>
  <si>
    <t>Higashi Farms</t>
  </si>
  <si>
    <t>Salinas</t>
  </si>
  <si>
    <t>Rancho Laguna (Larry Ferini Rancho)</t>
  </si>
  <si>
    <t>Alyce LLC Farm</t>
  </si>
  <si>
    <t>Davis</t>
  </si>
  <si>
    <t>Chowchilla</t>
  </si>
  <si>
    <t>Scully Packing Co</t>
  </si>
  <si>
    <t>Lakeport</t>
  </si>
  <si>
    <t>T+P Farms</t>
  </si>
  <si>
    <t>Colusa</t>
  </si>
  <si>
    <t xml:space="preserve">Braden Farms </t>
  </si>
  <si>
    <t>Richard Reyes</t>
  </si>
  <si>
    <t>Olive Glenn Orchards</t>
  </si>
  <si>
    <t>Artois</t>
  </si>
  <si>
    <t>Charles Yerxa Farms (Merril Ranch)</t>
  </si>
  <si>
    <t>Kalfs Co Line (JK&amp;T Kalfsbeek Company)</t>
  </si>
  <si>
    <t>R H Phillips Vineyards</t>
  </si>
  <si>
    <t>Gallo Vineyards (N River)</t>
  </si>
  <si>
    <t>Sheely Farms</t>
  </si>
  <si>
    <t>Rancho Guadalupe (Ranch 11)</t>
  </si>
  <si>
    <t>Guadalupe</t>
  </si>
  <si>
    <t xml:space="preserve">Ratliff &amp; Demmer </t>
  </si>
  <si>
    <t>Peterson Ranch</t>
  </si>
  <si>
    <t>Willow Grove Farm</t>
  </si>
  <si>
    <t>Martin-Kelly Farms</t>
  </si>
  <si>
    <t>Whyler Company</t>
  </si>
  <si>
    <t>Glenn</t>
  </si>
  <si>
    <t>Sloughside Farm</t>
  </si>
  <si>
    <t>Woodland</t>
  </si>
  <si>
    <t>Westwind Farms</t>
  </si>
  <si>
    <t>Strain Orchards LP</t>
  </si>
  <si>
    <t>Bill Diedrich</t>
  </si>
  <si>
    <t>Crossland Vineyards</t>
  </si>
  <si>
    <t>Peter Bradford dba Mayflower Farms</t>
  </si>
  <si>
    <t>Jack Meek Farms</t>
  </si>
  <si>
    <t>ATP Ranch</t>
  </si>
  <si>
    <t>E&amp;J Farms</t>
  </si>
  <si>
    <t>Colusa Farms</t>
  </si>
  <si>
    <t>Princeton</t>
  </si>
  <si>
    <t>Corporate International Investors Ranch</t>
  </si>
  <si>
    <t>Texeira Farms</t>
  </si>
  <si>
    <t>Bert Wilgenburg Ranch</t>
  </si>
  <si>
    <t>Gallo Vineyards (B&amp;P)</t>
  </si>
  <si>
    <t>Gallo Vineyards (P10)</t>
  </si>
  <si>
    <t>Gallo Vineyards (P34)</t>
  </si>
  <si>
    <t>Gallo Vineyards (Damant)</t>
  </si>
  <si>
    <t>South County</t>
  </si>
  <si>
    <t>King City</t>
  </si>
  <si>
    <t>DFHB Inc. Capay Ranch</t>
  </si>
  <si>
    <t>Castoro Cellars</t>
  </si>
  <si>
    <t>San Miguel</t>
  </si>
  <si>
    <t>Braden Farms</t>
  </si>
  <si>
    <t>McFate Ranch</t>
  </si>
  <si>
    <t>Droogh Dairy</t>
  </si>
  <si>
    <t>Mark Samuelson Ranch</t>
  </si>
  <si>
    <t>Iman Orchards</t>
  </si>
  <si>
    <t>Bakersfield</t>
  </si>
  <si>
    <t>Dosanjh Brothers</t>
  </si>
  <si>
    <t>Acquistapace Farms</t>
  </si>
  <si>
    <t>Carlton Duty Westside Ranch</t>
  </si>
  <si>
    <t>Estee Strom</t>
  </si>
  <si>
    <t>Fresno</t>
  </si>
  <si>
    <t>Gallo Vineyards (P3)</t>
  </si>
  <si>
    <t>Bengard Ranch</t>
  </si>
  <si>
    <t>Grimmius Cattle</t>
  </si>
  <si>
    <t>Scott Smith</t>
  </si>
  <si>
    <t>Bullseye Farm</t>
  </si>
  <si>
    <t>Braden Farms (OK2P4)</t>
  </si>
  <si>
    <t>Snelling</t>
  </si>
  <si>
    <t>Braden Farms (Olsen W3)</t>
  </si>
  <si>
    <t>Medeiros &amp; Son Dairy</t>
  </si>
  <si>
    <t>Gumper - Willoughby Farm</t>
  </si>
  <si>
    <t>Temple Creek Ranch</t>
  </si>
  <si>
    <t>Oakdale</t>
  </si>
  <si>
    <t>Lucero Farms</t>
  </si>
  <si>
    <t>McKean Farms</t>
  </si>
  <si>
    <t>Riverdale</t>
  </si>
  <si>
    <t>Bien Nacido Vineyards</t>
  </si>
  <si>
    <t>Circle D Farms</t>
  </si>
  <si>
    <t>Dunnigan</t>
  </si>
  <si>
    <t xml:space="preserve">Plantel Nursery </t>
  </si>
  <si>
    <t>Sill Properties Field #28</t>
  </si>
  <si>
    <t>Shafter</t>
  </si>
  <si>
    <t>Harguindeguy Family Farms</t>
  </si>
  <si>
    <t>Helm</t>
  </si>
  <si>
    <t>Rock Creek Vineyards</t>
  </si>
  <si>
    <t>Modesto</t>
  </si>
  <si>
    <t>Rock Ridge Ranch</t>
  </si>
  <si>
    <t>Waterford</t>
  </si>
  <si>
    <t>Wisecarver Farms</t>
  </si>
  <si>
    <t>Rolling Hills Vineyards</t>
  </si>
  <si>
    <t>Earthbound Farms</t>
  </si>
  <si>
    <t>Chualar</t>
  </si>
  <si>
    <t>Widgeon Land Co.</t>
  </si>
  <si>
    <t>Walker Farms</t>
  </si>
  <si>
    <t xml:space="preserve">Cottonwood Creek Ranch </t>
  </si>
  <si>
    <t>Burford Family Farms</t>
  </si>
  <si>
    <t>Danell Brothers Farms</t>
  </si>
  <si>
    <t>Batth Farms</t>
  </si>
  <si>
    <t>Caruthers</t>
  </si>
  <si>
    <t>Reclamation District 1004</t>
  </si>
  <si>
    <t>Alcala Farms</t>
  </si>
  <si>
    <t>Sullivan Farming</t>
  </si>
  <si>
    <t>Stone Land Company</t>
  </si>
  <si>
    <t>Stratford</t>
  </si>
  <si>
    <t>S&amp;S Ranch</t>
  </si>
  <si>
    <t>Total HP</t>
  </si>
  <si>
    <t>kWh</t>
  </si>
  <si>
    <t>Fagundes Brothers</t>
  </si>
  <si>
    <t>Texeira and Son's</t>
  </si>
  <si>
    <t>Parlon Farming</t>
  </si>
  <si>
    <t>Sun Pacific Farming</t>
  </si>
  <si>
    <t>Reedley</t>
  </si>
  <si>
    <t>Del Mar Farms</t>
  </si>
  <si>
    <t>Double Diamond Dairy &amp; Ranch</t>
  </si>
  <si>
    <t>El Nido</t>
  </si>
  <si>
    <t>Claxton Farms</t>
  </si>
  <si>
    <t>Westside Farm</t>
  </si>
  <si>
    <t>Harlan &amp; Dumars (Field #1)</t>
  </si>
  <si>
    <t>Woody Yerxa's River Vista Farms</t>
  </si>
  <si>
    <t>Harlan &amp; Dumars, Inc. (Field 6)</t>
  </si>
  <si>
    <t>Harlan &amp; Dumars, Inc. (Field 7)</t>
  </si>
  <si>
    <t>Chris Steele</t>
  </si>
  <si>
    <t>Cache Creek</t>
  </si>
  <si>
    <t>Blossom Vineyard</t>
  </si>
  <si>
    <t>Thornton</t>
  </si>
  <si>
    <t>Daniel Claxton</t>
  </si>
  <si>
    <t>Scheuring Ranch</t>
  </si>
  <si>
    <t>Allen Azevedo</t>
  </si>
  <si>
    <t>Maxwell</t>
  </si>
  <si>
    <t>Jackson Farms</t>
  </si>
  <si>
    <t>Babe Farms</t>
  </si>
  <si>
    <t>Parreira Almond</t>
  </si>
  <si>
    <t>Oro Loma Ranch</t>
  </si>
  <si>
    <t>Ritchie &amp; Ritchie Farm</t>
  </si>
  <si>
    <t>Tulare</t>
  </si>
  <si>
    <t>Indegrow Farms</t>
  </si>
  <si>
    <t>Yocha Dehe</t>
  </si>
  <si>
    <t>Maiorino Farms</t>
  </si>
  <si>
    <t>DM Camp &amp; Sons</t>
  </si>
  <si>
    <t>Lucky Star Farms</t>
  </si>
  <si>
    <t>Huron</t>
  </si>
  <si>
    <t>Bollings Ranches Inc.</t>
  </si>
  <si>
    <t>Delano</t>
  </si>
  <si>
    <t>Iest Family Farms (39 Filter Station)</t>
  </si>
  <si>
    <t>Scott Raven Farms</t>
  </si>
  <si>
    <t>J&amp;M Britton Farm</t>
  </si>
  <si>
    <t>DP Farms</t>
  </si>
  <si>
    <t>WL Goodman &amp; Sons</t>
  </si>
  <si>
    <t>Valpredo Farms</t>
  </si>
  <si>
    <t>Peterson Ranch (Bob Harper)</t>
  </si>
  <si>
    <t xml:space="preserve">Pentagon Co. </t>
  </si>
  <si>
    <t>Donald Valpredo Farms</t>
  </si>
  <si>
    <t xml:space="preserve">Debenedetto </t>
  </si>
  <si>
    <t>W.L. Goodman &amp; Son's</t>
  </si>
  <si>
    <t>Christensen &amp; Giannini</t>
  </si>
  <si>
    <t>Demetrio Campos</t>
  </si>
  <si>
    <t>Westland Farms</t>
  </si>
  <si>
    <t>J. Clausen Farms</t>
  </si>
  <si>
    <t>Cantua Creek</t>
  </si>
  <si>
    <t>Gilardi Farms</t>
  </si>
  <si>
    <t>Rominger County Line Farming</t>
  </si>
  <si>
    <t>Harlan &amp; Dumards (Field #30)</t>
  </si>
  <si>
    <t>Iest Family Farms (IFF600)</t>
  </si>
  <si>
    <t>Tanimura &amp; Antles</t>
  </si>
  <si>
    <t>Five Points</t>
  </si>
  <si>
    <t>James B. Walker FLP</t>
  </si>
  <si>
    <t>CMA General - Five Points Ranch</t>
  </si>
  <si>
    <t>Whitney</t>
  </si>
  <si>
    <t>Olam Farming</t>
  </si>
  <si>
    <t>Alpha Orchard</t>
  </si>
  <si>
    <t>Orland</t>
  </si>
  <si>
    <t>Abbate Farms</t>
  </si>
  <si>
    <t>Merced</t>
  </si>
  <si>
    <t>Stone Land Pump</t>
  </si>
  <si>
    <r>
      <t>Head</t>
    </r>
    <r>
      <rPr>
        <b/>
        <vertAlign val="subscript"/>
        <sz val="11"/>
        <color theme="1"/>
        <rFont val="Calibri"/>
        <family val="2"/>
        <scheme val="minor"/>
      </rPr>
      <t>Base</t>
    </r>
  </si>
  <si>
    <r>
      <t>Pump Eff</t>
    </r>
    <r>
      <rPr>
        <b/>
        <vertAlign val="subscript"/>
        <sz val="11"/>
        <color theme="1"/>
        <rFont val="Calibri"/>
        <family val="2"/>
        <scheme val="minor"/>
      </rPr>
      <t>BASE</t>
    </r>
  </si>
  <si>
    <r>
      <t>Head</t>
    </r>
    <r>
      <rPr>
        <b/>
        <vertAlign val="subscript"/>
        <sz val="11"/>
        <color theme="1"/>
        <rFont val="Calibri"/>
        <family val="2"/>
        <scheme val="minor"/>
      </rPr>
      <t>VFD</t>
    </r>
  </si>
  <si>
    <r>
      <t>Pump Eff</t>
    </r>
    <r>
      <rPr>
        <b/>
        <vertAlign val="subscript"/>
        <sz val="11"/>
        <color theme="1"/>
        <rFont val="Calibri"/>
        <family val="2"/>
        <scheme val="minor"/>
      </rPr>
      <t>VFD</t>
    </r>
  </si>
  <si>
    <r>
      <t>Eff</t>
    </r>
    <r>
      <rPr>
        <b/>
        <vertAlign val="subscript"/>
        <sz val="11"/>
        <rFont val="Calibri"/>
        <family val="2"/>
        <scheme val="minor"/>
      </rPr>
      <t>vfd</t>
    </r>
  </si>
  <si>
    <r>
      <t>TDH</t>
    </r>
    <r>
      <rPr>
        <b/>
        <vertAlign val="subscript"/>
        <sz val="11"/>
        <rFont val="Calibri"/>
        <family val="2"/>
        <scheme val="minor"/>
      </rPr>
      <t>base</t>
    </r>
  </si>
  <si>
    <r>
      <t>TDH</t>
    </r>
    <r>
      <rPr>
        <b/>
        <vertAlign val="subscript"/>
        <sz val="11"/>
        <rFont val="Calibri"/>
        <family val="2"/>
        <scheme val="minor"/>
      </rPr>
      <t>vfd</t>
    </r>
  </si>
  <si>
    <r>
      <t>Eff</t>
    </r>
    <r>
      <rPr>
        <b/>
        <vertAlign val="subscript"/>
        <sz val="11"/>
        <rFont val="Calibri"/>
        <family val="2"/>
        <scheme val="minor"/>
      </rPr>
      <t>pump,base</t>
    </r>
  </si>
  <si>
    <r>
      <t>Eff</t>
    </r>
    <r>
      <rPr>
        <b/>
        <vertAlign val="subscript"/>
        <sz val="11"/>
        <rFont val="Calibri"/>
        <family val="2"/>
        <scheme val="minor"/>
      </rPr>
      <t>pump,vfd</t>
    </r>
  </si>
  <si>
    <t>Lassen Canyon Nursery</t>
  </si>
  <si>
    <t>Jon Cagliero Vineyard</t>
  </si>
  <si>
    <t>Carriere and Sons Partnership</t>
  </si>
  <si>
    <t>Chad Rava Vineyard</t>
  </si>
  <si>
    <t>Holland Farms (Napa &amp; Kamm Ranch)</t>
  </si>
  <si>
    <t>Green Gate Ranch and Vineyards</t>
  </si>
  <si>
    <t>Betteravia Farms Ranch 706</t>
  </si>
  <si>
    <t>Ron Tadlock Farms</t>
  </si>
  <si>
    <t>Barrios Farms 31/C31</t>
  </si>
  <si>
    <t>Negroni Farm</t>
  </si>
  <si>
    <t>Creekside Land Company, LLC</t>
  </si>
  <si>
    <t>Paula Farms Deep Well</t>
  </si>
  <si>
    <t>Steve Bilgieri</t>
  </si>
  <si>
    <t xml:space="preserve">Jack Meek LaMaitre </t>
  </si>
  <si>
    <t>LJT Flowers</t>
  </si>
  <si>
    <t>Valley Farm Management</t>
  </si>
  <si>
    <t>Circle K Station</t>
  </si>
  <si>
    <t>Haley Pump Station</t>
  </si>
  <si>
    <t>Bullseye Farm Field</t>
  </si>
  <si>
    <t>Joga Mahil</t>
  </si>
  <si>
    <t>Averages</t>
  </si>
  <si>
    <t>Gary Edmonson</t>
  </si>
  <si>
    <t>Bruce Meyers</t>
  </si>
  <si>
    <t>Val Mar Farms, LLC</t>
  </si>
  <si>
    <t>Fortune Farms</t>
  </si>
  <si>
    <t>OSR Enterprises</t>
  </si>
  <si>
    <t>Ed Virgin</t>
  </si>
  <si>
    <t>Jack H. Meek &amp; Sons</t>
  </si>
  <si>
    <t>Teixeira Farms (B) 34080</t>
  </si>
  <si>
    <t>Teixeira Farms (B) 34088</t>
  </si>
  <si>
    <t>Teixeira Farms (B) 34090</t>
  </si>
  <si>
    <t>A&amp;A Barcellos (B) 34223 A-Bar</t>
  </si>
  <si>
    <t>A&amp;A Barcellos (B) 34224 A-Bar</t>
  </si>
  <si>
    <t>A&amp;A Barcellos (B) 34222 A-Bar</t>
  </si>
  <si>
    <t>A&amp;A Barcellos (B) 34225 A-Bar</t>
  </si>
  <si>
    <t>A&amp;A Barcellos (B) 34266 A-Bar</t>
  </si>
  <si>
    <t>A&amp;A Barcellos (B) 34227 A-Bar</t>
  </si>
  <si>
    <t>BEC</t>
  </si>
  <si>
    <t>PEC</t>
  </si>
  <si>
    <t>Avg kWh/hp</t>
  </si>
  <si>
    <t>Avg kW/hp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</si>
</sst>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 vertical="center"/>
    </xf>
    <xf numFmtId="3" fontId="0" fillId="2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/>
    <xf numFmtId="3" fontId="4" fillId="3" borderId="0" xfId="0" applyNumberFormat="1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>
      <alignment horizontal="center" vertical="center"/>
    </xf>
    <xf numFmtId="3" fontId="0" fillId="3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/>
    <xf numFmtId="3" fontId="4" fillId="4" borderId="0" xfId="0" applyNumberFormat="1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4" fontId="4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3" fontId="0" fillId="4" borderId="0" xfId="0" applyNumberFormat="1" applyFont="1" applyFill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/>
    <xf numFmtId="3" fontId="4" fillId="5" borderId="0" xfId="0" applyNumberFormat="1" applyFont="1" applyFill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4" fillId="5" borderId="0" xfId="0" applyFont="1" applyFill="1" applyAlignment="1"/>
    <xf numFmtId="0" fontId="0" fillId="5" borderId="0" xfId="0" applyFont="1" applyFill="1" applyAlignment="1">
      <alignment vertical="center"/>
    </xf>
    <xf numFmtId="0" fontId="0" fillId="5" borderId="0" xfId="0" applyFont="1" applyFill="1" applyAlignment="1">
      <alignment horizontal="center" vertical="center"/>
    </xf>
    <xf numFmtId="3" fontId="0" fillId="5" borderId="0" xfId="0" applyNumberFormat="1" applyFont="1" applyFill="1" applyAlignment="1">
      <alignment horizontal="center" vertical="center"/>
    </xf>
    <xf numFmtId="0" fontId="4" fillId="6" borderId="0" xfId="0" applyFont="1" applyFill="1"/>
    <xf numFmtId="0" fontId="4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/>
    </xf>
    <xf numFmtId="3" fontId="4" fillId="6" borderId="0" xfId="0" applyNumberFormat="1" applyFont="1" applyFill="1" applyAlignment="1">
      <alignment horizontal="center" vertical="center"/>
    </xf>
    <xf numFmtId="164" fontId="4" fillId="6" borderId="0" xfId="0" applyNumberFormat="1" applyFont="1" applyFill="1" applyAlignment="1">
      <alignment horizontal="center" vertical="center"/>
    </xf>
    <xf numFmtId="4" fontId="4" fillId="6" borderId="0" xfId="0" applyNumberFormat="1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4" fillId="6" borderId="0" xfId="0" applyFont="1" applyFill="1" applyBorder="1" applyAlignment="1">
      <alignment vertical="center"/>
    </xf>
    <xf numFmtId="0" fontId="4" fillId="6" borderId="0" xfId="0" applyFont="1" applyFill="1" applyAlignment="1">
      <alignment vertical="center"/>
    </xf>
    <xf numFmtId="0" fontId="4" fillId="6" borderId="0" xfId="0" applyFont="1" applyFill="1" applyAlignment="1">
      <alignment horizontal="left" vertical="center"/>
    </xf>
    <xf numFmtId="0" fontId="0" fillId="6" borderId="0" xfId="0" applyFont="1" applyFill="1" applyAlignment="1">
      <alignment vertical="center"/>
    </xf>
    <xf numFmtId="0" fontId="2" fillId="6" borderId="0" xfId="0" applyFont="1" applyFill="1"/>
    <xf numFmtId="0" fontId="0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/>
    </xf>
    <xf numFmtId="3" fontId="0" fillId="6" borderId="0" xfId="0" applyNumberFormat="1" applyFont="1" applyFill="1" applyAlignment="1">
      <alignment horizontal="center" vertical="center"/>
    </xf>
    <xf numFmtId="0" fontId="4" fillId="7" borderId="0" xfId="0" applyFont="1" applyFill="1" applyAlignment="1">
      <alignment vertical="center"/>
    </xf>
    <xf numFmtId="0" fontId="4" fillId="7" borderId="0" xfId="0" applyFont="1" applyFill="1" applyAlignment="1">
      <alignment horizontal="center" vertical="center"/>
    </xf>
    <xf numFmtId="0" fontId="4" fillId="7" borderId="0" xfId="0" applyFont="1" applyFill="1"/>
    <xf numFmtId="3" fontId="4" fillId="7" borderId="0" xfId="0" applyNumberFormat="1" applyFont="1" applyFill="1" applyAlignment="1">
      <alignment horizontal="center" vertical="center"/>
    </xf>
    <xf numFmtId="164" fontId="4" fillId="7" borderId="0" xfId="0" applyNumberFormat="1" applyFont="1" applyFill="1" applyAlignment="1">
      <alignment horizontal="center" vertical="center"/>
    </xf>
    <xf numFmtId="4" fontId="4" fillId="7" borderId="0" xfId="0" applyNumberFormat="1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4" fillId="7" borderId="0" xfId="0" applyFont="1" applyFill="1" applyAlignment="1">
      <alignment horizontal="center"/>
    </xf>
    <xf numFmtId="0" fontId="4" fillId="7" borderId="0" xfId="0" applyFont="1" applyFill="1" applyAlignment="1">
      <alignment horizontal="left" vertical="center"/>
    </xf>
    <xf numFmtId="0" fontId="0" fillId="7" borderId="0" xfId="0" applyFont="1" applyFill="1" applyAlignment="1">
      <alignment vertical="center"/>
    </xf>
    <xf numFmtId="0" fontId="0" fillId="7" borderId="0" xfId="0" applyFont="1" applyFill="1" applyAlignment="1">
      <alignment horizontal="center" vertical="center"/>
    </xf>
    <xf numFmtId="3" fontId="0" fillId="7" borderId="0" xfId="0" applyNumberFormat="1" applyFont="1" applyFill="1" applyAlignment="1">
      <alignment horizontal="center" vertical="center"/>
    </xf>
    <xf numFmtId="0" fontId="4" fillId="8" borderId="0" xfId="0" applyFont="1" applyFill="1" applyAlignment="1">
      <alignment vertical="center"/>
    </xf>
    <xf numFmtId="0" fontId="4" fillId="8" borderId="0" xfId="0" applyFont="1" applyFill="1" applyAlignment="1">
      <alignment horizontal="center" vertical="center"/>
    </xf>
    <xf numFmtId="0" fontId="4" fillId="8" borderId="0" xfId="0" applyFont="1" applyFill="1"/>
    <xf numFmtId="3" fontId="4" fillId="8" borderId="0" xfId="0" applyNumberFormat="1" applyFont="1" applyFill="1" applyAlignment="1">
      <alignment horizontal="center" vertical="center"/>
    </xf>
    <xf numFmtId="164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0" xfId="0" applyFont="1" applyFill="1" applyAlignment="1">
      <alignment horizontal="center"/>
    </xf>
    <xf numFmtId="0" fontId="0" fillId="8" borderId="0" xfId="0" applyFill="1" applyAlignment="1">
      <alignment horizontal="center" vertical="center"/>
    </xf>
    <xf numFmtId="9" fontId="4" fillId="8" borderId="0" xfId="1" applyFont="1" applyFill="1"/>
    <xf numFmtId="0" fontId="4" fillId="8" borderId="0" xfId="0" applyFont="1" applyFill="1" applyAlignment="1">
      <alignment horizontal="left" vertical="center"/>
    </xf>
    <xf numFmtId="0" fontId="0" fillId="8" borderId="0" xfId="0" applyFont="1" applyFill="1" applyAlignment="1">
      <alignment vertical="center"/>
    </xf>
    <xf numFmtId="0" fontId="0" fillId="8" borderId="0" xfId="0" applyFont="1" applyFill="1" applyAlignment="1">
      <alignment horizontal="center" vertical="center"/>
    </xf>
    <xf numFmtId="3" fontId="0" fillId="8" borderId="0" xfId="0" applyNumberFormat="1" applyFont="1" applyFill="1" applyAlignment="1">
      <alignment horizontal="center" vertical="center"/>
    </xf>
    <xf numFmtId="0" fontId="4" fillId="9" borderId="0" xfId="0" applyFont="1" applyFill="1"/>
    <xf numFmtId="0" fontId="4" fillId="9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/>
    </xf>
    <xf numFmtId="3" fontId="4" fillId="9" borderId="0" xfId="0" applyNumberFormat="1" applyFont="1" applyFill="1" applyAlignment="1">
      <alignment horizontal="center" vertical="center"/>
    </xf>
    <xf numFmtId="164" fontId="4" fillId="9" borderId="0" xfId="0" applyNumberFormat="1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4" fontId="4" fillId="9" borderId="0" xfId="0" applyNumberFormat="1" applyFont="1" applyFill="1" applyAlignment="1">
      <alignment horizontal="center" vertical="center"/>
    </xf>
    <xf numFmtId="0" fontId="4" fillId="9" borderId="0" xfId="0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2" fillId="9" borderId="0" xfId="0" applyFont="1" applyFill="1" applyAlignment="1">
      <alignment horizontal="center" vertical="center"/>
    </xf>
    <xf numFmtId="165" fontId="4" fillId="9" borderId="0" xfId="0" applyNumberFormat="1" applyFont="1" applyFill="1" applyAlignment="1">
      <alignment horizontal="center" vertical="center"/>
    </xf>
    <xf numFmtId="165" fontId="4" fillId="4" borderId="0" xfId="0" applyNumberFormat="1" applyFont="1" applyFill="1" applyAlignment="1">
      <alignment horizontal="center" vertical="center"/>
    </xf>
    <xf numFmtId="3" fontId="4" fillId="4" borderId="0" xfId="0" applyNumberFormat="1" applyFont="1" applyFill="1"/>
    <xf numFmtId="0" fontId="0" fillId="4" borderId="0" xfId="0" applyFont="1" applyFill="1" applyAlignment="1">
      <alignment horizontal="left" vertical="center"/>
    </xf>
    <xf numFmtId="164" fontId="0" fillId="4" borderId="0" xfId="0" applyNumberFormat="1" applyFont="1" applyFill="1" applyAlignment="1">
      <alignment horizontal="center" vertical="center"/>
    </xf>
    <xf numFmtId="4" fontId="0" fillId="4" borderId="0" xfId="0" applyNumberFormat="1" applyFont="1" applyFill="1" applyAlignment="1">
      <alignment horizontal="center" vertical="center"/>
    </xf>
    <xf numFmtId="0" fontId="0" fillId="4" borderId="0" xfId="0" applyFont="1" applyFill="1"/>
    <xf numFmtId="0" fontId="0" fillId="4" borderId="0" xfId="0" applyFill="1"/>
    <xf numFmtId="0" fontId="0" fillId="4" borderId="0" xfId="0" applyFont="1" applyFill="1" applyAlignment="1">
      <alignment horizontal="center"/>
    </xf>
    <xf numFmtId="0" fontId="0" fillId="10" borderId="0" xfId="0" applyFont="1" applyFill="1" applyAlignment="1">
      <alignment horizontal="left" vertical="center"/>
    </xf>
    <xf numFmtId="0" fontId="0" fillId="10" borderId="0" xfId="0" applyFont="1" applyFill="1" applyAlignment="1">
      <alignment horizontal="center" vertical="center"/>
    </xf>
    <xf numFmtId="3" fontId="0" fillId="10" borderId="0" xfId="0" applyNumberFormat="1" applyFont="1" applyFill="1" applyAlignment="1">
      <alignment horizontal="center" vertical="center"/>
    </xf>
    <xf numFmtId="164" fontId="0" fillId="10" borderId="0" xfId="0" applyNumberFormat="1" applyFont="1" applyFill="1" applyAlignment="1">
      <alignment horizontal="center" vertical="center"/>
    </xf>
    <xf numFmtId="0" fontId="0" fillId="10" borderId="0" xfId="0" applyFill="1"/>
    <xf numFmtId="4" fontId="0" fillId="10" borderId="0" xfId="0" applyNumberFormat="1" applyFont="1" applyFill="1" applyAlignment="1">
      <alignment horizontal="center" vertical="center"/>
    </xf>
    <xf numFmtId="0" fontId="0" fillId="10" borderId="0" xfId="0" applyFont="1" applyFill="1"/>
    <xf numFmtId="0" fontId="0" fillId="10" borderId="0" xfId="0" applyFont="1" applyFill="1" applyAlignment="1">
      <alignment vertical="center"/>
    </xf>
    <xf numFmtId="0" fontId="4" fillId="10" borderId="0" xfId="0" applyFont="1" applyFill="1" applyAlignment="1">
      <alignment horizontal="center" vertical="center"/>
    </xf>
    <xf numFmtId="3" fontId="4" fillId="10" borderId="0" xfId="0" applyNumberFormat="1" applyFont="1" applyFill="1" applyAlignment="1">
      <alignment horizontal="center" vertical="center"/>
    </xf>
    <xf numFmtId="0" fontId="0" fillId="3" borderId="0" xfId="0" applyFont="1" applyFill="1" applyAlignment="1">
      <alignment horizontal="left" vertical="center"/>
    </xf>
    <xf numFmtId="164" fontId="0" fillId="3" borderId="0" xfId="0" applyNumberFormat="1" applyFont="1" applyFill="1" applyAlignment="1">
      <alignment horizontal="center" vertical="center"/>
    </xf>
    <xf numFmtId="4" fontId="0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0" fillId="11" borderId="0" xfId="0" applyFont="1" applyFill="1"/>
    <xf numFmtId="0" fontId="0" fillId="11" borderId="0" xfId="0" applyFont="1" applyFill="1" applyAlignment="1">
      <alignment horizontal="left"/>
    </xf>
    <xf numFmtId="0" fontId="0" fillId="11" borderId="0" xfId="0" applyFont="1" applyFill="1" applyAlignment="1">
      <alignment horizontal="center" vertical="center"/>
    </xf>
    <xf numFmtId="3" fontId="0" fillId="11" borderId="0" xfId="0" applyNumberFormat="1" applyFont="1" applyFill="1" applyAlignment="1">
      <alignment horizontal="center"/>
    </xf>
    <xf numFmtId="0" fontId="0" fillId="11" borderId="0" xfId="0" applyFont="1" applyFill="1" applyAlignment="1">
      <alignment horizontal="center"/>
    </xf>
    <xf numFmtId="3" fontId="0" fillId="11" borderId="0" xfId="0" applyNumberFormat="1" applyFont="1" applyFill="1" applyAlignment="1">
      <alignment horizontal="center" vertical="center"/>
    </xf>
    <xf numFmtId="164" fontId="0" fillId="11" borderId="0" xfId="0" applyNumberFormat="1" applyFont="1" applyFill="1" applyAlignment="1">
      <alignment horizontal="center" vertical="center"/>
    </xf>
    <xf numFmtId="4" fontId="0" fillId="11" borderId="0" xfId="0" applyNumberFormat="1" applyFont="1" applyFill="1" applyAlignment="1">
      <alignment horizontal="center" vertical="center"/>
    </xf>
    <xf numFmtId="0" fontId="0" fillId="11" borderId="0" xfId="0" applyFont="1" applyFill="1" applyAlignment="1">
      <alignment horizontal="left" vertical="center"/>
    </xf>
    <xf numFmtId="0" fontId="0" fillId="11" borderId="0" xfId="0" applyFont="1" applyFill="1" applyAlignment="1">
      <alignment vertical="center"/>
    </xf>
    <xf numFmtId="0" fontId="0" fillId="11" borderId="0" xfId="0" applyFill="1"/>
    <xf numFmtId="0" fontId="0" fillId="12" borderId="0" xfId="0" applyFont="1" applyFill="1"/>
    <xf numFmtId="0" fontId="0" fillId="12" borderId="0" xfId="0" applyFont="1" applyFill="1" applyAlignment="1">
      <alignment horizontal="left"/>
    </xf>
    <xf numFmtId="0" fontId="0" fillId="12" borderId="0" xfId="0" applyFont="1" applyFill="1" applyAlignment="1">
      <alignment horizontal="center" vertical="center"/>
    </xf>
    <xf numFmtId="3" fontId="0" fillId="12" borderId="0" xfId="0" applyNumberFormat="1" applyFont="1" applyFill="1" applyAlignment="1">
      <alignment horizontal="center"/>
    </xf>
    <xf numFmtId="0" fontId="0" fillId="12" borderId="0" xfId="0" applyFont="1" applyFill="1" applyAlignment="1">
      <alignment horizontal="center"/>
    </xf>
    <xf numFmtId="3" fontId="0" fillId="12" borderId="0" xfId="0" applyNumberFormat="1" applyFont="1" applyFill="1" applyAlignment="1">
      <alignment horizontal="center" vertical="center"/>
    </xf>
    <xf numFmtId="164" fontId="0" fillId="12" borderId="0" xfId="0" applyNumberFormat="1" applyFont="1" applyFill="1" applyAlignment="1">
      <alignment horizontal="center" vertical="center"/>
    </xf>
    <xf numFmtId="4" fontId="0" fillId="12" borderId="0" xfId="0" applyNumberFormat="1" applyFont="1" applyFill="1" applyAlignment="1">
      <alignment horizontal="center" vertical="center"/>
    </xf>
    <xf numFmtId="0" fontId="0" fillId="12" borderId="0" xfId="0" applyFont="1" applyFill="1" applyAlignment="1">
      <alignment horizontal="left" vertical="center"/>
    </xf>
    <xf numFmtId="0" fontId="0" fillId="12" borderId="0" xfId="0" applyFont="1" applyFill="1" applyAlignment="1">
      <alignment vertical="center"/>
    </xf>
    <xf numFmtId="0" fontId="0" fillId="12" borderId="0" xfId="0" applyFill="1"/>
    <xf numFmtId="164" fontId="4" fillId="11" borderId="0" xfId="0" applyNumberFormat="1" applyFont="1" applyFill="1" applyAlignment="1">
      <alignment horizontal="center" vertical="center"/>
    </xf>
    <xf numFmtId="0" fontId="0" fillId="11" borderId="0" xfId="0" applyFont="1" applyFill="1" applyBorder="1" applyAlignment="1">
      <alignment horizontal="left" vertical="center"/>
    </xf>
    <xf numFmtId="0" fontId="2" fillId="11" borderId="0" xfId="0" applyFont="1" applyFill="1" applyAlignment="1">
      <alignment horizontal="center" vertical="center"/>
    </xf>
    <xf numFmtId="0" fontId="0" fillId="13" borderId="0" xfId="0" applyFont="1" applyFill="1" applyAlignment="1">
      <alignment horizontal="left" vertical="center"/>
    </xf>
    <xf numFmtId="0" fontId="0" fillId="13" borderId="0" xfId="0" applyFont="1" applyFill="1" applyAlignment="1">
      <alignment horizontal="center" vertical="center"/>
    </xf>
    <xf numFmtId="3" fontId="0" fillId="13" borderId="0" xfId="0" applyNumberFormat="1" applyFont="1" applyFill="1" applyAlignment="1">
      <alignment horizontal="center" vertical="center"/>
    </xf>
    <xf numFmtId="164" fontId="0" fillId="13" borderId="0" xfId="0" applyNumberFormat="1" applyFont="1" applyFill="1" applyAlignment="1">
      <alignment horizontal="center" vertical="center"/>
    </xf>
    <xf numFmtId="0" fontId="0" fillId="13" borderId="0" xfId="0" applyFill="1"/>
    <xf numFmtId="4" fontId="0" fillId="13" borderId="0" xfId="0" applyNumberFormat="1" applyFont="1" applyFill="1" applyAlignment="1">
      <alignment horizontal="center" vertical="center"/>
    </xf>
    <xf numFmtId="0" fontId="0" fillId="13" borderId="0" xfId="0" applyFont="1" applyFill="1"/>
    <xf numFmtId="0" fontId="0" fillId="13" borderId="0" xfId="0" applyFont="1" applyFill="1" applyAlignment="1">
      <alignment horizontal="left"/>
    </xf>
    <xf numFmtId="3" fontId="0" fillId="13" borderId="0" xfId="0" applyNumberFormat="1" applyFont="1" applyFill="1" applyAlignment="1">
      <alignment horizontal="center"/>
    </xf>
    <xf numFmtId="0" fontId="0" fillId="13" borderId="0" xfId="0" applyFont="1" applyFill="1" applyAlignment="1">
      <alignment horizontal="center"/>
    </xf>
    <xf numFmtId="0" fontId="0" fillId="13" borderId="0" xfId="0" applyFont="1" applyFill="1" applyAlignment="1">
      <alignment vertical="center"/>
    </xf>
    <xf numFmtId="0" fontId="0" fillId="13" borderId="0" xfId="0" applyFont="1" applyFill="1" applyBorder="1" applyAlignment="1">
      <alignment horizontal="left" vertical="center"/>
    </xf>
    <xf numFmtId="164" fontId="4" fillId="13" borderId="0" xfId="0" applyNumberFormat="1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165" fontId="4" fillId="13" borderId="0" xfId="0" applyNumberFormat="1" applyFont="1" applyFill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0" fillId="13" borderId="0" xfId="0" applyFont="1" applyFill="1" applyBorder="1" applyAlignment="1">
      <alignment vertical="center"/>
    </xf>
    <xf numFmtId="164" fontId="7" fillId="13" borderId="0" xfId="0" applyNumberFormat="1" applyFont="1" applyFill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left"/>
    </xf>
    <xf numFmtId="3" fontId="0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164" fontId="0" fillId="2" borderId="0" xfId="0" applyNumberFormat="1" applyFont="1" applyFill="1" applyAlignment="1">
      <alignment horizontal="center" vertical="center"/>
    </xf>
    <xf numFmtId="0" fontId="0" fillId="2" borderId="0" xfId="0" applyFill="1"/>
    <xf numFmtId="4" fontId="0" fillId="2" borderId="0" xfId="0" applyNumberFormat="1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1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13" borderId="0" xfId="0" applyFont="1" applyFill="1" applyAlignment="1">
      <alignment horizontal="center" vertical="center"/>
    </xf>
    <xf numFmtId="0" fontId="0" fillId="11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10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01"/>
  <sheetViews>
    <sheetView tabSelected="1" topLeftCell="AJ1" workbookViewId="0">
      <selection activeCell="AY4" sqref="AY4"/>
    </sheetView>
  </sheetViews>
  <sheetFormatPr defaultColWidth="9.140625" defaultRowHeight="15" x14ac:dyDescent="0.25"/>
  <cols>
    <col min="1" max="1" width="27.42578125" style="2" customWidth="1"/>
    <col min="2" max="2" width="16" style="2" customWidth="1"/>
    <col min="3" max="4" width="9.42578125" style="2" bestFit="1" customWidth="1"/>
    <col min="5" max="5" width="7.5703125" style="2" customWidth="1"/>
    <col min="6" max="6" width="6.42578125" style="2" customWidth="1"/>
    <col min="7" max="7" width="7.7109375" style="2" customWidth="1"/>
    <col min="8" max="8" width="9.7109375" style="2" customWidth="1"/>
    <col min="9" max="39" width="9.42578125" style="2" bestFit="1" customWidth="1"/>
    <col min="40" max="40" width="13.140625" style="2" customWidth="1"/>
    <col min="41" max="43" width="9.42578125" style="4" bestFit="1" customWidth="1"/>
    <col min="44" max="44" width="10.5703125" style="4" customWidth="1"/>
    <col min="45" max="46" width="9.42578125" style="4" bestFit="1" customWidth="1"/>
    <col min="47" max="47" width="9.42578125" style="3" customWidth="1"/>
    <col min="48" max="48" width="10.85546875" style="4" customWidth="1"/>
    <col min="49" max="49" width="11.140625" style="4" bestFit="1" customWidth="1"/>
    <col min="50" max="50" width="11.140625" style="4" customWidth="1"/>
    <col min="51" max="54" width="11.5703125" style="4" customWidth="1"/>
    <col min="55" max="16384" width="9.140625" style="2"/>
  </cols>
  <sheetData>
    <row r="1" spans="1:57" ht="3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9</v>
      </c>
      <c r="Q1" s="1" t="s">
        <v>10</v>
      </c>
      <c r="R1" s="1" t="s">
        <v>11</v>
      </c>
      <c r="S1" s="1" t="s">
        <v>12</v>
      </c>
      <c r="T1" s="1" t="s">
        <v>15</v>
      </c>
      <c r="U1" s="1" t="s">
        <v>16</v>
      </c>
      <c r="V1" s="1" t="s">
        <v>9</v>
      </c>
      <c r="W1" s="1" t="s">
        <v>10</v>
      </c>
      <c r="X1" s="1" t="s">
        <v>11</v>
      </c>
      <c r="Y1" s="1" t="s">
        <v>12</v>
      </c>
      <c r="Z1" s="1" t="s">
        <v>17</v>
      </c>
      <c r="AA1" s="1" t="s">
        <v>18</v>
      </c>
      <c r="AB1" s="1" t="s">
        <v>9</v>
      </c>
      <c r="AC1" s="1" t="s">
        <v>10</v>
      </c>
      <c r="AD1" s="1" t="s">
        <v>11</v>
      </c>
      <c r="AE1" s="1" t="s">
        <v>12</v>
      </c>
      <c r="AF1" s="1" t="s">
        <v>19</v>
      </c>
      <c r="AG1" s="1" t="s">
        <v>20</v>
      </c>
      <c r="AH1" s="1" t="s">
        <v>9</v>
      </c>
      <c r="AI1" s="1" t="s">
        <v>10</v>
      </c>
      <c r="AJ1" s="1" t="s">
        <v>11</v>
      </c>
      <c r="AK1" s="1" t="s">
        <v>12</v>
      </c>
      <c r="AL1" s="1" t="s">
        <v>21</v>
      </c>
      <c r="AM1" s="1" t="s">
        <v>22</v>
      </c>
      <c r="AN1" s="1" t="s">
        <v>23</v>
      </c>
      <c r="AO1" s="1" t="s">
        <v>24</v>
      </c>
      <c r="AP1" s="1" t="s">
        <v>25</v>
      </c>
      <c r="AQ1" s="1" t="s">
        <v>288</v>
      </c>
      <c r="AR1" s="1" t="s">
        <v>290</v>
      </c>
      <c r="AS1" s="1" t="s">
        <v>289</v>
      </c>
      <c r="AT1" s="1" t="s">
        <v>291</v>
      </c>
      <c r="AU1" s="1" t="s">
        <v>287</v>
      </c>
      <c r="AV1" s="1" t="s">
        <v>329</v>
      </c>
      <c r="AW1" s="1" t="s">
        <v>330</v>
      </c>
      <c r="AX1" s="1"/>
      <c r="AY1" s="1" t="s">
        <v>26</v>
      </c>
      <c r="AZ1" s="1" t="s">
        <v>27</v>
      </c>
      <c r="BA1" s="1" t="s">
        <v>28</v>
      </c>
      <c r="BB1" s="1" t="s">
        <v>29</v>
      </c>
      <c r="BD1" s="1" t="s">
        <v>331</v>
      </c>
      <c r="BE1" s="1" t="s">
        <v>332</v>
      </c>
    </row>
    <row r="2" spans="1:57" x14ac:dyDescent="0.25">
      <c r="A2" s="3"/>
      <c r="B2" s="3"/>
      <c r="C2" s="3"/>
      <c r="D2" s="3"/>
      <c r="E2" s="3" t="s">
        <v>30</v>
      </c>
      <c r="F2" s="3" t="s">
        <v>31</v>
      </c>
      <c r="G2" s="3" t="s">
        <v>31</v>
      </c>
      <c r="H2" s="3" t="s">
        <v>31</v>
      </c>
      <c r="I2" s="3" t="s">
        <v>30</v>
      </c>
      <c r="J2" s="3"/>
      <c r="K2" s="3"/>
      <c r="L2" s="3"/>
      <c r="M2" s="3"/>
      <c r="N2" s="3" t="s">
        <v>32</v>
      </c>
      <c r="O2" s="3" t="s">
        <v>30</v>
      </c>
      <c r="P2" s="3"/>
      <c r="Q2" s="3"/>
      <c r="R2" s="3"/>
      <c r="S2" s="3"/>
      <c r="T2" s="3" t="s">
        <v>32</v>
      </c>
      <c r="U2" s="3" t="s">
        <v>30</v>
      </c>
      <c r="V2" s="3"/>
      <c r="W2" s="3"/>
      <c r="X2" s="3"/>
      <c r="Y2" s="3"/>
      <c r="Z2" s="3" t="s">
        <v>32</v>
      </c>
      <c r="AA2" s="3" t="s">
        <v>30</v>
      </c>
      <c r="AB2" s="3"/>
      <c r="AC2" s="3"/>
      <c r="AD2" s="3"/>
      <c r="AE2" s="3"/>
      <c r="AF2" s="3" t="s">
        <v>32</v>
      </c>
      <c r="AG2" s="3" t="s">
        <v>30</v>
      </c>
      <c r="AH2" s="3"/>
      <c r="AI2" s="3"/>
      <c r="AJ2" s="3"/>
      <c r="AK2" s="3"/>
      <c r="AL2" s="3" t="s">
        <v>32</v>
      </c>
      <c r="AM2" s="3" t="s">
        <v>32</v>
      </c>
      <c r="AN2" s="3" t="s">
        <v>33</v>
      </c>
      <c r="AO2" s="3"/>
      <c r="AP2" s="3"/>
      <c r="AQ2" s="3"/>
      <c r="AR2" s="3"/>
      <c r="AS2" s="3"/>
      <c r="AT2" s="3"/>
      <c r="AV2" s="3"/>
      <c r="AW2" s="3"/>
      <c r="AX2" s="3"/>
      <c r="AY2" s="3"/>
      <c r="AZ2" s="3"/>
      <c r="BA2" s="3"/>
      <c r="BB2" s="3"/>
    </row>
    <row r="3" spans="1:57" s="20" customFormat="1" x14ac:dyDescent="0.25">
      <c r="A3" s="20" t="s">
        <v>40</v>
      </c>
      <c r="B3" s="20" t="s">
        <v>39</v>
      </c>
      <c r="C3" s="21">
        <v>1</v>
      </c>
      <c r="D3" s="21">
        <v>25</v>
      </c>
      <c r="E3" s="21">
        <v>200</v>
      </c>
      <c r="F3" s="21">
        <v>234</v>
      </c>
      <c r="G3" s="21">
        <v>470</v>
      </c>
      <c r="H3" s="21">
        <v>236</v>
      </c>
      <c r="I3" s="20">
        <v>120</v>
      </c>
      <c r="J3" s="20">
        <v>400</v>
      </c>
      <c r="K3" s="20">
        <v>0.60599999999999998</v>
      </c>
      <c r="L3" s="20">
        <v>260</v>
      </c>
      <c r="M3" s="20">
        <v>0.66300000000000003</v>
      </c>
      <c r="N3" s="20">
        <v>720</v>
      </c>
      <c r="O3" s="20">
        <v>110</v>
      </c>
      <c r="P3" s="20">
        <v>406</v>
      </c>
      <c r="Q3" s="20">
        <v>0.57699999999999996</v>
      </c>
      <c r="R3" s="20">
        <v>256</v>
      </c>
      <c r="S3" s="20">
        <v>0.64300000000000002</v>
      </c>
      <c r="T3" s="20">
        <v>720</v>
      </c>
      <c r="AM3" s="22">
        <f t="shared" ref="AM3:AM8" si="0">AL3+AF3+Z3+T3+N3</f>
        <v>1440</v>
      </c>
      <c r="AN3" s="22">
        <f t="shared" ref="AN3:AN8" si="1">I3*60*N3+O3*60*T3+U3*60*Z3+AA3*60*AF3+AG3*60*AL3</f>
        <v>9936000</v>
      </c>
      <c r="AO3" s="22">
        <f t="shared" ref="AO3:AO8" si="2">MAX(AG3,AA3,U3,O3,I3)</f>
        <v>120</v>
      </c>
      <c r="AP3" s="22">
        <f t="shared" ref="AP3:AP8" si="3">AN3/(AM3*60)</f>
        <v>115</v>
      </c>
      <c r="AQ3" s="22">
        <f t="shared" ref="AQ3:AQ8" si="4">AVERAGE(AH3,AB3,V3,P3,J3)</f>
        <v>403</v>
      </c>
      <c r="AR3" s="23">
        <f t="shared" ref="AR3:AR8" si="5">(K3*N3+Q3*T3+W3*Z3+AC3*AF3+AI3*AL3)/AM3</f>
        <v>0.59150000000000003</v>
      </c>
      <c r="AS3" s="22">
        <f t="shared" ref="AS3:AT8" si="6">AVERAGE(AJ3,AD3,X3,R3,L3)</f>
        <v>258</v>
      </c>
      <c r="AT3" s="23">
        <f t="shared" si="6"/>
        <v>0.65300000000000002</v>
      </c>
      <c r="AU3" s="23">
        <v>0.93400000000000005</v>
      </c>
      <c r="AV3" s="23">
        <f t="shared" ref="AV3:AV8" si="7">((AP3*AQ3/AR3))*AM3*0.746/(3956*D3)</f>
        <v>851.04625606951174</v>
      </c>
      <c r="AW3" s="23">
        <f t="shared" ref="AW3:AW8" si="8">((AP3*AS3/(AT3*AU3)))*AM3*0.746/(3956*D3)</f>
        <v>528.39964453305606</v>
      </c>
      <c r="AX3" s="23">
        <f t="shared" ref="AX3:AX8" si="9">AV3-AW3</f>
        <v>322.64661153645568</v>
      </c>
      <c r="AY3" s="22">
        <f t="shared" ref="AY3:AY8" si="10">((AP3*AQ3/AR3)-(AP3*AS3/(AT3*AU3)))*AM3*0.746/3956</f>
        <v>8066.1652884113928</v>
      </c>
      <c r="AZ3" s="22">
        <f t="shared" ref="AZ3:AZ34" si="11">AY3/D3</f>
        <v>322.64661153645574</v>
      </c>
      <c r="BA3" s="24">
        <f t="shared" ref="BA3:BA8" si="12">AY3/AM3</f>
        <v>5.6015036725079117</v>
      </c>
      <c r="BB3" s="23">
        <f t="shared" ref="BB3:BB34" si="13">BA3/D3</f>
        <v>0.22406014690031648</v>
      </c>
      <c r="BD3" s="201">
        <f>SUM(AY3:AY14)/(SUMPRODUCT(C3:D14))</f>
        <v>292.43159078697795</v>
      </c>
      <c r="BE3" s="201">
        <f>SUM(BA3:BA14)/(SUMPRODUCT(C3:D14))</f>
        <v>0.12397571614306152</v>
      </c>
    </row>
    <row r="4" spans="1:57" s="20" customFormat="1" x14ac:dyDescent="0.25">
      <c r="A4" s="25" t="s">
        <v>43</v>
      </c>
      <c r="B4" s="25" t="s">
        <v>44</v>
      </c>
      <c r="C4" s="21">
        <v>1</v>
      </c>
      <c r="D4" s="21">
        <v>25</v>
      </c>
      <c r="E4" s="21">
        <v>180</v>
      </c>
      <c r="F4" s="21">
        <v>500</v>
      </c>
      <c r="G4" s="21"/>
      <c r="H4" s="21"/>
      <c r="I4" s="20">
        <v>50</v>
      </c>
      <c r="J4" s="20">
        <v>574</v>
      </c>
      <c r="K4" s="20">
        <v>0.44700000000000001</v>
      </c>
      <c r="L4" s="20">
        <v>372</v>
      </c>
      <c r="M4" s="20">
        <v>0.57199999999999995</v>
      </c>
      <c r="N4" s="20">
        <v>375</v>
      </c>
      <c r="O4" s="20">
        <v>100</v>
      </c>
      <c r="P4" s="20">
        <v>512</v>
      </c>
      <c r="Q4" s="20">
        <v>0.69399999999999995</v>
      </c>
      <c r="R4" s="20">
        <v>500</v>
      </c>
      <c r="S4" s="20">
        <v>0.69699999999999995</v>
      </c>
      <c r="T4" s="20">
        <v>280</v>
      </c>
      <c r="U4" s="20">
        <v>100</v>
      </c>
      <c r="V4" s="20">
        <v>512</v>
      </c>
      <c r="W4" s="20">
        <v>0.69399999999999995</v>
      </c>
      <c r="X4" s="20">
        <v>315</v>
      </c>
      <c r="Y4" s="20">
        <v>0.69699999999999995</v>
      </c>
      <c r="Z4" s="20">
        <v>843</v>
      </c>
      <c r="AM4" s="22">
        <f t="shared" si="0"/>
        <v>1498</v>
      </c>
      <c r="AN4" s="22">
        <f t="shared" si="1"/>
        <v>7863000</v>
      </c>
      <c r="AO4" s="22">
        <f t="shared" si="2"/>
        <v>100</v>
      </c>
      <c r="AP4" s="22">
        <f t="shared" si="3"/>
        <v>87.483311081441926</v>
      </c>
      <c r="AQ4" s="22">
        <f t="shared" si="4"/>
        <v>532.66666666666663</v>
      </c>
      <c r="AR4" s="23">
        <f t="shared" si="5"/>
        <v>0.63216755674232294</v>
      </c>
      <c r="AS4" s="22">
        <f t="shared" si="6"/>
        <v>395.66666666666669</v>
      </c>
      <c r="AT4" s="23">
        <f t="shared" si="6"/>
        <v>0.65533333333333321</v>
      </c>
      <c r="AU4" s="23">
        <v>0.94699999999999995</v>
      </c>
      <c r="AV4" s="23">
        <f t="shared" si="7"/>
        <v>832.91920824912893</v>
      </c>
      <c r="AW4" s="23">
        <f t="shared" si="8"/>
        <v>630.22668431683894</v>
      </c>
      <c r="AX4" s="23">
        <f t="shared" si="9"/>
        <v>202.69252393228999</v>
      </c>
      <c r="AY4" s="22">
        <f t="shared" si="10"/>
        <v>5067.3130983072479</v>
      </c>
      <c r="AZ4" s="22">
        <f t="shared" si="11"/>
        <v>202.6925239322899</v>
      </c>
      <c r="BA4" s="24">
        <f t="shared" si="12"/>
        <v>3.3827190242371481</v>
      </c>
      <c r="BB4" s="23">
        <f t="shared" si="13"/>
        <v>0.13530876096948594</v>
      </c>
      <c r="BD4" s="201"/>
      <c r="BE4" s="201"/>
    </row>
    <row r="5" spans="1:57" s="20" customFormat="1" x14ac:dyDescent="0.25">
      <c r="A5" s="25" t="s">
        <v>34</v>
      </c>
      <c r="B5" s="25" t="s">
        <v>35</v>
      </c>
      <c r="C5" s="21">
        <v>1</v>
      </c>
      <c r="D5" s="21">
        <v>30</v>
      </c>
      <c r="E5" s="21">
        <v>700</v>
      </c>
      <c r="F5" s="21">
        <v>158</v>
      </c>
      <c r="G5" s="21">
        <v>300</v>
      </c>
      <c r="H5" s="21"/>
      <c r="I5" s="20">
        <v>600</v>
      </c>
      <c r="J5" s="20">
        <v>226</v>
      </c>
      <c r="K5" s="20">
        <v>0.83799999999999997</v>
      </c>
      <c r="L5" s="20">
        <v>152</v>
      </c>
      <c r="M5" s="20">
        <v>0.81</v>
      </c>
      <c r="N5" s="20">
        <v>450</v>
      </c>
      <c r="O5" s="20">
        <v>300</v>
      </c>
      <c r="P5" s="20">
        <v>266</v>
      </c>
      <c r="Q5" s="20">
        <v>0.65200000000000002</v>
      </c>
      <c r="R5" s="20">
        <v>138</v>
      </c>
      <c r="S5" s="20">
        <v>0.64400000000000002</v>
      </c>
      <c r="T5" s="20">
        <v>362</v>
      </c>
      <c r="AM5" s="22">
        <f t="shared" si="0"/>
        <v>812</v>
      </c>
      <c r="AN5" s="22">
        <f t="shared" si="1"/>
        <v>22716000</v>
      </c>
      <c r="AO5" s="22">
        <f t="shared" si="2"/>
        <v>600</v>
      </c>
      <c r="AP5" s="22">
        <f t="shared" si="3"/>
        <v>466.25615763546796</v>
      </c>
      <c r="AQ5" s="22">
        <f t="shared" si="4"/>
        <v>246</v>
      </c>
      <c r="AR5" s="23">
        <f t="shared" si="5"/>
        <v>0.75507881773399022</v>
      </c>
      <c r="AS5" s="22">
        <f t="shared" si="6"/>
        <v>145</v>
      </c>
      <c r="AT5" s="23">
        <f t="shared" si="6"/>
        <v>0.72700000000000009</v>
      </c>
      <c r="AU5" s="26">
        <v>0.95091625615763542</v>
      </c>
      <c r="AV5" s="23">
        <f t="shared" si="7"/>
        <v>775.32666311373271</v>
      </c>
      <c r="AW5" s="23">
        <f t="shared" si="8"/>
        <v>499.15246365811572</v>
      </c>
      <c r="AX5" s="23">
        <f t="shared" si="9"/>
        <v>276.17419945561699</v>
      </c>
      <c r="AY5" s="22">
        <f t="shared" si="10"/>
        <v>8285.2259836685116</v>
      </c>
      <c r="AZ5" s="22">
        <f t="shared" si="11"/>
        <v>276.17419945561704</v>
      </c>
      <c r="BA5" s="24">
        <f t="shared" si="12"/>
        <v>10.203480275453831</v>
      </c>
      <c r="BB5" s="23">
        <f t="shared" si="13"/>
        <v>0.34011600918179435</v>
      </c>
      <c r="BD5" s="201"/>
      <c r="BE5" s="201"/>
    </row>
    <row r="6" spans="1:57" s="20" customFormat="1" x14ac:dyDescent="0.25">
      <c r="A6" s="20" t="s">
        <v>36</v>
      </c>
      <c r="B6" s="20" t="s">
        <v>37</v>
      </c>
      <c r="C6" s="21">
        <v>1</v>
      </c>
      <c r="D6" s="21">
        <v>30</v>
      </c>
      <c r="E6" s="21">
        <v>491</v>
      </c>
      <c r="F6" s="27">
        <v>200</v>
      </c>
      <c r="G6" s="27">
        <v>321</v>
      </c>
      <c r="H6" s="21">
        <v>121</v>
      </c>
      <c r="I6" s="20">
        <v>310</v>
      </c>
      <c r="J6" s="20">
        <v>264</v>
      </c>
      <c r="K6" s="20">
        <v>0.80100000000000005</v>
      </c>
      <c r="L6" s="20">
        <v>200</v>
      </c>
      <c r="M6" s="20">
        <v>0.83099999999999996</v>
      </c>
      <c r="N6" s="20">
        <v>160</v>
      </c>
      <c r="O6" s="20">
        <v>370</v>
      </c>
      <c r="P6" s="20">
        <v>247</v>
      </c>
      <c r="Q6" s="20">
        <v>0.84099999999999997</v>
      </c>
      <c r="R6" s="20">
        <v>200</v>
      </c>
      <c r="S6" s="20">
        <v>0.85</v>
      </c>
      <c r="T6" s="20">
        <v>840</v>
      </c>
      <c r="AM6" s="22">
        <f t="shared" si="0"/>
        <v>1000</v>
      </c>
      <c r="AN6" s="22">
        <f t="shared" si="1"/>
        <v>21624000</v>
      </c>
      <c r="AO6" s="22">
        <f t="shared" si="2"/>
        <v>370</v>
      </c>
      <c r="AP6" s="22">
        <f t="shared" si="3"/>
        <v>360.4</v>
      </c>
      <c r="AQ6" s="22">
        <f t="shared" si="4"/>
        <v>255.5</v>
      </c>
      <c r="AR6" s="23">
        <f t="shared" si="5"/>
        <v>0.8345999999999999</v>
      </c>
      <c r="AS6" s="22">
        <f t="shared" si="6"/>
        <v>200</v>
      </c>
      <c r="AT6" s="23">
        <f t="shared" si="6"/>
        <v>0.84050000000000002</v>
      </c>
      <c r="AU6" s="26">
        <v>0.95004</v>
      </c>
      <c r="AV6" s="23">
        <f t="shared" si="7"/>
        <v>693.51937128365694</v>
      </c>
      <c r="AW6" s="23">
        <f t="shared" si="8"/>
        <v>567.40931216052024</v>
      </c>
      <c r="AX6" s="23">
        <f t="shared" si="9"/>
        <v>126.11005912313669</v>
      </c>
      <c r="AY6" s="22">
        <f t="shared" si="10"/>
        <v>3783.3017736941006</v>
      </c>
      <c r="AZ6" s="22">
        <f t="shared" si="11"/>
        <v>126.11005912313668</v>
      </c>
      <c r="BA6" s="24">
        <f t="shared" si="12"/>
        <v>3.7833017736941006</v>
      </c>
      <c r="BB6" s="23">
        <f t="shared" si="13"/>
        <v>0.12611005912313669</v>
      </c>
      <c r="BD6" s="201"/>
      <c r="BE6" s="201"/>
    </row>
    <row r="7" spans="1:57" s="20" customFormat="1" x14ac:dyDescent="0.25">
      <c r="A7" s="25" t="s">
        <v>47</v>
      </c>
      <c r="B7" s="25" t="s">
        <v>46</v>
      </c>
      <c r="C7" s="21">
        <v>1</v>
      </c>
      <c r="D7" s="21">
        <v>30</v>
      </c>
      <c r="E7" s="21">
        <v>150</v>
      </c>
      <c r="F7" s="21">
        <v>470</v>
      </c>
      <c r="G7" s="21">
        <v>780</v>
      </c>
      <c r="H7" s="21"/>
      <c r="I7" s="20">
        <v>150</v>
      </c>
      <c r="J7" s="20">
        <v>607</v>
      </c>
      <c r="K7" s="20">
        <v>0.71499999999999997</v>
      </c>
      <c r="L7" s="20">
        <v>522</v>
      </c>
      <c r="M7" s="20">
        <v>0.71399999999999997</v>
      </c>
      <c r="N7" s="20">
        <v>1500</v>
      </c>
      <c r="AM7" s="22">
        <f t="shared" si="0"/>
        <v>1500</v>
      </c>
      <c r="AN7" s="22">
        <f t="shared" si="1"/>
        <v>13500000</v>
      </c>
      <c r="AO7" s="22">
        <f t="shared" si="2"/>
        <v>150</v>
      </c>
      <c r="AP7" s="22">
        <f t="shared" si="3"/>
        <v>150</v>
      </c>
      <c r="AQ7" s="22">
        <f t="shared" si="4"/>
        <v>607</v>
      </c>
      <c r="AR7" s="23">
        <f t="shared" si="5"/>
        <v>0.71499999999999997</v>
      </c>
      <c r="AS7" s="22">
        <f t="shared" si="6"/>
        <v>522</v>
      </c>
      <c r="AT7" s="23">
        <f t="shared" si="6"/>
        <v>0.71399999999999997</v>
      </c>
      <c r="AU7" s="23">
        <v>0.95499999999999996</v>
      </c>
      <c r="AV7" s="23">
        <f t="shared" si="7"/>
        <v>1200.6777348031142</v>
      </c>
      <c r="AW7" s="23">
        <f t="shared" si="8"/>
        <v>1082.7114449716382</v>
      </c>
      <c r="AX7" s="23">
        <f t="shared" si="9"/>
        <v>117.96628983147593</v>
      </c>
      <c r="AY7" s="22">
        <f t="shared" si="10"/>
        <v>3538.9886949442744</v>
      </c>
      <c r="AZ7" s="22">
        <f t="shared" si="11"/>
        <v>117.96628983147581</v>
      </c>
      <c r="BA7" s="24">
        <f t="shared" si="12"/>
        <v>2.3593257966295162</v>
      </c>
      <c r="BB7" s="23">
        <f t="shared" si="13"/>
        <v>7.8644193220983871E-2</v>
      </c>
      <c r="BD7" s="201"/>
      <c r="BE7" s="201"/>
    </row>
    <row r="8" spans="1:57" s="20" customFormat="1" x14ac:dyDescent="0.25">
      <c r="A8" s="25" t="s">
        <v>61</v>
      </c>
      <c r="B8" s="25" t="s">
        <v>62</v>
      </c>
      <c r="C8" s="21">
        <v>1</v>
      </c>
      <c r="D8" s="21">
        <v>30</v>
      </c>
      <c r="E8" s="21">
        <v>1010</v>
      </c>
      <c r="F8" s="21">
        <v>96.1</v>
      </c>
      <c r="G8" s="21">
        <v>134</v>
      </c>
      <c r="H8" s="21">
        <v>37.900000000000006</v>
      </c>
      <c r="I8" s="20">
        <v>800</v>
      </c>
      <c r="J8" s="20">
        <v>110</v>
      </c>
      <c r="K8" s="20">
        <v>0.83799999999999997</v>
      </c>
      <c r="L8" s="20">
        <v>96</v>
      </c>
      <c r="M8" s="20">
        <v>0.84099999999999997</v>
      </c>
      <c r="N8" s="20">
        <v>5040</v>
      </c>
      <c r="AM8" s="22">
        <f t="shared" si="0"/>
        <v>5040</v>
      </c>
      <c r="AN8" s="22">
        <f t="shared" si="1"/>
        <v>241920000</v>
      </c>
      <c r="AO8" s="22">
        <f t="shared" si="2"/>
        <v>800</v>
      </c>
      <c r="AP8" s="22">
        <f t="shared" si="3"/>
        <v>800</v>
      </c>
      <c r="AQ8" s="22">
        <f t="shared" si="4"/>
        <v>110</v>
      </c>
      <c r="AR8" s="23">
        <f t="shared" si="5"/>
        <v>0.83799999999999986</v>
      </c>
      <c r="AS8" s="22">
        <f t="shared" si="6"/>
        <v>96</v>
      </c>
      <c r="AT8" s="23">
        <f t="shared" si="6"/>
        <v>0.84099999999999997</v>
      </c>
      <c r="AU8" s="23">
        <v>0.95499999999999996</v>
      </c>
      <c r="AV8" s="23">
        <f t="shared" si="7"/>
        <v>3326.8290093172882</v>
      </c>
      <c r="AW8" s="23">
        <f t="shared" si="8"/>
        <v>3029.3794772044698</v>
      </c>
      <c r="AX8" s="23">
        <f t="shared" si="9"/>
        <v>297.44953211281836</v>
      </c>
      <c r="AY8" s="22">
        <f t="shared" si="10"/>
        <v>8923.4859633845444</v>
      </c>
      <c r="AZ8" s="22">
        <f t="shared" si="11"/>
        <v>297.44953211281813</v>
      </c>
      <c r="BA8" s="24">
        <f t="shared" si="12"/>
        <v>1.7705329292429652</v>
      </c>
      <c r="BB8" s="23">
        <f t="shared" si="13"/>
        <v>5.9017764308098838E-2</v>
      </c>
      <c r="BD8" s="201"/>
      <c r="BE8" s="201"/>
    </row>
    <row r="9" spans="1:57" s="20" customFormat="1" x14ac:dyDescent="0.25">
      <c r="A9" s="11" t="s">
        <v>297</v>
      </c>
      <c r="C9" s="28">
        <v>1</v>
      </c>
      <c r="D9" s="28">
        <v>30</v>
      </c>
      <c r="AO9" s="27"/>
      <c r="AP9" s="27"/>
      <c r="AQ9" s="27"/>
      <c r="AR9" s="27"/>
      <c r="AS9" s="27"/>
      <c r="AT9" s="27"/>
      <c r="AU9" s="21"/>
      <c r="AV9" s="27"/>
      <c r="AW9" s="27"/>
      <c r="AX9" s="27"/>
      <c r="AY9" s="29">
        <v>7333</v>
      </c>
      <c r="AZ9" s="22">
        <f t="shared" si="11"/>
        <v>244.43333333333334</v>
      </c>
      <c r="BA9" s="28">
        <v>2.9</v>
      </c>
      <c r="BB9" s="23">
        <f t="shared" si="13"/>
        <v>9.6666666666666665E-2</v>
      </c>
      <c r="BD9" s="201"/>
      <c r="BE9" s="201"/>
    </row>
    <row r="10" spans="1:57" s="20" customFormat="1" x14ac:dyDescent="0.25">
      <c r="A10" s="11" t="s">
        <v>299</v>
      </c>
      <c r="C10" s="28">
        <v>1</v>
      </c>
      <c r="D10" s="28">
        <v>30</v>
      </c>
      <c r="AO10" s="27"/>
      <c r="AP10" s="27"/>
      <c r="AQ10" s="27"/>
      <c r="AR10" s="27"/>
      <c r="AS10" s="27"/>
      <c r="AT10" s="27"/>
      <c r="AU10" s="21"/>
      <c r="AV10" s="27"/>
      <c r="AW10" s="27"/>
      <c r="AX10" s="27"/>
      <c r="AY10" s="29">
        <v>12792.9</v>
      </c>
      <c r="AZ10" s="22">
        <f t="shared" si="11"/>
        <v>426.43</v>
      </c>
      <c r="BA10" s="28">
        <v>7.53</v>
      </c>
      <c r="BB10" s="23">
        <f t="shared" si="13"/>
        <v>0.251</v>
      </c>
      <c r="BD10" s="201"/>
      <c r="BE10" s="201"/>
    </row>
    <row r="11" spans="1:57" s="20" customFormat="1" x14ac:dyDescent="0.25">
      <c r="A11" s="11" t="s">
        <v>306</v>
      </c>
      <c r="C11" s="28">
        <v>1</v>
      </c>
      <c r="D11" s="28">
        <v>30</v>
      </c>
      <c r="AO11" s="27"/>
      <c r="AP11" s="27"/>
      <c r="AQ11" s="27"/>
      <c r="AR11" s="27"/>
      <c r="AS11" s="27"/>
      <c r="AT11" s="27"/>
      <c r="AU11" s="21"/>
      <c r="AV11" s="27"/>
      <c r="AW11" s="27"/>
      <c r="AX11" s="27"/>
      <c r="AY11" s="29">
        <v>4857</v>
      </c>
      <c r="AZ11" s="22">
        <f t="shared" si="11"/>
        <v>161.9</v>
      </c>
      <c r="BA11" s="28">
        <v>2.2000000000000002</v>
      </c>
      <c r="BB11" s="23">
        <f t="shared" si="13"/>
        <v>7.3333333333333334E-2</v>
      </c>
      <c r="BD11" s="201"/>
      <c r="BE11" s="201"/>
    </row>
    <row r="12" spans="1:57" s="20" customFormat="1" x14ac:dyDescent="0.25">
      <c r="A12" s="11" t="s">
        <v>311</v>
      </c>
      <c r="C12" s="28">
        <v>1</v>
      </c>
      <c r="D12" s="28">
        <v>30</v>
      </c>
      <c r="AO12" s="27"/>
      <c r="AP12" s="27"/>
      <c r="AQ12" s="27"/>
      <c r="AR12" s="27"/>
      <c r="AS12" s="27"/>
      <c r="AT12" s="27"/>
      <c r="AU12" s="21"/>
      <c r="AV12" s="27"/>
      <c r="AW12" s="27"/>
      <c r="AX12" s="27"/>
      <c r="AY12" s="29">
        <v>5091.84</v>
      </c>
      <c r="AZ12" s="22">
        <f t="shared" si="11"/>
        <v>169.72800000000001</v>
      </c>
      <c r="BA12" s="28">
        <v>5.0817000000000005</v>
      </c>
      <c r="BB12" s="23">
        <f t="shared" si="13"/>
        <v>0.16939000000000001</v>
      </c>
      <c r="BD12" s="201"/>
      <c r="BE12" s="201"/>
    </row>
    <row r="13" spans="1:57" s="20" customFormat="1" x14ac:dyDescent="0.25">
      <c r="A13" s="25" t="s">
        <v>61</v>
      </c>
      <c r="B13" s="25" t="s">
        <v>62</v>
      </c>
      <c r="C13" s="21">
        <v>1</v>
      </c>
      <c r="D13" s="21">
        <v>40</v>
      </c>
      <c r="E13" s="21">
        <v>1163</v>
      </c>
      <c r="F13" s="21">
        <v>107</v>
      </c>
      <c r="G13" s="21">
        <v>134</v>
      </c>
      <c r="H13" s="21">
        <v>27</v>
      </c>
      <c r="I13" s="20">
        <v>850</v>
      </c>
      <c r="J13" s="20">
        <v>122</v>
      </c>
      <c r="K13" s="20">
        <v>0.78500000000000003</v>
      </c>
      <c r="L13" s="20">
        <v>107</v>
      </c>
      <c r="M13" s="20">
        <v>0.80300000000000005</v>
      </c>
      <c r="N13" s="20">
        <v>5040</v>
      </c>
      <c r="AM13" s="22">
        <f>AL13+AF13+Z13+T13+N13</f>
        <v>5040</v>
      </c>
      <c r="AN13" s="22">
        <f>I13*60*N13+O13*60*T13+U13*60*Z13+AA13*60*AF13+AG13*60*AL13</f>
        <v>257040000</v>
      </c>
      <c r="AO13" s="22">
        <f>MAX(AG13,AA13,U13,O13,I13)</f>
        <v>850</v>
      </c>
      <c r="AP13" s="22">
        <f>AN13/(AM13*60)</f>
        <v>850</v>
      </c>
      <c r="AQ13" s="22">
        <f>AVERAGE(AH13,AB13,V13,P13,J13)</f>
        <v>122</v>
      </c>
      <c r="AR13" s="23">
        <f>(K13*N13+Q13*T13+W13*Z13+AC13*AF13+AI13*AL13)/AM13</f>
        <v>0.78500000000000003</v>
      </c>
      <c r="AS13" s="22">
        <f>AVERAGE(AJ13,AD13,X13,R13,L13)</f>
        <v>107</v>
      </c>
      <c r="AT13" s="23">
        <f>AVERAGE(AK13,AE13,Y13,S13,M13)</f>
        <v>0.80300000000000005</v>
      </c>
      <c r="AU13" s="23">
        <v>0.95499999999999996</v>
      </c>
      <c r="AV13" s="23">
        <f>((AP13*AQ13/AR13))*AM13*0.746/(3956*D13)</f>
        <v>3138.7894869037109</v>
      </c>
      <c r="AW13" s="23">
        <f>((AP13*AS13/(AT13*AU13)))*AM13*0.746/(3956*D13)</f>
        <v>2817.9733149483241</v>
      </c>
      <c r="AX13" s="23">
        <f>AV13-AW13</f>
        <v>320.81617195538684</v>
      </c>
      <c r="AY13" s="22">
        <f>((AP13*AQ13/AR13)-(AP13*AS13/(AT13*AU13)))*AM13*0.746/3956</f>
        <v>12832.646878215499</v>
      </c>
      <c r="AZ13" s="22">
        <f t="shared" si="11"/>
        <v>320.81617195538746</v>
      </c>
      <c r="BA13" s="24">
        <f>AY13/AM13</f>
        <v>2.5461600948840277</v>
      </c>
      <c r="BB13" s="23">
        <f t="shared" si="13"/>
        <v>6.3654002372100699E-2</v>
      </c>
      <c r="BD13" s="201"/>
      <c r="BE13" s="201"/>
    </row>
    <row r="14" spans="1:57" s="20" customFormat="1" x14ac:dyDescent="0.25">
      <c r="A14" s="11" t="s">
        <v>293</v>
      </c>
      <c r="C14" s="28">
        <v>1</v>
      </c>
      <c r="D14" s="28">
        <v>40</v>
      </c>
      <c r="E14" s="21"/>
      <c r="F14" s="27"/>
      <c r="G14" s="27"/>
      <c r="H14" s="21"/>
      <c r="AM14" s="22"/>
      <c r="AN14" s="22"/>
      <c r="AO14" s="22"/>
      <c r="AP14" s="22"/>
      <c r="AQ14" s="22"/>
      <c r="AR14" s="23"/>
      <c r="AS14" s="22"/>
      <c r="AT14" s="23"/>
      <c r="AU14" s="23"/>
      <c r="AV14" s="23"/>
      <c r="AW14" s="23"/>
      <c r="AX14" s="23"/>
      <c r="AY14" s="29">
        <v>31137</v>
      </c>
      <c r="AZ14" s="22">
        <f t="shared" si="11"/>
        <v>778.42499999999995</v>
      </c>
      <c r="BA14" s="28">
        <v>0</v>
      </c>
      <c r="BB14" s="23">
        <f t="shared" si="13"/>
        <v>0</v>
      </c>
      <c r="BD14" s="201"/>
      <c r="BE14" s="201"/>
    </row>
    <row r="15" spans="1:57" s="43" customFormat="1" x14ac:dyDescent="0.25">
      <c r="A15" s="41" t="s">
        <v>41</v>
      </c>
      <c r="B15" s="41" t="s">
        <v>42</v>
      </c>
      <c r="C15" s="42">
        <v>1</v>
      </c>
      <c r="D15" s="42">
        <v>50</v>
      </c>
      <c r="E15" s="42">
        <v>700</v>
      </c>
      <c r="F15" s="42">
        <v>275</v>
      </c>
      <c r="G15" s="42">
        <v>352</v>
      </c>
      <c r="H15" s="42"/>
      <c r="I15" s="43">
        <v>500</v>
      </c>
      <c r="J15" s="43">
        <v>326</v>
      </c>
      <c r="K15" s="43">
        <v>0.80800000000000005</v>
      </c>
      <c r="L15" s="43">
        <v>275</v>
      </c>
      <c r="M15" s="43">
        <v>0.82099999999999995</v>
      </c>
      <c r="N15" s="43">
        <v>720</v>
      </c>
      <c r="O15" s="43">
        <v>600</v>
      </c>
      <c r="P15" s="43">
        <v>305</v>
      </c>
      <c r="Q15" s="43">
        <v>0.83099999999999996</v>
      </c>
      <c r="R15" s="43">
        <v>275</v>
      </c>
      <c r="S15" s="43">
        <v>0.83099999999999996</v>
      </c>
      <c r="T15" s="43">
        <v>720</v>
      </c>
      <c r="AM15" s="44">
        <f t="shared" ref="AM15:AM23" si="14">AL15+AF15+Z15+T15+N15</f>
        <v>1440</v>
      </c>
      <c r="AN15" s="44">
        <f t="shared" ref="AN15:AN23" si="15">I15*60*N15+O15*60*T15+U15*60*Z15+AA15*60*AF15+AG15*60*AL15</f>
        <v>47520000</v>
      </c>
      <c r="AO15" s="44">
        <f t="shared" ref="AO15:AO23" si="16">MAX(AG15,AA15,U15,O15,I15)</f>
        <v>600</v>
      </c>
      <c r="AP15" s="44">
        <f t="shared" ref="AP15:AP23" si="17">AN15/(AM15*60)</f>
        <v>550</v>
      </c>
      <c r="AQ15" s="44">
        <f t="shared" ref="AQ15:AQ23" si="18">AVERAGE(AH15,AB15,V15,P15,J15)</f>
        <v>315.5</v>
      </c>
      <c r="AR15" s="45">
        <f t="shared" ref="AR15:AR20" si="19">(K15*N15+Q15*T15+W15*Z15+AC15*AF15+AI15*AL15)/AM15</f>
        <v>0.8194999999999999</v>
      </c>
      <c r="AS15" s="44">
        <f t="shared" ref="AS15:AT20" si="20">AVERAGE(AJ15,AD15,X15,R15,L15)</f>
        <v>275</v>
      </c>
      <c r="AT15" s="45">
        <f t="shared" si="20"/>
        <v>0.82599999999999996</v>
      </c>
      <c r="AU15" s="45">
        <v>0.95450000000000002</v>
      </c>
      <c r="AV15" s="45">
        <f t="shared" ref="AV15:AV20" si="21">((AP15*AQ15/AR15))*AM15*0.746/(3956*D15)</f>
        <v>1149.9742808477142</v>
      </c>
      <c r="AW15" s="45">
        <f t="shared" ref="AW15:AW20" si="22">((AP15*AS15/(AT15*AU15)))*AM15*0.746/(3956*D15)</f>
        <v>1041.8721653604207</v>
      </c>
      <c r="AX15" s="45">
        <f t="shared" ref="AX15:AX20" si="23">AV15-AW15</f>
        <v>108.10211548729353</v>
      </c>
      <c r="AY15" s="44">
        <f t="shared" ref="AY15:AY20" si="24">((AP15*AQ15/AR15)-(AP15*AS15/(AT15*AU15)))*AM15*0.746/3956</f>
        <v>5405.1057743646852</v>
      </c>
      <c r="AZ15" s="44">
        <f t="shared" si="11"/>
        <v>108.1021154872937</v>
      </c>
      <c r="BA15" s="46">
        <f t="shared" ref="BA15:BA23" si="25">AY15/AM15</f>
        <v>3.7535456766421427</v>
      </c>
      <c r="BB15" s="45">
        <f t="shared" si="13"/>
        <v>7.5070913532842856E-2</v>
      </c>
      <c r="BD15" s="197">
        <f>SUM(AY15:AY32)/SUMPRODUCT(C15:D32)</f>
        <v>332.06355425310909</v>
      </c>
      <c r="BE15" s="197">
        <f>SUM(BA15:BA32)/SUMPRODUCT(C15:D32)</f>
        <v>0.14325888960263566</v>
      </c>
    </row>
    <row r="16" spans="1:57" s="43" customFormat="1" x14ac:dyDescent="0.25">
      <c r="A16" s="41" t="s">
        <v>45</v>
      </c>
      <c r="B16" s="41" t="s">
        <v>46</v>
      </c>
      <c r="C16" s="42">
        <v>1</v>
      </c>
      <c r="D16" s="42">
        <v>50</v>
      </c>
      <c r="E16" s="42">
        <v>250</v>
      </c>
      <c r="F16" s="42">
        <v>486</v>
      </c>
      <c r="G16" s="42">
        <v>1030</v>
      </c>
      <c r="H16" s="42"/>
      <c r="I16" s="43">
        <v>250</v>
      </c>
      <c r="J16" s="43">
        <v>619</v>
      </c>
      <c r="K16" s="43">
        <v>0.70899999999999996</v>
      </c>
      <c r="L16" s="43">
        <v>552</v>
      </c>
      <c r="M16" s="43">
        <v>0.70399999999999996</v>
      </c>
      <c r="N16" s="43">
        <v>1500</v>
      </c>
      <c r="AM16" s="44">
        <f t="shared" si="14"/>
        <v>1500</v>
      </c>
      <c r="AN16" s="44">
        <f t="shared" si="15"/>
        <v>22500000</v>
      </c>
      <c r="AO16" s="44">
        <f t="shared" si="16"/>
        <v>250</v>
      </c>
      <c r="AP16" s="44">
        <f t="shared" si="17"/>
        <v>250</v>
      </c>
      <c r="AQ16" s="44">
        <f t="shared" si="18"/>
        <v>619</v>
      </c>
      <c r="AR16" s="45">
        <f t="shared" si="19"/>
        <v>0.70899999999999996</v>
      </c>
      <c r="AS16" s="44">
        <f t="shared" si="20"/>
        <v>552</v>
      </c>
      <c r="AT16" s="45">
        <f t="shared" si="20"/>
        <v>0.70399999999999996</v>
      </c>
      <c r="AU16" s="45">
        <v>0.95799999999999996</v>
      </c>
      <c r="AV16" s="45">
        <f t="shared" si="21"/>
        <v>1234.7761198286939</v>
      </c>
      <c r="AW16" s="45">
        <f t="shared" si="22"/>
        <v>1157.5632152961377</v>
      </c>
      <c r="AX16" s="45">
        <f t="shared" si="23"/>
        <v>77.212904532556195</v>
      </c>
      <c r="AY16" s="44">
        <f t="shared" si="24"/>
        <v>3860.6452266278161</v>
      </c>
      <c r="AZ16" s="44">
        <f t="shared" si="11"/>
        <v>77.212904532556323</v>
      </c>
      <c r="BA16" s="46">
        <f t="shared" si="25"/>
        <v>2.573763484418544</v>
      </c>
      <c r="BB16" s="45">
        <f t="shared" si="13"/>
        <v>5.1475269688370878E-2</v>
      </c>
      <c r="BD16" s="197"/>
      <c r="BE16" s="197"/>
    </row>
    <row r="17" spans="1:57" s="43" customFormat="1" x14ac:dyDescent="0.25">
      <c r="A17" s="43" t="s">
        <v>48</v>
      </c>
      <c r="B17" s="43" t="s">
        <v>49</v>
      </c>
      <c r="C17" s="42">
        <v>1</v>
      </c>
      <c r="D17" s="42">
        <v>50</v>
      </c>
      <c r="E17" s="42">
        <v>600</v>
      </c>
      <c r="F17" s="47">
        <v>240</v>
      </c>
      <c r="G17" s="47">
        <v>306</v>
      </c>
      <c r="H17" s="42">
        <v>66</v>
      </c>
      <c r="I17" s="43">
        <v>400</v>
      </c>
      <c r="J17" s="43">
        <v>292</v>
      </c>
      <c r="K17" s="43">
        <v>0.82199999999999995</v>
      </c>
      <c r="L17" s="43">
        <v>241</v>
      </c>
      <c r="M17" s="43">
        <v>0.83899999999999997</v>
      </c>
      <c r="N17" s="43">
        <v>400</v>
      </c>
      <c r="O17" s="43">
        <v>500</v>
      </c>
      <c r="P17" s="43">
        <v>274</v>
      </c>
      <c r="Q17" s="43">
        <v>0.85199999999999998</v>
      </c>
      <c r="R17" s="43">
        <v>242</v>
      </c>
      <c r="S17" s="43">
        <v>0.85199999999999998</v>
      </c>
      <c r="T17" s="43">
        <v>400</v>
      </c>
      <c r="U17" s="43">
        <v>600</v>
      </c>
      <c r="V17" s="43">
        <v>244</v>
      </c>
      <c r="W17" s="43">
        <v>0.83499999999999996</v>
      </c>
      <c r="X17" s="43">
        <v>243</v>
      </c>
      <c r="Y17" s="43">
        <v>0.83499999999999996</v>
      </c>
      <c r="Z17" s="43">
        <v>800</v>
      </c>
      <c r="AM17" s="44">
        <f t="shared" si="14"/>
        <v>1600</v>
      </c>
      <c r="AN17" s="44">
        <f t="shared" si="15"/>
        <v>50400000</v>
      </c>
      <c r="AO17" s="44">
        <f t="shared" si="16"/>
        <v>600</v>
      </c>
      <c r="AP17" s="44">
        <f t="shared" si="17"/>
        <v>525</v>
      </c>
      <c r="AQ17" s="44">
        <f t="shared" si="18"/>
        <v>270</v>
      </c>
      <c r="AR17" s="45">
        <f t="shared" si="19"/>
        <v>0.83599999999999997</v>
      </c>
      <c r="AS17" s="44">
        <f t="shared" si="20"/>
        <v>242</v>
      </c>
      <c r="AT17" s="45">
        <f t="shared" si="20"/>
        <v>0.84199999999999997</v>
      </c>
      <c r="AU17" s="48">
        <v>0.95750000000000002</v>
      </c>
      <c r="AV17" s="45">
        <f t="shared" si="21"/>
        <v>1023.1735695521548</v>
      </c>
      <c r="AW17" s="45">
        <f t="shared" si="22"/>
        <v>950.94701189778016</v>
      </c>
      <c r="AX17" s="45">
        <f t="shared" si="23"/>
        <v>72.226557654374687</v>
      </c>
      <c r="AY17" s="44">
        <f t="shared" si="24"/>
        <v>3611.3278827187432</v>
      </c>
      <c r="AZ17" s="44">
        <f t="shared" si="11"/>
        <v>72.226557654374858</v>
      </c>
      <c r="BA17" s="46">
        <f t="shared" si="25"/>
        <v>2.2570799266992143</v>
      </c>
      <c r="BB17" s="45">
        <f t="shared" si="13"/>
        <v>4.5141598533984285E-2</v>
      </c>
      <c r="BD17" s="197"/>
      <c r="BE17" s="197"/>
    </row>
    <row r="18" spans="1:57" s="43" customFormat="1" x14ac:dyDescent="0.25">
      <c r="A18" s="43" t="s">
        <v>50</v>
      </c>
      <c r="B18" s="43" t="s">
        <v>51</v>
      </c>
      <c r="C18" s="42">
        <v>1</v>
      </c>
      <c r="D18" s="42">
        <v>50</v>
      </c>
      <c r="E18" s="42">
        <v>650</v>
      </c>
      <c r="F18" s="47">
        <v>193</v>
      </c>
      <c r="G18" s="47">
        <v>232</v>
      </c>
      <c r="H18" s="42">
        <v>39</v>
      </c>
      <c r="I18" s="43">
        <v>350</v>
      </c>
      <c r="J18" s="43">
        <v>224</v>
      </c>
      <c r="K18" s="43">
        <v>0.57799999999999996</v>
      </c>
      <c r="L18" s="43">
        <v>194</v>
      </c>
      <c r="M18" s="43">
        <v>0.61</v>
      </c>
      <c r="N18" s="43">
        <v>325</v>
      </c>
      <c r="O18" s="43">
        <v>425</v>
      </c>
      <c r="P18" s="43">
        <v>221</v>
      </c>
      <c r="Q18" s="43">
        <v>0.66400000000000003</v>
      </c>
      <c r="R18" s="43">
        <v>194</v>
      </c>
      <c r="S18" s="43">
        <v>0.69</v>
      </c>
      <c r="T18" s="43">
        <v>360</v>
      </c>
      <c r="U18" s="43">
        <v>525</v>
      </c>
      <c r="V18" s="43">
        <v>212</v>
      </c>
      <c r="W18" s="43">
        <v>0.74399999999999999</v>
      </c>
      <c r="X18" s="43">
        <v>194</v>
      </c>
      <c r="Y18" s="43">
        <v>0.754</v>
      </c>
      <c r="Z18" s="43">
        <v>375</v>
      </c>
      <c r="AA18" s="43">
        <v>575</v>
      </c>
      <c r="AB18" s="43">
        <v>206</v>
      </c>
      <c r="AC18" s="43">
        <v>0.76600000000000001</v>
      </c>
      <c r="AD18" s="43">
        <v>195</v>
      </c>
      <c r="AE18" s="43">
        <v>0.76900000000000002</v>
      </c>
      <c r="AF18" s="43">
        <v>400</v>
      </c>
      <c r="AG18" s="43">
        <v>625</v>
      </c>
      <c r="AH18" s="43">
        <v>197</v>
      </c>
      <c r="AI18" s="43">
        <v>0.77400000000000002</v>
      </c>
      <c r="AJ18" s="43">
        <v>195</v>
      </c>
      <c r="AK18" s="43">
        <v>0.77400000000000002</v>
      </c>
      <c r="AL18" s="43">
        <v>400</v>
      </c>
      <c r="AM18" s="44">
        <f t="shared" si="14"/>
        <v>1860</v>
      </c>
      <c r="AN18" s="44">
        <f t="shared" si="15"/>
        <v>56617500</v>
      </c>
      <c r="AO18" s="44">
        <f t="shared" si="16"/>
        <v>625</v>
      </c>
      <c r="AP18" s="44">
        <f t="shared" si="17"/>
        <v>507.32526881720429</v>
      </c>
      <c r="AQ18" s="44">
        <f t="shared" si="18"/>
        <v>212</v>
      </c>
      <c r="AR18" s="45">
        <f t="shared" si="19"/>
        <v>0.71069354838709675</v>
      </c>
      <c r="AS18" s="44">
        <f t="shared" si="20"/>
        <v>194.4</v>
      </c>
      <c r="AT18" s="45">
        <f t="shared" si="20"/>
        <v>0.71940000000000004</v>
      </c>
      <c r="AU18" s="45">
        <v>0.95499999999999996</v>
      </c>
      <c r="AV18" s="45">
        <f t="shared" si="21"/>
        <v>1061.6111385419354</v>
      </c>
      <c r="AW18" s="45">
        <f t="shared" si="22"/>
        <v>1007.0115090915244</v>
      </c>
      <c r="AX18" s="45">
        <f t="shared" si="23"/>
        <v>54.59962945041093</v>
      </c>
      <c r="AY18" s="44">
        <f t="shared" si="24"/>
        <v>2729.9814725205524</v>
      </c>
      <c r="AZ18" s="44">
        <f t="shared" si="11"/>
        <v>54.599629450411051</v>
      </c>
      <c r="BA18" s="46">
        <f t="shared" si="25"/>
        <v>1.4677319744734152</v>
      </c>
      <c r="BB18" s="45">
        <f t="shared" si="13"/>
        <v>2.9354639489468305E-2</v>
      </c>
      <c r="BD18" s="197"/>
      <c r="BE18" s="197"/>
    </row>
    <row r="19" spans="1:57" s="43" customFormat="1" x14ac:dyDescent="0.25">
      <c r="A19" s="41" t="s">
        <v>52</v>
      </c>
      <c r="B19" s="41" t="s">
        <v>42</v>
      </c>
      <c r="C19" s="42">
        <v>1</v>
      </c>
      <c r="D19" s="42">
        <v>50</v>
      </c>
      <c r="E19" s="42">
        <v>550</v>
      </c>
      <c r="F19" s="42">
        <v>275</v>
      </c>
      <c r="G19" s="42">
        <v>402</v>
      </c>
      <c r="H19" s="42"/>
      <c r="I19" s="43">
        <v>550</v>
      </c>
      <c r="J19" s="43">
        <v>277</v>
      </c>
      <c r="K19" s="43">
        <v>0.79900000000000004</v>
      </c>
      <c r="L19" s="43">
        <v>275</v>
      </c>
      <c r="M19" s="43">
        <v>0.79800000000000004</v>
      </c>
      <c r="N19" s="43">
        <v>200</v>
      </c>
      <c r="O19" s="43">
        <v>400</v>
      </c>
      <c r="P19" s="43">
        <v>335</v>
      </c>
      <c r="Q19" s="43">
        <v>0.80200000000000005</v>
      </c>
      <c r="R19" s="43">
        <v>182</v>
      </c>
      <c r="S19" s="43">
        <v>0.81200000000000006</v>
      </c>
      <c r="T19" s="43">
        <v>1800</v>
      </c>
      <c r="AM19" s="44">
        <f t="shared" si="14"/>
        <v>2000</v>
      </c>
      <c r="AN19" s="44">
        <f t="shared" si="15"/>
        <v>49800000</v>
      </c>
      <c r="AO19" s="44">
        <f t="shared" si="16"/>
        <v>550</v>
      </c>
      <c r="AP19" s="44">
        <f t="shared" si="17"/>
        <v>415</v>
      </c>
      <c r="AQ19" s="44">
        <f t="shared" si="18"/>
        <v>306</v>
      </c>
      <c r="AR19" s="45">
        <f t="shared" si="19"/>
        <v>0.80170000000000008</v>
      </c>
      <c r="AS19" s="44">
        <f t="shared" si="20"/>
        <v>228.5</v>
      </c>
      <c r="AT19" s="45">
        <f t="shared" si="20"/>
        <v>0.80500000000000005</v>
      </c>
      <c r="AU19" s="45">
        <v>0.95599999999999996</v>
      </c>
      <c r="AV19" s="45">
        <f t="shared" si="21"/>
        <v>1194.8136499120358</v>
      </c>
      <c r="AW19" s="45">
        <f t="shared" si="22"/>
        <v>929.4436493678179</v>
      </c>
      <c r="AX19" s="45">
        <f t="shared" si="23"/>
        <v>265.37000054421787</v>
      </c>
      <c r="AY19" s="44">
        <f t="shared" si="24"/>
        <v>13268.500027210901</v>
      </c>
      <c r="AZ19" s="44">
        <f t="shared" si="11"/>
        <v>265.37000054421804</v>
      </c>
      <c r="BA19" s="46">
        <f t="shared" si="25"/>
        <v>6.6342500136054507</v>
      </c>
      <c r="BB19" s="45">
        <f t="shared" si="13"/>
        <v>0.13268500027210903</v>
      </c>
      <c r="BD19" s="197"/>
      <c r="BE19" s="197"/>
    </row>
    <row r="20" spans="1:57" s="43" customFormat="1" x14ac:dyDescent="0.25">
      <c r="A20" s="43" t="s">
        <v>53</v>
      </c>
      <c r="B20" s="43" t="s">
        <v>54</v>
      </c>
      <c r="C20" s="42">
        <v>1</v>
      </c>
      <c r="D20" s="42">
        <v>50</v>
      </c>
      <c r="E20" s="42">
        <v>1000</v>
      </c>
      <c r="F20" s="47">
        <v>155</v>
      </c>
      <c r="G20" s="47">
        <v>257</v>
      </c>
      <c r="H20" s="42">
        <v>102</v>
      </c>
      <c r="I20" s="43">
        <v>846</v>
      </c>
      <c r="J20" s="43">
        <v>182</v>
      </c>
      <c r="K20" s="43">
        <v>0.82199999999999995</v>
      </c>
      <c r="L20" s="43">
        <v>159</v>
      </c>
      <c r="M20" s="43">
        <v>0.82399999999999995</v>
      </c>
      <c r="N20" s="43">
        <v>450</v>
      </c>
      <c r="O20" s="43">
        <v>787</v>
      </c>
      <c r="P20" s="43">
        <v>189</v>
      </c>
      <c r="Q20" s="43">
        <v>0.81299999999999994</v>
      </c>
      <c r="R20" s="43">
        <v>158</v>
      </c>
      <c r="S20" s="43">
        <v>0.82199999999999995</v>
      </c>
      <c r="T20" s="43">
        <v>350</v>
      </c>
      <c r="U20" s="43">
        <v>765</v>
      </c>
      <c r="V20" s="43">
        <v>192</v>
      </c>
      <c r="W20" s="43">
        <v>0.80800000000000005</v>
      </c>
      <c r="X20" s="43">
        <v>158</v>
      </c>
      <c r="Y20" s="43">
        <v>0.82</v>
      </c>
      <c r="Z20" s="43">
        <v>350</v>
      </c>
      <c r="AA20" s="43">
        <v>712</v>
      </c>
      <c r="AB20" s="43">
        <v>197</v>
      </c>
      <c r="AC20" s="43">
        <v>0.79200000000000004</v>
      </c>
      <c r="AD20" s="43">
        <v>158</v>
      </c>
      <c r="AE20" s="43">
        <v>0.81200000000000006</v>
      </c>
      <c r="AF20" s="43">
        <v>1050</v>
      </c>
      <c r="AG20" s="43">
        <v>115</v>
      </c>
      <c r="AH20" s="43">
        <v>248</v>
      </c>
      <c r="AI20" s="43">
        <v>0.20200000000000001</v>
      </c>
      <c r="AJ20" s="43">
        <v>155</v>
      </c>
      <c r="AK20" s="43">
        <v>0.25</v>
      </c>
      <c r="AL20" s="43">
        <v>300</v>
      </c>
      <c r="AM20" s="44">
        <f t="shared" si="14"/>
        <v>2500</v>
      </c>
      <c r="AN20" s="44">
        <f t="shared" si="15"/>
        <v>102360000</v>
      </c>
      <c r="AO20" s="44">
        <f t="shared" si="16"/>
        <v>846</v>
      </c>
      <c r="AP20" s="44">
        <f t="shared" si="17"/>
        <v>682.4</v>
      </c>
      <c r="AQ20" s="44">
        <f t="shared" si="18"/>
        <v>201.6</v>
      </c>
      <c r="AR20" s="45">
        <f t="shared" si="19"/>
        <v>0.73177999999999988</v>
      </c>
      <c r="AS20" s="44">
        <f t="shared" si="20"/>
        <v>157.6</v>
      </c>
      <c r="AT20" s="45">
        <f t="shared" si="20"/>
        <v>0.7056</v>
      </c>
      <c r="AU20" s="48">
        <v>0.94908000000000015</v>
      </c>
      <c r="AV20" s="45">
        <f t="shared" si="21"/>
        <v>1772.5625074596151</v>
      </c>
      <c r="AW20" s="45">
        <f t="shared" si="22"/>
        <v>1514.2109640462972</v>
      </c>
      <c r="AX20" s="45">
        <f t="shared" si="23"/>
        <v>258.35154341331781</v>
      </c>
      <c r="AY20" s="44">
        <f t="shared" si="24"/>
        <v>12917.577170665887</v>
      </c>
      <c r="AZ20" s="44">
        <f t="shared" si="11"/>
        <v>258.35154341331776</v>
      </c>
      <c r="BA20" s="46">
        <f t="shared" si="25"/>
        <v>5.1670308682663544</v>
      </c>
      <c r="BB20" s="45">
        <f t="shared" si="13"/>
        <v>0.10334061736532708</v>
      </c>
      <c r="BD20" s="197"/>
      <c r="BE20" s="197"/>
    </row>
    <row r="21" spans="1:57" s="43" customFormat="1" x14ac:dyDescent="0.25">
      <c r="A21" s="49" t="s">
        <v>55</v>
      </c>
      <c r="B21" s="43" t="s">
        <v>56</v>
      </c>
      <c r="C21" s="42">
        <v>1</v>
      </c>
      <c r="D21" s="42">
        <v>50</v>
      </c>
      <c r="E21" s="42">
        <v>1751</v>
      </c>
      <c r="F21" s="42">
        <v>65</v>
      </c>
      <c r="G21" s="42">
        <v>150</v>
      </c>
      <c r="H21" s="42">
        <v>85</v>
      </c>
      <c r="I21" s="43">
        <v>1500</v>
      </c>
      <c r="J21" s="43">
        <v>85</v>
      </c>
      <c r="N21" s="43">
        <v>1488</v>
      </c>
      <c r="O21" s="43">
        <v>750</v>
      </c>
      <c r="P21" s="43">
        <v>65</v>
      </c>
      <c r="T21" s="43">
        <v>1488</v>
      </c>
      <c r="AM21" s="44">
        <f t="shared" si="14"/>
        <v>2976</v>
      </c>
      <c r="AN21" s="44">
        <f t="shared" si="15"/>
        <v>200880000</v>
      </c>
      <c r="AO21" s="44">
        <f t="shared" si="16"/>
        <v>1500</v>
      </c>
      <c r="AP21" s="44">
        <f t="shared" si="17"/>
        <v>1125</v>
      </c>
      <c r="AQ21" s="44">
        <f t="shared" si="18"/>
        <v>75</v>
      </c>
      <c r="AR21" s="45"/>
      <c r="AS21" s="44"/>
      <c r="AT21" s="45"/>
      <c r="AU21" s="45">
        <v>0.94499999999999995</v>
      </c>
      <c r="AV21" s="45"/>
      <c r="AW21" s="45"/>
      <c r="AX21" s="45"/>
      <c r="AY21" s="44">
        <v>39835</v>
      </c>
      <c r="AZ21" s="44">
        <f t="shared" si="11"/>
        <v>796.7</v>
      </c>
      <c r="BA21" s="46">
        <f t="shared" si="25"/>
        <v>13.385416666666666</v>
      </c>
      <c r="BB21" s="45">
        <f t="shared" si="13"/>
        <v>0.26770833333333333</v>
      </c>
      <c r="BD21" s="197"/>
      <c r="BE21" s="197"/>
    </row>
    <row r="22" spans="1:57" s="43" customFormat="1" x14ac:dyDescent="0.25">
      <c r="A22" s="43" t="s">
        <v>57</v>
      </c>
      <c r="B22" s="43" t="s">
        <v>58</v>
      </c>
      <c r="C22" s="42">
        <v>1</v>
      </c>
      <c r="D22" s="42">
        <v>50</v>
      </c>
      <c r="E22" s="42">
        <v>1500</v>
      </c>
      <c r="F22" s="47">
        <v>85</v>
      </c>
      <c r="G22" s="47">
        <v>163</v>
      </c>
      <c r="H22" s="42">
        <v>78</v>
      </c>
      <c r="I22" s="43">
        <v>1000</v>
      </c>
      <c r="J22" s="43">
        <v>116</v>
      </c>
      <c r="K22" s="43">
        <v>0.748</v>
      </c>
      <c r="L22" s="43">
        <v>86</v>
      </c>
      <c r="M22" s="43">
        <v>0.78400000000000003</v>
      </c>
      <c r="N22" s="43">
        <v>1300</v>
      </c>
      <c r="O22" s="43">
        <v>1250</v>
      </c>
      <c r="P22" s="43">
        <v>102</v>
      </c>
      <c r="Q22" s="43">
        <v>0.80200000000000005</v>
      </c>
      <c r="R22" s="43">
        <v>86</v>
      </c>
      <c r="S22" s="43">
        <v>0.80400000000000005</v>
      </c>
      <c r="T22" s="43">
        <v>1200</v>
      </c>
      <c r="U22" s="43">
        <v>1500</v>
      </c>
      <c r="V22" s="43">
        <v>87</v>
      </c>
      <c r="W22" s="43">
        <v>0.78</v>
      </c>
      <c r="X22" s="43">
        <v>87</v>
      </c>
      <c r="Y22" s="43">
        <v>0.78</v>
      </c>
      <c r="Z22" s="43">
        <v>500</v>
      </c>
      <c r="AM22" s="44">
        <f t="shared" si="14"/>
        <v>3000</v>
      </c>
      <c r="AN22" s="44">
        <f t="shared" si="15"/>
        <v>213000000</v>
      </c>
      <c r="AO22" s="44">
        <f t="shared" si="16"/>
        <v>1500</v>
      </c>
      <c r="AP22" s="44">
        <f t="shared" si="17"/>
        <v>1183.3333333333333</v>
      </c>
      <c r="AQ22" s="44">
        <f t="shared" si="18"/>
        <v>101.66666666666667</v>
      </c>
      <c r="AR22" s="45">
        <f>(K22*N22+Q22*T22+W22*Z22+AC22*AF22+AI22*AL22)/AM22</f>
        <v>0.77493333333333336</v>
      </c>
      <c r="AS22" s="44">
        <f>AVERAGE(AJ22,AD22,X22,R22,L22)</f>
        <v>86.333333333333329</v>
      </c>
      <c r="AT22" s="45">
        <f>AVERAGE(AK22,AE22,Y22,S22,M22)</f>
        <v>0.78933333333333344</v>
      </c>
      <c r="AU22" s="48">
        <v>0.95143333333333335</v>
      </c>
      <c r="AV22" s="45">
        <f>((AP22*AQ22/AR22))*AM22*0.746/(3956*D22)</f>
        <v>1756.5282369658812</v>
      </c>
      <c r="AW22" s="45">
        <f>((AP22*AS22/(AT22*AU22)))*AM22*0.746/(3956*D22)</f>
        <v>1539.1487590061108</v>
      </c>
      <c r="AX22" s="45">
        <f>AV22-AW22</f>
        <v>217.37947795977038</v>
      </c>
      <c r="AY22" s="44">
        <f>((AP22*AQ22/AR22)-(AP22*AS22/(AT22*AU22)))*AM22*0.746/3956</f>
        <v>10868.973897988531</v>
      </c>
      <c r="AZ22" s="44">
        <f t="shared" si="11"/>
        <v>217.37947795977064</v>
      </c>
      <c r="BA22" s="46">
        <f t="shared" si="25"/>
        <v>3.6229912993295104</v>
      </c>
      <c r="BB22" s="45">
        <f t="shared" si="13"/>
        <v>7.2459825986590204E-2</v>
      </c>
      <c r="BD22" s="197"/>
      <c r="BE22" s="197"/>
    </row>
    <row r="23" spans="1:57" s="43" customFormat="1" x14ac:dyDescent="0.25">
      <c r="A23" s="41" t="s">
        <v>59</v>
      </c>
      <c r="B23" s="41" t="s">
        <v>60</v>
      </c>
      <c r="C23" s="42">
        <v>1</v>
      </c>
      <c r="D23" s="42">
        <v>50</v>
      </c>
      <c r="E23" s="42">
        <v>500</v>
      </c>
      <c r="F23" s="42">
        <v>235</v>
      </c>
      <c r="G23" s="42">
        <v>352</v>
      </c>
      <c r="H23" s="42"/>
      <c r="I23" s="43">
        <v>200</v>
      </c>
      <c r="J23" s="43">
        <v>308</v>
      </c>
      <c r="K23" s="43">
        <v>0.34499999999999997</v>
      </c>
      <c r="L23" s="43">
        <v>235</v>
      </c>
      <c r="M23" s="43">
        <v>0.38800000000000001</v>
      </c>
      <c r="N23" s="43">
        <v>600</v>
      </c>
      <c r="O23" s="43">
        <v>400</v>
      </c>
      <c r="P23" s="43">
        <v>277</v>
      </c>
      <c r="Q23" s="43">
        <v>0.60299999999999998</v>
      </c>
      <c r="R23" s="43">
        <v>235</v>
      </c>
      <c r="S23" s="43">
        <v>0.628</v>
      </c>
      <c r="T23" s="43">
        <v>800</v>
      </c>
      <c r="U23" s="43">
        <v>450</v>
      </c>
      <c r="V23" s="43">
        <v>267</v>
      </c>
      <c r="W23" s="43">
        <v>0.64400000000000002</v>
      </c>
      <c r="X23" s="43">
        <v>235</v>
      </c>
      <c r="Y23" s="43">
        <v>0.66</v>
      </c>
      <c r="Z23" s="43">
        <v>800</v>
      </c>
      <c r="AA23" s="43">
        <v>500</v>
      </c>
      <c r="AB23" s="43">
        <v>255</v>
      </c>
      <c r="AC23" s="43">
        <v>0.67300000000000004</v>
      </c>
      <c r="AD23" s="43">
        <v>235</v>
      </c>
      <c r="AE23" s="43">
        <v>0.68</v>
      </c>
      <c r="AF23" s="43">
        <v>800</v>
      </c>
      <c r="AM23" s="44">
        <f t="shared" si="14"/>
        <v>3000</v>
      </c>
      <c r="AN23" s="44">
        <f t="shared" si="15"/>
        <v>72000000</v>
      </c>
      <c r="AO23" s="44">
        <f t="shared" si="16"/>
        <v>500</v>
      </c>
      <c r="AP23" s="44">
        <f t="shared" si="17"/>
        <v>400</v>
      </c>
      <c r="AQ23" s="44">
        <f t="shared" si="18"/>
        <v>276.75</v>
      </c>
      <c r="AR23" s="45">
        <f>(K23*N23+Q23*T23+W23*Z23+AC23*AF23+AI23*AL23)/AM23</f>
        <v>0.58099999999999996</v>
      </c>
      <c r="AS23" s="44">
        <f>AVERAGE(AJ23,AD23,X23,R23,L23)</f>
        <v>235</v>
      </c>
      <c r="AT23" s="45">
        <f>AVERAGE(AK23,AE23,Y23,S23,M23)</f>
        <v>0.58899999999999997</v>
      </c>
      <c r="AU23" s="45">
        <v>0.94899999999999995</v>
      </c>
      <c r="AV23" s="45">
        <f>((AP23*AQ23/AR23))*AM23*0.746/(3956*D23)</f>
        <v>2155.7841941215679</v>
      </c>
      <c r="AW23" s="45">
        <f>((AP23*AS23/(AT23*AU23)))*AM23*0.746/(3956*D23)</f>
        <v>1902.7430369153296</v>
      </c>
      <c r="AX23" s="45">
        <f>AV23-AW23</f>
        <v>253.04115720623827</v>
      </c>
      <c r="AY23" s="44">
        <f>((AP23*AQ23/AR23)-(AP23*AS23/(AT23*AU23)))*AM23*0.746/3956</f>
        <v>12652.057860311907</v>
      </c>
      <c r="AZ23" s="44">
        <f t="shared" si="11"/>
        <v>253.04115720623813</v>
      </c>
      <c r="BA23" s="46">
        <f t="shared" si="25"/>
        <v>4.2173526201039691</v>
      </c>
      <c r="BB23" s="45">
        <f t="shared" si="13"/>
        <v>8.4347052402079375E-2</v>
      </c>
      <c r="BD23" s="197"/>
      <c r="BE23" s="197"/>
    </row>
    <row r="24" spans="1:57" s="43" customFormat="1" x14ac:dyDescent="0.25">
      <c r="A24" s="50" t="s">
        <v>294</v>
      </c>
      <c r="B24" s="51"/>
      <c r="C24" s="52">
        <v>1</v>
      </c>
      <c r="D24" s="52">
        <v>50</v>
      </c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3">
        <v>32603.5</v>
      </c>
      <c r="AZ24" s="44">
        <f t="shared" si="11"/>
        <v>652.07000000000005</v>
      </c>
      <c r="BA24" s="52">
        <v>12.8475</v>
      </c>
      <c r="BB24" s="45">
        <f t="shared" si="13"/>
        <v>0.25695000000000001</v>
      </c>
      <c r="BD24" s="197"/>
      <c r="BE24" s="197"/>
    </row>
    <row r="25" spans="1:57" s="43" customFormat="1" x14ac:dyDescent="0.25">
      <c r="A25" s="50" t="s">
        <v>294</v>
      </c>
      <c r="B25" s="42"/>
      <c r="C25" s="52">
        <v>1</v>
      </c>
      <c r="D25" s="52">
        <v>50</v>
      </c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4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53">
        <v>32603.5</v>
      </c>
      <c r="AZ25" s="44">
        <f t="shared" si="11"/>
        <v>652.07000000000005</v>
      </c>
      <c r="BA25" s="52">
        <v>12.8475</v>
      </c>
      <c r="BB25" s="45">
        <f t="shared" si="13"/>
        <v>0.25695000000000001</v>
      </c>
      <c r="BD25" s="197"/>
      <c r="BE25" s="197"/>
    </row>
    <row r="26" spans="1:57" s="43" customFormat="1" x14ac:dyDescent="0.25">
      <c r="A26" s="50" t="s">
        <v>294</v>
      </c>
      <c r="B26" s="42"/>
      <c r="C26" s="52">
        <v>1</v>
      </c>
      <c r="D26" s="52">
        <v>50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4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53">
        <v>32603.5</v>
      </c>
      <c r="AZ26" s="44">
        <f t="shared" si="11"/>
        <v>652.07000000000005</v>
      </c>
      <c r="BA26" s="52">
        <v>12.8475</v>
      </c>
      <c r="BB26" s="45">
        <f t="shared" si="13"/>
        <v>0.25695000000000001</v>
      </c>
      <c r="BD26" s="197"/>
      <c r="BE26" s="197"/>
    </row>
    <row r="27" spans="1:57" s="43" customFormat="1" x14ac:dyDescent="0.25">
      <c r="A27" s="50" t="s">
        <v>294</v>
      </c>
      <c r="C27" s="52">
        <v>1</v>
      </c>
      <c r="D27" s="52">
        <v>50</v>
      </c>
      <c r="AO27" s="47"/>
      <c r="AP27" s="47"/>
      <c r="AQ27" s="47"/>
      <c r="AR27" s="47"/>
      <c r="AS27" s="47"/>
      <c r="AT27" s="47"/>
      <c r="AU27" s="42"/>
      <c r="AV27" s="47"/>
      <c r="AW27" s="47"/>
      <c r="AX27" s="47"/>
      <c r="AY27" s="53">
        <v>32603.5</v>
      </c>
      <c r="AZ27" s="44">
        <f t="shared" si="11"/>
        <v>652.07000000000005</v>
      </c>
      <c r="BA27" s="52">
        <v>12.8475</v>
      </c>
      <c r="BB27" s="45">
        <f t="shared" si="13"/>
        <v>0.25695000000000001</v>
      </c>
      <c r="BD27" s="197"/>
      <c r="BE27" s="197"/>
    </row>
    <row r="28" spans="1:57" s="43" customFormat="1" x14ac:dyDescent="0.25">
      <c r="A28" s="41" t="s">
        <v>69</v>
      </c>
      <c r="B28" s="41" t="s">
        <v>46</v>
      </c>
      <c r="C28" s="42">
        <v>1</v>
      </c>
      <c r="D28" s="42">
        <v>60</v>
      </c>
      <c r="E28" s="42">
        <v>300</v>
      </c>
      <c r="F28" s="42">
        <v>443</v>
      </c>
      <c r="G28" s="42">
        <v>1220</v>
      </c>
      <c r="H28" s="42"/>
      <c r="I28" s="43">
        <v>300</v>
      </c>
      <c r="J28" s="43">
        <v>602</v>
      </c>
      <c r="K28" s="43">
        <v>0.65500000000000003</v>
      </c>
      <c r="L28" s="43">
        <v>487</v>
      </c>
      <c r="M28" s="43">
        <v>0.621</v>
      </c>
      <c r="N28" s="43">
        <v>1500</v>
      </c>
      <c r="AM28" s="44">
        <f>AL28+AF28+Z28+T28+N28</f>
        <v>1500</v>
      </c>
      <c r="AN28" s="44">
        <f>I28*60*N28+O28*60*T28+U28*60*Z28+AA28*60*AF28+AG28*60*AL28</f>
        <v>27000000</v>
      </c>
      <c r="AO28" s="44">
        <f>MAX(AG28,AA28,U28,O28,I28)</f>
        <v>300</v>
      </c>
      <c r="AP28" s="44">
        <f>AN28/(AM28*60)</f>
        <v>300</v>
      </c>
      <c r="AQ28" s="44">
        <f>AVERAGE(AH28,AB28,V28,P28,J28)</f>
        <v>602</v>
      </c>
      <c r="AR28" s="45">
        <f>(K28*N28+Q28*T28+W28*Z28+AC28*AF28+AI28*AL28)/AM28</f>
        <v>0.65500000000000003</v>
      </c>
      <c r="AS28" s="44">
        <f t="shared" ref="AS28:AT31" si="26">AVERAGE(AJ28,AD28,X28,R28,L28)</f>
        <v>487</v>
      </c>
      <c r="AT28" s="45">
        <f t="shared" si="26"/>
        <v>0.621</v>
      </c>
      <c r="AU28" s="48">
        <v>0.95083333333333331</v>
      </c>
      <c r="AV28" s="45">
        <f>((AP28*AQ28/AR28))*AM28*0.746/(3956*D28)</f>
        <v>1299.8672419515433</v>
      </c>
      <c r="AW28" s="45">
        <f>((AP28*AS28/(AT28*AU28)))*AM28*0.746/(3956*D28)</f>
        <v>1166.4785862745223</v>
      </c>
      <c r="AX28" s="45">
        <f>AV28-AW28</f>
        <v>133.38865567702101</v>
      </c>
      <c r="AY28" s="44">
        <f>((AP28*AQ28/AR28)-(AP28*AS28/(AT28*AU28)))*AM28*0.746/3956</f>
        <v>8003.3193406212495</v>
      </c>
      <c r="AZ28" s="44">
        <f t="shared" si="11"/>
        <v>133.38865567702084</v>
      </c>
      <c r="BA28" s="46">
        <f>AY28/AM28</f>
        <v>5.3355462270808331</v>
      </c>
      <c r="BB28" s="45">
        <f t="shared" si="13"/>
        <v>8.8925770451347225E-2</v>
      </c>
      <c r="BD28" s="197"/>
      <c r="BE28" s="197"/>
    </row>
    <row r="29" spans="1:57" s="43" customFormat="1" x14ac:dyDescent="0.25">
      <c r="A29" s="41" t="s">
        <v>70</v>
      </c>
      <c r="B29" s="41" t="s">
        <v>46</v>
      </c>
      <c r="C29" s="42">
        <v>1</v>
      </c>
      <c r="D29" s="42">
        <v>60</v>
      </c>
      <c r="E29" s="42">
        <v>275</v>
      </c>
      <c r="F29" s="42">
        <v>465</v>
      </c>
      <c r="G29" s="42">
        <v>1220</v>
      </c>
      <c r="H29" s="42"/>
      <c r="I29" s="43">
        <v>275</v>
      </c>
      <c r="J29" s="43">
        <v>655</v>
      </c>
      <c r="K29" s="43">
        <v>0.70199999999999996</v>
      </c>
      <c r="L29" s="43">
        <v>532</v>
      </c>
      <c r="M29" s="43">
        <v>0.68100000000000005</v>
      </c>
      <c r="N29" s="43">
        <v>1500</v>
      </c>
      <c r="AM29" s="44">
        <f>AL29+AF29+Z29+T29+N29</f>
        <v>1500</v>
      </c>
      <c r="AN29" s="44">
        <f>I29*60*N29+O29*60*T29+U29*60*Z29+AA29*60*AF29+AG29*60*AL29</f>
        <v>24750000</v>
      </c>
      <c r="AO29" s="44">
        <f>MAX(AG29,AA29,U29,O29,I29)</f>
        <v>275</v>
      </c>
      <c r="AP29" s="44">
        <f>AN29/(AM29*60)</f>
        <v>275</v>
      </c>
      <c r="AQ29" s="44">
        <f>AVERAGE(AH29,AB29,V29,P29,J29)</f>
        <v>655</v>
      </c>
      <c r="AR29" s="45">
        <f>(K29*N29+Q29*T29+W29*Z29+AC29*AF29+AI29*AL29)/AM29</f>
        <v>0.70199999999999996</v>
      </c>
      <c r="AS29" s="44">
        <f t="shared" si="26"/>
        <v>532</v>
      </c>
      <c r="AT29" s="45">
        <f t="shared" si="26"/>
        <v>0.68100000000000005</v>
      </c>
      <c r="AU29" s="48">
        <v>0.95083333333333331</v>
      </c>
      <c r="AV29" s="45">
        <f>((AP29*AQ29/AR29))*AM29*0.746/(3956*D29)</f>
        <v>1209.6491787151544</v>
      </c>
      <c r="AW29" s="45">
        <f>((AP29*AS29/(AT29*AU29)))*AM29*0.746/(3956*D29)</f>
        <v>1065.1612755307981</v>
      </c>
      <c r="AX29" s="45">
        <f>AV29-AW29</f>
        <v>144.48790318435636</v>
      </c>
      <c r="AY29" s="44">
        <f>((AP29*AQ29/AR29)-(AP29*AS29/(AT29*AU29)))*AM29*0.746/3956</f>
        <v>8669.2741910613895</v>
      </c>
      <c r="AZ29" s="44">
        <f t="shared" si="11"/>
        <v>144.4879031843565</v>
      </c>
      <c r="BA29" s="46">
        <f>AY29/AM29</f>
        <v>5.7795161273742597</v>
      </c>
      <c r="BB29" s="45">
        <f t="shared" si="13"/>
        <v>9.6325268789570997E-2</v>
      </c>
      <c r="BD29" s="197"/>
      <c r="BE29" s="197"/>
    </row>
    <row r="30" spans="1:57" s="43" customFormat="1" x14ac:dyDescent="0.25">
      <c r="A30" s="49" t="s">
        <v>78</v>
      </c>
      <c r="B30" s="49" t="s">
        <v>79</v>
      </c>
      <c r="C30" s="42">
        <v>1</v>
      </c>
      <c r="D30" s="42">
        <v>60</v>
      </c>
      <c r="E30" s="42">
        <v>500</v>
      </c>
      <c r="F30" s="42">
        <v>195</v>
      </c>
      <c r="G30" s="42">
        <v>520</v>
      </c>
      <c r="H30" s="42">
        <v>325</v>
      </c>
      <c r="I30" s="43">
        <v>414</v>
      </c>
      <c r="J30" s="43">
        <v>418</v>
      </c>
      <c r="K30" s="43">
        <v>0.78800000000000003</v>
      </c>
      <c r="L30" s="43">
        <v>258</v>
      </c>
      <c r="M30" s="43">
        <v>0.83</v>
      </c>
      <c r="N30" s="43">
        <v>600</v>
      </c>
      <c r="O30" s="43">
        <v>417</v>
      </c>
      <c r="P30" s="43">
        <v>416</v>
      </c>
      <c r="Q30" s="43">
        <v>0.79</v>
      </c>
      <c r="R30" s="43">
        <v>259</v>
      </c>
      <c r="S30" s="43">
        <v>0.83099999999999996</v>
      </c>
      <c r="T30" s="43">
        <v>600</v>
      </c>
      <c r="U30" s="43">
        <v>436</v>
      </c>
      <c r="V30" s="43">
        <v>409</v>
      </c>
      <c r="W30" s="43">
        <v>0.80200000000000005</v>
      </c>
      <c r="X30" s="43">
        <v>265</v>
      </c>
      <c r="Y30" s="43">
        <v>0.83399999999999996</v>
      </c>
      <c r="Z30" s="43">
        <v>600</v>
      </c>
      <c r="AM30" s="44">
        <f>AL30+AF30+Z30+T30+N30</f>
        <v>1800</v>
      </c>
      <c r="AN30" s="44">
        <f>I30*60*N30+O30*60*T30+U30*60*Z30+AA30*60*AF30+AG30*60*AL30</f>
        <v>45612000</v>
      </c>
      <c r="AO30" s="44">
        <f>MAX(AG30,AA30,U30,O30,I30)</f>
        <v>436</v>
      </c>
      <c r="AP30" s="44">
        <f>AN30/(AM30*60)</f>
        <v>422.33333333333331</v>
      </c>
      <c r="AQ30" s="44">
        <f>AVERAGE(AH30,AB30,V30,P30,J30)</f>
        <v>414.33333333333331</v>
      </c>
      <c r="AR30" s="45">
        <f>(K30*N30+Q30*T30+W30*Z30+AC30*AF30+AI30*AL30)/AM30</f>
        <v>0.79333333333333333</v>
      </c>
      <c r="AS30" s="44">
        <f t="shared" si="26"/>
        <v>260.66666666666669</v>
      </c>
      <c r="AT30" s="45">
        <f t="shared" si="26"/>
        <v>0.83166666666666667</v>
      </c>
      <c r="AU30" s="48">
        <v>0.93566666666666665</v>
      </c>
      <c r="AV30" s="45">
        <f>((AP30*AQ30/AR30))*AM30*0.746/(3956*D30)</f>
        <v>1247.8239903645986</v>
      </c>
      <c r="AW30" s="45">
        <f>((AP30*AS30/(AT30*AU30)))*AM30*0.746/(3956*D30)</f>
        <v>800.33941338572276</v>
      </c>
      <c r="AX30" s="45">
        <f>AV30-AW30</f>
        <v>447.48457697887579</v>
      </c>
      <c r="AY30" s="44">
        <f>((AP30*AQ30/AR30)-(AP30*AS30/(AT30*AU30)))*AM30*0.746/3956</f>
        <v>26849.074618732542</v>
      </c>
      <c r="AZ30" s="44">
        <f t="shared" si="11"/>
        <v>447.48457697887568</v>
      </c>
      <c r="BA30" s="46">
        <f>AY30/AM30</f>
        <v>14.916152565962523</v>
      </c>
      <c r="BB30" s="45">
        <f t="shared" si="13"/>
        <v>0.24860254276604205</v>
      </c>
      <c r="BD30" s="197"/>
      <c r="BE30" s="197"/>
    </row>
    <row r="31" spans="1:57" s="43" customFormat="1" x14ac:dyDescent="0.25">
      <c r="A31" s="43" t="s">
        <v>86</v>
      </c>
      <c r="B31" s="43" t="s">
        <v>87</v>
      </c>
      <c r="C31" s="42">
        <v>1</v>
      </c>
      <c r="D31" s="42">
        <v>60</v>
      </c>
      <c r="E31" s="42">
        <v>4000</v>
      </c>
      <c r="F31" s="47">
        <v>40</v>
      </c>
      <c r="G31" s="47">
        <v>75</v>
      </c>
      <c r="H31" s="42">
        <v>35</v>
      </c>
      <c r="I31" s="43">
        <v>4000</v>
      </c>
      <c r="J31" s="43">
        <v>40</v>
      </c>
      <c r="K31" s="43">
        <v>0.78700000000000003</v>
      </c>
      <c r="L31" s="43">
        <v>40</v>
      </c>
      <c r="M31" s="43">
        <v>0.78700000000000003</v>
      </c>
      <c r="N31" s="43">
        <v>300</v>
      </c>
      <c r="O31" s="43">
        <v>3000</v>
      </c>
      <c r="P31" s="43">
        <v>53</v>
      </c>
      <c r="Q31" s="43">
        <v>0.72099999999999997</v>
      </c>
      <c r="R31" s="43">
        <v>40</v>
      </c>
      <c r="S31" s="43">
        <v>0.77200000000000002</v>
      </c>
      <c r="T31" s="43">
        <v>900</v>
      </c>
      <c r="U31" s="43">
        <v>2000</v>
      </c>
      <c r="V31" s="43">
        <v>57</v>
      </c>
      <c r="W31" s="43">
        <v>0.47399999999999998</v>
      </c>
      <c r="X31" s="43">
        <v>40</v>
      </c>
      <c r="Y31" s="43">
        <v>0.57799999999999996</v>
      </c>
      <c r="Z31" s="43">
        <v>1800</v>
      </c>
      <c r="AM31" s="44">
        <f>AL31+AF31+Z31+T31+N31</f>
        <v>3000</v>
      </c>
      <c r="AN31" s="44">
        <f>I31*60*N31+O31*60*T31+U31*60*Z31+AA31*60*AF31+AG31*60*AL31</f>
        <v>450000000</v>
      </c>
      <c r="AO31" s="44">
        <f>MAX(AG31,AA31,U31,O31,I31)</f>
        <v>4000</v>
      </c>
      <c r="AP31" s="44">
        <f>AN31/(AM31*60)</f>
        <v>2500</v>
      </c>
      <c r="AQ31" s="44">
        <f>AVERAGE(AH31,AB31,V31,P31,J31)</f>
        <v>50</v>
      </c>
      <c r="AR31" s="45">
        <f>(K31*N31+Q31*T31+W31*Z31+AC31*AF31+AI31*AL31)/AM31</f>
        <v>0.57939999999999992</v>
      </c>
      <c r="AS31" s="44">
        <f t="shared" si="26"/>
        <v>40</v>
      </c>
      <c r="AT31" s="45">
        <f t="shared" si="26"/>
        <v>0.71233333333333337</v>
      </c>
      <c r="AU31" s="45">
        <v>0.94279999999999997</v>
      </c>
      <c r="AV31" s="45">
        <f>((AP31*AQ31/AR31))*AM31*0.746/(3956*D31)</f>
        <v>2034.1551334615185</v>
      </c>
      <c r="AW31" s="45">
        <f>((AP31*AS31/(AT31*AU31)))*AM31*0.746/(3956*D31)</f>
        <v>1403.9437492250947</v>
      </c>
      <c r="AX31" s="45">
        <f>AV31-AW31</f>
        <v>630.21138423642378</v>
      </c>
      <c r="AY31" s="44">
        <f>((AP31*AQ31/AR31)-(AP31*AS31/(AT31*AU31)))*AM31*0.746/3956</f>
        <v>37812.683054185429</v>
      </c>
      <c r="AZ31" s="44">
        <f t="shared" si="11"/>
        <v>630.21138423642378</v>
      </c>
      <c r="BA31" s="46">
        <f>AY31/AM31</f>
        <v>12.604227684728476</v>
      </c>
      <c r="BB31" s="45">
        <f t="shared" si="13"/>
        <v>0.21007046141214128</v>
      </c>
      <c r="BD31" s="197"/>
      <c r="BE31" s="197"/>
    </row>
    <row r="32" spans="1:57" s="43" customFormat="1" x14ac:dyDescent="0.25">
      <c r="A32" s="50" t="s">
        <v>301</v>
      </c>
      <c r="C32" s="52">
        <v>1</v>
      </c>
      <c r="D32" s="52">
        <v>60</v>
      </c>
      <c r="AO32" s="47"/>
      <c r="AP32" s="47"/>
      <c r="AQ32" s="47"/>
      <c r="AR32" s="47"/>
      <c r="AS32" s="47"/>
      <c r="AT32" s="47"/>
      <c r="AU32" s="42"/>
      <c r="AV32" s="47"/>
      <c r="AW32" s="47"/>
      <c r="AX32" s="47"/>
      <c r="AY32" s="53">
        <v>4540</v>
      </c>
      <c r="AZ32" s="44">
        <f t="shared" si="11"/>
        <v>75.666666666666671</v>
      </c>
      <c r="BA32" s="52">
        <v>5.57</v>
      </c>
      <c r="BB32" s="45">
        <f t="shared" si="13"/>
        <v>9.2833333333333337E-2</v>
      </c>
      <c r="BD32" s="197"/>
      <c r="BE32" s="197"/>
    </row>
    <row r="33" spans="1:57" s="32" customFormat="1" x14ac:dyDescent="0.25">
      <c r="A33" s="32" t="s">
        <v>63</v>
      </c>
      <c r="B33" s="32" t="s">
        <v>64</v>
      </c>
      <c r="C33" s="31">
        <v>1</v>
      </c>
      <c r="D33" s="31">
        <v>75</v>
      </c>
      <c r="E33" s="31">
        <v>5400</v>
      </c>
      <c r="F33" s="37">
        <v>37</v>
      </c>
      <c r="G33" s="37"/>
      <c r="H33" s="31"/>
      <c r="I33" s="32">
        <v>5400</v>
      </c>
      <c r="J33" s="32">
        <v>39</v>
      </c>
      <c r="K33" s="32">
        <v>0.76800000000000002</v>
      </c>
      <c r="L33" s="32">
        <v>37</v>
      </c>
      <c r="M33" s="32">
        <v>0.76800000000000002</v>
      </c>
      <c r="N33" s="32">
        <v>200</v>
      </c>
      <c r="O33" s="32">
        <v>4400</v>
      </c>
      <c r="P33" s="32">
        <v>45</v>
      </c>
      <c r="Q33" s="32">
        <v>0.748</v>
      </c>
      <c r="R33" s="32">
        <v>37</v>
      </c>
      <c r="S33" s="32">
        <v>0.76</v>
      </c>
      <c r="T33" s="32">
        <v>150</v>
      </c>
      <c r="U33" s="32">
        <v>3400</v>
      </c>
      <c r="V33" s="32">
        <v>47</v>
      </c>
      <c r="W33" s="32">
        <v>0.68600000000000005</v>
      </c>
      <c r="X33" s="32">
        <v>37</v>
      </c>
      <c r="Y33" s="32">
        <v>0.71799999999999997</v>
      </c>
      <c r="Z33" s="32">
        <v>150</v>
      </c>
      <c r="AA33" s="32">
        <v>2400</v>
      </c>
      <c r="AB33" s="32">
        <v>47</v>
      </c>
      <c r="AC33" s="32">
        <v>0.56899999999999995</v>
      </c>
      <c r="AD33" s="32">
        <v>37</v>
      </c>
      <c r="AE33" s="32">
        <v>0.61099999999999999</v>
      </c>
      <c r="AF33" s="32">
        <v>700</v>
      </c>
      <c r="AM33" s="33">
        <f t="shared" ref="AM33:AM48" si="27">AL33+AF33+Z33+T33+N33</f>
        <v>1200</v>
      </c>
      <c r="AN33" s="33">
        <f t="shared" ref="AN33:AN48" si="28">I33*60*N33+O33*60*T33+U33*60*Z33+AA33*60*AF33+AG33*60*AL33</f>
        <v>235800000</v>
      </c>
      <c r="AO33" s="33">
        <f t="shared" ref="AO33:AO48" si="29">MAX(AG33,AA33,U33,O33,I33)</f>
        <v>5400</v>
      </c>
      <c r="AP33" s="33">
        <f t="shared" ref="AP33:AP48" si="30">AN33/(AM33*60)</f>
        <v>3275</v>
      </c>
      <c r="AQ33" s="33">
        <f t="shared" ref="AQ33:AQ48" si="31">AVERAGE(AH33,AB33,V33,P33,J33)</f>
        <v>44.5</v>
      </c>
      <c r="AR33" s="34">
        <f t="shared" ref="AR33:AR48" si="32">(K33*N33+Q33*T33+W33*Z33+AC33*AF33+AI33*AL33)/AM33</f>
        <v>0.63916666666666666</v>
      </c>
      <c r="AS33" s="33">
        <f t="shared" ref="AS33:AS48" si="33">AVERAGE(AJ33,AD33,X33,R33,L33)</f>
        <v>37</v>
      </c>
      <c r="AT33" s="34">
        <f t="shared" ref="AT33:AT48" si="34">AVERAGE(AK33,AE33,Y33,S33,M33)</f>
        <v>0.71425000000000005</v>
      </c>
      <c r="AU33" s="34">
        <v>0.95</v>
      </c>
      <c r="AV33" s="34">
        <f t="shared" ref="AV33:AV48" si="35">((AP33*AQ33/AR33))*AM33*0.746/(3956*D33)</f>
        <v>687.95451399554167</v>
      </c>
      <c r="AW33" s="34">
        <f t="shared" ref="AW33:AW48" si="36">((AP33*AS33/(AT33*AU33)))*AM33*0.746/(3956*D33)</f>
        <v>538.81751082924268</v>
      </c>
      <c r="AX33" s="34">
        <f t="shared" ref="AX33:AX48" si="37">AV33-AW33</f>
        <v>149.137003166299</v>
      </c>
      <c r="AY33" s="33">
        <f t="shared" ref="AY33:AY48" si="38">((AP33*AQ33/AR33)-(AP33*AS33/(AT33*AU33)))*AM33*0.746/3956</f>
        <v>11185.275237472415</v>
      </c>
      <c r="AZ33" s="33">
        <f t="shared" si="11"/>
        <v>149.13700316629885</v>
      </c>
      <c r="BA33" s="36">
        <f t="shared" ref="BA33:BA48" si="39">AY33/AM33</f>
        <v>9.3210626978936784</v>
      </c>
      <c r="BB33" s="34">
        <f t="shared" si="13"/>
        <v>0.12428083597191571</v>
      </c>
      <c r="BD33" s="202">
        <f>SUM(AY33:AY52)/SUMPRODUCT(C33:D52)</f>
        <v>246.50302457328044</v>
      </c>
      <c r="BE33" s="202">
        <f>SUM(BA33:BA52)/SUMPRODUCT(C33:D52)</f>
        <v>0.11706655313825158</v>
      </c>
    </row>
    <row r="34" spans="1:57" s="32" customFormat="1" x14ac:dyDescent="0.25">
      <c r="A34" s="32" t="s">
        <v>65</v>
      </c>
      <c r="B34" s="32" t="s">
        <v>66</v>
      </c>
      <c r="C34" s="31">
        <v>1</v>
      </c>
      <c r="D34" s="31">
        <v>75</v>
      </c>
      <c r="E34" s="31">
        <v>1750</v>
      </c>
      <c r="F34" s="37">
        <v>144</v>
      </c>
      <c r="G34" s="37">
        <v>222</v>
      </c>
      <c r="H34" s="31"/>
      <c r="I34" s="32">
        <v>1534</v>
      </c>
      <c r="J34" s="32">
        <v>156</v>
      </c>
      <c r="K34" s="32">
        <v>0.80200000000000005</v>
      </c>
      <c r="L34" s="32">
        <v>144</v>
      </c>
      <c r="M34" s="32">
        <v>0.80700000000000005</v>
      </c>
      <c r="N34" s="32">
        <v>1250</v>
      </c>
      <c r="AM34" s="33">
        <f t="shared" si="27"/>
        <v>1250</v>
      </c>
      <c r="AN34" s="33">
        <f t="shared" si="28"/>
        <v>115050000</v>
      </c>
      <c r="AO34" s="33">
        <f t="shared" si="29"/>
        <v>1534</v>
      </c>
      <c r="AP34" s="33">
        <f t="shared" si="30"/>
        <v>1534</v>
      </c>
      <c r="AQ34" s="33">
        <f t="shared" si="31"/>
        <v>156</v>
      </c>
      <c r="AR34" s="34">
        <f t="shared" si="32"/>
        <v>0.80200000000000005</v>
      </c>
      <c r="AS34" s="33">
        <f t="shared" si="33"/>
        <v>144</v>
      </c>
      <c r="AT34" s="34">
        <f t="shared" si="34"/>
        <v>0.80700000000000005</v>
      </c>
      <c r="AU34" s="34">
        <v>0.95899999999999996</v>
      </c>
      <c r="AV34" s="34">
        <f t="shared" si="35"/>
        <v>937.7927779136586</v>
      </c>
      <c r="AW34" s="34">
        <f t="shared" si="36"/>
        <v>897.07138564681145</v>
      </c>
      <c r="AX34" s="34">
        <f t="shared" si="37"/>
        <v>40.721392266847147</v>
      </c>
      <c r="AY34" s="33">
        <f t="shared" si="38"/>
        <v>3054.1044200135343</v>
      </c>
      <c r="AZ34" s="33">
        <f t="shared" si="11"/>
        <v>40.721392266847126</v>
      </c>
      <c r="BA34" s="36">
        <f t="shared" si="39"/>
        <v>2.4432835360108274</v>
      </c>
      <c r="BB34" s="34">
        <f t="shared" si="13"/>
        <v>3.25771138134777E-2</v>
      </c>
      <c r="BD34" s="202"/>
      <c r="BE34" s="202"/>
    </row>
    <row r="35" spans="1:57" s="32" customFormat="1" x14ac:dyDescent="0.25">
      <c r="A35" s="32" t="s">
        <v>67</v>
      </c>
      <c r="B35" s="32" t="s">
        <v>64</v>
      </c>
      <c r="C35" s="31">
        <v>1</v>
      </c>
      <c r="D35" s="31">
        <v>75</v>
      </c>
      <c r="E35" s="31">
        <v>1450</v>
      </c>
      <c r="F35" s="37">
        <v>167</v>
      </c>
      <c r="G35" s="37">
        <v>330</v>
      </c>
      <c r="H35" s="31"/>
      <c r="I35" s="32">
        <v>1300</v>
      </c>
      <c r="J35" s="32">
        <v>187</v>
      </c>
      <c r="K35" s="32">
        <v>0.80700000000000005</v>
      </c>
      <c r="L35" s="32">
        <v>167</v>
      </c>
      <c r="M35" s="32">
        <v>0.81499999999999995</v>
      </c>
      <c r="N35" s="32">
        <v>500</v>
      </c>
      <c r="O35" s="32">
        <v>1400</v>
      </c>
      <c r="P35" s="32">
        <v>177</v>
      </c>
      <c r="Q35" s="32">
        <v>0.81799999999999995</v>
      </c>
      <c r="R35" s="32">
        <v>167</v>
      </c>
      <c r="S35" s="32">
        <v>0.81899999999999995</v>
      </c>
      <c r="T35" s="32">
        <v>1000</v>
      </c>
      <c r="AM35" s="33">
        <f t="shared" si="27"/>
        <v>1500</v>
      </c>
      <c r="AN35" s="33">
        <f t="shared" si="28"/>
        <v>123000000</v>
      </c>
      <c r="AO35" s="33">
        <f t="shared" si="29"/>
        <v>1400</v>
      </c>
      <c r="AP35" s="33">
        <f t="shared" si="30"/>
        <v>1366.6666666666667</v>
      </c>
      <c r="AQ35" s="33">
        <f t="shared" si="31"/>
        <v>182</v>
      </c>
      <c r="AR35" s="34">
        <f t="shared" si="32"/>
        <v>0.81433333333333335</v>
      </c>
      <c r="AS35" s="33">
        <f t="shared" si="33"/>
        <v>167</v>
      </c>
      <c r="AT35" s="34">
        <f t="shared" si="34"/>
        <v>0.81699999999999995</v>
      </c>
      <c r="AU35" s="35">
        <v>0.95899999999999996</v>
      </c>
      <c r="AV35" s="34">
        <f t="shared" si="35"/>
        <v>1151.9783521313243</v>
      </c>
      <c r="AW35" s="34">
        <f t="shared" si="36"/>
        <v>1098.6287241364116</v>
      </c>
      <c r="AX35" s="34">
        <f t="shared" si="37"/>
        <v>53.34962799491268</v>
      </c>
      <c r="AY35" s="33">
        <f t="shared" si="38"/>
        <v>4001.2220996184487</v>
      </c>
      <c r="AZ35" s="33">
        <f t="shared" ref="AZ35:AZ66" si="40">AY35/D35</f>
        <v>53.349627994912652</v>
      </c>
      <c r="BA35" s="36">
        <f t="shared" si="39"/>
        <v>2.6674813997456326</v>
      </c>
      <c r="BB35" s="34">
        <f t="shared" ref="BB35:BB66" si="41">BA35/D35</f>
        <v>3.5566418663275104E-2</v>
      </c>
      <c r="BD35" s="202"/>
      <c r="BE35" s="202"/>
    </row>
    <row r="36" spans="1:57" s="32" customFormat="1" x14ac:dyDescent="0.25">
      <c r="A36" s="32" t="s">
        <v>68</v>
      </c>
      <c r="B36" s="32" t="s">
        <v>46</v>
      </c>
      <c r="C36" s="31">
        <v>1</v>
      </c>
      <c r="D36" s="31">
        <v>75</v>
      </c>
      <c r="E36" s="31">
        <v>500</v>
      </c>
      <c r="F36" s="37">
        <v>421</v>
      </c>
      <c r="G36" s="37">
        <v>477</v>
      </c>
      <c r="H36" s="31"/>
      <c r="I36" s="32">
        <v>400</v>
      </c>
      <c r="J36" s="32">
        <f>(471+451+422)/3</f>
        <v>448</v>
      </c>
      <c r="K36" s="32">
        <f>(0.74+0.822+0.847)/3</f>
        <v>0.80299999999999994</v>
      </c>
      <c r="L36" s="32">
        <v>372</v>
      </c>
      <c r="M36" s="32">
        <f>(0.777+0.837+0.847)/3</f>
        <v>0.82033333333333325</v>
      </c>
      <c r="N36" s="32">
        <f>250*3</f>
        <v>750</v>
      </c>
      <c r="O36" s="32">
        <v>400</v>
      </c>
      <c r="P36" s="32">
        <f>(471+451+422)/3</f>
        <v>448</v>
      </c>
      <c r="Q36" s="32">
        <f>(0.74+0.822+0.847)/3</f>
        <v>0.80299999999999994</v>
      </c>
      <c r="R36" s="32">
        <v>421</v>
      </c>
      <c r="S36" s="32">
        <f>(0.758+0.828+0.847)/3</f>
        <v>0.81099999999999994</v>
      </c>
      <c r="T36" s="32">
        <f>250*3</f>
        <v>750</v>
      </c>
      <c r="AM36" s="33">
        <f t="shared" si="27"/>
        <v>1500</v>
      </c>
      <c r="AN36" s="33">
        <f t="shared" si="28"/>
        <v>36000000</v>
      </c>
      <c r="AO36" s="33">
        <f t="shared" si="29"/>
        <v>400</v>
      </c>
      <c r="AP36" s="33">
        <f t="shared" si="30"/>
        <v>400</v>
      </c>
      <c r="AQ36" s="33">
        <f t="shared" si="31"/>
        <v>448</v>
      </c>
      <c r="AR36" s="34">
        <f t="shared" si="32"/>
        <v>0.80300000000000005</v>
      </c>
      <c r="AS36" s="33">
        <f t="shared" si="33"/>
        <v>396.5</v>
      </c>
      <c r="AT36" s="34">
        <f t="shared" si="34"/>
        <v>0.81566666666666654</v>
      </c>
      <c r="AU36" s="35">
        <v>0.95083333333333331</v>
      </c>
      <c r="AV36" s="34">
        <f t="shared" si="35"/>
        <v>841.65672962991403</v>
      </c>
      <c r="AW36" s="34">
        <f t="shared" si="36"/>
        <v>771.25609684627102</v>
      </c>
      <c r="AX36" s="34">
        <f t="shared" si="37"/>
        <v>70.400632783643005</v>
      </c>
      <c r="AY36" s="33">
        <f t="shared" si="38"/>
        <v>5280.0474587732206</v>
      </c>
      <c r="AZ36" s="33">
        <f t="shared" si="40"/>
        <v>70.400632783642948</v>
      </c>
      <c r="BA36" s="36">
        <f t="shared" si="39"/>
        <v>3.5200316391821471</v>
      </c>
      <c r="BB36" s="34">
        <f t="shared" si="41"/>
        <v>4.6933755189095296E-2</v>
      </c>
      <c r="BD36" s="202"/>
      <c r="BE36" s="202"/>
    </row>
    <row r="37" spans="1:57" s="32" customFormat="1" x14ac:dyDescent="0.25">
      <c r="A37" s="32" t="s">
        <v>71</v>
      </c>
      <c r="B37" s="32" t="s">
        <v>49</v>
      </c>
      <c r="C37" s="31">
        <v>1</v>
      </c>
      <c r="D37" s="31">
        <v>75</v>
      </c>
      <c r="E37" s="31">
        <v>1400</v>
      </c>
      <c r="F37" s="31">
        <v>175</v>
      </c>
      <c r="G37" s="31">
        <v>275</v>
      </c>
      <c r="H37" s="31">
        <v>100</v>
      </c>
      <c r="I37" s="32">
        <v>1100</v>
      </c>
      <c r="J37" s="31">
        <v>193</v>
      </c>
      <c r="K37" s="31">
        <v>0.78</v>
      </c>
      <c r="L37" s="31">
        <v>175</v>
      </c>
      <c r="M37" s="31">
        <v>0.79800000000000004</v>
      </c>
      <c r="N37" s="32">
        <v>1512</v>
      </c>
      <c r="AM37" s="33">
        <f t="shared" si="27"/>
        <v>1512</v>
      </c>
      <c r="AN37" s="33">
        <f t="shared" si="28"/>
        <v>99792000</v>
      </c>
      <c r="AO37" s="33">
        <f t="shared" si="29"/>
        <v>1100</v>
      </c>
      <c r="AP37" s="33">
        <f t="shared" si="30"/>
        <v>1100</v>
      </c>
      <c r="AQ37" s="33">
        <f t="shared" si="31"/>
        <v>193</v>
      </c>
      <c r="AR37" s="34">
        <f t="shared" si="32"/>
        <v>0.78000000000000014</v>
      </c>
      <c r="AS37" s="33">
        <f t="shared" si="33"/>
        <v>175</v>
      </c>
      <c r="AT37" s="34">
        <f t="shared" si="34"/>
        <v>0.79800000000000004</v>
      </c>
      <c r="AU37" s="34">
        <v>0.95699999999999996</v>
      </c>
      <c r="AV37" s="34">
        <f t="shared" si="35"/>
        <v>1034.7333903710039</v>
      </c>
      <c r="AW37" s="34">
        <f t="shared" si="36"/>
        <v>958.27239379086473</v>
      </c>
      <c r="AX37" s="34">
        <f t="shared" si="37"/>
        <v>76.460996580139181</v>
      </c>
      <c r="AY37" s="33">
        <f t="shared" si="38"/>
        <v>5734.5747435104422</v>
      </c>
      <c r="AZ37" s="33">
        <f t="shared" si="40"/>
        <v>76.460996580139224</v>
      </c>
      <c r="BA37" s="36">
        <f t="shared" si="39"/>
        <v>3.7927081636973825</v>
      </c>
      <c r="BB37" s="34">
        <f t="shared" si="41"/>
        <v>5.056944218263177E-2</v>
      </c>
      <c r="BD37" s="202"/>
      <c r="BE37" s="202"/>
    </row>
    <row r="38" spans="1:57" s="32" customFormat="1" x14ac:dyDescent="0.25">
      <c r="A38" s="30" t="s">
        <v>72</v>
      </c>
      <c r="B38" s="30" t="s">
        <v>73</v>
      </c>
      <c r="C38" s="31">
        <v>1</v>
      </c>
      <c r="D38" s="31">
        <v>75</v>
      </c>
      <c r="E38" s="31">
        <v>1100</v>
      </c>
      <c r="F38" s="31">
        <v>200</v>
      </c>
      <c r="G38" s="31">
        <v>307</v>
      </c>
      <c r="H38" s="31">
        <v>107</v>
      </c>
      <c r="I38" s="32">
        <v>850</v>
      </c>
      <c r="J38" s="31">
        <v>224</v>
      </c>
      <c r="K38" s="31">
        <v>0.77300000000000002</v>
      </c>
      <c r="L38" s="31">
        <v>200</v>
      </c>
      <c r="M38" s="31">
        <v>0.78800000000000003</v>
      </c>
      <c r="N38" s="32">
        <v>1200</v>
      </c>
      <c r="O38" s="32">
        <v>700</v>
      </c>
      <c r="P38" s="31">
        <v>233</v>
      </c>
      <c r="Q38" s="31">
        <v>0.69899999999999995</v>
      </c>
      <c r="R38" s="31">
        <v>200</v>
      </c>
      <c r="S38" s="31">
        <v>0.72799999999999998</v>
      </c>
      <c r="T38" s="32">
        <v>320</v>
      </c>
      <c r="U38" s="32">
        <v>500</v>
      </c>
      <c r="V38" s="31">
        <v>245</v>
      </c>
      <c r="W38" s="31">
        <v>0.55500000000000005</v>
      </c>
      <c r="X38" s="31">
        <v>200</v>
      </c>
      <c r="Y38" s="31">
        <v>0.59499999999999997</v>
      </c>
      <c r="Z38" s="32">
        <v>80</v>
      </c>
      <c r="AM38" s="33">
        <f t="shared" si="27"/>
        <v>1600</v>
      </c>
      <c r="AN38" s="33">
        <f t="shared" si="28"/>
        <v>77040000</v>
      </c>
      <c r="AO38" s="33">
        <f t="shared" si="29"/>
        <v>850</v>
      </c>
      <c r="AP38" s="33">
        <f t="shared" si="30"/>
        <v>802.5</v>
      </c>
      <c r="AQ38" s="33">
        <f t="shared" si="31"/>
        <v>234</v>
      </c>
      <c r="AR38" s="34">
        <f t="shared" si="32"/>
        <v>0.74730000000000008</v>
      </c>
      <c r="AS38" s="33">
        <f t="shared" si="33"/>
        <v>200</v>
      </c>
      <c r="AT38" s="34">
        <f t="shared" si="34"/>
        <v>0.70366666666666655</v>
      </c>
      <c r="AU38" s="35">
        <v>0.95505000000000007</v>
      </c>
      <c r="AV38" s="34">
        <f t="shared" si="35"/>
        <v>1010.8976339087651</v>
      </c>
      <c r="AW38" s="34">
        <f t="shared" si="36"/>
        <v>960.77836073131186</v>
      </c>
      <c r="AX38" s="34">
        <f t="shared" si="37"/>
        <v>50.119273177453238</v>
      </c>
      <c r="AY38" s="33">
        <f t="shared" si="38"/>
        <v>3758.9454883089957</v>
      </c>
      <c r="AZ38" s="33">
        <f t="shared" si="40"/>
        <v>50.119273177453273</v>
      </c>
      <c r="BA38" s="36">
        <f t="shared" si="39"/>
        <v>2.3493409301931223</v>
      </c>
      <c r="BB38" s="34">
        <f t="shared" si="41"/>
        <v>3.1324545735908295E-2</v>
      </c>
      <c r="BD38" s="202"/>
      <c r="BE38" s="202"/>
    </row>
    <row r="39" spans="1:57" s="32" customFormat="1" x14ac:dyDescent="0.25">
      <c r="A39" s="30" t="s">
        <v>72</v>
      </c>
      <c r="B39" s="30" t="s">
        <v>73</v>
      </c>
      <c r="C39" s="31">
        <v>1</v>
      </c>
      <c r="D39" s="31">
        <v>75</v>
      </c>
      <c r="E39" s="31">
        <v>1000</v>
      </c>
      <c r="F39" s="31">
        <v>250</v>
      </c>
      <c r="G39" s="31">
        <v>320</v>
      </c>
      <c r="H39" s="31">
        <v>70</v>
      </c>
      <c r="I39" s="32">
        <v>850</v>
      </c>
      <c r="J39" s="31">
        <v>272</v>
      </c>
      <c r="K39" s="31">
        <v>0.86099999999999999</v>
      </c>
      <c r="L39" s="31">
        <v>250</v>
      </c>
      <c r="M39" s="31">
        <v>0.86399999999999999</v>
      </c>
      <c r="N39" s="32">
        <v>1200</v>
      </c>
      <c r="O39" s="32">
        <v>700</v>
      </c>
      <c r="P39" s="31">
        <v>286</v>
      </c>
      <c r="Q39" s="31">
        <v>0.82</v>
      </c>
      <c r="R39" s="31">
        <v>250</v>
      </c>
      <c r="S39" s="31">
        <v>0.83699999999999997</v>
      </c>
      <c r="T39" s="32">
        <v>320</v>
      </c>
      <c r="U39" s="32">
        <v>500</v>
      </c>
      <c r="V39" s="31">
        <v>297</v>
      </c>
      <c r="W39" s="31">
        <v>0.69199999999999995</v>
      </c>
      <c r="X39" s="31">
        <v>250</v>
      </c>
      <c r="Y39" s="31">
        <v>0.72699999999999998</v>
      </c>
      <c r="Z39" s="32">
        <v>80</v>
      </c>
      <c r="AM39" s="33">
        <f t="shared" si="27"/>
        <v>1600</v>
      </c>
      <c r="AN39" s="33">
        <f t="shared" si="28"/>
        <v>77040000</v>
      </c>
      <c r="AO39" s="33">
        <f t="shared" si="29"/>
        <v>850</v>
      </c>
      <c r="AP39" s="33">
        <f t="shared" si="30"/>
        <v>802.5</v>
      </c>
      <c r="AQ39" s="33">
        <f t="shared" si="31"/>
        <v>285</v>
      </c>
      <c r="AR39" s="34">
        <f t="shared" si="32"/>
        <v>0.84434999999999993</v>
      </c>
      <c r="AS39" s="33">
        <f t="shared" si="33"/>
        <v>250</v>
      </c>
      <c r="AT39" s="34">
        <f t="shared" si="34"/>
        <v>0.80933333333333335</v>
      </c>
      <c r="AU39" s="35">
        <v>0.95684999999999987</v>
      </c>
      <c r="AV39" s="34">
        <f t="shared" si="35"/>
        <v>1089.7042812921172</v>
      </c>
      <c r="AW39" s="34">
        <f t="shared" si="36"/>
        <v>1042.2094930874437</v>
      </c>
      <c r="AX39" s="34">
        <f t="shared" si="37"/>
        <v>47.494788204673569</v>
      </c>
      <c r="AY39" s="33">
        <f t="shared" si="38"/>
        <v>3562.1091153505236</v>
      </c>
      <c r="AZ39" s="33">
        <f t="shared" si="40"/>
        <v>47.494788204673647</v>
      </c>
      <c r="BA39" s="36">
        <f t="shared" si="39"/>
        <v>2.2263181970940771</v>
      </c>
      <c r="BB39" s="34">
        <f t="shared" si="41"/>
        <v>2.9684242627921027E-2</v>
      </c>
      <c r="BD39" s="202"/>
      <c r="BE39" s="202"/>
    </row>
    <row r="40" spans="1:57" s="32" customFormat="1" x14ac:dyDescent="0.25">
      <c r="A40" s="32" t="s">
        <v>74</v>
      </c>
      <c r="B40" s="32" t="s">
        <v>75</v>
      </c>
      <c r="C40" s="31">
        <v>1</v>
      </c>
      <c r="D40" s="31">
        <v>75</v>
      </c>
      <c r="E40" s="31">
        <v>2450</v>
      </c>
      <c r="F40" s="31">
        <v>100</v>
      </c>
      <c r="G40" s="31">
        <v>137</v>
      </c>
      <c r="H40" s="31">
        <v>37</v>
      </c>
      <c r="I40" s="32">
        <v>210</v>
      </c>
      <c r="J40" s="31">
        <v>113</v>
      </c>
      <c r="K40" s="31">
        <v>0.85699999999999998</v>
      </c>
      <c r="L40" s="31">
        <v>100</v>
      </c>
      <c r="M40" s="31">
        <v>0.86599999999999999</v>
      </c>
      <c r="N40" s="32">
        <v>850</v>
      </c>
      <c r="O40" s="32">
        <v>2300</v>
      </c>
      <c r="P40" s="31">
        <v>106</v>
      </c>
      <c r="Q40" s="31">
        <v>0.873</v>
      </c>
      <c r="R40" s="31">
        <v>100</v>
      </c>
      <c r="S40" s="31">
        <v>0.875</v>
      </c>
      <c r="T40" s="32">
        <v>850</v>
      </c>
      <c r="AM40" s="33">
        <f t="shared" si="27"/>
        <v>1700</v>
      </c>
      <c r="AN40" s="33">
        <f t="shared" si="28"/>
        <v>128010000</v>
      </c>
      <c r="AO40" s="33">
        <f t="shared" si="29"/>
        <v>2300</v>
      </c>
      <c r="AP40" s="33">
        <f t="shared" si="30"/>
        <v>1255</v>
      </c>
      <c r="AQ40" s="33">
        <f t="shared" si="31"/>
        <v>109.5</v>
      </c>
      <c r="AR40" s="34">
        <f t="shared" si="32"/>
        <v>0.86499999999999999</v>
      </c>
      <c r="AS40" s="33">
        <f t="shared" si="33"/>
        <v>100</v>
      </c>
      <c r="AT40" s="34">
        <f t="shared" si="34"/>
        <v>0.87050000000000005</v>
      </c>
      <c r="AU40" s="35">
        <v>0.96850000000000003</v>
      </c>
      <c r="AV40" s="34">
        <f t="shared" si="35"/>
        <v>679.0659275148015</v>
      </c>
      <c r="AW40" s="34">
        <f t="shared" si="36"/>
        <v>636.27597899022476</v>
      </c>
      <c r="AX40" s="34">
        <f t="shared" si="37"/>
        <v>42.789948524576744</v>
      </c>
      <c r="AY40" s="33">
        <f t="shared" si="38"/>
        <v>3209.2461393432682</v>
      </c>
      <c r="AZ40" s="33">
        <f t="shared" si="40"/>
        <v>42.789948524576907</v>
      </c>
      <c r="BA40" s="36">
        <f t="shared" si="39"/>
        <v>1.8877918466725108</v>
      </c>
      <c r="BB40" s="34">
        <f t="shared" si="41"/>
        <v>2.5170557955633478E-2</v>
      </c>
      <c r="BD40" s="202"/>
      <c r="BE40" s="202"/>
    </row>
    <row r="41" spans="1:57" s="32" customFormat="1" x14ac:dyDescent="0.25">
      <c r="A41" s="32" t="s">
        <v>76</v>
      </c>
      <c r="B41" s="32" t="s">
        <v>77</v>
      </c>
      <c r="C41" s="31">
        <v>1</v>
      </c>
      <c r="D41" s="31">
        <v>75</v>
      </c>
      <c r="E41" s="31">
        <v>1200</v>
      </c>
      <c r="F41" s="37">
        <v>190</v>
      </c>
      <c r="G41" s="37">
        <v>310</v>
      </c>
      <c r="H41" s="31"/>
      <c r="I41" s="32">
        <v>1200</v>
      </c>
      <c r="J41" s="32">
        <v>189</v>
      </c>
      <c r="K41" s="32">
        <v>0.81499999999999995</v>
      </c>
      <c r="L41" s="32">
        <v>190</v>
      </c>
      <c r="M41" s="32">
        <v>0.81499999999999995</v>
      </c>
      <c r="N41" s="32">
        <v>408</v>
      </c>
      <c r="O41" s="32">
        <v>361</v>
      </c>
      <c r="P41" s="32">
        <v>248</v>
      </c>
      <c r="Q41" s="32">
        <v>0.39500000000000002</v>
      </c>
      <c r="R41" s="32">
        <v>190</v>
      </c>
      <c r="S41" s="32">
        <v>0.443</v>
      </c>
      <c r="T41" s="32">
        <v>204</v>
      </c>
      <c r="U41" s="32">
        <v>896</v>
      </c>
      <c r="V41" s="32">
        <v>222</v>
      </c>
      <c r="W41" s="32">
        <v>0.79300000000000004</v>
      </c>
      <c r="X41" s="32">
        <v>190</v>
      </c>
      <c r="Y41" s="32">
        <v>0.81299999999999994</v>
      </c>
      <c r="Z41" s="32">
        <v>612</v>
      </c>
      <c r="AA41" s="32">
        <v>349</v>
      </c>
      <c r="AB41" s="32">
        <v>249</v>
      </c>
      <c r="AC41" s="32">
        <v>0.38200000000000001</v>
      </c>
      <c r="AD41" s="32">
        <v>190</v>
      </c>
      <c r="AE41" s="32">
        <v>0.43</v>
      </c>
      <c r="AF41" s="32">
        <v>299</v>
      </c>
      <c r="AG41" s="32">
        <v>841</v>
      </c>
      <c r="AH41" s="32">
        <v>225</v>
      </c>
      <c r="AI41" s="32">
        <v>0.77</v>
      </c>
      <c r="AJ41" s="32">
        <v>190</v>
      </c>
      <c r="AK41" s="32">
        <v>0.79800000000000004</v>
      </c>
      <c r="AL41" s="32">
        <v>204</v>
      </c>
      <c r="AM41" s="33">
        <f t="shared" si="27"/>
        <v>1727</v>
      </c>
      <c r="AN41" s="33">
        <f t="shared" si="28"/>
        <v>83250660</v>
      </c>
      <c r="AO41" s="33">
        <f t="shared" si="29"/>
        <v>1200</v>
      </c>
      <c r="AP41" s="33">
        <f t="shared" si="30"/>
        <v>803.4226983207875</v>
      </c>
      <c r="AQ41" s="33">
        <f t="shared" si="31"/>
        <v>226.6</v>
      </c>
      <c r="AR41" s="34">
        <f t="shared" si="32"/>
        <v>0.6773097857556456</v>
      </c>
      <c r="AS41" s="33">
        <f t="shared" si="33"/>
        <v>190</v>
      </c>
      <c r="AT41" s="34">
        <f t="shared" si="34"/>
        <v>0.65979999999999994</v>
      </c>
      <c r="AU41" s="35">
        <v>0.96799999999999997</v>
      </c>
      <c r="AV41" s="34">
        <f t="shared" si="35"/>
        <v>1167.1596663594403</v>
      </c>
      <c r="AW41" s="34">
        <f t="shared" si="36"/>
        <v>1037.823853652578</v>
      </c>
      <c r="AX41" s="34">
        <f t="shared" si="37"/>
        <v>129.33581270686227</v>
      </c>
      <c r="AY41" s="33">
        <f t="shared" si="38"/>
        <v>9700.1859530146721</v>
      </c>
      <c r="AZ41" s="33">
        <f t="shared" si="40"/>
        <v>129.3358127068623</v>
      </c>
      <c r="BA41" s="36">
        <f t="shared" si="39"/>
        <v>5.6167839913229134</v>
      </c>
      <c r="BB41" s="34">
        <f t="shared" si="41"/>
        <v>7.4890453217638847E-2</v>
      </c>
      <c r="BD41" s="202"/>
      <c r="BE41" s="202"/>
    </row>
    <row r="42" spans="1:57" s="32" customFormat="1" x14ac:dyDescent="0.25">
      <c r="A42" s="32" t="s">
        <v>80</v>
      </c>
      <c r="B42" s="32" t="s">
        <v>81</v>
      </c>
      <c r="C42" s="31">
        <v>1</v>
      </c>
      <c r="D42" s="31">
        <v>75</v>
      </c>
      <c r="E42" s="31">
        <v>1990</v>
      </c>
      <c r="F42" s="37">
        <v>97</v>
      </c>
      <c r="G42" s="37">
        <v>158</v>
      </c>
      <c r="H42" s="31"/>
      <c r="I42" s="32">
        <v>1990</v>
      </c>
      <c r="J42" s="32">
        <v>119</v>
      </c>
      <c r="K42" s="32">
        <v>0.78600000000000003</v>
      </c>
      <c r="L42" s="32">
        <v>97</v>
      </c>
      <c r="M42" s="32">
        <v>0.79500000000000004</v>
      </c>
      <c r="N42" s="32">
        <v>700</v>
      </c>
      <c r="O42" s="32">
        <v>1840</v>
      </c>
      <c r="P42" s="32">
        <v>124</v>
      </c>
      <c r="Q42" s="32">
        <v>0.77100000000000002</v>
      </c>
      <c r="R42" s="32">
        <v>97</v>
      </c>
      <c r="S42" s="32">
        <v>0.78800000000000003</v>
      </c>
      <c r="T42" s="32">
        <v>700</v>
      </c>
      <c r="U42" s="32">
        <v>1254</v>
      </c>
      <c r="V42" s="32">
        <v>139</v>
      </c>
      <c r="W42" s="32">
        <v>0.65500000000000003</v>
      </c>
      <c r="X42" s="32">
        <v>97</v>
      </c>
      <c r="Y42" s="32">
        <v>0.71</v>
      </c>
      <c r="Z42" s="32">
        <v>700</v>
      </c>
      <c r="AM42" s="33">
        <f t="shared" si="27"/>
        <v>2100</v>
      </c>
      <c r="AN42" s="33">
        <f t="shared" si="28"/>
        <v>213528000</v>
      </c>
      <c r="AO42" s="33">
        <f t="shared" si="29"/>
        <v>1990</v>
      </c>
      <c r="AP42" s="33">
        <f t="shared" si="30"/>
        <v>1694.6666666666667</v>
      </c>
      <c r="AQ42" s="33">
        <f t="shared" si="31"/>
        <v>127.33333333333333</v>
      </c>
      <c r="AR42" s="34">
        <f t="shared" si="32"/>
        <v>0.7373333333333334</v>
      </c>
      <c r="AS42" s="33">
        <f t="shared" si="33"/>
        <v>97</v>
      </c>
      <c r="AT42" s="34">
        <f t="shared" si="34"/>
        <v>0.76433333333333342</v>
      </c>
      <c r="AU42" s="35">
        <v>0.956666666666667</v>
      </c>
      <c r="AV42" s="34">
        <f t="shared" si="35"/>
        <v>1545.2654814776893</v>
      </c>
      <c r="AW42" s="34">
        <f t="shared" si="36"/>
        <v>1187.0066589439784</v>
      </c>
      <c r="AX42" s="34">
        <f t="shared" si="37"/>
        <v>358.25882253371083</v>
      </c>
      <c r="AY42" s="33">
        <f t="shared" si="38"/>
        <v>26869.41169002829</v>
      </c>
      <c r="AZ42" s="33">
        <f t="shared" si="40"/>
        <v>358.25882253371054</v>
      </c>
      <c r="BA42" s="36">
        <f t="shared" si="39"/>
        <v>12.794957947632518</v>
      </c>
      <c r="BB42" s="34">
        <f t="shared" si="41"/>
        <v>0.17059943930176691</v>
      </c>
      <c r="BD42" s="202"/>
      <c r="BE42" s="202"/>
    </row>
    <row r="43" spans="1:57" s="32" customFormat="1" x14ac:dyDescent="0.25">
      <c r="A43" s="32" t="s">
        <v>82</v>
      </c>
      <c r="B43" s="32" t="s">
        <v>83</v>
      </c>
      <c r="C43" s="31">
        <v>1</v>
      </c>
      <c r="D43" s="31">
        <v>75</v>
      </c>
      <c r="E43" s="31">
        <v>1450</v>
      </c>
      <c r="F43" s="31">
        <v>104</v>
      </c>
      <c r="G43" s="31">
        <v>184</v>
      </c>
      <c r="H43" s="31">
        <v>80</v>
      </c>
      <c r="I43" s="32">
        <v>1451</v>
      </c>
      <c r="J43" s="31">
        <v>136</v>
      </c>
      <c r="K43" s="31">
        <v>0.76300000000000001</v>
      </c>
      <c r="L43" s="31">
        <v>104</v>
      </c>
      <c r="M43" s="31">
        <v>0.80100000000000005</v>
      </c>
      <c r="N43" s="32">
        <v>500</v>
      </c>
      <c r="O43" s="32">
        <v>1654</v>
      </c>
      <c r="P43" s="31">
        <v>130</v>
      </c>
      <c r="Q43" s="31">
        <v>0.79400000000000004</v>
      </c>
      <c r="R43" s="31">
        <v>104</v>
      </c>
      <c r="S43" s="31">
        <v>0.81899999999999995</v>
      </c>
      <c r="T43" s="32">
        <v>500</v>
      </c>
      <c r="U43" s="32">
        <v>1794</v>
      </c>
      <c r="V43" s="31">
        <v>126</v>
      </c>
      <c r="W43" s="31">
        <v>0.80900000000000005</v>
      </c>
      <c r="X43" s="31">
        <v>104</v>
      </c>
      <c r="Y43" s="31">
        <v>0.82699999999999996</v>
      </c>
      <c r="Z43" s="32">
        <v>500</v>
      </c>
      <c r="AA43" s="32">
        <f>AVERAGE(1651,1854,1794)</f>
        <v>1766.3333333333333</v>
      </c>
      <c r="AB43" s="32">
        <f>AVERAGE(130,124,126)</f>
        <v>126.66666666666667</v>
      </c>
      <c r="AC43" s="32">
        <f>AVERAGE(0.794,0.815,0.809)</f>
        <v>0.80600000000000005</v>
      </c>
      <c r="AD43" s="32">
        <v>104</v>
      </c>
      <c r="AE43" s="32">
        <f>AVERAGE(0.819,0.829,0.827)</f>
        <v>0.82499999999999984</v>
      </c>
      <c r="AF43" s="32">
        <f>75+75+75</f>
        <v>225</v>
      </c>
      <c r="AG43" s="32">
        <v>975</v>
      </c>
      <c r="AH43" s="32">
        <v>150</v>
      </c>
      <c r="AI43" s="32">
        <v>0.63400000000000001</v>
      </c>
      <c r="AJ43" s="32">
        <v>150</v>
      </c>
      <c r="AK43" s="32">
        <v>0.63400000000000001</v>
      </c>
      <c r="AL43" s="32">
        <v>400</v>
      </c>
      <c r="AM43" s="33">
        <f t="shared" si="27"/>
        <v>2125</v>
      </c>
      <c r="AN43" s="33">
        <f t="shared" si="28"/>
        <v>194215500</v>
      </c>
      <c r="AO43" s="33">
        <f t="shared" si="29"/>
        <v>1794</v>
      </c>
      <c r="AP43" s="33">
        <f t="shared" si="30"/>
        <v>1523.2588235294118</v>
      </c>
      <c r="AQ43" s="33">
        <f t="shared" si="31"/>
        <v>133.73333333333335</v>
      </c>
      <c r="AR43" s="34">
        <f t="shared" si="32"/>
        <v>0.76138823529411759</v>
      </c>
      <c r="AS43" s="33">
        <f t="shared" si="33"/>
        <v>113.2</v>
      </c>
      <c r="AT43" s="34">
        <f t="shared" si="34"/>
        <v>0.78119999999999989</v>
      </c>
      <c r="AU43" s="35">
        <v>0.95520000000000005</v>
      </c>
      <c r="AV43" s="34">
        <f t="shared" si="35"/>
        <v>1429.5107501729551</v>
      </c>
      <c r="AW43" s="34">
        <f t="shared" si="36"/>
        <v>1234.6498172556674</v>
      </c>
      <c r="AX43" s="34">
        <f t="shared" si="37"/>
        <v>194.86093291728776</v>
      </c>
      <c r="AY43" s="33">
        <f t="shared" si="38"/>
        <v>14614.56996879659</v>
      </c>
      <c r="AZ43" s="33">
        <f t="shared" si="40"/>
        <v>194.86093291728787</v>
      </c>
      <c r="BA43" s="36">
        <f t="shared" si="39"/>
        <v>6.8774446911983951</v>
      </c>
      <c r="BB43" s="34">
        <f t="shared" si="41"/>
        <v>9.1699262549311933E-2</v>
      </c>
      <c r="BD43" s="202"/>
      <c r="BE43" s="202"/>
    </row>
    <row r="44" spans="1:57" s="32" customFormat="1" x14ac:dyDescent="0.25">
      <c r="A44" s="32" t="s">
        <v>84</v>
      </c>
      <c r="B44" s="32" t="s">
        <v>85</v>
      </c>
      <c r="C44" s="31">
        <v>1</v>
      </c>
      <c r="D44" s="31">
        <v>75</v>
      </c>
      <c r="E44" s="31">
        <v>2000</v>
      </c>
      <c r="F44" s="31">
        <v>125</v>
      </c>
      <c r="G44" s="31">
        <v>145</v>
      </c>
      <c r="H44" s="31">
        <v>20</v>
      </c>
      <c r="I44" s="31">
        <v>1200</v>
      </c>
      <c r="J44" s="31">
        <v>139</v>
      </c>
      <c r="K44" s="31">
        <v>0.66200000000000003</v>
      </c>
      <c r="L44" s="31">
        <v>125</v>
      </c>
      <c r="M44" s="31">
        <v>0.68200000000000005</v>
      </c>
      <c r="N44" s="32">
        <v>1000</v>
      </c>
      <c r="O44" s="32">
        <v>1600</v>
      </c>
      <c r="P44" s="31">
        <v>133</v>
      </c>
      <c r="Q44" s="31">
        <v>0.77400000000000002</v>
      </c>
      <c r="R44" s="31">
        <v>125</v>
      </c>
      <c r="S44" s="31">
        <v>0.78400000000000003</v>
      </c>
      <c r="T44" s="32">
        <v>1000</v>
      </c>
      <c r="U44" s="32">
        <v>2000</v>
      </c>
      <c r="V44" s="31">
        <v>125</v>
      </c>
      <c r="W44" s="31">
        <v>0.84299999999999997</v>
      </c>
      <c r="X44" s="31">
        <v>125</v>
      </c>
      <c r="Y44" s="31">
        <v>0.84199999999999997</v>
      </c>
      <c r="Z44" s="32">
        <v>500</v>
      </c>
      <c r="AM44" s="33">
        <f t="shared" si="27"/>
        <v>2500</v>
      </c>
      <c r="AN44" s="33">
        <f t="shared" si="28"/>
        <v>228000000</v>
      </c>
      <c r="AO44" s="33">
        <f t="shared" si="29"/>
        <v>2000</v>
      </c>
      <c r="AP44" s="33">
        <f t="shared" si="30"/>
        <v>1520</v>
      </c>
      <c r="AQ44" s="33">
        <f t="shared" si="31"/>
        <v>132.33333333333334</v>
      </c>
      <c r="AR44" s="34">
        <f t="shared" si="32"/>
        <v>0.74299999999999999</v>
      </c>
      <c r="AS44" s="33">
        <f t="shared" si="33"/>
        <v>125</v>
      </c>
      <c r="AT44" s="34">
        <f t="shared" si="34"/>
        <v>0.76933333333333331</v>
      </c>
      <c r="AU44" s="34">
        <v>0.97</v>
      </c>
      <c r="AV44" s="34">
        <f t="shared" si="35"/>
        <v>1701.7090795218166</v>
      </c>
      <c r="AW44" s="34">
        <f t="shared" si="36"/>
        <v>1600.4002360038212</v>
      </c>
      <c r="AX44" s="34">
        <f t="shared" si="37"/>
        <v>101.30884351799546</v>
      </c>
      <c r="AY44" s="33">
        <f t="shared" si="38"/>
        <v>7598.1632638496558</v>
      </c>
      <c r="AZ44" s="33">
        <f t="shared" si="40"/>
        <v>101.30884351799541</v>
      </c>
      <c r="BA44" s="36">
        <f t="shared" si="39"/>
        <v>3.0392653055398622</v>
      </c>
      <c r="BB44" s="34">
        <f t="shared" si="41"/>
        <v>4.0523537407198162E-2</v>
      </c>
      <c r="BD44" s="202"/>
      <c r="BE44" s="202"/>
    </row>
    <row r="45" spans="1:57" s="32" customFormat="1" x14ac:dyDescent="0.25">
      <c r="A45" s="32" t="s">
        <v>84</v>
      </c>
      <c r="B45" s="32" t="s">
        <v>85</v>
      </c>
      <c r="C45" s="31">
        <v>1</v>
      </c>
      <c r="D45" s="31">
        <v>75</v>
      </c>
      <c r="E45" s="31">
        <v>2000</v>
      </c>
      <c r="F45" s="31">
        <v>125</v>
      </c>
      <c r="G45" s="31">
        <v>145</v>
      </c>
      <c r="H45" s="31">
        <v>20</v>
      </c>
      <c r="I45" s="31">
        <v>1200</v>
      </c>
      <c r="J45" s="31">
        <v>139</v>
      </c>
      <c r="K45" s="31">
        <v>0.66200000000000003</v>
      </c>
      <c r="L45" s="31">
        <v>125</v>
      </c>
      <c r="M45" s="31">
        <v>0.68200000000000005</v>
      </c>
      <c r="N45" s="32">
        <v>1000</v>
      </c>
      <c r="O45" s="32">
        <v>1600</v>
      </c>
      <c r="P45" s="31">
        <v>133</v>
      </c>
      <c r="Q45" s="31">
        <v>0.77400000000000002</v>
      </c>
      <c r="R45" s="31">
        <v>125</v>
      </c>
      <c r="S45" s="31">
        <v>0.78400000000000003</v>
      </c>
      <c r="T45" s="32">
        <v>1000</v>
      </c>
      <c r="U45" s="32">
        <v>2000</v>
      </c>
      <c r="V45" s="31">
        <v>125</v>
      </c>
      <c r="W45" s="31">
        <v>0.84299999999999997</v>
      </c>
      <c r="X45" s="31">
        <v>125</v>
      </c>
      <c r="Y45" s="31">
        <v>0.84199999999999997</v>
      </c>
      <c r="Z45" s="32">
        <v>500</v>
      </c>
      <c r="AM45" s="33">
        <f t="shared" si="27"/>
        <v>2500</v>
      </c>
      <c r="AN45" s="33">
        <f t="shared" si="28"/>
        <v>228000000</v>
      </c>
      <c r="AO45" s="33">
        <f t="shared" si="29"/>
        <v>2000</v>
      </c>
      <c r="AP45" s="33">
        <f t="shared" si="30"/>
        <v>1520</v>
      </c>
      <c r="AQ45" s="33">
        <f t="shared" si="31"/>
        <v>132.33333333333334</v>
      </c>
      <c r="AR45" s="34">
        <f t="shared" si="32"/>
        <v>0.74299999999999999</v>
      </c>
      <c r="AS45" s="33">
        <f t="shared" si="33"/>
        <v>125</v>
      </c>
      <c r="AT45" s="34">
        <f t="shared" si="34"/>
        <v>0.76933333333333331</v>
      </c>
      <c r="AU45" s="34">
        <v>0.95799999999999996</v>
      </c>
      <c r="AV45" s="34">
        <f t="shared" si="35"/>
        <v>1701.7090795218166</v>
      </c>
      <c r="AW45" s="34">
        <f t="shared" si="36"/>
        <v>1620.4470030518858</v>
      </c>
      <c r="AX45" s="34">
        <f t="shared" si="37"/>
        <v>81.262076469930889</v>
      </c>
      <c r="AY45" s="33">
        <f t="shared" si="38"/>
        <v>6094.6557352448117</v>
      </c>
      <c r="AZ45" s="33">
        <f t="shared" si="40"/>
        <v>81.262076469930818</v>
      </c>
      <c r="BA45" s="36">
        <f t="shared" si="39"/>
        <v>2.4378622940979247</v>
      </c>
      <c r="BB45" s="34">
        <f t="shared" si="41"/>
        <v>3.2504830587972329E-2</v>
      </c>
      <c r="BD45" s="202"/>
      <c r="BE45" s="202"/>
    </row>
    <row r="46" spans="1:57" s="32" customFormat="1" x14ac:dyDescent="0.25">
      <c r="A46" s="32" t="s">
        <v>84</v>
      </c>
      <c r="B46" s="32" t="s">
        <v>85</v>
      </c>
      <c r="C46" s="31">
        <v>1</v>
      </c>
      <c r="D46" s="31">
        <v>75</v>
      </c>
      <c r="E46" s="31">
        <v>2000</v>
      </c>
      <c r="F46" s="31">
        <v>125</v>
      </c>
      <c r="G46" s="31">
        <v>145</v>
      </c>
      <c r="H46" s="31">
        <v>20</v>
      </c>
      <c r="I46" s="31">
        <v>1200</v>
      </c>
      <c r="J46" s="31">
        <v>139</v>
      </c>
      <c r="K46" s="31">
        <v>0.66200000000000003</v>
      </c>
      <c r="L46" s="31">
        <v>125</v>
      </c>
      <c r="M46" s="31">
        <v>0.68200000000000005</v>
      </c>
      <c r="N46" s="32">
        <v>1000</v>
      </c>
      <c r="O46" s="32">
        <v>1600</v>
      </c>
      <c r="P46" s="31">
        <v>133</v>
      </c>
      <c r="Q46" s="31">
        <v>0.77400000000000002</v>
      </c>
      <c r="R46" s="31">
        <v>125</v>
      </c>
      <c r="S46" s="31">
        <v>0.78400000000000003</v>
      </c>
      <c r="T46" s="32">
        <v>1000</v>
      </c>
      <c r="U46" s="32">
        <v>2000</v>
      </c>
      <c r="V46" s="31">
        <v>125</v>
      </c>
      <c r="W46" s="31">
        <v>0.84299999999999997</v>
      </c>
      <c r="X46" s="31">
        <v>125</v>
      </c>
      <c r="Y46" s="31">
        <v>0.84199999999999997</v>
      </c>
      <c r="Z46" s="32">
        <v>500</v>
      </c>
      <c r="AM46" s="33">
        <f t="shared" si="27"/>
        <v>2500</v>
      </c>
      <c r="AN46" s="33">
        <f t="shared" si="28"/>
        <v>228000000</v>
      </c>
      <c r="AO46" s="33">
        <f t="shared" si="29"/>
        <v>2000</v>
      </c>
      <c r="AP46" s="33">
        <f t="shared" si="30"/>
        <v>1520</v>
      </c>
      <c r="AQ46" s="33">
        <f t="shared" si="31"/>
        <v>132.33333333333334</v>
      </c>
      <c r="AR46" s="34">
        <f t="shared" si="32"/>
        <v>0.74299999999999999</v>
      </c>
      <c r="AS46" s="33">
        <f t="shared" si="33"/>
        <v>125</v>
      </c>
      <c r="AT46" s="34">
        <f t="shared" si="34"/>
        <v>0.76933333333333331</v>
      </c>
      <c r="AU46" s="34">
        <v>0.95799999999999996</v>
      </c>
      <c r="AV46" s="34">
        <f t="shared" si="35"/>
        <v>1701.7090795218166</v>
      </c>
      <c r="AW46" s="34">
        <f t="shared" si="36"/>
        <v>1620.4470030518858</v>
      </c>
      <c r="AX46" s="34">
        <f t="shared" si="37"/>
        <v>81.262076469930889</v>
      </c>
      <c r="AY46" s="33">
        <f t="shared" si="38"/>
        <v>6094.6557352448117</v>
      </c>
      <c r="AZ46" s="33">
        <f t="shared" si="40"/>
        <v>81.262076469930818</v>
      </c>
      <c r="BA46" s="36">
        <f t="shared" si="39"/>
        <v>2.4378622940979247</v>
      </c>
      <c r="BB46" s="34">
        <f t="shared" si="41"/>
        <v>3.2504830587972329E-2</v>
      </c>
      <c r="BD46" s="202"/>
      <c r="BE46" s="202"/>
    </row>
    <row r="47" spans="1:57" s="32" customFormat="1" x14ac:dyDescent="0.25">
      <c r="A47" s="32" t="s">
        <v>88</v>
      </c>
      <c r="B47" s="32" t="s">
        <v>46</v>
      </c>
      <c r="C47" s="31">
        <v>1</v>
      </c>
      <c r="D47" s="31">
        <v>75</v>
      </c>
      <c r="E47" s="31">
        <v>450</v>
      </c>
      <c r="F47" s="37">
        <v>377</v>
      </c>
      <c r="G47" s="37">
        <v>560</v>
      </c>
      <c r="H47" s="31"/>
      <c r="I47" s="32">
        <v>550</v>
      </c>
      <c r="J47" s="32">
        <v>392</v>
      </c>
      <c r="K47" s="32">
        <v>0.81200000000000006</v>
      </c>
      <c r="L47" s="32">
        <v>377</v>
      </c>
      <c r="M47" s="32">
        <v>0.81100000000000005</v>
      </c>
      <c r="N47" s="32">
        <v>75</v>
      </c>
      <c r="O47" s="32">
        <v>450</v>
      </c>
      <c r="P47" s="32">
        <v>458</v>
      </c>
      <c r="Q47" s="32">
        <v>0.80600000000000005</v>
      </c>
      <c r="R47" s="32">
        <v>330</v>
      </c>
      <c r="S47" s="32">
        <v>0.81499999999999995</v>
      </c>
      <c r="T47" s="32">
        <v>750</v>
      </c>
      <c r="U47" s="32">
        <v>400</v>
      </c>
      <c r="V47" s="32">
        <v>475</v>
      </c>
      <c r="W47" s="32">
        <v>0.78400000000000003</v>
      </c>
      <c r="X47" s="32">
        <v>330</v>
      </c>
      <c r="Y47" s="32">
        <v>0.81</v>
      </c>
      <c r="Z47" s="32">
        <v>750</v>
      </c>
      <c r="AA47" s="32">
        <v>450</v>
      </c>
      <c r="AB47" s="32">
        <v>458</v>
      </c>
      <c r="AC47" s="32">
        <v>0.80600000000000005</v>
      </c>
      <c r="AD47" s="32">
        <v>330</v>
      </c>
      <c r="AE47" s="32">
        <v>0.81499999999999995</v>
      </c>
      <c r="AF47" s="32">
        <v>750</v>
      </c>
      <c r="AG47" s="32">
        <v>400</v>
      </c>
      <c r="AH47" s="32">
        <v>475</v>
      </c>
      <c r="AI47" s="32">
        <v>0.78400000000000003</v>
      </c>
      <c r="AJ47" s="32">
        <v>330</v>
      </c>
      <c r="AK47" s="32">
        <v>0.81</v>
      </c>
      <c r="AL47" s="32">
        <v>750</v>
      </c>
      <c r="AM47" s="33">
        <f t="shared" si="27"/>
        <v>3075</v>
      </c>
      <c r="AN47" s="33">
        <f t="shared" si="28"/>
        <v>78975000</v>
      </c>
      <c r="AO47" s="33">
        <f t="shared" si="29"/>
        <v>550</v>
      </c>
      <c r="AP47" s="33">
        <f t="shared" si="30"/>
        <v>428.04878048780489</v>
      </c>
      <c r="AQ47" s="33">
        <f t="shared" si="31"/>
        <v>451.6</v>
      </c>
      <c r="AR47" s="34">
        <f t="shared" si="32"/>
        <v>0.7954146341463415</v>
      </c>
      <c r="AS47" s="33">
        <f t="shared" si="33"/>
        <v>339.4</v>
      </c>
      <c r="AT47" s="34">
        <f t="shared" si="34"/>
        <v>0.81220000000000003</v>
      </c>
      <c r="AU47" s="35">
        <v>0.94890476190476192</v>
      </c>
      <c r="AV47" s="34">
        <f t="shared" si="35"/>
        <v>1878.9707594901704</v>
      </c>
      <c r="AW47" s="34">
        <f t="shared" si="36"/>
        <v>1457.4239166255988</v>
      </c>
      <c r="AX47" s="34">
        <f t="shared" si="37"/>
        <v>421.54684286457154</v>
      </c>
      <c r="AY47" s="33">
        <f t="shared" si="38"/>
        <v>31616.013214842853</v>
      </c>
      <c r="AZ47" s="33">
        <f t="shared" si="40"/>
        <v>421.54684286457137</v>
      </c>
      <c r="BA47" s="36">
        <f t="shared" si="39"/>
        <v>10.281630313770034</v>
      </c>
      <c r="BB47" s="34">
        <f t="shared" si="41"/>
        <v>0.13708840418360044</v>
      </c>
      <c r="BD47" s="202"/>
      <c r="BE47" s="202"/>
    </row>
    <row r="48" spans="1:57" s="32" customFormat="1" x14ac:dyDescent="0.25">
      <c r="A48" s="30" t="s">
        <v>89</v>
      </c>
      <c r="B48" s="30" t="s">
        <v>39</v>
      </c>
      <c r="C48" s="31">
        <v>1</v>
      </c>
      <c r="D48" s="31">
        <v>75</v>
      </c>
      <c r="E48" s="31">
        <v>2000</v>
      </c>
      <c r="F48" s="31">
        <v>113</v>
      </c>
      <c r="G48" s="31">
        <v>212</v>
      </c>
      <c r="H48" s="31"/>
      <c r="I48" s="32">
        <v>1910</v>
      </c>
      <c r="J48" s="32">
        <v>123</v>
      </c>
      <c r="K48" s="32">
        <v>0.80600000000000005</v>
      </c>
      <c r="L48" s="32">
        <v>113</v>
      </c>
      <c r="M48" s="32">
        <v>0.80100000000000005</v>
      </c>
      <c r="N48" s="32">
        <v>4000</v>
      </c>
      <c r="AM48" s="33">
        <f t="shared" si="27"/>
        <v>4000</v>
      </c>
      <c r="AN48" s="33">
        <f t="shared" si="28"/>
        <v>458400000</v>
      </c>
      <c r="AO48" s="33">
        <f t="shared" si="29"/>
        <v>1910</v>
      </c>
      <c r="AP48" s="33">
        <f t="shared" si="30"/>
        <v>1910</v>
      </c>
      <c r="AQ48" s="33">
        <f t="shared" si="31"/>
        <v>123</v>
      </c>
      <c r="AR48" s="34">
        <f t="shared" si="32"/>
        <v>0.80600000000000005</v>
      </c>
      <c r="AS48" s="33">
        <f t="shared" si="33"/>
        <v>113</v>
      </c>
      <c r="AT48" s="34">
        <f t="shared" si="34"/>
        <v>0.80100000000000005</v>
      </c>
      <c r="AU48" s="34">
        <v>0.96499999999999997</v>
      </c>
      <c r="AV48" s="34">
        <f t="shared" si="35"/>
        <v>2931.4649732667276</v>
      </c>
      <c r="AW48" s="34">
        <f t="shared" si="36"/>
        <v>2808.2337454270778</v>
      </c>
      <c r="AX48" s="34">
        <f t="shared" si="37"/>
        <v>123.23122783964982</v>
      </c>
      <c r="AY48" s="33">
        <f t="shared" si="38"/>
        <v>9242.3420879737314</v>
      </c>
      <c r="AZ48" s="33">
        <f t="shared" si="40"/>
        <v>123.23122783964975</v>
      </c>
      <c r="BA48" s="36">
        <f t="shared" si="39"/>
        <v>2.310585521993433</v>
      </c>
      <c r="BB48" s="34">
        <f t="shared" si="41"/>
        <v>3.0807806959912441E-2</v>
      </c>
      <c r="BD48" s="202"/>
      <c r="BE48" s="202"/>
    </row>
    <row r="49" spans="1:57" s="32" customFormat="1" x14ac:dyDescent="0.25">
      <c r="A49" s="38" t="s">
        <v>292</v>
      </c>
      <c r="C49" s="39">
        <v>1</v>
      </c>
      <c r="D49" s="39">
        <v>75</v>
      </c>
      <c r="AO49" s="37"/>
      <c r="AP49" s="37"/>
      <c r="AQ49" s="37"/>
      <c r="AR49" s="37"/>
      <c r="AS49" s="37"/>
      <c r="AT49" s="37"/>
      <c r="AU49" s="31"/>
      <c r="AV49" s="37"/>
      <c r="AW49" s="37"/>
      <c r="AX49" s="37"/>
      <c r="AY49" s="40">
        <v>135463</v>
      </c>
      <c r="AZ49" s="33">
        <f t="shared" si="40"/>
        <v>1806.1733333333334</v>
      </c>
      <c r="BA49" s="39">
        <v>37.5</v>
      </c>
      <c r="BB49" s="34">
        <f t="shared" si="41"/>
        <v>0.5</v>
      </c>
      <c r="BD49" s="202"/>
      <c r="BE49" s="202"/>
    </row>
    <row r="50" spans="1:57" s="32" customFormat="1" x14ac:dyDescent="0.25">
      <c r="A50" s="38" t="s">
        <v>295</v>
      </c>
      <c r="B50" s="54"/>
      <c r="C50" s="39">
        <v>1</v>
      </c>
      <c r="D50" s="39">
        <v>75</v>
      </c>
      <c r="E50" s="55"/>
      <c r="F50" s="55"/>
      <c r="G50" s="55"/>
      <c r="H50" s="55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5"/>
      <c r="AN50" s="54"/>
      <c r="AO50" s="56"/>
      <c r="AP50" s="56"/>
      <c r="AQ50" s="56"/>
      <c r="AR50" s="56"/>
      <c r="AS50" s="37"/>
      <c r="AT50" s="56"/>
      <c r="AU50" s="55"/>
      <c r="AV50" s="56"/>
      <c r="AW50" s="56"/>
      <c r="AX50" s="56"/>
      <c r="AY50" s="40">
        <v>42661.65</v>
      </c>
      <c r="AZ50" s="33">
        <f t="shared" si="40"/>
        <v>568.822</v>
      </c>
      <c r="BA50" s="39">
        <v>33.581249999999997</v>
      </c>
      <c r="BB50" s="34">
        <f t="shared" si="41"/>
        <v>0.44774999999999998</v>
      </c>
      <c r="BD50" s="202"/>
      <c r="BE50" s="202"/>
    </row>
    <row r="51" spans="1:57" s="32" customFormat="1" x14ac:dyDescent="0.25">
      <c r="A51" s="38" t="s">
        <v>238</v>
      </c>
      <c r="C51" s="39">
        <v>1</v>
      </c>
      <c r="D51" s="39">
        <v>75</v>
      </c>
      <c r="AO51" s="37"/>
      <c r="AP51" s="37"/>
      <c r="AQ51" s="37"/>
      <c r="AR51" s="37"/>
      <c r="AS51" s="37"/>
      <c r="AT51" s="37"/>
      <c r="AU51" s="31"/>
      <c r="AV51" s="37"/>
      <c r="AW51" s="37"/>
      <c r="AX51" s="37"/>
      <c r="AY51" s="40">
        <v>27123</v>
      </c>
      <c r="AZ51" s="33">
        <f t="shared" si="40"/>
        <v>361.64</v>
      </c>
      <c r="BA51" s="39">
        <v>15.07</v>
      </c>
      <c r="BB51" s="34">
        <f t="shared" si="41"/>
        <v>0.20093333333333332</v>
      </c>
      <c r="BD51" s="202"/>
      <c r="BE51" s="202"/>
    </row>
    <row r="52" spans="1:57" s="32" customFormat="1" x14ac:dyDescent="0.25">
      <c r="A52" s="38" t="s">
        <v>311</v>
      </c>
      <c r="C52" s="39">
        <v>1</v>
      </c>
      <c r="D52" s="39">
        <v>75</v>
      </c>
      <c r="AO52" s="37"/>
      <c r="AP52" s="37"/>
      <c r="AQ52" s="37"/>
      <c r="AR52" s="37"/>
      <c r="AS52" s="37"/>
      <c r="AT52" s="37"/>
      <c r="AU52" s="31"/>
      <c r="AV52" s="37"/>
      <c r="AW52" s="37"/>
      <c r="AX52" s="37"/>
      <c r="AY52" s="40">
        <v>17821.424999999999</v>
      </c>
      <c r="AZ52" s="33">
        <f t="shared" si="40"/>
        <v>237.619</v>
      </c>
      <c r="BA52" s="39">
        <v>17.785499999999999</v>
      </c>
      <c r="BB52" s="34">
        <f t="shared" si="41"/>
        <v>0.23713999999999999</v>
      </c>
      <c r="BD52" s="202"/>
      <c r="BE52" s="202"/>
    </row>
    <row r="53" spans="1:57" s="59" customFormat="1" x14ac:dyDescent="0.25">
      <c r="A53" s="57" t="s">
        <v>38</v>
      </c>
      <c r="B53" s="57" t="s">
        <v>39</v>
      </c>
      <c r="C53" s="58">
        <v>1</v>
      </c>
      <c r="D53" s="58">
        <v>100</v>
      </c>
      <c r="E53" s="58">
        <v>1000</v>
      </c>
      <c r="F53" s="58">
        <v>280</v>
      </c>
      <c r="G53" s="58">
        <v>380</v>
      </c>
      <c r="H53" s="58">
        <v>100</v>
      </c>
      <c r="I53" s="59">
        <v>1000</v>
      </c>
      <c r="N53" s="59">
        <v>600</v>
      </c>
      <c r="AM53" s="60">
        <f t="shared" ref="AM53:AM71" si="42">AL53+AF53+Z53+T53+N53</f>
        <v>600</v>
      </c>
      <c r="AN53" s="60">
        <f t="shared" ref="AN53:AN71" si="43">I53*60*N53+O53*60*T53+U53*60*Z53+AA53*60*AF53+AG53*60*AL53</f>
        <v>36000000</v>
      </c>
      <c r="AO53" s="60">
        <f t="shared" ref="AO53:AO71" si="44">MAX(AG53,AA53,U53,O53,I53)</f>
        <v>1000</v>
      </c>
      <c r="AP53" s="60">
        <f t="shared" ref="AP53:AP71" si="45">AN53/(AM53*60)</f>
        <v>1000</v>
      </c>
      <c r="AQ53" s="60"/>
      <c r="AR53" s="61"/>
      <c r="AS53" s="60"/>
      <c r="AT53" s="61"/>
      <c r="AU53" s="61">
        <v>0.96</v>
      </c>
      <c r="AV53" s="61"/>
      <c r="AW53" s="61"/>
      <c r="AX53" s="61"/>
      <c r="AY53" s="60">
        <v>3818</v>
      </c>
      <c r="AZ53" s="60">
        <f t="shared" si="40"/>
        <v>38.18</v>
      </c>
      <c r="BA53" s="62">
        <f t="shared" ref="BA53:BA71" si="46">AY53/AM53</f>
        <v>6.3633333333333333</v>
      </c>
      <c r="BB53" s="61">
        <f t="shared" si="41"/>
        <v>6.3633333333333333E-2</v>
      </c>
      <c r="BD53" s="198">
        <f>SUM(AY53:AY76)/SUMPRODUCT(C53:D76)</f>
        <v>221.83060789214034</v>
      </c>
      <c r="BE53" s="198">
        <f>SUM(BA53:BA76)/SUMPRODUCT(C53:D76)</f>
        <v>0.1306799523999651</v>
      </c>
    </row>
    <row r="54" spans="1:57" s="59" customFormat="1" x14ac:dyDescent="0.25">
      <c r="A54" s="57" t="s">
        <v>38</v>
      </c>
      <c r="B54" s="57" t="s">
        <v>39</v>
      </c>
      <c r="C54" s="58">
        <v>1</v>
      </c>
      <c r="D54" s="58">
        <v>100</v>
      </c>
      <c r="E54" s="58">
        <v>1015</v>
      </c>
      <c r="F54" s="58">
        <v>288</v>
      </c>
      <c r="G54" s="58">
        <v>432</v>
      </c>
      <c r="H54" s="58">
        <v>144</v>
      </c>
      <c r="I54" s="59">
        <v>1015</v>
      </c>
      <c r="N54" s="59">
        <v>1000</v>
      </c>
      <c r="AM54" s="60">
        <f t="shared" si="42"/>
        <v>1000</v>
      </c>
      <c r="AN54" s="60">
        <f t="shared" si="43"/>
        <v>60900000</v>
      </c>
      <c r="AO54" s="60">
        <f t="shared" si="44"/>
        <v>1015</v>
      </c>
      <c r="AP54" s="60">
        <f t="shared" si="45"/>
        <v>1015</v>
      </c>
      <c r="AQ54" s="60"/>
      <c r="AR54" s="61"/>
      <c r="AS54" s="60"/>
      <c r="AT54" s="61"/>
      <c r="AU54" s="61">
        <v>0.96</v>
      </c>
      <c r="AV54" s="61"/>
      <c r="AW54" s="61"/>
      <c r="AX54" s="61"/>
      <c r="AY54" s="60">
        <v>7793</v>
      </c>
      <c r="AZ54" s="60">
        <f t="shared" si="40"/>
        <v>77.930000000000007</v>
      </c>
      <c r="BA54" s="62">
        <f t="shared" si="46"/>
        <v>7.7930000000000001</v>
      </c>
      <c r="BB54" s="61">
        <f t="shared" si="41"/>
        <v>7.7929999999999999E-2</v>
      </c>
      <c r="BD54" s="198"/>
      <c r="BE54" s="198"/>
    </row>
    <row r="55" spans="1:57" s="59" customFormat="1" x14ac:dyDescent="0.25">
      <c r="A55" s="59" t="s">
        <v>90</v>
      </c>
      <c r="B55" s="59" t="s">
        <v>91</v>
      </c>
      <c r="C55" s="58">
        <v>1</v>
      </c>
      <c r="D55" s="58">
        <v>100</v>
      </c>
      <c r="E55" s="58">
        <v>1300</v>
      </c>
      <c r="F55" s="63">
        <v>320</v>
      </c>
      <c r="G55" s="63">
        <v>600</v>
      </c>
      <c r="H55" s="58">
        <v>280</v>
      </c>
      <c r="I55" s="59">
        <v>1660</v>
      </c>
      <c r="N55" s="59">
        <v>1000</v>
      </c>
      <c r="O55" s="59">
        <v>1108</v>
      </c>
      <c r="AM55" s="60">
        <f t="shared" si="42"/>
        <v>1000</v>
      </c>
      <c r="AN55" s="60">
        <f t="shared" si="43"/>
        <v>99600000</v>
      </c>
      <c r="AO55" s="60">
        <f t="shared" si="44"/>
        <v>1660</v>
      </c>
      <c r="AP55" s="60">
        <f t="shared" si="45"/>
        <v>1660</v>
      </c>
      <c r="AQ55" s="60"/>
      <c r="AR55" s="61"/>
      <c r="AS55" s="60"/>
      <c r="AT55" s="61"/>
      <c r="AU55" s="61">
        <v>0.95</v>
      </c>
      <c r="AV55" s="61"/>
      <c r="AW55" s="61"/>
      <c r="AX55" s="61"/>
      <c r="AY55" s="60">
        <v>47148</v>
      </c>
      <c r="AZ55" s="60">
        <f t="shared" si="40"/>
        <v>471.48</v>
      </c>
      <c r="BA55" s="62">
        <f t="shared" si="46"/>
        <v>47.148000000000003</v>
      </c>
      <c r="BB55" s="61">
        <f t="shared" si="41"/>
        <v>0.47148000000000001</v>
      </c>
      <c r="BD55" s="198"/>
      <c r="BE55" s="198"/>
    </row>
    <row r="56" spans="1:57" s="59" customFormat="1" x14ac:dyDescent="0.25">
      <c r="A56" s="57" t="s">
        <v>92</v>
      </c>
      <c r="B56" s="57" t="s">
        <v>93</v>
      </c>
      <c r="C56" s="58">
        <v>1</v>
      </c>
      <c r="D56" s="58">
        <v>100</v>
      </c>
      <c r="E56" s="58">
        <v>1200</v>
      </c>
      <c r="F56" s="63">
        <v>235</v>
      </c>
      <c r="G56" s="63">
        <v>400</v>
      </c>
      <c r="H56" s="58"/>
      <c r="I56" s="59">
        <v>743</v>
      </c>
      <c r="J56" s="59">
        <v>362</v>
      </c>
      <c r="K56" s="59">
        <v>0.83799999999999997</v>
      </c>
      <c r="L56" s="59">
        <v>235</v>
      </c>
      <c r="M56" s="59">
        <v>0.86099999999999999</v>
      </c>
      <c r="N56" s="59">
        <v>205</v>
      </c>
      <c r="O56" s="59">
        <v>1070</v>
      </c>
      <c r="P56" s="59">
        <v>300</v>
      </c>
      <c r="Q56" s="59">
        <v>0.82899999999999996</v>
      </c>
      <c r="R56" s="59">
        <v>235</v>
      </c>
      <c r="S56" s="59">
        <v>0.79200000000000004</v>
      </c>
      <c r="T56" s="59">
        <v>205</v>
      </c>
      <c r="U56" s="59">
        <v>1089</v>
      </c>
      <c r="V56" s="59">
        <v>295</v>
      </c>
      <c r="W56" s="59">
        <v>0.82199999999999995</v>
      </c>
      <c r="X56" s="59">
        <v>235</v>
      </c>
      <c r="Y56" s="59">
        <v>0.78600000000000003</v>
      </c>
      <c r="Z56" s="59">
        <v>205</v>
      </c>
      <c r="AA56" s="59">
        <v>1200</v>
      </c>
      <c r="AB56" s="59">
        <v>258</v>
      </c>
      <c r="AC56" s="59">
        <v>0.76700000000000002</v>
      </c>
      <c r="AD56" s="59">
        <v>235</v>
      </c>
      <c r="AE56" s="59">
        <v>0.748</v>
      </c>
      <c r="AF56" s="59">
        <v>410</v>
      </c>
      <c r="AM56" s="60">
        <f t="shared" si="42"/>
        <v>1025</v>
      </c>
      <c r="AN56" s="60">
        <f t="shared" si="43"/>
        <v>65214600</v>
      </c>
      <c r="AO56" s="60">
        <f t="shared" si="44"/>
        <v>1200</v>
      </c>
      <c r="AP56" s="60">
        <f t="shared" si="45"/>
        <v>1060.4000000000001</v>
      </c>
      <c r="AQ56" s="60">
        <f t="shared" ref="AQ56:AQ71" si="47">AVERAGE(AH56,AB56,V56,P56,J56)</f>
        <v>303.75</v>
      </c>
      <c r="AR56" s="61">
        <f t="shared" ref="AR56:AR71" si="48">(K56*N56+Q56*T56+W56*Z56+AC56*AF56+AI56*AL56)/AM56</f>
        <v>0.80459999999999998</v>
      </c>
      <c r="AS56" s="60">
        <f t="shared" ref="AS56:AS71" si="49">AVERAGE(AJ56,AD56,X56,R56,L56)</f>
        <v>235</v>
      </c>
      <c r="AT56" s="61">
        <f t="shared" ref="AT56:AT71" si="50">AVERAGE(AK56,AE56,Y56,S56,M56)</f>
        <v>0.79675000000000007</v>
      </c>
      <c r="AU56" s="61">
        <v>0.95499999999999996</v>
      </c>
      <c r="AV56" s="61">
        <f t="shared" ref="AV56:AV71" si="51">((AP56*AQ56/AR56))*AM56*0.746/(3956*D56)</f>
        <v>773.77089044930483</v>
      </c>
      <c r="AW56" s="61">
        <f t="shared" ref="AW56:AW71" si="52">((AP56*AS56/(AT56*AU56)))*AM56*0.746/(3956*D56)</f>
        <v>633.0216266019894</v>
      </c>
      <c r="AX56" s="61">
        <f t="shared" ref="AX56:AX71" si="53">AV56-AW56</f>
        <v>140.74926384731543</v>
      </c>
      <c r="AY56" s="60">
        <f t="shared" ref="AY56:AY71" si="54">((AP56*AQ56/AR56)-(AP56*AS56/(AT56*AU56)))*AM56*0.746/3956</f>
        <v>14074.926384731543</v>
      </c>
      <c r="AZ56" s="60">
        <f t="shared" si="40"/>
        <v>140.74926384731543</v>
      </c>
      <c r="BA56" s="62">
        <f t="shared" si="46"/>
        <v>13.731635497299067</v>
      </c>
      <c r="BB56" s="61">
        <f t="shared" si="41"/>
        <v>0.13731635497299066</v>
      </c>
      <c r="BD56" s="198"/>
      <c r="BE56" s="198"/>
    </row>
    <row r="57" spans="1:57" s="59" customFormat="1" x14ac:dyDescent="0.25">
      <c r="A57" s="59" t="s">
        <v>94</v>
      </c>
      <c r="B57" s="59" t="s">
        <v>95</v>
      </c>
      <c r="C57" s="58">
        <v>1</v>
      </c>
      <c r="D57" s="58">
        <v>100</v>
      </c>
      <c r="E57" s="58">
        <v>3000</v>
      </c>
      <c r="F57" s="63">
        <v>100</v>
      </c>
      <c r="G57" s="63">
        <v>119</v>
      </c>
      <c r="H57" s="58">
        <v>19</v>
      </c>
      <c r="I57" s="59">
        <v>3000</v>
      </c>
      <c r="J57" s="59">
        <v>99</v>
      </c>
      <c r="K57" s="59">
        <v>0.77200000000000002</v>
      </c>
      <c r="L57" s="59">
        <v>100</v>
      </c>
      <c r="M57" s="59">
        <v>0.77200000000000002</v>
      </c>
      <c r="N57" s="59">
        <v>50</v>
      </c>
      <c r="O57" s="59">
        <v>2500</v>
      </c>
      <c r="P57" s="59">
        <v>108</v>
      </c>
      <c r="Q57" s="59">
        <v>0.753</v>
      </c>
      <c r="R57" s="59">
        <v>100</v>
      </c>
      <c r="S57" s="59">
        <v>0.76</v>
      </c>
      <c r="T57" s="59">
        <v>450</v>
      </c>
      <c r="U57" s="59">
        <v>1500</v>
      </c>
      <c r="V57" s="59">
        <v>115</v>
      </c>
      <c r="W57" s="59">
        <v>0.54400000000000004</v>
      </c>
      <c r="X57" s="59">
        <v>100</v>
      </c>
      <c r="Y57" s="59">
        <v>0.57599999999999996</v>
      </c>
      <c r="Z57" s="59">
        <v>700</v>
      </c>
      <c r="AM57" s="60">
        <f t="shared" si="42"/>
        <v>1200</v>
      </c>
      <c r="AN57" s="60">
        <f t="shared" si="43"/>
        <v>139500000</v>
      </c>
      <c r="AO57" s="60">
        <f t="shared" si="44"/>
        <v>3000</v>
      </c>
      <c r="AP57" s="60">
        <f t="shared" si="45"/>
        <v>1937.5</v>
      </c>
      <c r="AQ57" s="60">
        <f t="shared" si="47"/>
        <v>107.33333333333333</v>
      </c>
      <c r="AR57" s="61">
        <f t="shared" si="48"/>
        <v>0.63187499999999996</v>
      </c>
      <c r="AS57" s="60">
        <f t="shared" si="49"/>
        <v>100</v>
      </c>
      <c r="AT57" s="61">
        <f t="shared" si="50"/>
        <v>0.70266666666666655</v>
      </c>
      <c r="AU57" s="64">
        <v>0.95562499999999995</v>
      </c>
      <c r="AV57" s="61">
        <f t="shared" si="51"/>
        <v>744.74731442504537</v>
      </c>
      <c r="AW57" s="61">
        <f t="shared" si="52"/>
        <v>652.93304252366011</v>
      </c>
      <c r="AX57" s="61">
        <f t="shared" si="53"/>
        <v>91.814271901385268</v>
      </c>
      <c r="AY57" s="60">
        <f t="shared" si="54"/>
        <v>9181.4271901385418</v>
      </c>
      <c r="AZ57" s="60">
        <f t="shared" si="40"/>
        <v>91.814271901385425</v>
      </c>
      <c r="BA57" s="62">
        <f t="shared" si="46"/>
        <v>7.6511893251154515</v>
      </c>
      <c r="BB57" s="61">
        <f t="shared" si="41"/>
        <v>7.6511893251154511E-2</v>
      </c>
      <c r="BD57" s="198"/>
      <c r="BE57" s="198"/>
    </row>
    <row r="58" spans="1:57" s="59" customFormat="1" x14ac:dyDescent="0.25">
      <c r="A58" s="59" t="s">
        <v>96</v>
      </c>
      <c r="B58" s="59" t="s">
        <v>97</v>
      </c>
      <c r="C58" s="58">
        <v>1</v>
      </c>
      <c r="D58" s="58">
        <v>100</v>
      </c>
      <c r="E58" s="58">
        <v>1500</v>
      </c>
      <c r="F58" s="63">
        <v>156</v>
      </c>
      <c r="G58" s="63">
        <v>333</v>
      </c>
      <c r="H58" s="58">
        <v>177</v>
      </c>
      <c r="I58" s="59">
        <v>750</v>
      </c>
      <c r="J58" s="59">
        <v>281</v>
      </c>
      <c r="K58" s="59">
        <v>0.60299999999999998</v>
      </c>
      <c r="L58" s="59">
        <v>178</v>
      </c>
      <c r="M58" s="59">
        <v>0.68500000000000005</v>
      </c>
      <c r="N58" s="59">
        <v>400</v>
      </c>
      <c r="O58" s="59">
        <v>1000</v>
      </c>
      <c r="P58" s="59">
        <v>268</v>
      </c>
      <c r="Q58" s="59">
        <v>0.71299999999999997</v>
      </c>
      <c r="R58" s="59">
        <v>195</v>
      </c>
      <c r="S58" s="59">
        <v>0.76</v>
      </c>
      <c r="T58" s="59">
        <v>400</v>
      </c>
      <c r="U58" s="59">
        <v>1250</v>
      </c>
      <c r="V58" s="59">
        <v>253</v>
      </c>
      <c r="W58" s="59">
        <v>0.78200000000000003</v>
      </c>
      <c r="X58" s="59">
        <v>217</v>
      </c>
      <c r="Y58" s="59">
        <v>0.79600000000000004</v>
      </c>
      <c r="Z58" s="59">
        <v>400</v>
      </c>
      <c r="AM58" s="60">
        <f t="shared" si="42"/>
        <v>1200</v>
      </c>
      <c r="AN58" s="60">
        <f t="shared" si="43"/>
        <v>72000000</v>
      </c>
      <c r="AO58" s="60">
        <f t="shared" si="44"/>
        <v>1250</v>
      </c>
      <c r="AP58" s="60">
        <f t="shared" si="45"/>
        <v>1000</v>
      </c>
      <c r="AQ58" s="60">
        <f t="shared" si="47"/>
        <v>267.33333333333331</v>
      </c>
      <c r="AR58" s="61">
        <f t="shared" si="48"/>
        <v>0.69933333333333336</v>
      </c>
      <c r="AS58" s="60">
        <f t="shared" si="49"/>
        <v>196.66666666666666</v>
      </c>
      <c r="AT58" s="61">
        <f t="shared" si="50"/>
        <v>0.747</v>
      </c>
      <c r="AU58" s="64">
        <v>0.94266666666666665</v>
      </c>
      <c r="AV58" s="61">
        <f t="shared" si="51"/>
        <v>865.03299883079933</v>
      </c>
      <c r="AW58" s="61">
        <f t="shared" si="52"/>
        <v>631.99813295913941</v>
      </c>
      <c r="AX58" s="61">
        <f t="shared" si="53"/>
        <v>233.03486587165992</v>
      </c>
      <c r="AY58" s="60">
        <f t="shared" si="54"/>
        <v>23303.486587165993</v>
      </c>
      <c r="AZ58" s="60">
        <f t="shared" si="40"/>
        <v>233.03486587165992</v>
      </c>
      <c r="BA58" s="62">
        <f t="shared" si="46"/>
        <v>19.419572155971661</v>
      </c>
      <c r="BB58" s="61">
        <f t="shared" si="41"/>
        <v>0.19419572155971662</v>
      </c>
      <c r="BD58" s="198"/>
      <c r="BE58" s="198"/>
    </row>
    <row r="59" spans="1:57" s="59" customFormat="1" x14ac:dyDescent="0.25">
      <c r="A59" s="57" t="s">
        <v>80</v>
      </c>
      <c r="B59" s="57" t="s">
        <v>81</v>
      </c>
      <c r="C59" s="58">
        <v>1</v>
      </c>
      <c r="D59" s="58">
        <v>100</v>
      </c>
      <c r="E59" s="58">
        <v>3152</v>
      </c>
      <c r="F59" s="63">
        <v>97</v>
      </c>
      <c r="G59" s="63">
        <v>195</v>
      </c>
      <c r="H59" s="58"/>
      <c r="I59" s="59">
        <v>3152</v>
      </c>
      <c r="J59" s="59">
        <v>118</v>
      </c>
      <c r="K59" s="59">
        <v>0.80600000000000005</v>
      </c>
      <c r="L59" s="59">
        <v>97</v>
      </c>
      <c r="M59" s="59">
        <v>0.79300000000000004</v>
      </c>
      <c r="N59" s="59">
        <v>700</v>
      </c>
      <c r="O59" s="59">
        <v>2684</v>
      </c>
      <c r="P59" s="59">
        <v>137</v>
      </c>
      <c r="Q59" s="59">
        <v>0.82799999999999996</v>
      </c>
      <c r="R59" s="59">
        <v>97</v>
      </c>
      <c r="S59" s="59">
        <v>0.81399999999999995</v>
      </c>
      <c r="T59" s="59">
        <v>700</v>
      </c>
      <c r="AM59" s="60">
        <f t="shared" si="42"/>
        <v>1400</v>
      </c>
      <c r="AN59" s="60">
        <f t="shared" si="43"/>
        <v>245112000</v>
      </c>
      <c r="AO59" s="60">
        <f t="shared" si="44"/>
        <v>3152</v>
      </c>
      <c r="AP59" s="60">
        <f t="shared" si="45"/>
        <v>2918</v>
      </c>
      <c r="AQ59" s="60">
        <f t="shared" si="47"/>
        <v>127.5</v>
      </c>
      <c r="AR59" s="61">
        <f t="shared" si="48"/>
        <v>0.81700000000000017</v>
      </c>
      <c r="AS59" s="60">
        <f t="shared" si="49"/>
        <v>97</v>
      </c>
      <c r="AT59" s="61">
        <f t="shared" si="50"/>
        <v>0.80349999999999999</v>
      </c>
      <c r="AU59" s="64">
        <v>0.94433333333333325</v>
      </c>
      <c r="AV59" s="61">
        <f t="shared" si="51"/>
        <v>1202.2201313592725</v>
      </c>
      <c r="AW59" s="61">
        <f t="shared" si="52"/>
        <v>984.81895997995855</v>
      </c>
      <c r="AX59" s="61">
        <f t="shared" si="53"/>
        <v>217.40117137931395</v>
      </c>
      <c r="AY59" s="60">
        <f t="shared" si="54"/>
        <v>21740.117137931393</v>
      </c>
      <c r="AZ59" s="60">
        <f t="shared" si="40"/>
        <v>217.40117137931392</v>
      </c>
      <c r="BA59" s="62">
        <f t="shared" si="46"/>
        <v>15.528655098522423</v>
      </c>
      <c r="BB59" s="61">
        <f t="shared" si="41"/>
        <v>0.15528655098522423</v>
      </c>
      <c r="BD59" s="198"/>
      <c r="BE59" s="198"/>
    </row>
    <row r="60" spans="1:57" s="59" customFormat="1" x14ac:dyDescent="0.25">
      <c r="A60" s="57" t="s">
        <v>98</v>
      </c>
      <c r="B60" s="57" t="s">
        <v>39</v>
      </c>
      <c r="C60" s="58">
        <v>1</v>
      </c>
      <c r="D60" s="58">
        <v>100</v>
      </c>
      <c r="E60" s="58">
        <v>1250</v>
      </c>
      <c r="F60" s="63">
        <v>220</v>
      </c>
      <c r="G60" s="63">
        <v>350</v>
      </c>
      <c r="H60" s="58"/>
      <c r="I60" s="59">
        <v>850</v>
      </c>
      <c r="J60" s="59">
        <v>248</v>
      </c>
      <c r="K60" s="59">
        <v>0.628</v>
      </c>
      <c r="L60" s="59">
        <v>220</v>
      </c>
      <c r="M60" s="59">
        <v>0.65100000000000002</v>
      </c>
      <c r="N60" s="59">
        <v>1000</v>
      </c>
      <c r="O60" s="59">
        <v>1000</v>
      </c>
      <c r="P60" s="59">
        <v>235</v>
      </c>
      <c r="Q60" s="59">
        <v>0.7</v>
      </c>
      <c r="R60" s="59">
        <v>220</v>
      </c>
      <c r="S60" s="59">
        <v>0.71299999999999997</v>
      </c>
      <c r="T60" s="59">
        <v>500</v>
      </c>
      <c r="AM60" s="60">
        <f t="shared" si="42"/>
        <v>1500</v>
      </c>
      <c r="AN60" s="60">
        <f t="shared" si="43"/>
        <v>81000000</v>
      </c>
      <c r="AO60" s="60">
        <f t="shared" si="44"/>
        <v>1000</v>
      </c>
      <c r="AP60" s="60">
        <f t="shared" si="45"/>
        <v>900</v>
      </c>
      <c r="AQ60" s="60">
        <f t="shared" si="47"/>
        <v>241.5</v>
      </c>
      <c r="AR60" s="61">
        <f t="shared" si="48"/>
        <v>0.65200000000000002</v>
      </c>
      <c r="AS60" s="60">
        <f t="shared" si="49"/>
        <v>220</v>
      </c>
      <c r="AT60" s="61">
        <f t="shared" si="50"/>
        <v>0.68199999999999994</v>
      </c>
      <c r="AU60" s="61">
        <v>0.96030000000000004</v>
      </c>
      <c r="AV60" s="61">
        <f t="shared" si="51"/>
        <v>942.94389356541592</v>
      </c>
      <c r="AW60" s="61">
        <f t="shared" si="52"/>
        <v>855.16061383627562</v>
      </c>
      <c r="AX60" s="61">
        <f t="shared" si="53"/>
        <v>87.783279729140304</v>
      </c>
      <c r="AY60" s="60">
        <f t="shared" si="54"/>
        <v>8778.3279729140286</v>
      </c>
      <c r="AZ60" s="60">
        <f t="shared" si="40"/>
        <v>87.78327972914029</v>
      </c>
      <c r="BA60" s="62">
        <f t="shared" si="46"/>
        <v>5.8522186486093526</v>
      </c>
      <c r="BB60" s="61">
        <f t="shared" si="41"/>
        <v>5.8522186486093523E-2</v>
      </c>
      <c r="BD60" s="198"/>
      <c r="BE60" s="198"/>
    </row>
    <row r="61" spans="1:57" s="59" customFormat="1" x14ac:dyDescent="0.25">
      <c r="A61" s="59" t="s">
        <v>98</v>
      </c>
      <c r="B61" s="59" t="s">
        <v>39</v>
      </c>
      <c r="C61" s="58">
        <v>1</v>
      </c>
      <c r="D61" s="58">
        <v>100</v>
      </c>
      <c r="E61" s="58">
        <v>1500</v>
      </c>
      <c r="F61" s="58">
        <v>200</v>
      </c>
      <c r="G61" s="58">
        <v>350</v>
      </c>
      <c r="H61" s="58">
        <v>150</v>
      </c>
      <c r="I61" s="59">
        <v>850</v>
      </c>
      <c r="J61" s="59">
        <v>248</v>
      </c>
      <c r="K61" s="59">
        <v>0.628</v>
      </c>
      <c r="L61" s="59">
        <v>200</v>
      </c>
      <c r="M61" s="59">
        <v>0.67</v>
      </c>
      <c r="N61" s="59">
        <v>1000</v>
      </c>
      <c r="O61" s="59">
        <v>1000</v>
      </c>
      <c r="P61" s="59">
        <v>235</v>
      </c>
      <c r="Q61" s="59">
        <v>0.7</v>
      </c>
      <c r="R61" s="59">
        <v>200</v>
      </c>
      <c r="S61" s="59">
        <v>0.72899999999999998</v>
      </c>
      <c r="T61" s="59">
        <v>500</v>
      </c>
      <c r="AM61" s="60">
        <f t="shared" si="42"/>
        <v>1500</v>
      </c>
      <c r="AN61" s="60">
        <f t="shared" si="43"/>
        <v>81000000</v>
      </c>
      <c r="AO61" s="60">
        <f t="shared" si="44"/>
        <v>1000</v>
      </c>
      <c r="AP61" s="60">
        <f t="shared" si="45"/>
        <v>900</v>
      </c>
      <c r="AQ61" s="60">
        <f t="shared" si="47"/>
        <v>241.5</v>
      </c>
      <c r="AR61" s="61">
        <f t="shared" si="48"/>
        <v>0.65200000000000002</v>
      </c>
      <c r="AS61" s="60">
        <f t="shared" si="49"/>
        <v>200</v>
      </c>
      <c r="AT61" s="61">
        <f t="shared" si="50"/>
        <v>0.69950000000000001</v>
      </c>
      <c r="AU61" s="61">
        <v>0.95030000000000003</v>
      </c>
      <c r="AV61" s="61">
        <f t="shared" si="51"/>
        <v>942.94389356541592</v>
      </c>
      <c r="AW61" s="61">
        <f t="shared" si="52"/>
        <v>765.94548522546222</v>
      </c>
      <c r="AX61" s="61">
        <f t="shared" si="53"/>
        <v>176.9984083399537</v>
      </c>
      <c r="AY61" s="60">
        <f t="shared" si="54"/>
        <v>17699.840833995368</v>
      </c>
      <c r="AZ61" s="60">
        <f t="shared" si="40"/>
        <v>176.99840833995367</v>
      </c>
      <c r="BA61" s="62">
        <f t="shared" si="46"/>
        <v>11.799893889330246</v>
      </c>
      <c r="BB61" s="61">
        <f t="shared" si="41"/>
        <v>0.11799893889330246</v>
      </c>
      <c r="BD61" s="198"/>
      <c r="BE61" s="198"/>
    </row>
    <row r="62" spans="1:57" s="59" customFormat="1" x14ac:dyDescent="0.25">
      <c r="A62" s="57" t="s">
        <v>72</v>
      </c>
      <c r="B62" s="57" t="s">
        <v>73</v>
      </c>
      <c r="C62" s="58">
        <v>1</v>
      </c>
      <c r="D62" s="58">
        <v>100</v>
      </c>
      <c r="E62" s="58">
        <v>1250</v>
      </c>
      <c r="F62" s="58">
        <v>241</v>
      </c>
      <c r="G62" s="58">
        <v>367</v>
      </c>
      <c r="H62" s="58">
        <v>126</v>
      </c>
      <c r="I62" s="59">
        <v>1060</v>
      </c>
      <c r="J62" s="59">
        <v>258</v>
      </c>
      <c r="K62" s="59">
        <v>0.77</v>
      </c>
      <c r="L62" s="59">
        <v>241</v>
      </c>
      <c r="M62" s="59">
        <v>0.77800000000000002</v>
      </c>
      <c r="N62" s="59">
        <v>1200</v>
      </c>
      <c r="O62" s="59">
        <v>875</v>
      </c>
      <c r="P62" s="59">
        <v>276</v>
      </c>
      <c r="Q62" s="59">
        <v>0.70399999999999996</v>
      </c>
      <c r="R62" s="59">
        <v>241</v>
      </c>
      <c r="S62" s="59">
        <v>0.72499999999999998</v>
      </c>
      <c r="T62" s="59">
        <v>320</v>
      </c>
      <c r="U62" s="59">
        <v>625</v>
      </c>
      <c r="V62" s="59">
        <v>300</v>
      </c>
      <c r="W62" s="59">
        <v>0.57599999999999996</v>
      </c>
      <c r="X62" s="59">
        <v>241</v>
      </c>
      <c r="Y62" s="59">
        <v>0.61399999999999999</v>
      </c>
      <c r="Z62" s="59">
        <v>80</v>
      </c>
      <c r="AM62" s="60">
        <f t="shared" si="42"/>
        <v>1600</v>
      </c>
      <c r="AN62" s="60">
        <f t="shared" si="43"/>
        <v>96120000</v>
      </c>
      <c r="AO62" s="60">
        <f t="shared" si="44"/>
        <v>1060</v>
      </c>
      <c r="AP62" s="60">
        <f t="shared" si="45"/>
        <v>1001.25</v>
      </c>
      <c r="AQ62" s="60">
        <f t="shared" si="47"/>
        <v>278</v>
      </c>
      <c r="AR62" s="61">
        <f t="shared" si="48"/>
        <v>0.74709999999999999</v>
      </c>
      <c r="AS62" s="60">
        <f t="shared" si="49"/>
        <v>241</v>
      </c>
      <c r="AT62" s="61">
        <f t="shared" si="50"/>
        <v>0.70566666666666666</v>
      </c>
      <c r="AU62" s="64">
        <v>0.96765000000000001</v>
      </c>
      <c r="AV62" s="61">
        <f t="shared" si="51"/>
        <v>1124.1159649464958</v>
      </c>
      <c r="AW62" s="61">
        <f t="shared" si="52"/>
        <v>1066.2135430165454</v>
      </c>
      <c r="AX62" s="61">
        <f t="shared" si="53"/>
        <v>57.902421929950378</v>
      </c>
      <c r="AY62" s="60">
        <f t="shared" si="54"/>
        <v>5790.2421929950324</v>
      </c>
      <c r="AZ62" s="60">
        <f t="shared" si="40"/>
        <v>57.902421929950322</v>
      </c>
      <c r="BA62" s="62">
        <f t="shared" si="46"/>
        <v>3.6189013706218951</v>
      </c>
      <c r="BB62" s="61">
        <f t="shared" si="41"/>
        <v>3.618901370621895E-2</v>
      </c>
      <c r="BD62" s="198"/>
      <c r="BE62" s="198"/>
    </row>
    <row r="63" spans="1:57" s="59" customFormat="1" x14ac:dyDescent="0.25">
      <c r="A63" s="57" t="s">
        <v>90</v>
      </c>
      <c r="B63" s="57" t="s">
        <v>44</v>
      </c>
      <c r="C63" s="58">
        <v>1</v>
      </c>
      <c r="D63" s="58">
        <v>100</v>
      </c>
      <c r="E63" s="58">
        <v>1300</v>
      </c>
      <c r="F63" s="63">
        <v>230</v>
      </c>
      <c r="G63" s="63">
        <v>320</v>
      </c>
      <c r="H63" s="58"/>
      <c r="I63" s="59">
        <v>700</v>
      </c>
      <c r="J63" s="59">
        <v>283</v>
      </c>
      <c r="K63" s="59">
        <v>0.624</v>
      </c>
      <c r="L63" s="59">
        <v>172</v>
      </c>
      <c r="M63" s="59">
        <v>0.73</v>
      </c>
      <c r="N63" s="59">
        <v>1487</v>
      </c>
      <c r="O63" s="59">
        <v>900</v>
      </c>
      <c r="P63" s="59">
        <v>260</v>
      </c>
      <c r="Q63" s="59">
        <v>0.746</v>
      </c>
      <c r="R63" s="59">
        <v>230</v>
      </c>
      <c r="S63" s="59">
        <v>0.76400000000000001</v>
      </c>
      <c r="T63" s="59">
        <v>262</v>
      </c>
      <c r="AM63" s="60">
        <f t="shared" si="42"/>
        <v>1749</v>
      </c>
      <c r="AN63" s="60">
        <f t="shared" si="43"/>
        <v>76602000</v>
      </c>
      <c r="AO63" s="60">
        <f t="shared" si="44"/>
        <v>900</v>
      </c>
      <c r="AP63" s="60">
        <f t="shared" si="45"/>
        <v>729.9599771297884</v>
      </c>
      <c r="AQ63" s="60">
        <f t="shared" si="47"/>
        <v>271.5</v>
      </c>
      <c r="AR63" s="61">
        <f t="shared" si="48"/>
        <v>0.64227558604917101</v>
      </c>
      <c r="AS63" s="60">
        <f t="shared" si="49"/>
        <v>201</v>
      </c>
      <c r="AT63" s="61">
        <f t="shared" si="50"/>
        <v>0.747</v>
      </c>
      <c r="AU63" s="61">
        <v>0.96</v>
      </c>
      <c r="AV63" s="61">
        <f t="shared" si="51"/>
        <v>1017.7001130820368</v>
      </c>
      <c r="AW63" s="61">
        <f t="shared" si="52"/>
        <v>674.80085703447423</v>
      </c>
      <c r="AX63" s="61">
        <f t="shared" si="53"/>
        <v>342.89925604756252</v>
      </c>
      <c r="AY63" s="60">
        <f t="shared" si="54"/>
        <v>34289.925604756259</v>
      </c>
      <c r="AZ63" s="60">
        <f t="shared" si="40"/>
        <v>342.89925604756257</v>
      </c>
      <c r="BA63" s="62">
        <f t="shared" si="46"/>
        <v>19.605446314897804</v>
      </c>
      <c r="BB63" s="61">
        <f t="shared" si="41"/>
        <v>0.19605446314897804</v>
      </c>
      <c r="BD63" s="198"/>
      <c r="BE63" s="198"/>
    </row>
    <row r="64" spans="1:57" s="59" customFormat="1" x14ac:dyDescent="0.25">
      <c r="A64" s="57" t="s">
        <v>103</v>
      </c>
      <c r="B64" s="57" t="s">
        <v>73</v>
      </c>
      <c r="C64" s="58">
        <v>1</v>
      </c>
      <c r="D64" s="58">
        <v>100</v>
      </c>
      <c r="E64" s="58">
        <v>1200</v>
      </c>
      <c r="F64" s="63">
        <v>200</v>
      </c>
      <c r="G64" s="63">
        <v>350</v>
      </c>
      <c r="H64" s="58"/>
      <c r="I64" s="59">
        <v>1000</v>
      </c>
      <c r="J64" s="59">
        <v>276</v>
      </c>
      <c r="K64" s="59">
        <v>0.85599999999999998</v>
      </c>
      <c r="L64" s="59">
        <v>221</v>
      </c>
      <c r="M64" s="59">
        <v>0.85199999999999998</v>
      </c>
      <c r="N64" s="59">
        <v>310</v>
      </c>
      <c r="O64" s="59">
        <v>975</v>
      </c>
      <c r="P64" s="59">
        <v>281</v>
      </c>
      <c r="Q64" s="59">
        <v>0.85699999999999998</v>
      </c>
      <c r="R64" s="59">
        <v>220</v>
      </c>
      <c r="S64" s="59">
        <v>0.85399999999999998</v>
      </c>
      <c r="T64" s="59">
        <v>310</v>
      </c>
      <c r="U64" s="59">
        <v>840</v>
      </c>
      <c r="V64" s="59">
        <v>301</v>
      </c>
      <c r="W64" s="59">
        <v>0.85099999999999998</v>
      </c>
      <c r="X64" s="59">
        <v>215</v>
      </c>
      <c r="Y64" s="59">
        <v>0.85699999999999998</v>
      </c>
      <c r="Z64" s="59">
        <v>310</v>
      </c>
      <c r="AA64" s="59">
        <f>(675+651+644)/3</f>
        <v>656.66666666666663</v>
      </c>
      <c r="AB64" s="59">
        <f>(316+318+319)/3</f>
        <v>317.66666666666669</v>
      </c>
      <c r="AC64" s="59">
        <f>(0.812+0.803+0.8)/3</f>
        <v>0.80500000000000005</v>
      </c>
      <c r="AD64" s="59">
        <f>(312+310+309)/3</f>
        <v>310.33333333333331</v>
      </c>
      <c r="AE64" s="59">
        <f>(0.814+0.806+0.804)/3</f>
        <v>0.80800000000000016</v>
      </c>
      <c r="AF64" s="59">
        <f>170+170+170</f>
        <v>510</v>
      </c>
      <c r="AG64" s="59">
        <f>(517+322)/2</f>
        <v>419.5</v>
      </c>
      <c r="AH64" s="59">
        <f>(326+334)/2</f>
        <v>330</v>
      </c>
      <c r="AI64" s="59">
        <f>(0.73+0.549)/2</f>
        <v>0.63949999999999996</v>
      </c>
      <c r="AJ64" s="59">
        <f>(297+283)/2</f>
        <v>290</v>
      </c>
      <c r="AK64" s="59">
        <f>(0.745+0.58)/2</f>
        <v>0.66249999999999998</v>
      </c>
      <c r="AL64" s="59">
        <f>170*2</f>
        <v>340</v>
      </c>
      <c r="AM64" s="60">
        <f t="shared" si="42"/>
        <v>1780</v>
      </c>
      <c r="AN64" s="60">
        <f t="shared" si="43"/>
        <v>81010800</v>
      </c>
      <c r="AO64" s="60">
        <f t="shared" si="44"/>
        <v>1000</v>
      </c>
      <c r="AP64" s="60">
        <f t="shared" si="45"/>
        <v>758.52808988764048</v>
      </c>
      <c r="AQ64" s="60">
        <f t="shared" si="47"/>
        <v>301.13333333333333</v>
      </c>
      <c r="AR64" s="61">
        <f t="shared" si="48"/>
        <v>0.79933707865168535</v>
      </c>
      <c r="AS64" s="60">
        <f t="shared" si="49"/>
        <v>251.26666666666665</v>
      </c>
      <c r="AT64" s="61">
        <f t="shared" si="50"/>
        <v>0.80669999999999997</v>
      </c>
      <c r="AU64" s="64">
        <v>0.95408988764044933</v>
      </c>
      <c r="AV64" s="61">
        <f t="shared" si="51"/>
        <v>959.18656622092396</v>
      </c>
      <c r="AW64" s="61">
        <f t="shared" si="52"/>
        <v>831.20422823954698</v>
      </c>
      <c r="AX64" s="61">
        <f t="shared" si="53"/>
        <v>127.98233798137699</v>
      </c>
      <c r="AY64" s="60">
        <f t="shared" si="54"/>
        <v>12798.233798137693</v>
      </c>
      <c r="AZ64" s="60">
        <f t="shared" si="40"/>
        <v>127.98233798137693</v>
      </c>
      <c r="BA64" s="62">
        <f t="shared" si="46"/>
        <v>7.1900189877178056</v>
      </c>
      <c r="BB64" s="61">
        <f t="shared" si="41"/>
        <v>7.1900189877178056E-2</v>
      </c>
      <c r="BD64" s="198"/>
      <c r="BE64" s="198"/>
    </row>
    <row r="65" spans="1:57" s="59" customFormat="1" x14ac:dyDescent="0.25">
      <c r="A65" s="57" t="s">
        <v>99</v>
      </c>
      <c r="B65" s="65" t="s">
        <v>100</v>
      </c>
      <c r="C65" s="58">
        <v>1</v>
      </c>
      <c r="D65" s="58">
        <v>100</v>
      </c>
      <c r="E65" s="58">
        <v>1450</v>
      </c>
      <c r="F65" s="63">
        <v>173</v>
      </c>
      <c r="G65" s="63">
        <v>208</v>
      </c>
      <c r="H65" s="58">
        <v>35</v>
      </c>
      <c r="I65" s="59">
        <v>1425</v>
      </c>
      <c r="J65" s="59">
        <v>175</v>
      </c>
      <c r="K65" s="59">
        <v>0.77300000000000002</v>
      </c>
      <c r="L65" s="59">
        <v>175</v>
      </c>
      <c r="M65" s="59">
        <v>0.77300000000000002</v>
      </c>
      <c r="N65" s="59">
        <v>250</v>
      </c>
      <c r="O65" s="59">
        <v>1150</v>
      </c>
      <c r="P65" s="59">
        <v>192</v>
      </c>
      <c r="Q65" s="59">
        <v>0.73799999999999999</v>
      </c>
      <c r="R65" s="59">
        <v>174</v>
      </c>
      <c r="S65" s="59">
        <v>0.75</v>
      </c>
      <c r="T65" s="59">
        <v>250</v>
      </c>
      <c r="U65" s="59">
        <v>900</v>
      </c>
      <c r="V65" s="59">
        <v>199</v>
      </c>
      <c r="W65" s="59">
        <v>0.64100000000000001</v>
      </c>
      <c r="X65" s="59">
        <v>174</v>
      </c>
      <c r="Y65" s="59">
        <v>0.67</v>
      </c>
      <c r="Z65" s="59">
        <v>500</v>
      </c>
      <c r="AA65" s="59">
        <v>600</v>
      </c>
      <c r="AB65" s="59">
        <v>203</v>
      </c>
      <c r="AC65" s="59">
        <v>0.46400000000000002</v>
      </c>
      <c r="AD65" s="59">
        <v>173</v>
      </c>
      <c r="AE65" s="59">
        <v>0.496</v>
      </c>
      <c r="AF65" s="59">
        <v>1000</v>
      </c>
      <c r="AM65" s="60">
        <f t="shared" si="42"/>
        <v>2000</v>
      </c>
      <c r="AN65" s="60">
        <f t="shared" si="43"/>
        <v>101625000</v>
      </c>
      <c r="AO65" s="60">
        <f t="shared" si="44"/>
        <v>1425</v>
      </c>
      <c r="AP65" s="60">
        <f t="shared" si="45"/>
        <v>846.875</v>
      </c>
      <c r="AQ65" s="60">
        <f t="shared" si="47"/>
        <v>192.25</v>
      </c>
      <c r="AR65" s="61">
        <f t="shared" si="48"/>
        <v>0.581125</v>
      </c>
      <c r="AS65" s="60">
        <f t="shared" si="49"/>
        <v>174</v>
      </c>
      <c r="AT65" s="61">
        <f t="shared" si="50"/>
        <v>0.67225000000000001</v>
      </c>
      <c r="AU65" s="64">
        <v>0.95387500000000003</v>
      </c>
      <c r="AV65" s="61">
        <f t="shared" si="51"/>
        <v>1056.6438801651466</v>
      </c>
      <c r="AW65" s="61">
        <f t="shared" si="52"/>
        <v>866.6800976597641</v>
      </c>
      <c r="AX65" s="61">
        <f t="shared" si="53"/>
        <v>189.96378250538248</v>
      </c>
      <c r="AY65" s="60">
        <f t="shared" si="54"/>
        <v>18996.378250538233</v>
      </c>
      <c r="AZ65" s="60">
        <f t="shared" si="40"/>
        <v>189.96378250538234</v>
      </c>
      <c r="BA65" s="62">
        <f t="shared" si="46"/>
        <v>9.498189125269116</v>
      </c>
      <c r="BB65" s="61">
        <f t="shared" si="41"/>
        <v>9.4981891252691159E-2</v>
      </c>
      <c r="BD65" s="198"/>
      <c r="BE65" s="198"/>
    </row>
    <row r="66" spans="1:57" s="59" customFormat="1" x14ac:dyDescent="0.25">
      <c r="A66" s="57" t="s">
        <v>99</v>
      </c>
      <c r="B66" s="65" t="s">
        <v>100</v>
      </c>
      <c r="C66" s="58">
        <v>1</v>
      </c>
      <c r="D66" s="58">
        <v>100</v>
      </c>
      <c r="E66" s="58">
        <v>1660</v>
      </c>
      <c r="F66" s="63">
        <v>160</v>
      </c>
      <c r="G66" s="63">
        <v>190</v>
      </c>
      <c r="H66" s="58">
        <v>30</v>
      </c>
      <c r="I66" s="59">
        <v>1660</v>
      </c>
      <c r="J66" s="59">
        <v>158</v>
      </c>
      <c r="K66" s="59">
        <v>0.77200000000000002</v>
      </c>
      <c r="L66" s="59">
        <v>160</v>
      </c>
      <c r="M66" s="59">
        <v>0.77200000000000002</v>
      </c>
      <c r="N66" s="59">
        <v>250</v>
      </c>
      <c r="O66" s="59">
        <v>1200</v>
      </c>
      <c r="P66" s="59">
        <v>179</v>
      </c>
      <c r="Q66" s="59">
        <v>0.70499999999999996</v>
      </c>
      <c r="R66" s="59">
        <v>160</v>
      </c>
      <c r="S66" s="59">
        <v>0.72399999999999998</v>
      </c>
      <c r="T66" s="59">
        <v>250</v>
      </c>
      <c r="U66" s="59">
        <v>900</v>
      </c>
      <c r="V66" s="59">
        <v>184</v>
      </c>
      <c r="W66" s="59">
        <v>0.58099999999999996</v>
      </c>
      <c r="X66" s="59">
        <v>160</v>
      </c>
      <c r="Y66" s="59">
        <v>0.61099999999999999</v>
      </c>
      <c r="Z66" s="59">
        <v>500</v>
      </c>
      <c r="AA66" s="59">
        <v>600</v>
      </c>
      <c r="AB66" s="59">
        <v>186</v>
      </c>
      <c r="AC66" s="59">
        <v>0.41099999999999998</v>
      </c>
      <c r="AD66" s="59">
        <v>160</v>
      </c>
      <c r="AE66" s="59">
        <v>0.439</v>
      </c>
      <c r="AF66" s="59">
        <v>1000</v>
      </c>
      <c r="AM66" s="60">
        <f t="shared" si="42"/>
        <v>2000</v>
      </c>
      <c r="AN66" s="60">
        <f t="shared" si="43"/>
        <v>105900000</v>
      </c>
      <c r="AO66" s="60">
        <f t="shared" si="44"/>
        <v>1660</v>
      </c>
      <c r="AP66" s="60">
        <f t="shared" si="45"/>
        <v>882.5</v>
      </c>
      <c r="AQ66" s="60">
        <f t="shared" si="47"/>
        <v>176.75</v>
      </c>
      <c r="AR66" s="61">
        <f t="shared" si="48"/>
        <v>0.53537500000000005</v>
      </c>
      <c r="AS66" s="60">
        <f t="shared" si="49"/>
        <v>160</v>
      </c>
      <c r="AT66" s="61">
        <f t="shared" si="50"/>
        <v>0.63650000000000007</v>
      </c>
      <c r="AU66" s="64">
        <v>0.95399999999999996</v>
      </c>
      <c r="AV66" s="61">
        <f t="shared" si="51"/>
        <v>1098.8251457132826</v>
      </c>
      <c r="AW66" s="61">
        <f t="shared" si="52"/>
        <v>877.001738409219</v>
      </c>
      <c r="AX66" s="61">
        <f t="shared" si="53"/>
        <v>221.82340730406361</v>
      </c>
      <c r="AY66" s="60">
        <f t="shared" si="54"/>
        <v>22182.340730406355</v>
      </c>
      <c r="AZ66" s="60">
        <f t="shared" si="40"/>
        <v>221.82340730406355</v>
      </c>
      <c r="BA66" s="62">
        <f t="shared" si="46"/>
        <v>11.091170365203178</v>
      </c>
      <c r="BB66" s="61">
        <f t="shared" si="41"/>
        <v>0.11091170365203178</v>
      </c>
      <c r="BD66" s="198"/>
      <c r="BE66" s="198"/>
    </row>
    <row r="67" spans="1:57" s="59" customFormat="1" x14ac:dyDescent="0.25">
      <c r="A67" s="57" t="s">
        <v>80</v>
      </c>
      <c r="B67" s="57" t="s">
        <v>81</v>
      </c>
      <c r="C67" s="58">
        <v>1</v>
      </c>
      <c r="D67" s="58">
        <v>100</v>
      </c>
      <c r="E67" s="58">
        <v>2340</v>
      </c>
      <c r="F67" s="63">
        <v>106</v>
      </c>
      <c r="G67" s="63">
        <v>228</v>
      </c>
      <c r="H67" s="58"/>
      <c r="I67" s="59">
        <v>2430</v>
      </c>
      <c r="J67" s="59">
        <v>128</v>
      </c>
      <c r="K67" s="59">
        <v>0.81200000000000006</v>
      </c>
      <c r="L67" s="59">
        <v>106</v>
      </c>
      <c r="M67" s="59">
        <v>0.77900000000000003</v>
      </c>
      <c r="N67" s="59">
        <v>700</v>
      </c>
      <c r="O67" s="59">
        <v>1787</v>
      </c>
      <c r="P67" s="59">
        <v>159</v>
      </c>
      <c r="Q67" s="59">
        <v>0.83099999999999996</v>
      </c>
      <c r="R67" s="59">
        <v>106</v>
      </c>
      <c r="S67" s="59">
        <v>0.84299999999999997</v>
      </c>
      <c r="T67" s="59">
        <v>700</v>
      </c>
      <c r="U67" s="59">
        <v>1753</v>
      </c>
      <c r="V67" s="59">
        <v>161</v>
      </c>
      <c r="W67" s="59">
        <v>0.82699999999999996</v>
      </c>
      <c r="X67" s="59">
        <v>106</v>
      </c>
      <c r="Y67" s="59">
        <v>0.84499999999999997</v>
      </c>
      <c r="Z67" s="59">
        <v>700</v>
      </c>
      <c r="AM67" s="60">
        <f t="shared" si="42"/>
        <v>2100</v>
      </c>
      <c r="AN67" s="60">
        <f t="shared" si="43"/>
        <v>250740000</v>
      </c>
      <c r="AO67" s="60">
        <f t="shared" si="44"/>
        <v>2430</v>
      </c>
      <c r="AP67" s="60">
        <f t="shared" si="45"/>
        <v>1990</v>
      </c>
      <c r="AQ67" s="60">
        <f t="shared" si="47"/>
        <v>149.33333333333334</v>
      </c>
      <c r="AR67" s="61">
        <f t="shared" si="48"/>
        <v>0.82333333333333336</v>
      </c>
      <c r="AS67" s="60">
        <f t="shared" si="49"/>
        <v>106</v>
      </c>
      <c r="AT67" s="61">
        <f t="shared" si="50"/>
        <v>0.82233333333333336</v>
      </c>
      <c r="AU67" s="64">
        <v>0.96</v>
      </c>
      <c r="AV67" s="61">
        <f t="shared" si="51"/>
        <v>1429.3414113957992</v>
      </c>
      <c r="AW67" s="61">
        <f t="shared" si="52"/>
        <v>1058.1363969001536</v>
      </c>
      <c r="AX67" s="61">
        <f t="shared" si="53"/>
        <v>371.20501449564563</v>
      </c>
      <c r="AY67" s="60">
        <f t="shared" si="54"/>
        <v>37120.501449564545</v>
      </c>
      <c r="AZ67" s="60">
        <f t="shared" ref="AZ67:AZ98" si="55">AY67/D67</f>
        <v>371.20501449564546</v>
      </c>
      <c r="BA67" s="62">
        <f t="shared" si="46"/>
        <v>17.676429261697404</v>
      </c>
      <c r="BB67" s="61">
        <f t="shared" ref="BB67:BB98" si="56">BA67/D67</f>
        <v>0.17676429261697404</v>
      </c>
      <c r="BD67" s="198"/>
      <c r="BE67" s="198"/>
    </row>
    <row r="68" spans="1:57" s="59" customFormat="1" x14ac:dyDescent="0.25">
      <c r="A68" s="57" t="s">
        <v>101</v>
      </c>
      <c r="B68" s="57" t="s">
        <v>102</v>
      </c>
      <c r="C68" s="58">
        <v>1</v>
      </c>
      <c r="D68" s="58">
        <v>100</v>
      </c>
      <c r="E68" s="58">
        <v>1420</v>
      </c>
      <c r="F68" s="63">
        <v>99</v>
      </c>
      <c r="G68" s="63">
        <v>403</v>
      </c>
      <c r="H68" s="58">
        <v>304</v>
      </c>
      <c r="I68" s="59">
        <v>1000</v>
      </c>
      <c r="J68" s="59">
        <v>270</v>
      </c>
      <c r="K68" s="59">
        <v>0.82299999999999995</v>
      </c>
      <c r="L68" s="59">
        <v>265</v>
      </c>
      <c r="M68" s="59">
        <v>0.82199999999999995</v>
      </c>
      <c r="N68" s="59">
        <v>600</v>
      </c>
      <c r="O68" s="59">
        <v>1000</v>
      </c>
      <c r="P68" s="59">
        <v>270</v>
      </c>
      <c r="Q68" s="59">
        <v>0.82299999999999995</v>
      </c>
      <c r="R68" s="59">
        <v>99</v>
      </c>
      <c r="S68" s="59">
        <v>0.68600000000000005</v>
      </c>
      <c r="T68" s="59">
        <v>1800</v>
      </c>
      <c r="AM68" s="60">
        <f t="shared" si="42"/>
        <v>2400</v>
      </c>
      <c r="AN68" s="60">
        <f t="shared" si="43"/>
        <v>144000000</v>
      </c>
      <c r="AO68" s="60">
        <f t="shared" si="44"/>
        <v>1000</v>
      </c>
      <c r="AP68" s="60">
        <f t="shared" si="45"/>
        <v>1000</v>
      </c>
      <c r="AQ68" s="60">
        <f t="shared" si="47"/>
        <v>270</v>
      </c>
      <c r="AR68" s="61">
        <f t="shared" si="48"/>
        <v>0.82299999999999995</v>
      </c>
      <c r="AS68" s="60">
        <f t="shared" si="49"/>
        <v>182</v>
      </c>
      <c r="AT68" s="61">
        <f t="shared" si="50"/>
        <v>0.754</v>
      </c>
      <c r="AU68" s="64">
        <v>0.93700000000000006</v>
      </c>
      <c r="AV68" s="61">
        <f t="shared" si="51"/>
        <v>1484.7649785551148</v>
      </c>
      <c r="AW68" s="61">
        <f t="shared" si="52"/>
        <v>1165.8810340678608</v>
      </c>
      <c r="AX68" s="61">
        <f t="shared" si="53"/>
        <v>318.88394448725398</v>
      </c>
      <c r="AY68" s="60">
        <f t="shared" si="54"/>
        <v>31888.394448725394</v>
      </c>
      <c r="AZ68" s="60">
        <f t="shared" si="55"/>
        <v>318.88394448725393</v>
      </c>
      <c r="BA68" s="62">
        <f t="shared" si="46"/>
        <v>13.286831020302248</v>
      </c>
      <c r="BB68" s="61">
        <f t="shared" si="56"/>
        <v>0.13286831020302248</v>
      </c>
      <c r="BD68" s="198"/>
      <c r="BE68" s="198"/>
    </row>
    <row r="69" spans="1:57" s="59" customFormat="1" x14ac:dyDescent="0.25">
      <c r="A69" s="57" t="s">
        <v>104</v>
      </c>
      <c r="B69" s="57" t="s">
        <v>39</v>
      </c>
      <c r="C69" s="58">
        <v>1</v>
      </c>
      <c r="D69" s="58">
        <v>100</v>
      </c>
      <c r="E69" s="58">
        <v>800</v>
      </c>
      <c r="F69" s="63">
        <v>285</v>
      </c>
      <c r="G69" s="63">
        <v>515</v>
      </c>
      <c r="H69" s="58"/>
      <c r="I69" s="59">
        <v>500</v>
      </c>
      <c r="J69" s="59">
        <v>415</v>
      </c>
      <c r="K69" s="59">
        <v>0.751</v>
      </c>
      <c r="L69" s="59">
        <v>295</v>
      </c>
      <c r="M69" s="59">
        <v>0.78600000000000003</v>
      </c>
      <c r="N69" s="59">
        <v>1250</v>
      </c>
      <c r="O69" s="59">
        <v>650</v>
      </c>
      <c r="P69" s="59">
        <v>373</v>
      </c>
      <c r="Q69" s="59">
        <v>0.80600000000000005</v>
      </c>
      <c r="R69" s="59">
        <v>302</v>
      </c>
      <c r="S69" s="59">
        <v>0.81399999999999995</v>
      </c>
      <c r="T69" s="59">
        <v>750</v>
      </c>
      <c r="U69" s="59">
        <v>800</v>
      </c>
      <c r="V69" s="59">
        <v>312</v>
      </c>
      <c r="W69" s="59">
        <v>0.81799999999999995</v>
      </c>
      <c r="X69" s="59">
        <v>310</v>
      </c>
      <c r="Y69" s="59">
        <v>0.81799999999999995</v>
      </c>
      <c r="Z69" s="59">
        <v>500</v>
      </c>
      <c r="AM69" s="60">
        <f t="shared" si="42"/>
        <v>2500</v>
      </c>
      <c r="AN69" s="60">
        <f t="shared" si="43"/>
        <v>90750000</v>
      </c>
      <c r="AO69" s="60">
        <f t="shared" si="44"/>
        <v>800</v>
      </c>
      <c r="AP69" s="60">
        <f t="shared" si="45"/>
        <v>605</v>
      </c>
      <c r="AQ69" s="60">
        <f t="shared" si="47"/>
        <v>366.66666666666669</v>
      </c>
      <c r="AR69" s="61">
        <f t="shared" si="48"/>
        <v>0.78090000000000004</v>
      </c>
      <c r="AS69" s="60">
        <f t="shared" si="49"/>
        <v>302.33333333333331</v>
      </c>
      <c r="AT69" s="61">
        <f t="shared" si="50"/>
        <v>0.80600000000000005</v>
      </c>
      <c r="AU69" s="64">
        <v>0.94820000000000004</v>
      </c>
      <c r="AV69" s="61">
        <f t="shared" si="51"/>
        <v>1339.226195108243</v>
      </c>
      <c r="AW69" s="61">
        <f t="shared" si="52"/>
        <v>1128.3113774625824</v>
      </c>
      <c r="AX69" s="61">
        <f t="shared" si="53"/>
        <v>210.91481764566061</v>
      </c>
      <c r="AY69" s="60">
        <f t="shared" si="54"/>
        <v>21091.481764566055</v>
      </c>
      <c r="AZ69" s="60">
        <f t="shared" si="55"/>
        <v>210.91481764566055</v>
      </c>
      <c r="BA69" s="62">
        <f t="shared" si="46"/>
        <v>8.4365927058264223</v>
      </c>
      <c r="BB69" s="61">
        <f t="shared" si="56"/>
        <v>8.436592705826422E-2</v>
      </c>
      <c r="BD69" s="198"/>
      <c r="BE69" s="198"/>
    </row>
    <row r="70" spans="1:57" s="59" customFormat="1" x14ac:dyDescent="0.25">
      <c r="A70" s="57" t="s">
        <v>105</v>
      </c>
      <c r="B70" s="57" t="s">
        <v>56</v>
      </c>
      <c r="C70" s="58">
        <v>1</v>
      </c>
      <c r="D70" s="58">
        <v>100</v>
      </c>
      <c r="E70" s="58">
        <v>1800</v>
      </c>
      <c r="F70" s="63">
        <v>121</v>
      </c>
      <c r="G70" s="63">
        <v>237</v>
      </c>
      <c r="H70" s="58"/>
      <c r="I70" s="59">
        <v>800</v>
      </c>
      <c r="J70" s="59">
        <v>209</v>
      </c>
      <c r="K70" s="59">
        <v>0.76500000000000001</v>
      </c>
      <c r="L70" s="59">
        <v>120</v>
      </c>
      <c r="M70" s="59">
        <v>0.82399999999999995</v>
      </c>
      <c r="N70" s="59">
        <v>1000</v>
      </c>
      <c r="O70" s="59">
        <v>1600</v>
      </c>
      <c r="P70" s="59">
        <v>148</v>
      </c>
      <c r="Q70" s="59">
        <v>0.78500000000000003</v>
      </c>
      <c r="R70" s="59">
        <v>121</v>
      </c>
      <c r="S70" s="59">
        <v>0.75800000000000001</v>
      </c>
      <c r="T70" s="59">
        <v>1000</v>
      </c>
      <c r="U70" s="59">
        <v>1800</v>
      </c>
      <c r="V70" s="59">
        <v>126</v>
      </c>
      <c r="W70" s="59">
        <v>0.73099999999999998</v>
      </c>
      <c r="X70" s="59">
        <v>121</v>
      </c>
      <c r="Y70" s="59">
        <v>0.72499999999999998</v>
      </c>
      <c r="Z70" s="59">
        <v>1000</v>
      </c>
      <c r="AM70" s="60">
        <f t="shared" si="42"/>
        <v>3000</v>
      </c>
      <c r="AN70" s="60">
        <f t="shared" si="43"/>
        <v>252000000</v>
      </c>
      <c r="AO70" s="60">
        <f t="shared" si="44"/>
        <v>1800</v>
      </c>
      <c r="AP70" s="60">
        <f t="shared" si="45"/>
        <v>1400</v>
      </c>
      <c r="AQ70" s="60">
        <f t="shared" si="47"/>
        <v>161</v>
      </c>
      <c r="AR70" s="61">
        <f t="shared" si="48"/>
        <v>0.76033333333333331</v>
      </c>
      <c r="AS70" s="60">
        <f t="shared" si="49"/>
        <v>120.66666666666667</v>
      </c>
      <c r="AT70" s="61">
        <f t="shared" si="50"/>
        <v>0.76900000000000002</v>
      </c>
      <c r="AU70" s="61">
        <v>0.95</v>
      </c>
      <c r="AV70" s="61">
        <f t="shared" si="51"/>
        <v>1677.0796162433858</v>
      </c>
      <c r="AW70" s="61">
        <f t="shared" si="52"/>
        <v>1308.1851222388163</v>
      </c>
      <c r="AX70" s="61">
        <f t="shared" si="53"/>
        <v>368.89449400456942</v>
      </c>
      <c r="AY70" s="60">
        <f t="shared" si="54"/>
        <v>36889.44940045695</v>
      </c>
      <c r="AZ70" s="60">
        <f t="shared" si="55"/>
        <v>368.89449400456948</v>
      </c>
      <c r="BA70" s="62">
        <f t="shared" si="46"/>
        <v>12.296483133485649</v>
      </c>
      <c r="BB70" s="61">
        <f t="shared" si="56"/>
        <v>0.1229648313348565</v>
      </c>
      <c r="BD70" s="198"/>
      <c r="BE70" s="198"/>
    </row>
    <row r="71" spans="1:57" s="59" customFormat="1" x14ac:dyDescent="0.25">
      <c r="A71" s="57" t="s">
        <v>106</v>
      </c>
      <c r="B71" s="57" t="s">
        <v>39</v>
      </c>
      <c r="C71" s="58">
        <v>1</v>
      </c>
      <c r="D71" s="58">
        <v>100</v>
      </c>
      <c r="E71" s="58">
        <v>2780</v>
      </c>
      <c r="F71" s="63">
        <v>100</v>
      </c>
      <c r="G71" s="63">
        <v>260</v>
      </c>
      <c r="H71" s="58"/>
      <c r="I71" s="59">
        <v>2123</v>
      </c>
      <c r="J71" s="59">
        <v>155</v>
      </c>
      <c r="K71" s="59">
        <v>0.84499999999999997</v>
      </c>
      <c r="L71" s="59">
        <v>100</v>
      </c>
      <c r="M71" s="59">
        <v>0.83699999999999997</v>
      </c>
      <c r="N71" s="59">
        <v>1800</v>
      </c>
      <c r="O71" s="59">
        <v>2348</v>
      </c>
      <c r="P71" s="59">
        <v>139</v>
      </c>
      <c r="Q71" s="59">
        <v>0.84399999999999997</v>
      </c>
      <c r="R71" s="59">
        <v>100</v>
      </c>
      <c r="S71" s="59">
        <v>0.81899999999999995</v>
      </c>
      <c r="T71" s="59">
        <v>1800</v>
      </c>
      <c r="AM71" s="60">
        <f t="shared" si="42"/>
        <v>3600</v>
      </c>
      <c r="AN71" s="60">
        <f t="shared" si="43"/>
        <v>482868000</v>
      </c>
      <c r="AO71" s="60">
        <f t="shared" si="44"/>
        <v>2348</v>
      </c>
      <c r="AP71" s="60">
        <f t="shared" si="45"/>
        <v>2235.5</v>
      </c>
      <c r="AQ71" s="60">
        <f t="shared" si="47"/>
        <v>147</v>
      </c>
      <c r="AR71" s="61">
        <f t="shared" si="48"/>
        <v>0.84449999999999992</v>
      </c>
      <c r="AS71" s="60">
        <f t="shared" si="49"/>
        <v>100</v>
      </c>
      <c r="AT71" s="61">
        <f t="shared" si="50"/>
        <v>0.82799999999999996</v>
      </c>
      <c r="AU71" s="61">
        <v>0.94899999999999995</v>
      </c>
      <c r="AV71" s="61">
        <f t="shared" si="51"/>
        <v>2641.6629209043708</v>
      </c>
      <c r="AW71" s="61">
        <f t="shared" si="52"/>
        <v>1931.3597230691223</v>
      </c>
      <c r="AX71" s="61">
        <f t="shared" si="53"/>
        <v>710.30319783524851</v>
      </c>
      <c r="AY71" s="60">
        <f t="shared" si="54"/>
        <v>71030.319783524872</v>
      </c>
      <c r="AZ71" s="60">
        <f t="shared" si="55"/>
        <v>710.30319783524874</v>
      </c>
      <c r="BA71" s="62">
        <f t="shared" si="46"/>
        <v>19.730644384312466</v>
      </c>
      <c r="BB71" s="61">
        <f t="shared" si="56"/>
        <v>0.19730644384312465</v>
      </c>
      <c r="BD71" s="198"/>
      <c r="BE71" s="198"/>
    </row>
    <row r="72" spans="1:57" s="59" customFormat="1" x14ac:dyDescent="0.25">
      <c r="A72" s="66" t="s">
        <v>304</v>
      </c>
      <c r="C72" s="67">
        <v>1</v>
      </c>
      <c r="D72" s="67">
        <v>100</v>
      </c>
      <c r="AO72" s="63"/>
      <c r="AP72" s="63"/>
      <c r="AQ72" s="63"/>
      <c r="AR72" s="63"/>
      <c r="AS72" s="63"/>
      <c r="AT72" s="63"/>
      <c r="AU72" s="58"/>
      <c r="AV72" s="63"/>
      <c r="AW72" s="63"/>
      <c r="AX72" s="63"/>
      <c r="AY72" s="68">
        <v>30184</v>
      </c>
      <c r="AZ72" s="60">
        <f t="shared" si="55"/>
        <v>301.83999999999997</v>
      </c>
      <c r="BA72" s="67">
        <v>24.05</v>
      </c>
      <c r="BB72" s="61">
        <f t="shared" si="56"/>
        <v>0.24050000000000002</v>
      </c>
      <c r="BD72" s="198"/>
      <c r="BE72" s="198"/>
    </row>
    <row r="73" spans="1:57" s="59" customFormat="1" x14ac:dyDescent="0.25">
      <c r="A73" s="66" t="s">
        <v>144</v>
      </c>
      <c r="C73" s="67">
        <v>1</v>
      </c>
      <c r="D73" s="67">
        <v>100</v>
      </c>
      <c r="AO73" s="63"/>
      <c r="AP73" s="63"/>
      <c r="AQ73" s="63"/>
      <c r="AR73" s="63"/>
      <c r="AS73" s="63"/>
      <c r="AT73" s="63"/>
      <c r="AU73" s="58"/>
      <c r="AV73" s="63"/>
      <c r="AW73" s="63"/>
      <c r="AX73" s="63"/>
      <c r="AY73" s="68">
        <v>14894</v>
      </c>
      <c r="AZ73" s="60">
        <f t="shared" si="55"/>
        <v>148.94</v>
      </c>
      <c r="BA73" s="67">
        <v>20.7</v>
      </c>
      <c r="BB73" s="61">
        <f t="shared" si="56"/>
        <v>0.20699999999999999</v>
      </c>
      <c r="BD73" s="198"/>
      <c r="BE73" s="198"/>
    </row>
    <row r="74" spans="1:57" s="59" customFormat="1" x14ac:dyDescent="0.25">
      <c r="A74" s="66" t="s">
        <v>307</v>
      </c>
      <c r="C74" s="67">
        <v>1</v>
      </c>
      <c r="D74" s="67">
        <v>100</v>
      </c>
      <c r="AO74" s="63"/>
      <c r="AP74" s="63"/>
      <c r="AQ74" s="63"/>
      <c r="AR74" s="63"/>
      <c r="AS74" s="63"/>
      <c r="AT74" s="63"/>
      <c r="AU74" s="58"/>
      <c r="AV74" s="63"/>
      <c r="AW74" s="63"/>
      <c r="AX74" s="63"/>
      <c r="AY74" s="68">
        <v>19421</v>
      </c>
      <c r="AZ74" s="60">
        <f t="shared" si="55"/>
        <v>194.21</v>
      </c>
      <c r="BA74" s="67">
        <v>12.9</v>
      </c>
      <c r="BB74" s="61">
        <f t="shared" si="56"/>
        <v>0.129</v>
      </c>
      <c r="BD74" s="198"/>
      <c r="BE74" s="198"/>
    </row>
    <row r="75" spans="1:57" s="59" customFormat="1" x14ac:dyDescent="0.25">
      <c r="A75" s="66" t="s">
        <v>308</v>
      </c>
      <c r="C75" s="67">
        <v>1</v>
      </c>
      <c r="D75" s="67">
        <v>100</v>
      </c>
      <c r="AO75" s="63"/>
      <c r="AP75" s="63"/>
      <c r="AQ75" s="63"/>
      <c r="AR75" s="63"/>
      <c r="AS75" s="63"/>
      <c r="AT75" s="63"/>
      <c r="AU75" s="58"/>
      <c r="AV75" s="63"/>
      <c r="AW75" s="63"/>
      <c r="AX75" s="63"/>
      <c r="AY75" s="68">
        <v>13701</v>
      </c>
      <c r="AZ75" s="60">
        <f t="shared" si="55"/>
        <v>137.01</v>
      </c>
      <c r="BA75" s="67">
        <v>0</v>
      </c>
      <c r="BB75" s="61">
        <f t="shared" si="56"/>
        <v>0</v>
      </c>
      <c r="BD75" s="198"/>
      <c r="BE75" s="198"/>
    </row>
    <row r="76" spans="1:57" s="59" customFormat="1" x14ac:dyDescent="0.25">
      <c r="A76" s="66" t="s">
        <v>309</v>
      </c>
      <c r="C76" s="67">
        <v>1</v>
      </c>
      <c r="D76" s="67">
        <v>100</v>
      </c>
      <c r="AO76" s="63"/>
      <c r="AP76" s="63"/>
      <c r="AQ76" s="63"/>
      <c r="AR76" s="63"/>
      <c r="AS76" s="63"/>
      <c r="AT76" s="63"/>
      <c r="AU76" s="58"/>
      <c r="AV76" s="63"/>
      <c r="AW76" s="63"/>
      <c r="AX76" s="63"/>
      <c r="AY76" s="68">
        <v>13903</v>
      </c>
      <c r="AZ76" s="60">
        <f t="shared" si="55"/>
        <v>139.03</v>
      </c>
      <c r="BA76" s="67">
        <v>1.4</v>
      </c>
      <c r="BB76" s="61">
        <f t="shared" si="56"/>
        <v>1.3999999999999999E-2</v>
      </c>
      <c r="BD76" s="198"/>
      <c r="BE76" s="198"/>
    </row>
    <row r="77" spans="1:57" s="69" customFormat="1" x14ac:dyDescent="0.25">
      <c r="A77" s="69" t="s">
        <v>107</v>
      </c>
      <c r="B77" s="69" t="s">
        <v>39</v>
      </c>
      <c r="C77" s="70">
        <v>1</v>
      </c>
      <c r="D77" s="70">
        <v>125</v>
      </c>
      <c r="E77" s="70">
        <v>3000</v>
      </c>
      <c r="F77" s="71">
        <v>123</v>
      </c>
      <c r="G77" s="71">
        <v>225</v>
      </c>
      <c r="H77" s="70"/>
      <c r="I77" s="69">
        <v>2800</v>
      </c>
      <c r="J77" s="69">
        <v>132</v>
      </c>
      <c r="K77" s="69">
        <v>0.82599999999999996</v>
      </c>
      <c r="L77" s="69">
        <v>126</v>
      </c>
      <c r="M77" s="69">
        <v>0.82499999999999996</v>
      </c>
      <c r="N77" s="69">
        <v>275</v>
      </c>
      <c r="O77" s="69">
        <v>2000</v>
      </c>
      <c r="P77" s="69">
        <v>164</v>
      </c>
      <c r="Q77" s="69">
        <v>0.75600000000000001</v>
      </c>
      <c r="R77" s="69">
        <v>123</v>
      </c>
      <c r="S77" s="69">
        <v>0.79400000000000004</v>
      </c>
      <c r="T77" s="69">
        <v>275</v>
      </c>
      <c r="AM77" s="72">
        <f t="shared" ref="AM77:AM100" si="57">AL77+AF77+Z77+T77+N77</f>
        <v>550</v>
      </c>
      <c r="AN77" s="72">
        <f t="shared" ref="AN77:AN100" si="58">I77*60*N77+O77*60*T77+U77*60*Z77+AA77*60*AF77+AG77*60*AL77</f>
        <v>79200000</v>
      </c>
      <c r="AO77" s="72">
        <f t="shared" ref="AO77:AO100" si="59">MAX(AG77,AA77,U77,O77,I77)</f>
        <v>2800</v>
      </c>
      <c r="AP77" s="72">
        <f t="shared" ref="AP77:AP100" si="60">AN77/(AM77*60)</f>
        <v>2400</v>
      </c>
      <c r="AQ77" s="72">
        <f t="shared" ref="AQ77:AQ92" si="61">AVERAGE(AH77,AB77,V77,P77,J77)</f>
        <v>148</v>
      </c>
      <c r="AR77" s="73">
        <f t="shared" ref="AR77:AR92" si="62">(K77*N77+Q77*T77+W77*Z77+AC77*AF77+AI77*AL77)/AM77</f>
        <v>0.79099999999999993</v>
      </c>
      <c r="AS77" s="72">
        <f t="shared" ref="AS77:AS92" si="63">AVERAGE(AJ77,AD77,X77,R77,L77)</f>
        <v>124.5</v>
      </c>
      <c r="AT77" s="73">
        <f t="shared" ref="AT77:AT92" si="64">AVERAGE(AK77,AE77,Y77,S77,M77)</f>
        <v>0.8095</v>
      </c>
      <c r="AU77" s="73">
        <v>0.96</v>
      </c>
      <c r="AV77" s="73">
        <f t="shared" ref="AV77:AV92" si="65">((AP77*AQ77/AR77))*AM77*0.746/(3956*D77)</f>
        <v>372.59042897920108</v>
      </c>
      <c r="AW77" s="73">
        <f t="shared" ref="AW77:AW92" si="66">((AP77*AS77/(AT77*AU77)))*AM77*0.746/(3956*D77)</f>
        <v>319.02721161935091</v>
      </c>
      <c r="AX77" s="73">
        <f t="shared" ref="AX77:AX92" si="67">AV77-AW77</f>
        <v>53.563217359850171</v>
      </c>
      <c r="AY77" s="72">
        <f t="shared" ref="AY77:AY92" si="68">((AP77*AQ77/AR77)-(AP77*AS77/(AT77*AU77)))*AM77*0.746/3956</f>
        <v>6695.4021699812729</v>
      </c>
      <c r="AZ77" s="72">
        <f t="shared" si="55"/>
        <v>53.563217359850185</v>
      </c>
      <c r="BA77" s="74">
        <f t="shared" ref="BA77:BA100" si="69">AY77/AM77</f>
        <v>12.173458490875042</v>
      </c>
      <c r="BB77" s="73">
        <f t="shared" si="56"/>
        <v>9.7387667927000335E-2</v>
      </c>
      <c r="BD77" s="199">
        <f>SUM(AY77:AY104)/SUMPRODUCT(C77:D104)</f>
        <v>269.56420105902362</v>
      </c>
      <c r="BE77" s="199">
        <f>SUM(BA77:BA104)/SUMPRODUCT(C77:D104)</f>
        <v>0.14537432768099995</v>
      </c>
    </row>
    <row r="78" spans="1:57" s="69" customFormat="1" x14ac:dyDescent="0.25">
      <c r="A78" s="69" t="s">
        <v>107</v>
      </c>
      <c r="B78" s="69" t="s">
        <v>39</v>
      </c>
      <c r="C78" s="70">
        <v>1</v>
      </c>
      <c r="D78" s="70">
        <v>125</v>
      </c>
      <c r="E78" s="70">
        <v>3000</v>
      </c>
      <c r="F78" s="71">
        <v>123</v>
      </c>
      <c r="G78" s="71">
        <v>225</v>
      </c>
      <c r="H78" s="70"/>
      <c r="I78" s="69">
        <v>2800</v>
      </c>
      <c r="J78" s="69">
        <v>132</v>
      </c>
      <c r="K78" s="69">
        <v>0.82599999999999996</v>
      </c>
      <c r="L78" s="69">
        <v>126</v>
      </c>
      <c r="M78" s="69">
        <v>0.82499999999999996</v>
      </c>
      <c r="N78" s="69">
        <v>275</v>
      </c>
      <c r="O78" s="69">
        <v>2000</v>
      </c>
      <c r="P78" s="69">
        <v>164</v>
      </c>
      <c r="Q78" s="69">
        <v>0.75600000000000001</v>
      </c>
      <c r="R78" s="69">
        <v>123</v>
      </c>
      <c r="S78" s="69">
        <v>0.79400000000000004</v>
      </c>
      <c r="T78" s="69">
        <v>275</v>
      </c>
      <c r="AM78" s="72">
        <f t="shared" si="57"/>
        <v>550</v>
      </c>
      <c r="AN78" s="72">
        <f t="shared" si="58"/>
        <v>79200000</v>
      </c>
      <c r="AO78" s="72">
        <f t="shared" si="59"/>
        <v>2800</v>
      </c>
      <c r="AP78" s="72">
        <f t="shared" si="60"/>
        <v>2400</v>
      </c>
      <c r="AQ78" s="72">
        <f t="shared" si="61"/>
        <v>148</v>
      </c>
      <c r="AR78" s="73">
        <f t="shared" si="62"/>
        <v>0.79099999999999993</v>
      </c>
      <c r="AS78" s="72">
        <f t="shared" si="63"/>
        <v>124.5</v>
      </c>
      <c r="AT78" s="73">
        <f t="shared" si="64"/>
        <v>0.8095</v>
      </c>
      <c r="AU78" s="73">
        <v>0.96</v>
      </c>
      <c r="AV78" s="73">
        <f t="shared" si="65"/>
        <v>372.59042897920108</v>
      </c>
      <c r="AW78" s="73">
        <f t="shared" si="66"/>
        <v>319.02721161935091</v>
      </c>
      <c r="AX78" s="73">
        <f t="shared" si="67"/>
        <v>53.563217359850171</v>
      </c>
      <c r="AY78" s="72">
        <f t="shared" si="68"/>
        <v>6695.4021699812729</v>
      </c>
      <c r="AZ78" s="72">
        <f t="shared" si="55"/>
        <v>53.563217359850185</v>
      </c>
      <c r="BA78" s="74">
        <f t="shared" si="69"/>
        <v>12.173458490875042</v>
      </c>
      <c r="BB78" s="73">
        <f t="shared" si="56"/>
        <v>9.7387667927000335E-2</v>
      </c>
      <c r="BD78" s="199"/>
      <c r="BE78" s="199"/>
    </row>
    <row r="79" spans="1:57" s="69" customFormat="1" x14ac:dyDescent="0.25">
      <c r="A79" s="69" t="s">
        <v>108</v>
      </c>
      <c r="B79" s="69" t="s">
        <v>109</v>
      </c>
      <c r="C79" s="70">
        <v>1</v>
      </c>
      <c r="D79" s="70">
        <v>125</v>
      </c>
      <c r="E79" s="70">
        <v>1000</v>
      </c>
      <c r="F79" s="71">
        <v>221</v>
      </c>
      <c r="G79" s="71">
        <v>407</v>
      </c>
      <c r="H79" s="70"/>
      <c r="I79" s="69">
        <v>450</v>
      </c>
      <c r="J79" s="69">
        <v>358</v>
      </c>
      <c r="K79" s="69">
        <v>0.38700000000000001</v>
      </c>
      <c r="L79" s="69">
        <v>221</v>
      </c>
      <c r="M79" s="69">
        <v>0.47399999999999998</v>
      </c>
      <c r="N79" s="69">
        <v>90</v>
      </c>
      <c r="O79" s="69">
        <v>900</v>
      </c>
      <c r="P79" s="69">
        <f>(337+326)/2</f>
        <v>331.5</v>
      </c>
      <c r="Q79" s="69">
        <f>(0.681+0.824)/2</f>
        <v>0.75249999999999995</v>
      </c>
      <c r="R79" s="69">
        <v>221</v>
      </c>
      <c r="S79" s="69">
        <f>(0.721+0.803)/2</f>
        <v>0.76200000000000001</v>
      </c>
      <c r="T79" s="69">
        <f>90+95</f>
        <v>185</v>
      </c>
      <c r="U79" s="69">
        <v>1000</v>
      </c>
      <c r="V79" s="69">
        <v>326</v>
      </c>
      <c r="W79" s="69">
        <v>0.73299999999999998</v>
      </c>
      <c r="X79" s="69">
        <v>279</v>
      </c>
      <c r="Y79" s="69">
        <v>0.76400000000000001</v>
      </c>
      <c r="Z79" s="69">
        <v>100</v>
      </c>
      <c r="AA79" s="69">
        <v>1400</v>
      </c>
      <c r="AB79" s="69">
        <v>294</v>
      </c>
      <c r="AC79" s="69">
        <v>0.84399999999999997</v>
      </c>
      <c r="AD79" s="69">
        <v>279</v>
      </c>
      <c r="AE79" s="69">
        <v>0.84599999999999997</v>
      </c>
      <c r="AF79" s="69">
        <v>200</v>
      </c>
      <c r="AG79" s="69">
        <v>1506</v>
      </c>
      <c r="AH79" s="69">
        <v>281</v>
      </c>
      <c r="AI79" s="69">
        <v>0.84799999999999998</v>
      </c>
      <c r="AJ79" s="69">
        <v>279</v>
      </c>
      <c r="AK79" s="69">
        <v>0.84799999999999998</v>
      </c>
      <c r="AL79" s="69">
        <v>100</v>
      </c>
      <c r="AM79" s="72">
        <f t="shared" si="57"/>
        <v>675</v>
      </c>
      <c r="AN79" s="72">
        <f t="shared" si="58"/>
        <v>44256000</v>
      </c>
      <c r="AO79" s="72">
        <f t="shared" si="59"/>
        <v>1506</v>
      </c>
      <c r="AP79" s="72">
        <f t="shared" si="60"/>
        <v>1092.7407407407406</v>
      </c>
      <c r="AQ79" s="72">
        <f t="shared" si="61"/>
        <v>318.10000000000002</v>
      </c>
      <c r="AR79" s="73">
        <f t="shared" si="62"/>
        <v>0.74213703703703693</v>
      </c>
      <c r="AS79" s="72">
        <f t="shared" si="63"/>
        <v>255.8</v>
      </c>
      <c r="AT79" s="73">
        <f t="shared" si="64"/>
        <v>0.73880000000000001</v>
      </c>
      <c r="AU79" s="75">
        <v>0.94868888888888891</v>
      </c>
      <c r="AV79" s="73">
        <f t="shared" si="65"/>
        <v>476.95016426089404</v>
      </c>
      <c r="AW79" s="73">
        <f t="shared" si="66"/>
        <v>406.10962147414671</v>
      </c>
      <c r="AX79" s="73">
        <f t="shared" si="67"/>
        <v>70.840542786747335</v>
      </c>
      <c r="AY79" s="72">
        <f t="shared" si="68"/>
        <v>8855.0678483434149</v>
      </c>
      <c r="AZ79" s="72">
        <f t="shared" si="55"/>
        <v>70.840542786747321</v>
      </c>
      <c r="BA79" s="74">
        <f t="shared" si="69"/>
        <v>13.118619034582837</v>
      </c>
      <c r="BB79" s="73">
        <f t="shared" si="56"/>
        <v>0.10494895227666269</v>
      </c>
      <c r="BD79" s="199"/>
      <c r="BE79" s="199"/>
    </row>
    <row r="80" spans="1:57" s="69" customFormat="1" x14ac:dyDescent="0.25">
      <c r="A80" s="69" t="s">
        <v>110</v>
      </c>
      <c r="B80" s="69" t="s">
        <v>102</v>
      </c>
      <c r="C80" s="70">
        <v>1</v>
      </c>
      <c r="D80" s="70">
        <v>125</v>
      </c>
      <c r="E80" s="70">
        <v>1000</v>
      </c>
      <c r="F80" s="71">
        <v>206</v>
      </c>
      <c r="G80" s="71">
        <v>375</v>
      </c>
      <c r="H80" s="70"/>
      <c r="I80" s="69">
        <v>1000</v>
      </c>
      <c r="J80" s="69">
        <v>345</v>
      </c>
      <c r="K80" s="69">
        <v>0.8</v>
      </c>
      <c r="L80" s="69">
        <v>234</v>
      </c>
      <c r="M80" s="69">
        <v>0.84699999999999998</v>
      </c>
      <c r="N80" s="69">
        <v>700</v>
      </c>
      <c r="AM80" s="72">
        <f t="shared" si="57"/>
        <v>700</v>
      </c>
      <c r="AN80" s="72">
        <f t="shared" si="58"/>
        <v>42000000</v>
      </c>
      <c r="AO80" s="72">
        <f t="shared" si="59"/>
        <v>1000</v>
      </c>
      <c r="AP80" s="72">
        <f t="shared" si="60"/>
        <v>1000</v>
      </c>
      <c r="AQ80" s="72">
        <f t="shared" si="61"/>
        <v>345</v>
      </c>
      <c r="AR80" s="73">
        <f t="shared" si="62"/>
        <v>0.8</v>
      </c>
      <c r="AS80" s="72">
        <f t="shared" si="63"/>
        <v>234</v>
      </c>
      <c r="AT80" s="73">
        <f t="shared" si="64"/>
        <v>0.84699999999999998</v>
      </c>
      <c r="AU80" s="75">
        <v>0.94910714285714282</v>
      </c>
      <c r="AV80" s="73">
        <f t="shared" si="65"/>
        <v>455.40697674418607</v>
      </c>
      <c r="AW80" s="73">
        <f t="shared" si="66"/>
        <v>307.38861403271602</v>
      </c>
      <c r="AX80" s="73">
        <f t="shared" si="67"/>
        <v>148.01836271147005</v>
      </c>
      <c r="AY80" s="72">
        <f t="shared" si="68"/>
        <v>18502.295338933749</v>
      </c>
      <c r="AZ80" s="72">
        <f t="shared" si="55"/>
        <v>148.01836271146999</v>
      </c>
      <c r="BA80" s="74">
        <f t="shared" si="69"/>
        <v>26.43185048419107</v>
      </c>
      <c r="BB80" s="73">
        <f t="shared" si="56"/>
        <v>0.21145480387352855</v>
      </c>
      <c r="BD80" s="199"/>
      <c r="BE80" s="199"/>
    </row>
    <row r="81" spans="1:57" s="69" customFormat="1" x14ac:dyDescent="0.25">
      <c r="A81" s="69" t="s">
        <v>111</v>
      </c>
      <c r="B81" s="69" t="s">
        <v>112</v>
      </c>
      <c r="C81" s="70">
        <v>1</v>
      </c>
      <c r="D81" s="70">
        <v>125</v>
      </c>
      <c r="E81" s="70">
        <v>1500</v>
      </c>
      <c r="F81" s="71">
        <v>229</v>
      </c>
      <c r="G81" s="71">
        <v>415</v>
      </c>
      <c r="H81" s="70"/>
      <c r="I81" s="69">
        <f>(700+1000)/2</f>
        <v>850</v>
      </c>
      <c r="J81" s="69">
        <f>(319+298)/2</f>
        <v>308.5</v>
      </c>
      <c r="K81" s="69">
        <f>(0.532+0.691)/2</f>
        <v>0.61149999999999993</v>
      </c>
      <c r="L81" s="69">
        <v>229</v>
      </c>
      <c r="M81" s="69">
        <f>(0.599+0.741)/2</f>
        <v>0.66999999999999993</v>
      </c>
      <c r="N81" s="69">
        <f>134*2</f>
        <v>268</v>
      </c>
      <c r="O81" s="69">
        <v>1500</v>
      </c>
      <c r="P81" s="69">
        <v>262</v>
      </c>
      <c r="Q81" s="69">
        <v>0.82699999999999996</v>
      </c>
      <c r="R81" s="69">
        <v>229</v>
      </c>
      <c r="S81" s="69">
        <v>0.83199999999999996</v>
      </c>
      <c r="T81" s="69">
        <v>134</v>
      </c>
      <c r="U81" s="69">
        <f>(700+1000)/2</f>
        <v>850</v>
      </c>
      <c r="V81" s="69">
        <f>(319+298)/2</f>
        <v>308.5</v>
      </c>
      <c r="W81" s="69">
        <f>(0.532+0.691)/2</f>
        <v>0.61149999999999993</v>
      </c>
      <c r="X81" s="69">
        <v>259</v>
      </c>
      <c r="Y81" s="69">
        <f>(0.574+0.718)/2</f>
        <v>0.64599999999999991</v>
      </c>
      <c r="Z81" s="69">
        <f>134*2</f>
        <v>268</v>
      </c>
      <c r="AA81" s="69">
        <v>1500</v>
      </c>
      <c r="AB81" s="69">
        <v>262</v>
      </c>
      <c r="AC81" s="69">
        <v>0.82699999999999996</v>
      </c>
      <c r="AD81" s="69">
        <v>259</v>
      </c>
      <c r="AE81" s="69">
        <v>0.82799999999999996</v>
      </c>
      <c r="AF81" s="69">
        <v>134</v>
      </c>
      <c r="AM81" s="72">
        <f t="shared" si="57"/>
        <v>804</v>
      </c>
      <c r="AN81" s="72">
        <f t="shared" si="58"/>
        <v>51456000</v>
      </c>
      <c r="AO81" s="72">
        <f t="shared" si="59"/>
        <v>1500</v>
      </c>
      <c r="AP81" s="72">
        <f t="shared" si="60"/>
        <v>1066.6666666666667</v>
      </c>
      <c r="AQ81" s="72">
        <f t="shared" si="61"/>
        <v>285.25</v>
      </c>
      <c r="AR81" s="73">
        <f t="shared" si="62"/>
        <v>0.68333333333333335</v>
      </c>
      <c r="AS81" s="72">
        <f t="shared" si="63"/>
        <v>244</v>
      </c>
      <c r="AT81" s="73">
        <f t="shared" si="64"/>
        <v>0.74399999999999988</v>
      </c>
      <c r="AU81" s="75">
        <v>0.9508333333333332</v>
      </c>
      <c r="AV81" s="73">
        <f t="shared" si="65"/>
        <v>540.07036938025601</v>
      </c>
      <c r="AW81" s="73">
        <f t="shared" si="66"/>
        <v>446.24133513087162</v>
      </c>
      <c r="AX81" s="73">
        <f t="shared" si="67"/>
        <v>93.829034249384392</v>
      </c>
      <c r="AY81" s="72">
        <f t="shared" si="68"/>
        <v>11728.629281173051</v>
      </c>
      <c r="AZ81" s="72">
        <f t="shared" si="55"/>
        <v>93.829034249384407</v>
      </c>
      <c r="BA81" s="74">
        <f t="shared" si="69"/>
        <v>14.587847364643098</v>
      </c>
      <c r="BB81" s="73">
        <f t="shared" si="56"/>
        <v>0.11670277891714478</v>
      </c>
      <c r="BD81" s="199"/>
      <c r="BE81" s="199"/>
    </row>
    <row r="82" spans="1:57" s="69" customFormat="1" x14ac:dyDescent="0.25">
      <c r="A82" s="69" t="s">
        <v>92</v>
      </c>
      <c r="B82" s="69" t="s">
        <v>93</v>
      </c>
      <c r="C82" s="70">
        <v>1</v>
      </c>
      <c r="D82" s="70">
        <v>125</v>
      </c>
      <c r="E82" s="70">
        <v>1200</v>
      </c>
      <c r="F82" s="71">
        <v>326</v>
      </c>
      <c r="G82" s="71">
        <v>435</v>
      </c>
      <c r="H82" s="70"/>
      <c r="I82" s="69">
        <v>1070</v>
      </c>
      <c r="J82" s="69">
        <v>366</v>
      </c>
      <c r="K82" s="69">
        <v>0.83</v>
      </c>
      <c r="L82" s="69">
        <v>326</v>
      </c>
      <c r="M82" s="69">
        <v>0.84</v>
      </c>
      <c r="N82" s="69">
        <v>205</v>
      </c>
      <c r="O82" s="69">
        <v>1089</v>
      </c>
      <c r="P82" s="69">
        <v>364</v>
      </c>
      <c r="Q82" s="69">
        <v>0.83399999999999996</v>
      </c>
      <c r="R82" s="69">
        <v>326</v>
      </c>
      <c r="S82" s="69">
        <v>0.84299999999999997</v>
      </c>
      <c r="T82" s="69">
        <v>205</v>
      </c>
      <c r="U82" s="69">
        <v>1200</v>
      </c>
      <c r="V82" s="69">
        <v>346</v>
      </c>
      <c r="W82" s="69">
        <v>0.85</v>
      </c>
      <c r="X82" s="69">
        <v>326</v>
      </c>
      <c r="Y82" s="69">
        <v>0.85199999999999998</v>
      </c>
      <c r="Z82" s="69">
        <v>410</v>
      </c>
      <c r="AM82" s="72">
        <f t="shared" si="57"/>
        <v>820</v>
      </c>
      <c r="AN82" s="72">
        <f t="shared" si="58"/>
        <v>56075700</v>
      </c>
      <c r="AO82" s="72">
        <f t="shared" si="59"/>
        <v>1200</v>
      </c>
      <c r="AP82" s="72">
        <f t="shared" si="60"/>
        <v>1139.75</v>
      </c>
      <c r="AQ82" s="72">
        <f t="shared" si="61"/>
        <v>358.66666666666669</v>
      </c>
      <c r="AR82" s="73">
        <f t="shared" si="62"/>
        <v>0.84099999999999997</v>
      </c>
      <c r="AS82" s="72">
        <f t="shared" si="63"/>
        <v>326</v>
      </c>
      <c r="AT82" s="73">
        <f t="shared" si="64"/>
        <v>0.84499999999999986</v>
      </c>
      <c r="AU82" s="73">
        <v>0.96499999999999997</v>
      </c>
      <c r="AV82" s="73">
        <f t="shared" si="65"/>
        <v>601.29972553418565</v>
      </c>
      <c r="AW82" s="73">
        <f t="shared" si="66"/>
        <v>563.67602413686109</v>
      </c>
      <c r="AX82" s="73">
        <f t="shared" si="67"/>
        <v>37.623701397324567</v>
      </c>
      <c r="AY82" s="72">
        <f t="shared" si="68"/>
        <v>4702.9626746655767</v>
      </c>
      <c r="AZ82" s="72">
        <f t="shared" si="55"/>
        <v>37.623701397324616</v>
      </c>
      <c r="BA82" s="74">
        <f t="shared" si="69"/>
        <v>5.7353203349580202</v>
      </c>
      <c r="BB82" s="73">
        <f t="shared" si="56"/>
        <v>4.588256267966416E-2</v>
      </c>
      <c r="BD82" s="199"/>
      <c r="BE82" s="199"/>
    </row>
    <row r="83" spans="1:57" s="69" customFormat="1" x14ac:dyDescent="0.25">
      <c r="A83" s="69" t="s">
        <v>41</v>
      </c>
      <c r="B83" s="69" t="s">
        <v>113</v>
      </c>
      <c r="C83" s="70">
        <v>1</v>
      </c>
      <c r="D83" s="70">
        <v>125</v>
      </c>
      <c r="E83" s="70">
        <v>950</v>
      </c>
      <c r="F83" s="70">
        <v>410</v>
      </c>
      <c r="G83" s="70">
        <v>550</v>
      </c>
      <c r="H83" s="70">
        <v>140</v>
      </c>
      <c r="I83" s="69">
        <v>873</v>
      </c>
      <c r="J83" s="69">
        <v>427</v>
      </c>
      <c r="K83" s="69">
        <v>0.82</v>
      </c>
      <c r="L83" s="69">
        <v>410</v>
      </c>
      <c r="M83" s="69">
        <v>0.82299999999999995</v>
      </c>
      <c r="N83" s="69">
        <v>700</v>
      </c>
      <c r="O83" s="69">
        <v>569</v>
      </c>
      <c r="P83" s="69">
        <v>479</v>
      </c>
      <c r="Q83" s="69">
        <v>0.69399999999999995</v>
      </c>
      <c r="R83" s="69">
        <v>410</v>
      </c>
      <c r="S83" s="69">
        <v>0.72</v>
      </c>
      <c r="T83" s="69">
        <v>700</v>
      </c>
      <c r="AM83" s="72">
        <f t="shared" si="57"/>
        <v>1400</v>
      </c>
      <c r="AN83" s="72">
        <f t="shared" si="58"/>
        <v>60564000</v>
      </c>
      <c r="AO83" s="72">
        <f t="shared" si="59"/>
        <v>873</v>
      </c>
      <c r="AP83" s="72">
        <f t="shared" si="60"/>
        <v>721</v>
      </c>
      <c r="AQ83" s="72">
        <f t="shared" si="61"/>
        <v>453</v>
      </c>
      <c r="AR83" s="73">
        <f t="shared" si="62"/>
        <v>0.75700000000000001</v>
      </c>
      <c r="AS83" s="72">
        <f t="shared" si="63"/>
        <v>410</v>
      </c>
      <c r="AT83" s="73">
        <f t="shared" si="64"/>
        <v>0.77149999999999996</v>
      </c>
      <c r="AU83" s="75">
        <v>0.96650000000000003</v>
      </c>
      <c r="AV83" s="73">
        <f t="shared" si="65"/>
        <v>911.25128647620511</v>
      </c>
      <c r="AW83" s="73">
        <f t="shared" si="66"/>
        <v>837.30155910902795</v>
      </c>
      <c r="AX83" s="73">
        <f t="shared" si="67"/>
        <v>73.949727367177161</v>
      </c>
      <c r="AY83" s="72">
        <f t="shared" si="68"/>
        <v>9243.715920897148</v>
      </c>
      <c r="AZ83" s="72">
        <f t="shared" si="55"/>
        <v>73.949727367177189</v>
      </c>
      <c r="BA83" s="74">
        <f t="shared" si="69"/>
        <v>6.6026542292122485</v>
      </c>
      <c r="BB83" s="73">
        <f t="shared" si="56"/>
        <v>5.2821233833697988E-2</v>
      </c>
      <c r="BD83" s="199"/>
      <c r="BE83" s="199"/>
    </row>
    <row r="84" spans="1:57" s="69" customFormat="1" x14ac:dyDescent="0.25">
      <c r="A84" s="69" t="s">
        <v>114</v>
      </c>
      <c r="B84" s="69" t="s">
        <v>115</v>
      </c>
      <c r="C84" s="70">
        <v>1</v>
      </c>
      <c r="D84" s="70">
        <v>125</v>
      </c>
      <c r="E84" s="70">
        <v>2000</v>
      </c>
      <c r="F84" s="71">
        <v>175</v>
      </c>
      <c r="G84" s="71">
        <v>545</v>
      </c>
      <c r="H84" s="70"/>
      <c r="I84" s="69">
        <v>2000</v>
      </c>
      <c r="J84" s="69">
        <v>172</v>
      </c>
      <c r="K84" s="69">
        <v>0.67400000000000004</v>
      </c>
      <c r="L84" s="69">
        <v>175</v>
      </c>
      <c r="M84" s="69">
        <v>0.67600000000000005</v>
      </c>
      <c r="N84" s="69">
        <v>75</v>
      </c>
      <c r="O84" s="69">
        <v>1400</v>
      </c>
      <c r="P84" s="69">
        <v>316</v>
      </c>
      <c r="Q84" s="69">
        <v>0.82</v>
      </c>
      <c r="R84" s="69">
        <v>185</v>
      </c>
      <c r="S84" s="69">
        <v>0.79700000000000004</v>
      </c>
      <c r="T84" s="69">
        <v>1400</v>
      </c>
      <c r="AM84" s="72">
        <f t="shared" si="57"/>
        <v>1475</v>
      </c>
      <c r="AN84" s="72">
        <f t="shared" si="58"/>
        <v>126600000</v>
      </c>
      <c r="AO84" s="72">
        <f t="shared" si="59"/>
        <v>2000</v>
      </c>
      <c r="AP84" s="72">
        <f t="shared" si="60"/>
        <v>1430.5084745762713</v>
      </c>
      <c r="AQ84" s="72">
        <f t="shared" si="61"/>
        <v>244</v>
      </c>
      <c r="AR84" s="73">
        <f t="shared" si="62"/>
        <v>0.8125762711864406</v>
      </c>
      <c r="AS84" s="72">
        <f t="shared" si="63"/>
        <v>180</v>
      </c>
      <c r="AT84" s="73">
        <f t="shared" si="64"/>
        <v>0.73650000000000004</v>
      </c>
      <c r="AU84" s="75">
        <v>0.93732203389830526</v>
      </c>
      <c r="AV84" s="73">
        <f t="shared" si="65"/>
        <v>955.830043878011</v>
      </c>
      <c r="AW84" s="73">
        <f t="shared" si="66"/>
        <v>829.97672668982318</v>
      </c>
      <c r="AX84" s="73">
        <f t="shared" si="67"/>
        <v>125.85331718818782</v>
      </c>
      <c r="AY84" s="72">
        <f t="shared" si="68"/>
        <v>15731.664648523458</v>
      </c>
      <c r="AZ84" s="72">
        <f t="shared" si="55"/>
        <v>125.85331718818766</v>
      </c>
      <c r="BA84" s="74">
        <f t="shared" si="69"/>
        <v>10.665535354931158</v>
      </c>
      <c r="BB84" s="73">
        <f t="shared" si="56"/>
        <v>8.5324282839449261E-2</v>
      </c>
      <c r="BD84" s="199"/>
      <c r="BE84" s="199"/>
    </row>
    <row r="85" spans="1:57" s="69" customFormat="1" x14ac:dyDescent="0.25">
      <c r="A85" s="69" t="s">
        <v>118</v>
      </c>
      <c r="B85" s="69" t="s">
        <v>39</v>
      </c>
      <c r="C85" s="70">
        <v>1</v>
      </c>
      <c r="D85" s="70">
        <v>125</v>
      </c>
      <c r="E85" s="70">
        <v>850</v>
      </c>
      <c r="F85" s="71">
        <v>308</v>
      </c>
      <c r="G85" s="71">
        <v>568</v>
      </c>
      <c r="H85" s="70"/>
      <c r="I85" s="69">
        <v>800</v>
      </c>
      <c r="J85" s="69">
        <v>459</v>
      </c>
      <c r="K85" s="69">
        <v>0.879</v>
      </c>
      <c r="L85" s="69">
        <v>425</v>
      </c>
      <c r="M85" s="69">
        <v>0.876</v>
      </c>
      <c r="N85" s="69">
        <v>900</v>
      </c>
      <c r="O85" s="69">
        <v>400</v>
      </c>
      <c r="P85" s="69">
        <v>511</v>
      </c>
      <c r="Q85" s="69">
        <v>0.63400000000000001</v>
      </c>
      <c r="R85" s="69">
        <v>337</v>
      </c>
      <c r="S85" s="69">
        <v>0.73099999999999998</v>
      </c>
      <c r="T85" s="69">
        <v>600</v>
      </c>
      <c r="AM85" s="72">
        <f t="shared" si="57"/>
        <v>1500</v>
      </c>
      <c r="AN85" s="72">
        <f t="shared" si="58"/>
        <v>57600000</v>
      </c>
      <c r="AO85" s="72">
        <f t="shared" si="59"/>
        <v>800</v>
      </c>
      <c r="AP85" s="72">
        <f t="shared" si="60"/>
        <v>640</v>
      </c>
      <c r="AQ85" s="72">
        <f t="shared" si="61"/>
        <v>485</v>
      </c>
      <c r="AR85" s="73">
        <f t="shared" si="62"/>
        <v>0.78100000000000003</v>
      </c>
      <c r="AS85" s="72">
        <f t="shared" si="63"/>
        <v>381</v>
      </c>
      <c r="AT85" s="73">
        <f t="shared" si="64"/>
        <v>0.80349999999999999</v>
      </c>
      <c r="AU85" s="73">
        <v>0.96</v>
      </c>
      <c r="AV85" s="73">
        <f t="shared" si="65"/>
        <v>899.36186657586848</v>
      </c>
      <c r="AW85" s="73">
        <f t="shared" si="66"/>
        <v>715.33854351821503</v>
      </c>
      <c r="AX85" s="73">
        <f t="shared" si="67"/>
        <v>184.02332305765344</v>
      </c>
      <c r="AY85" s="72">
        <f t="shared" si="68"/>
        <v>23002.915382206673</v>
      </c>
      <c r="AZ85" s="72">
        <f t="shared" si="55"/>
        <v>184.02332305765339</v>
      </c>
      <c r="BA85" s="74">
        <f t="shared" si="69"/>
        <v>15.335276921471115</v>
      </c>
      <c r="BB85" s="73">
        <f t="shared" si="56"/>
        <v>0.12268221537176892</v>
      </c>
      <c r="BD85" s="199"/>
      <c r="BE85" s="199"/>
    </row>
    <row r="86" spans="1:57" s="69" customFormat="1" x14ac:dyDescent="0.25">
      <c r="A86" s="69" t="s">
        <v>119</v>
      </c>
      <c r="B86" s="69" t="s">
        <v>93</v>
      </c>
      <c r="C86" s="70">
        <v>1</v>
      </c>
      <c r="D86" s="70">
        <v>125</v>
      </c>
      <c r="E86" s="70">
        <v>1750</v>
      </c>
      <c r="F86" s="71">
        <v>239</v>
      </c>
      <c r="G86" s="71">
        <v>402</v>
      </c>
      <c r="H86" s="70"/>
      <c r="I86" s="69">
        <v>900</v>
      </c>
      <c r="J86" s="69">
        <v>333</v>
      </c>
      <c r="K86" s="69">
        <v>0.65</v>
      </c>
      <c r="L86" s="69">
        <v>225</v>
      </c>
      <c r="M86" s="69">
        <v>0.72699999999999998</v>
      </c>
      <c r="N86" s="69">
        <v>500</v>
      </c>
      <c r="O86" s="69">
        <v>1170</v>
      </c>
      <c r="P86" s="69">
        <v>311</v>
      </c>
      <c r="Q86" s="69">
        <v>0.76300000000000001</v>
      </c>
      <c r="R86" s="69">
        <v>225</v>
      </c>
      <c r="S86" s="69">
        <v>0.81299999999999994</v>
      </c>
      <c r="T86" s="69">
        <v>500</v>
      </c>
      <c r="U86" s="69">
        <v>2250</v>
      </c>
      <c r="V86" s="69">
        <v>146</v>
      </c>
      <c r="W86" s="69">
        <v>0.78600000000000003</v>
      </c>
      <c r="X86" s="69">
        <v>146</v>
      </c>
      <c r="Y86" s="69">
        <v>0.78600000000000003</v>
      </c>
      <c r="Z86" s="69">
        <v>500</v>
      </c>
      <c r="AM86" s="72">
        <f t="shared" si="57"/>
        <v>1500</v>
      </c>
      <c r="AN86" s="72">
        <f t="shared" si="58"/>
        <v>129600000</v>
      </c>
      <c r="AO86" s="72">
        <f t="shared" si="59"/>
        <v>2250</v>
      </c>
      <c r="AP86" s="72">
        <f t="shared" si="60"/>
        <v>1440</v>
      </c>
      <c r="AQ86" s="72">
        <f t="shared" si="61"/>
        <v>263.33333333333331</v>
      </c>
      <c r="AR86" s="73">
        <f t="shared" si="62"/>
        <v>0.73299999999999998</v>
      </c>
      <c r="AS86" s="72">
        <f t="shared" si="63"/>
        <v>198.66666666666666</v>
      </c>
      <c r="AT86" s="73">
        <f t="shared" si="64"/>
        <v>0.77533333333333332</v>
      </c>
      <c r="AU86" s="73">
        <v>0.94899999999999995</v>
      </c>
      <c r="AV86" s="73">
        <f t="shared" si="65"/>
        <v>1170.6528981139049</v>
      </c>
      <c r="AW86" s="73">
        <f t="shared" si="66"/>
        <v>879.82565117478941</v>
      </c>
      <c r="AX86" s="73">
        <f t="shared" si="67"/>
        <v>290.82724693911553</v>
      </c>
      <c r="AY86" s="72">
        <f t="shared" si="68"/>
        <v>36353.405867389461</v>
      </c>
      <c r="AZ86" s="72">
        <f t="shared" si="55"/>
        <v>290.8272469391157</v>
      </c>
      <c r="BA86" s="74">
        <f t="shared" si="69"/>
        <v>24.235603911592975</v>
      </c>
      <c r="BB86" s="73">
        <f t="shared" si="56"/>
        <v>0.19388483129274381</v>
      </c>
      <c r="BD86" s="199"/>
      <c r="BE86" s="199"/>
    </row>
    <row r="87" spans="1:57" s="69" customFormat="1" x14ac:dyDescent="0.25">
      <c r="A87" s="69" t="s">
        <v>116</v>
      </c>
      <c r="B87" s="69" t="s">
        <v>117</v>
      </c>
      <c r="C87" s="70">
        <v>1</v>
      </c>
      <c r="D87" s="70">
        <v>125</v>
      </c>
      <c r="E87" s="70">
        <v>4000</v>
      </c>
      <c r="F87" s="71">
        <v>93</v>
      </c>
      <c r="G87" s="71">
        <v>217</v>
      </c>
      <c r="H87" s="70"/>
      <c r="I87" s="69">
        <v>3400</v>
      </c>
      <c r="J87" s="69">
        <v>108</v>
      </c>
      <c r="K87" s="69">
        <v>0.77400000000000002</v>
      </c>
      <c r="L87" s="69">
        <v>93</v>
      </c>
      <c r="M87" s="69">
        <v>0.79200000000000004</v>
      </c>
      <c r="N87" s="69">
        <v>200</v>
      </c>
      <c r="O87" s="69">
        <v>2600</v>
      </c>
      <c r="P87" s="69">
        <v>127</v>
      </c>
      <c r="Q87" s="69">
        <v>0.63800000000000001</v>
      </c>
      <c r="R87" s="69">
        <v>93</v>
      </c>
      <c r="S87" s="69">
        <v>0.70599999999999996</v>
      </c>
      <c r="T87" s="69">
        <v>1000</v>
      </c>
      <c r="U87" s="69">
        <v>2200</v>
      </c>
      <c r="V87" s="69">
        <v>136</v>
      </c>
      <c r="W87" s="69">
        <v>0.54400000000000004</v>
      </c>
      <c r="X87" s="69">
        <v>93</v>
      </c>
      <c r="Y87" s="69">
        <v>0.63300000000000001</v>
      </c>
      <c r="Z87" s="69">
        <v>400</v>
      </c>
      <c r="AM87" s="72">
        <f t="shared" si="57"/>
        <v>1600</v>
      </c>
      <c r="AN87" s="72">
        <f t="shared" si="58"/>
        <v>249600000</v>
      </c>
      <c r="AO87" s="72">
        <f t="shared" si="59"/>
        <v>3400</v>
      </c>
      <c r="AP87" s="72">
        <f t="shared" si="60"/>
        <v>2600</v>
      </c>
      <c r="AQ87" s="72">
        <f t="shared" si="61"/>
        <v>123.66666666666667</v>
      </c>
      <c r="AR87" s="73">
        <f t="shared" si="62"/>
        <v>0.63149999999999995</v>
      </c>
      <c r="AS87" s="72">
        <f t="shared" si="63"/>
        <v>93</v>
      </c>
      <c r="AT87" s="73">
        <f t="shared" si="64"/>
        <v>0.71033333333333337</v>
      </c>
      <c r="AU87" s="75">
        <v>0.94424999999999992</v>
      </c>
      <c r="AV87" s="73">
        <f t="shared" si="65"/>
        <v>1228.9809813464074</v>
      </c>
      <c r="AW87" s="73">
        <f t="shared" si="66"/>
        <v>870.16101523630175</v>
      </c>
      <c r="AX87" s="73">
        <f t="shared" si="67"/>
        <v>358.81996611010561</v>
      </c>
      <c r="AY87" s="72">
        <f t="shared" si="68"/>
        <v>44852.495763763211</v>
      </c>
      <c r="AZ87" s="72">
        <f t="shared" si="55"/>
        <v>358.81996611010567</v>
      </c>
      <c r="BA87" s="74">
        <f t="shared" si="69"/>
        <v>28.032809852352006</v>
      </c>
      <c r="BB87" s="73">
        <f t="shared" si="56"/>
        <v>0.22426247881881606</v>
      </c>
      <c r="BD87" s="199"/>
      <c r="BE87" s="199"/>
    </row>
    <row r="88" spans="1:57" s="69" customFormat="1" x14ac:dyDescent="0.25">
      <c r="A88" s="76" t="s">
        <v>120</v>
      </c>
      <c r="B88" s="77" t="s">
        <v>121</v>
      </c>
      <c r="C88" s="70">
        <v>1</v>
      </c>
      <c r="D88" s="70">
        <v>125</v>
      </c>
      <c r="E88" s="70">
        <v>1907</v>
      </c>
      <c r="F88" s="70">
        <v>175</v>
      </c>
      <c r="G88" s="70">
        <v>345</v>
      </c>
      <c r="H88" s="70">
        <v>170</v>
      </c>
      <c r="I88" s="69">
        <v>1907</v>
      </c>
      <c r="J88" s="69">
        <v>221</v>
      </c>
      <c r="K88" s="69">
        <v>0.83499999999999996</v>
      </c>
      <c r="L88" s="69">
        <v>219</v>
      </c>
      <c r="M88" s="69">
        <v>0.83599999999999997</v>
      </c>
      <c r="N88" s="69">
        <v>660</v>
      </c>
      <c r="O88" s="69">
        <v>1570</v>
      </c>
      <c r="P88" s="69">
        <v>247</v>
      </c>
      <c r="Q88" s="69">
        <v>0.78700000000000003</v>
      </c>
      <c r="R88" s="69">
        <v>205</v>
      </c>
      <c r="S88" s="69">
        <v>0.81</v>
      </c>
      <c r="T88" s="69">
        <v>660</v>
      </c>
      <c r="U88" s="69">
        <v>1503</v>
      </c>
      <c r="V88" s="69">
        <v>252</v>
      </c>
      <c r="W88" s="69">
        <v>0.77200000000000002</v>
      </c>
      <c r="X88" s="69">
        <v>202</v>
      </c>
      <c r="Y88" s="69">
        <v>0.80200000000000005</v>
      </c>
      <c r="Z88" s="69">
        <v>680</v>
      </c>
      <c r="AM88" s="72">
        <f t="shared" si="57"/>
        <v>2000</v>
      </c>
      <c r="AN88" s="72">
        <f t="shared" si="58"/>
        <v>199011600</v>
      </c>
      <c r="AO88" s="72">
        <f t="shared" si="59"/>
        <v>1907</v>
      </c>
      <c r="AP88" s="72">
        <f t="shared" si="60"/>
        <v>1658.43</v>
      </c>
      <c r="AQ88" s="72">
        <f t="shared" si="61"/>
        <v>240</v>
      </c>
      <c r="AR88" s="73">
        <f t="shared" si="62"/>
        <v>0.79774</v>
      </c>
      <c r="AS88" s="72">
        <f t="shared" si="63"/>
        <v>208.66666666666666</v>
      </c>
      <c r="AT88" s="73">
        <f t="shared" si="64"/>
        <v>0.81599999999999995</v>
      </c>
      <c r="AU88" s="75">
        <v>0.96062000000000003</v>
      </c>
      <c r="AV88" s="73">
        <f t="shared" si="65"/>
        <v>1505.3917975510344</v>
      </c>
      <c r="AW88" s="73">
        <f t="shared" si="66"/>
        <v>1332.0206813240147</v>
      </c>
      <c r="AX88" s="73">
        <f t="shared" si="67"/>
        <v>173.37111622701968</v>
      </c>
      <c r="AY88" s="72">
        <f t="shared" si="68"/>
        <v>21671.389528377418</v>
      </c>
      <c r="AZ88" s="72">
        <f t="shared" si="55"/>
        <v>173.37111622701934</v>
      </c>
      <c r="BA88" s="74">
        <f t="shared" si="69"/>
        <v>10.835694764188709</v>
      </c>
      <c r="BB88" s="73">
        <f t="shared" si="56"/>
        <v>8.668555811350967E-2</v>
      </c>
      <c r="BD88" s="199"/>
      <c r="BE88" s="199"/>
    </row>
    <row r="89" spans="1:57" s="69" customFormat="1" x14ac:dyDescent="0.25">
      <c r="A89" s="76" t="s">
        <v>120</v>
      </c>
      <c r="B89" s="77" t="s">
        <v>121</v>
      </c>
      <c r="C89" s="70">
        <v>1</v>
      </c>
      <c r="D89" s="70">
        <v>125</v>
      </c>
      <c r="E89" s="70">
        <v>1858</v>
      </c>
      <c r="F89" s="70">
        <v>174</v>
      </c>
      <c r="G89" s="70">
        <v>345</v>
      </c>
      <c r="H89" s="70">
        <v>171</v>
      </c>
      <c r="I89" s="69">
        <v>1700</v>
      </c>
      <c r="J89" s="69">
        <v>238</v>
      </c>
      <c r="K89" s="69">
        <v>0.81100000000000005</v>
      </c>
      <c r="L89" s="69">
        <v>237</v>
      </c>
      <c r="M89" s="69">
        <v>0.81200000000000006</v>
      </c>
      <c r="N89" s="69">
        <v>660</v>
      </c>
      <c r="O89" s="69">
        <v>1481</v>
      </c>
      <c r="P89" s="69">
        <v>254</v>
      </c>
      <c r="Q89" s="69">
        <v>0.76700000000000002</v>
      </c>
      <c r="R89" s="69">
        <v>222</v>
      </c>
      <c r="S89" s="69">
        <v>0.78600000000000003</v>
      </c>
      <c r="T89" s="69">
        <v>660</v>
      </c>
      <c r="U89" s="69">
        <v>1458</v>
      </c>
      <c r="V89" s="69">
        <v>255</v>
      </c>
      <c r="W89" s="69">
        <v>0.76100000000000001</v>
      </c>
      <c r="X89" s="69">
        <v>220</v>
      </c>
      <c r="Y89" s="69">
        <v>0.78300000000000003</v>
      </c>
      <c r="Z89" s="69">
        <v>680</v>
      </c>
      <c r="AM89" s="72">
        <f t="shared" si="57"/>
        <v>2000</v>
      </c>
      <c r="AN89" s="72">
        <f t="shared" si="58"/>
        <v>185454000</v>
      </c>
      <c r="AO89" s="72">
        <f t="shared" si="59"/>
        <v>1700</v>
      </c>
      <c r="AP89" s="72">
        <f t="shared" si="60"/>
        <v>1545.45</v>
      </c>
      <c r="AQ89" s="72">
        <f t="shared" si="61"/>
        <v>249</v>
      </c>
      <c r="AR89" s="73">
        <f t="shared" si="62"/>
        <v>0.77948000000000006</v>
      </c>
      <c r="AS89" s="72">
        <f t="shared" si="63"/>
        <v>226.33333333333334</v>
      </c>
      <c r="AT89" s="73">
        <f t="shared" si="64"/>
        <v>0.79366666666666674</v>
      </c>
      <c r="AU89" s="75">
        <v>0.95696999999999988</v>
      </c>
      <c r="AV89" s="73">
        <f t="shared" si="65"/>
        <v>1489.5389246819959</v>
      </c>
      <c r="AW89" s="73">
        <f t="shared" si="66"/>
        <v>1389.5351640105537</v>
      </c>
      <c r="AX89" s="73">
        <f t="shared" si="67"/>
        <v>100.00376067144225</v>
      </c>
      <c r="AY89" s="72">
        <f t="shared" si="68"/>
        <v>12500.470083930295</v>
      </c>
      <c r="AZ89" s="72">
        <f t="shared" si="55"/>
        <v>100.00376067144236</v>
      </c>
      <c r="BA89" s="74">
        <f t="shared" si="69"/>
        <v>6.2502350419651478</v>
      </c>
      <c r="BB89" s="73">
        <f t="shared" si="56"/>
        <v>5.0001880335721186E-2</v>
      </c>
      <c r="BD89" s="199"/>
      <c r="BE89" s="199"/>
    </row>
    <row r="90" spans="1:57" s="69" customFormat="1" x14ac:dyDescent="0.25">
      <c r="A90" s="69" t="s">
        <v>122</v>
      </c>
      <c r="B90" s="69" t="s">
        <v>117</v>
      </c>
      <c r="C90" s="70">
        <v>1</v>
      </c>
      <c r="D90" s="70">
        <v>125</v>
      </c>
      <c r="E90" s="70">
        <v>3400</v>
      </c>
      <c r="F90" s="71">
        <v>120</v>
      </c>
      <c r="G90" s="71">
        <v>252</v>
      </c>
      <c r="H90" s="70"/>
      <c r="I90" s="69">
        <v>1000</v>
      </c>
      <c r="J90" s="69">
        <v>204</v>
      </c>
      <c r="K90" s="69">
        <v>0.38900000000000001</v>
      </c>
      <c r="L90" s="69">
        <v>120</v>
      </c>
      <c r="M90" s="69">
        <v>0.48</v>
      </c>
      <c r="N90" s="69">
        <v>504</v>
      </c>
      <c r="O90" s="69">
        <v>1200</v>
      </c>
      <c r="P90" s="69">
        <v>196</v>
      </c>
      <c r="Q90" s="69">
        <v>0.45700000000000002</v>
      </c>
      <c r="R90" s="69">
        <v>120</v>
      </c>
      <c r="S90" s="69">
        <v>0.54900000000000004</v>
      </c>
      <c r="T90" s="69">
        <v>432</v>
      </c>
      <c r="U90" s="69">
        <v>1700</v>
      </c>
      <c r="V90" s="69">
        <v>178</v>
      </c>
      <c r="W90" s="69">
        <v>0.60899999999999999</v>
      </c>
      <c r="X90" s="69">
        <v>120</v>
      </c>
      <c r="Y90" s="69">
        <v>0.68700000000000006</v>
      </c>
      <c r="Z90" s="69">
        <v>1296</v>
      </c>
      <c r="AA90" s="69">
        <v>3400</v>
      </c>
      <c r="AB90" s="69">
        <v>121</v>
      </c>
      <c r="AC90" s="69">
        <v>0.84399999999999997</v>
      </c>
      <c r="AD90" s="69">
        <v>120</v>
      </c>
      <c r="AE90" s="69">
        <v>0.84399999999999997</v>
      </c>
      <c r="AF90" s="69">
        <v>264</v>
      </c>
      <c r="AM90" s="72">
        <f t="shared" si="57"/>
        <v>2496</v>
      </c>
      <c r="AN90" s="72">
        <f t="shared" si="58"/>
        <v>247392000</v>
      </c>
      <c r="AO90" s="72">
        <f t="shared" si="59"/>
        <v>3400</v>
      </c>
      <c r="AP90" s="72">
        <f t="shared" si="60"/>
        <v>1651.9230769230769</v>
      </c>
      <c r="AQ90" s="72">
        <f t="shared" si="61"/>
        <v>174.75</v>
      </c>
      <c r="AR90" s="73">
        <f t="shared" si="62"/>
        <v>0.5631250000000001</v>
      </c>
      <c r="AS90" s="72">
        <f t="shared" si="63"/>
        <v>120</v>
      </c>
      <c r="AT90" s="73">
        <f t="shared" si="64"/>
        <v>0.64</v>
      </c>
      <c r="AU90" s="75">
        <v>0.93788461538461543</v>
      </c>
      <c r="AV90" s="73">
        <f t="shared" si="65"/>
        <v>1930.2755462585665</v>
      </c>
      <c r="AW90" s="73">
        <f t="shared" si="66"/>
        <v>1243.5372322946296</v>
      </c>
      <c r="AX90" s="73">
        <f t="shared" si="67"/>
        <v>686.73831396393689</v>
      </c>
      <c r="AY90" s="72">
        <f t="shared" si="68"/>
        <v>85842.289245492095</v>
      </c>
      <c r="AZ90" s="72">
        <f t="shared" si="55"/>
        <v>686.73831396393678</v>
      </c>
      <c r="BA90" s="74">
        <f t="shared" si="69"/>
        <v>34.391942806687538</v>
      </c>
      <c r="BB90" s="73">
        <f t="shared" si="56"/>
        <v>0.2751355424535003</v>
      </c>
      <c r="BD90" s="199"/>
      <c r="BE90" s="199"/>
    </row>
    <row r="91" spans="1:57" s="69" customFormat="1" x14ac:dyDescent="0.25">
      <c r="A91" s="69" t="s">
        <v>123</v>
      </c>
      <c r="B91" s="69" t="s">
        <v>73</v>
      </c>
      <c r="C91" s="70">
        <v>1</v>
      </c>
      <c r="D91" s="70">
        <v>125</v>
      </c>
      <c r="E91" s="70">
        <v>1700</v>
      </c>
      <c r="F91" s="71">
        <v>240</v>
      </c>
      <c r="G91" s="71">
        <v>361</v>
      </c>
      <c r="H91" s="70"/>
      <c r="I91" s="69">
        <v>1700</v>
      </c>
      <c r="J91" s="69">
        <v>240</v>
      </c>
      <c r="K91" s="69">
        <v>0.82199999999999995</v>
      </c>
      <c r="L91" s="69">
        <v>240</v>
      </c>
      <c r="M91" s="69">
        <v>0.82199999999999995</v>
      </c>
      <c r="N91" s="69">
        <v>1650</v>
      </c>
      <c r="O91" s="69">
        <v>1700</v>
      </c>
      <c r="P91" s="69">
        <v>240</v>
      </c>
      <c r="Q91" s="69">
        <v>0.82199999999999995</v>
      </c>
      <c r="R91" s="69">
        <v>190</v>
      </c>
      <c r="S91" s="69">
        <v>0.81200000000000006</v>
      </c>
      <c r="T91" s="69">
        <v>1000</v>
      </c>
      <c r="AM91" s="72">
        <f t="shared" si="57"/>
        <v>2650</v>
      </c>
      <c r="AN91" s="72">
        <f t="shared" si="58"/>
        <v>270300000</v>
      </c>
      <c r="AO91" s="72">
        <f t="shared" si="59"/>
        <v>1700</v>
      </c>
      <c r="AP91" s="72">
        <f t="shared" si="60"/>
        <v>1700</v>
      </c>
      <c r="AQ91" s="72">
        <f t="shared" si="61"/>
        <v>240</v>
      </c>
      <c r="AR91" s="73">
        <f t="shared" si="62"/>
        <v>0.82200000000000006</v>
      </c>
      <c r="AS91" s="72">
        <f t="shared" si="63"/>
        <v>215</v>
      </c>
      <c r="AT91" s="73">
        <f t="shared" si="64"/>
        <v>0.81699999999999995</v>
      </c>
      <c r="AU91" s="75">
        <v>0.95784905660377362</v>
      </c>
      <c r="AV91" s="73">
        <f t="shared" si="65"/>
        <v>1984.2973437742169</v>
      </c>
      <c r="AW91" s="73">
        <f t="shared" si="66"/>
        <v>1867.1820101757637</v>
      </c>
      <c r="AX91" s="73">
        <f t="shared" si="67"/>
        <v>117.11533359845316</v>
      </c>
      <c r="AY91" s="72">
        <f t="shared" si="68"/>
        <v>14639.416699806636</v>
      </c>
      <c r="AZ91" s="72">
        <f t="shared" si="55"/>
        <v>117.11533359845309</v>
      </c>
      <c r="BA91" s="74">
        <f t="shared" si="69"/>
        <v>5.5243081886062777</v>
      </c>
      <c r="BB91" s="73">
        <f t="shared" si="56"/>
        <v>4.4194465508850221E-2</v>
      </c>
      <c r="BD91" s="199"/>
      <c r="BE91" s="199"/>
    </row>
    <row r="92" spans="1:57" s="69" customFormat="1" x14ac:dyDescent="0.25">
      <c r="A92" s="69" t="s">
        <v>124</v>
      </c>
      <c r="B92" s="69" t="s">
        <v>93</v>
      </c>
      <c r="C92" s="70">
        <v>1</v>
      </c>
      <c r="D92" s="70">
        <v>125</v>
      </c>
      <c r="E92" s="70">
        <v>1200</v>
      </c>
      <c r="F92" s="71">
        <v>320</v>
      </c>
      <c r="G92" s="71">
        <v>512</v>
      </c>
      <c r="H92" s="70"/>
      <c r="I92" s="69">
        <v>600</v>
      </c>
      <c r="J92" s="69">
        <v>426</v>
      </c>
      <c r="K92" s="69">
        <v>0.56000000000000005</v>
      </c>
      <c r="L92" s="69">
        <v>320</v>
      </c>
      <c r="M92" s="69">
        <v>0.62</v>
      </c>
      <c r="N92" s="69">
        <v>700</v>
      </c>
      <c r="O92" s="69">
        <v>900</v>
      </c>
      <c r="P92" s="69">
        <v>388</v>
      </c>
      <c r="Q92" s="69">
        <v>0.73599999999999999</v>
      </c>
      <c r="R92" s="69">
        <v>320</v>
      </c>
      <c r="S92" s="69">
        <v>0.76200000000000001</v>
      </c>
      <c r="T92" s="69">
        <v>700</v>
      </c>
      <c r="U92" s="69">
        <v>1200</v>
      </c>
      <c r="V92" s="69">
        <v>322</v>
      </c>
      <c r="W92" s="69">
        <v>0.79100000000000004</v>
      </c>
      <c r="X92" s="69">
        <v>320</v>
      </c>
      <c r="Y92" s="69">
        <v>0.79100000000000004</v>
      </c>
      <c r="Z92" s="69">
        <v>1400</v>
      </c>
      <c r="AM92" s="72">
        <f t="shared" si="57"/>
        <v>2800</v>
      </c>
      <c r="AN92" s="72">
        <f t="shared" si="58"/>
        <v>163800000</v>
      </c>
      <c r="AO92" s="72">
        <f t="shared" si="59"/>
        <v>1200</v>
      </c>
      <c r="AP92" s="72">
        <f t="shared" si="60"/>
        <v>975</v>
      </c>
      <c r="AQ92" s="72">
        <f t="shared" si="61"/>
        <v>378.66666666666669</v>
      </c>
      <c r="AR92" s="73">
        <f t="shared" si="62"/>
        <v>0.71950000000000003</v>
      </c>
      <c r="AS92" s="72">
        <f t="shared" si="63"/>
        <v>320</v>
      </c>
      <c r="AT92" s="73">
        <f t="shared" si="64"/>
        <v>0.72433333333333338</v>
      </c>
      <c r="AU92" s="75">
        <v>0.95449999999999979</v>
      </c>
      <c r="AV92" s="73">
        <f t="shared" si="65"/>
        <v>2167.511732602758</v>
      </c>
      <c r="AW92" s="73">
        <f t="shared" si="66"/>
        <v>1906.210039673532</v>
      </c>
      <c r="AX92" s="73">
        <f t="shared" si="67"/>
        <v>261.30169292922596</v>
      </c>
      <c r="AY92" s="72">
        <f t="shared" si="68"/>
        <v>32662.711616153247</v>
      </c>
      <c r="AZ92" s="72">
        <f t="shared" si="55"/>
        <v>261.30169292922596</v>
      </c>
      <c r="BA92" s="74">
        <f t="shared" si="69"/>
        <v>11.665254148626159</v>
      </c>
      <c r="BB92" s="73">
        <f t="shared" si="56"/>
        <v>9.3322033189009279E-2</v>
      </c>
      <c r="BD92" s="199"/>
      <c r="BE92" s="199"/>
    </row>
    <row r="93" spans="1:57" s="69" customFormat="1" x14ac:dyDescent="0.25">
      <c r="A93" s="78" t="s">
        <v>125</v>
      </c>
      <c r="B93" s="69" t="s">
        <v>56</v>
      </c>
      <c r="C93" s="70">
        <v>1</v>
      </c>
      <c r="D93" s="70">
        <v>125</v>
      </c>
      <c r="E93" s="70">
        <v>2000</v>
      </c>
      <c r="F93" s="70">
        <v>115</v>
      </c>
      <c r="G93" s="70">
        <v>270</v>
      </c>
      <c r="H93" s="70">
        <v>155</v>
      </c>
      <c r="I93" s="69">
        <v>2000</v>
      </c>
      <c r="N93" s="69">
        <v>744</v>
      </c>
      <c r="O93" s="69">
        <v>1200</v>
      </c>
      <c r="T93" s="69">
        <v>2232</v>
      </c>
      <c r="AM93" s="72">
        <f t="shared" si="57"/>
        <v>2976</v>
      </c>
      <c r="AN93" s="72">
        <f t="shared" si="58"/>
        <v>249984000</v>
      </c>
      <c r="AO93" s="72">
        <f t="shared" si="59"/>
        <v>2000</v>
      </c>
      <c r="AP93" s="72">
        <f t="shared" si="60"/>
        <v>1400</v>
      </c>
      <c r="AQ93" s="72"/>
      <c r="AR93" s="73"/>
      <c r="AS93" s="72"/>
      <c r="AT93" s="73"/>
      <c r="AU93" s="73">
        <v>0.95599999999999996</v>
      </c>
      <c r="AV93" s="73"/>
      <c r="AW93" s="73"/>
      <c r="AX93" s="73"/>
      <c r="AY93" s="72">
        <v>90896</v>
      </c>
      <c r="AZ93" s="72">
        <f t="shared" si="55"/>
        <v>727.16800000000001</v>
      </c>
      <c r="BA93" s="74">
        <f t="shared" si="69"/>
        <v>30.543010752688172</v>
      </c>
      <c r="BB93" s="73">
        <f t="shared" si="56"/>
        <v>0.24434408602150537</v>
      </c>
      <c r="BD93" s="199"/>
      <c r="BE93" s="199"/>
    </row>
    <row r="94" spans="1:57" s="69" customFormat="1" x14ac:dyDescent="0.25">
      <c r="A94" s="69" t="s">
        <v>126</v>
      </c>
      <c r="B94" s="69" t="s">
        <v>85</v>
      </c>
      <c r="C94" s="70">
        <v>1</v>
      </c>
      <c r="D94" s="70">
        <v>125</v>
      </c>
      <c r="E94" s="70">
        <v>1000</v>
      </c>
      <c r="F94" s="71">
        <v>400</v>
      </c>
      <c r="G94" s="71">
        <v>620</v>
      </c>
      <c r="H94" s="70"/>
      <c r="I94" s="69">
        <v>1000</v>
      </c>
      <c r="J94" s="69">
        <v>395</v>
      </c>
      <c r="K94" s="69">
        <v>0.82599999999999996</v>
      </c>
      <c r="L94" s="69">
        <v>400</v>
      </c>
      <c r="M94" s="69">
        <v>0.82499999999999996</v>
      </c>
      <c r="N94" s="69">
        <v>1000</v>
      </c>
      <c r="O94" s="69">
        <v>900</v>
      </c>
      <c r="P94" s="69">
        <v>425</v>
      </c>
      <c r="Q94" s="69">
        <v>0.80500000000000005</v>
      </c>
      <c r="R94" s="69">
        <v>400</v>
      </c>
      <c r="S94" s="69">
        <v>0.81100000000000005</v>
      </c>
      <c r="T94" s="69">
        <v>1000</v>
      </c>
      <c r="U94" s="69">
        <v>800</v>
      </c>
      <c r="V94" s="69">
        <v>451</v>
      </c>
      <c r="W94" s="69">
        <v>0.76600000000000001</v>
      </c>
      <c r="X94" s="69">
        <v>400</v>
      </c>
      <c r="Y94" s="69">
        <v>0.78400000000000003</v>
      </c>
      <c r="Z94" s="69">
        <v>1000</v>
      </c>
      <c r="AM94" s="72">
        <f t="shared" si="57"/>
        <v>3000</v>
      </c>
      <c r="AN94" s="72">
        <f t="shared" si="58"/>
        <v>162000000</v>
      </c>
      <c r="AO94" s="72">
        <f t="shared" si="59"/>
        <v>1000</v>
      </c>
      <c r="AP94" s="72">
        <f t="shared" si="60"/>
        <v>900</v>
      </c>
      <c r="AQ94" s="72">
        <f t="shared" ref="AQ94:AQ100" si="70">AVERAGE(AH94,AB94,V94,P94,J94)</f>
        <v>423.66666666666669</v>
      </c>
      <c r="AR94" s="73">
        <f t="shared" ref="AR94:AR100" si="71">(K94*N94+Q94*T94+W94*Z94+AC94*AF94+AI94*AL94)/AM94</f>
        <v>0.79900000000000004</v>
      </c>
      <c r="AS94" s="72">
        <f t="shared" ref="AS94:AT100" si="72">AVERAGE(AJ94,AD94,X94,R94,L94)</f>
        <v>400</v>
      </c>
      <c r="AT94" s="73">
        <f t="shared" si="72"/>
        <v>0.80666666666666664</v>
      </c>
      <c r="AU94" s="75">
        <v>0.96499999999999997</v>
      </c>
      <c r="AV94" s="73">
        <f t="shared" ref="AV94:AV100" si="73">((AP94*AQ94/AR94))*AM94*0.746/(3956*D94)</f>
        <v>2159.8013695076379</v>
      </c>
      <c r="AW94" s="73">
        <f t="shared" ref="AW94:AW100" si="74">((AP94*AS94/(AT94*AU94)))*AM94*0.746/(3956*D94)</f>
        <v>2093.0271525728758</v>
      </c>
      <c r="AX94" s="73">
        <f t="shared" ref="AX94:AX100" si="75">AV94-AW94</f>
        <v>66.77421693476208</v>
      </c>
      <c r="AY94" s="72">
        <f t="shared" ref="AY94:AY100" si="76">((AP94*AQ94/AR94)-(AP94*AS94/(AT94*AU94)))*AM94*0.746/3956</f>
        <v>8346.7771168451782</v>
      </c>
      <c r="AZ94" s="72">
        <f t="shared" si="55"/>
        <v>66.774216934761427</v>
      </c>
      <c r="BA94" s="74">
        <f t="shared" si="69"/>
        <v>2.7822590389483928</v>
      </c>
      <c r="BB94" s="73">
        <f t="shared" si="56"/>
        <v>2.2258072311587142E-2</v>
      </c>
      <c r="BD94" s="199"/>
      <c r="BE94" s="199"/>
    </row>
    <row r="95" spans="1:57" s="69" customFormat="1" x14ac:dyDescent="0.25">
      <c r="A95" s="69" t="s">
        <v>127</v>
      </c>
      <c r="B95" s="69" t="s">
        <v>128</v>
      </c>
      <c r="C95" s="70">
        <v>1</v>
      </c>
      <c r="D95" s="70">
        <v>125</v>
      </c>
      <c r="E95" s="70">
        <v>1100</v>
      </c>
      <c r="F95" s="71">
        <v>185</v>
      </c>
      <c r="G95" s="71">
        <v>224</v>
      </c>
      <c r="H95" s="70"/>
      <c r="I95" s="69">
        <v>1100</v>
      </c>
      <c r="J95" s="69">
        <v>186</v>
      </c>
      <c r="K95" s="69">
        <v>0.77800000000000002</v>
      </c>
      <c r="L95" s="69">
        <v>185</v>
      </c>
      <c r="M95" s="69">
        <v>0.77800000000000002</v>
      </c>
      <c r="N95" s="69">
        <v>1000</v>
      </c>
      <c r="O95" s="69">
        <v>1100</v>
      </c>
      <c r="P95" s="69">
        <v>186</v>
      </c>
      <c r="Q95" s="69">
        <v>0.77800000000000002</v>
      </c>
      <c r="R95" s="69">
        <v>142</v>
      </c>
      <c r="S95" s="69">
        <v>0.75700000000000001</v>
      </c>
      <c r="T95" s="69">
        <v>2000</v>
      </c>
      <c r="AM95" s="72">
        <f t="shared" si="57"/>
        <v>3000</v>
      </c>
      <c r="AN95" s="72">
        <f t="shared" si="58"/>
        <v>198000000</v>
      </c>
      <c r="AO95" s="72">
        <f t="shared" si="59"/>
        <v>1100</v>
      </c>
      <c r="AP95" s="72">
        <f t="shared" si="60"/>
        <v>1100</v>
      </c>
      <c r="AQ95" s="72">
        <f t="shared" si="70"/>
        <v>186</v>
      </c>
      <c r="AR95" s="73">
        <f t="shared" si="71"/>
        <v>0.77800000000000002</v>
      </c>
      <c r="AS95" s="72">
        <f t="shared" si="72"/>
        <v>163.5</v>
      </c>
      <c r="AT95" s="73">
        <f t="shared" si="72"/>
        <v>0.76750000000000007</v>
      </c>
      <c r="AU95" s="73">
        <v>0.96099999999999997</v>
      </c>
      <c r="AV95" s="73">
        <f t="shared" si="73"/>
        <v>1190.199651175787</v>
      </c>
      <c r="AW95" s="73">
        <f t="shared" si="74"/>
        <v>1103.5765323502822</v>
      </c>
      <c r="AX95" s="73">
        <f t="shared" si="75"/>
        <v>86.623118825504889</v>
      </c>
      <c r="AY95" s="72">
        <f t="shared" si="76"/>
        <v>10827.889853188084</v>
      </c>
      <c r="AZ95" s="72">
        <f t="shared" si="55"/>
        <v>86.623118825504676</v>
      </c>
      <c r="BA95" s="74">
        <f t="shared" si="69"/>
        <v>3.6092966177293615</v>
      </c>
      <c r="BB95" s="73">
        <f t="shared" si="56"/>
        <v>2.8874372941834894E-2</v>
      </c>
      <c r="BD95" s="199"/>
      <c r="BE95" s="199"/>
    </row>
    <row r="96" spans="1:57" s="69" customFormat="1" x14ac:dyDescent="0.25">
      <c r="A96" s="77" t="s">
        <v>129</v>
      </c>
      <c r="B96" s="77" t="s">
        <v>121</v>
      </c>
      <c r="C96" s="70">
        <v>1</v>
      </c>
      <c r="D96" s="70">
        <v>125</v>
      </c>
      <c r="E96" s="70">
        <v>1500</v>
      </c>
      <c r="F96" s="70">
        <v>137</v>
      </c>
      <c r="G96" s="70">
        <v>260</v>
      </c>
      <c r="H96" s="70">
        <v>123</v>
      </c>
      <c r="I96" s="69">
        <v>1200</v>
      </c>
      <c r="J96" s="69">
        <v>218</v>
      </c>
      <c r="K96" s="69">
        <v>0.74</v>
      </c>
      <c r="L96" s="69">
        <v>157</v>
      </c>
      <c r="M96" s="69">
        <v>0.78100000000000003</v>
      </c>
      <c r="N96" s="69">
        <v>1000</v>
      </c>
      <c r="O96" s="69">
        <v>700</v>
      </c>
      <c r="P96" s="69">
        <v>231</v>
      </c>
      <c r="Q96" s="69">
        <v>0.54400000000000004</v>
      </c>
      <c r="R96" s="69">
        <v>144</v>
      </c>
      <c r="S96" s="69">
        <v>0.63100000000000001</v>
      </c>
      <c r="T96" s="69">
        <v>1000</v>
      </c>
      <c r="U96" s="69">
        <v>1850</v>
      </c>
      <c r="V96" s="69">
        <v>185</v>
      </c>
      <c r="W96" s="69">
        <v>0.81499999999999995</v>
      </c>
      <c r="X96" s="69">
        <v>184</v>
      </c>
      <c r="Y96" s="69">
        <v>0.81499999999999995</v>
      </c>
      <c r="Z96" s="69">
        <v>1000</v>
      </c>
      <c r="AM96" s="72">
        <f t="shared" si="57"/>
        <v>3000</v>
      </c>
      <c r="AN96" s="72">
        <f t="shared" si="58"/>
        <v>225000000</v>
      </c>
      <c r="AO96" s="72">
        <f t="shared" si="59"/>
        <v>1850</v>
      </c>
      <c r="AP96" s="72">
        <f t="shared" si="60"/>
        <v>1250</v>
      </c>
      <c r="AQ96" s="72">
        <f t="shared" si="70"/>
        <v>211.33333333333334</v>
      </c>
      <c r="AR96" s="73">
        <f t="shared" si="71"/>
        <v>0.69966666666666666</v>
      </c>
      <c r="AS96" s="72">
        <f t="shared" si="72"/>
        <v>161.66666666666666</v>
      </c>
      <c r="AT96" s="73">
        <f t="shared" si="72"/>
        <v>0.74233333333333329</v>
      </c>
      <c r="AU96" s="75">
        <v>0.94433333333333336</v>
      </c>
      <c r="AV96" s="73">
        <f t="shared" si="73"/>
        <v>1708.7582271108927</v>
      </c>
      <c r="AW96" s="73">
        <f t="shared" si="74"/>
        <v>1304.6679717480672</v>
      </c>
      <c r="AX96" s="73">
        <f t="shared" si="75"/>
        <v>404.09025536282547</v>
      </c>
      <c r="AY96" s="72">
        <f t="shared" si="76"/>
        <v>50511.281920353205</v>
      </c>
      <c r="AZ96" s="72">
        <f t="shared" si="55"/>
        <v>404.09025536282564</v>
      </c>
      <c r="BA96" s="74">
        <f t="shared" si="69"/>
        <v>16.837093973451069</v>
      </c>
      <c r="BB96" s="73">
        <f t="shared" si="56"/>
        <v>0.13469675178760854</v>
      </c>
      <c r="BD96" s="199"/>
      <c r="BE96" s="199"/>
    </row>
    <row r="97" spans="1:57" s="69" customFormat="1" x14ac:dyDescent="0.25">
      <c r="A97" s="77" t="s">
        <v>129</v>
      </c>
      <c r="B97" s="77" t="s">
        <v>121</v>
      </c>
      <c r="C97" s="70">
        <v>1</v>
      </c>
      <c r="D97" s="70">
        <v>125</v>
      </c>
      <c r="E97" s="70">
        <v>1500</v>
      </c>
      <c r="F97" s="70">
        <v>137</v>
      </c>
      <c r="G97" s="70">
        <v>260</v>
      </c>
      <c r="H97" s="70">
        <v>123</v>
      </c>
      <c r="I97" s="69">
        <v>1500</v>
      </c>
      <c r="J97" s="69">
        <v>207</v>
      </c>
      <c r="K97" s="69">
        <v>0.79700000000000004</v>
      </c>
      <c r="L97" s="69">
        <v>165</v>
      </c>
      <c r="M97" s="69">
        <v>0.81</v>
      </c>
      <c r="N97" s="69">
        <v>1500</v>
      </c>
      <c r="O97" s="69">
        <v>1200</v>
      </c>
      <c r="P97" s="69">
        <v>218</v>
      </c>
      <c r="Q97" s="69">
        <v>0.74</v>
      </c>
      <c r="R97" s="69">
        <v>155</v>
      </c>
      <c r="S97" s="69">
        <v>0.78300000000000003</v>
      </c>
      <c r="T97" s="69">
        <v>1500</v>
      </c>
      <c r="AM97" s="72">
        <f t="shared" si="57"/>
        <v>3000</v>
      </c>
      <c r="AN97" s="72">
        <f t="shared" si="58"/>
        <v>243000000</v>
      </c>
      <c r="AO97" s="72">
        <f t="shared" si="59"/>
        <v>1500</v>
      </c>
      <c r="AP97" s="72">
        <f t="shared" si="60"/>
        <v>1350</v>
      </c>
      <c r="AQ97" s="72">
        <f t="shared" si="70"/>
        <v>212.5</v>
      </c>
      <c r="AR97" s="73">
        <f t="shared" si="71"/>
        <v>0.76849999999999996</v>
      </c>
      <c r="AS97" s="72">
        <f t="shared" si="72"/>
        <v>160</v>
      </c>
      <c r="AT97" s="73">
        <f t="shared" si="72"/>
        <v>0.79649999999999999</v>
      </c>
      <c r="AU97" s="75">
        <v>0.94450000000000001</v>
      </c>
      <c r="AV97" s="73">
        <f t="shared" si="73"/>
        <v>1689.4393961422099</v>
      </c>
      <c r="AW97" s="73">
        <f t="shared" si="74"/>
        <v>1299.4506629296816</v>
      </c>
      <c r="AX97" s="73">
        <f t="shared" si="75"/>
        <v>389.98873321252836</v>
      </c>
      <c r="AY97" s="72">
        <f t="shared" si="76"/>
        <v>48748.591651566036</v>
      </c>
      <c r="AZ97" s="72">
        <f t="shared" si="55"/>
        <v>389.9887332125283</v>
      </c>
      <c r="BA97" s="74">
        <f t="shared" si="69"/>
        <v>16.24953055052201</v>
      </c>
      <c r="BB97" s="73">
        <f t="shared" si="56"/>
        <v>0.12999624440417609</v>
      </c>
      <c r="BD97" s="199"/>
      <c r="BE97" s="199"/>
    </row>
    <row r="98" spans="1:57" s="69" customFormat="1" x14ac:dyDescent="0.25">
      <c r="A98" s="69" t="s">
        <v>130</v>
      </c>
      <c r="B98" s="69" t="s">
        <v>49</v>
      </c>
      <c r="C98" s="70">
        <v>1</v>
      </c>
      <c r="D98" s="70">
        <v>125</v>
      </c>
      <c r="E98" s="70">
        <v>2500</v>
      </c>
      <c r="F98" s="71">
        <v>112</v>
      </c>
      <c r="G98" s="71">
        <v>330</v>
      </c>
      <c r="H98" s="70">
        <v>218</v>
      </c>
      <c r="I98" s="69">
        <v>1700</v>
      </c>
      <c r="J98" s="69">
        <v>211</v>
      </c>
      <c r="K98" s="69">
        <v>0.77</v>
      </c>
      <c r="L98" s="69">
        <v>126</v>
      </c>
      <c r="M98" s="69">
        <v>0.82199999999999995</v>
      </c>
      <c r="N98" s="69">
        <v>1500</v>
      </c>
      <c r="O98" s="69">
        <v>2500</v>
      </c>
      <c r="P98" s="69">
        <v>161</v>
      </c>
      <c r="Q98" s="69">
        <v>0.83</v>
      </c>
      <c r="R98" s="69">
        <v>142</v>
      </c>
      <c r="S98" s="69">
        <v>0.96</v>
      </c>
      <c r="T98" s="69">
        <v>1500</v>
      </c>
      <c r="AM98" s="72">
        <f t="shared" si="57"/>
        <v>3000</v>
      </c>
      <c r="AN98" s="72">
        <f t="shared" si="58"/>
        <v>378000000</v>
      </c>
      <c r="AO98" s="72">
        <f t="shared" si="59"/>
        <v>2500</v>
      </c>
      <c r="AP98" s="72">
        <f t="shared" si="60"/>
        <v>2100</v>
      </c>
      <c r="AQ98" s="72">
        <f t="shared" si="70"/>
        <v>186</v>
      </c>
      <c r="AR98" s="73">
        <f t="shared" si="71"/>
        <v>0.8</v>
      </c>
      <c r="AS98" s="72">
        <f t="shared" si="72"/>
        <v>134</v>
      </c>
      <c r="AT98" s="73">
        <f t="shared" si="72"/>
        <v>0.89100000000000001</v>
      </c>
      <c r="AU98" s="73">
        <v>0.94550000000000001</v>
      </c>
      <c r="AV98" s="73">
        <f t="shared" si="73"/>
        <v>2209.7138523761373</v>
      </c>
      <c r="AW98" s="73">
        <f t="shared" si="74"/>
        <v>1511.7453524810173</v>
      </c>
      <c r="AX98" s="73">
        <f t="shared" si="75"/>
        <v>697.96849989511998</v>
      </c>
      <c r="AY98" s="72">
        <f t="shared" si="76"/>
        <v>87246.062486890005</v>
      </c>
      <c r="AZ98" s="72">
        <f t="shared" si="55"/>
        <v>697.96849989512009</v>
      </c>
      <c r="BA98" s="74">
        <f t="shared" si="69"/>
        <v>29.082020828963334</v>
      </c>
      <c r="BB98" s="73">
        <f t="shared" si="56"/>
        <v>0.23265616663170666</v>
      </c>
      <c r="BD98" s="199"/>
      <c r="BE98" s="199"/>
    </row>
    <row r="99" spans="1:57" s="69" customFormat="1" x14ac:dyDescent="0.25">
      <c r="A99" s="69" t="s">
        <v>131</v>
      </c>
      <c r="B99" s="77" t="s">
        <v>87</v>
      </c>
      <c r="C99" s="70">
        <v>1</v>
      </c>
      <c r="D99" s="70">
        <v>125</v>
      </c>
      <c r="E99" s="70">
        <v>1500</v>
      </c>
      <c r="F99" s="71">
        <v>200</v>
      </c>
      <c r="G99" s="71">
        <v>365</v>
      </c>
      <c r="H99" s="70">
        <v>165</v>
      </c>
      <c r="I99" s="69">
        <v>800</v>
      </c>
      <c r="J99" s="69">
        <v>281</v>
      </c>
      <c r="K99" s="69">
        <v>0.65800000000000003</v>
      </c>
      <c r="L99" s="69">
        <v>207</v>
      </c>
      <c r="M99" s="69">
        <v>0.72099999999999997</v>
      </c>
      <c r="N99" s="69">
        <v>2100</v>
      </c>
      <c r="O99" s="69">
        <v>1200</v>
      </c>
      <c r="P99" s="69">
        <v>256</v>
      </c>
      <c r="Q99" s="69">
        <v>0.81699999999999995</v>
      </c>
      <c r="R99" s="69">
        <v>216</v>
      </c>
      <c r="S99" s="69">
        <v>0.83199999999999996</v>
      </c>
      <c r="T99" s="69">
        <v>1050</v>
      </c>
      <c r="U99" s="69">
        <v>1600</v>
      </c>
      <c r="V99" s="69">
        <v>208</v>
      </c>
      <c r="W99" s="69">
        <v>0.82</v>
      </c>
      <c r="X99" s="69">
        <v>228</v>
      </c>
      <c r="Y99" s="69">
        <v>0.82799999999999996</v>
      </c>
      <c r="Z99" s="69">
        <v>350</v>
      </c>
      <c r="AM99" s="72">
        <f t="shared" si="57"/>
        <v>3500</v>
      </c>
      <c r="AN99" s="72">
        <f t="shared" si="58"/>
        <v>210000000</v>
      </c>
      <c r="AO99" s="72">
        <f t="shared" si="59"/>
        <v>1600</v>
      </c>
      <c r="AP99" s="72">
        <f t="shared" si="60"/>
        <v>1000</v>
      </c>
      <c r="AQ99" s="72">
        <f t="shared" si="70"/>
        <v>248.33333333333334</v>
      </c>
      <c r="AR99" s="73">
        <f t="shared" si="71"/>
        <v>0.72189999999999988</v>
      </c>
      <c r="AS99" s="72">
        <f t="shared" si="72"/>
        <v>217</v>
      </c>
      <c r="AT99" s="73">
        <f t="shared" si="72"/>
        <v>0.79366666666666663</v>
      </c>
      <c r="AU99" s="73">
        <v>0.9466</v>
      </c>
      <c r="AV99" s="73">
        <f t="shared" si="73"/>
        <v>1816.3458756484326</v>
      </c>
      <c r="AW99" s="73">
        <f t="shared" si="74"/>
        <v>1525.0906865295435</v>
      </c>
      <c r="AX99" s="73">
        <f t="shared" si="75"/>
        <v>291.25518911888912</v>
      </c>
      <c r="AY99" s="72">
        <f t="shared" si="76"/>
        <v>36406.898639861138</v>
      </c>
      <c r="AZ99" s="72">
        <f t="shared" ref="AZ99:AZ130" si="77">AY99/D99</f>
        <v>291.25518911888912</v>
      </c>
      <c r="BA99" s="74">
        <f t="shared" si="69"/>
        <v>10.401971039960324</v>
      </c>
      <c r="BB99" s="73">
        <f t="shared" ref="BB99:BB130" si="78">BA99/D99</f>
        <v>8.3215768319682595E-2</v>
      </c>
      <c r="BD99" s="199"/>
      <c r="BE99" s="199"/>
    </row>
    <row r="100" spans="1:57" s="69" customFormat="1" x14ac:dyDescent="0.25">
      <c r="A100" s="69" t="s">
        <v>132</v>
      </c>
      <c r="B100" s="69" t="s">
        <v>87</v>
      </c>
      <c r="C100" s="70">
        <v>1</v>
      </c>
      <c r="D100" s="70">
        <v>125</v>
      </c>
      <c r="E100" s="70">
        <v>1400</v>
      </c>
      <c r="F100" s="71">
        <v>305</v>
      </c>
      <c r="G100" s="71">
        <v>444</v>
      </c>
      <c r="H100" s="70">
        <v>139</v>
      </c>
      <c r="I100" s="69">
        <v>1400</v>
      </c>
      <c r="J100" s="69">
        <v>309</v>
      </c>
      <c r="K100" s="69">
        <v>0.84199999999999997</v>
      </c>
      <c r="L100" s="69">
        <v>305</v>
      </c>
      <c r="M100" s="69">
        <v>0.84099999999999997</v>
      </c>
      <c r="N100" s="69">
        <v>350</v>
      </c>
      <c r="O100" s="69">
        <v>1050</v>
      </c>
      <c r="P100" s="69">
        <v>372</v>
      </c>
      <c r="Q100" s="69">
        <v>0.83199999999999996</v>
      </c>
      <c r="R100" s="69">
        <v>305</v>
      </c>
      <c r="S100" s="69">
        <v>0.84499999999999997</v>
      </c>
      <c r="T100" s="69">
        <v>1050</v>
      </c>
      <c r="U100" s="69">
        <v>700</v>
      </c>
      <c r="V100" s="69">
        <v>399</v>
      </c>
      <c r="W100" s="69">
        <v>0.70199999999999996</v>
      </c>
      <c r="X100" s="69">
        <v>305</v>
      </c>
      <c r="Y100" s="69">
        <v>0.751</v>
      </c>
      <c r="Z100" s="69">
        <v>2100</v>
      </c>
      <c r="AM100" s="72">
        <f t="shared" si="57"/>
        <v>3500</v>
      </c>
      <c r="AN100" s="72">
        <f t="shared" si="58"/>
        <v>183750000</v>
      </c>
      <c r="AO100" s="72">
        <f t="shared" si="59"/>
        <v>1400</v>
      </c>
      <c r="AP100" s="72">
        <f t="shared" si="60"/>
        <v>875</v>
      </c>
      <c r="AQ100" s="72">
        <f t="shared" si="70"/>
        <v>360</v>
      </c>
      <c r="AR100" s="73">
        <f t="shared" si="71"/>
        <v>0.755</v>
      </c>
      <c r="AS100" s="72">
        <f t="shared" si="72"/>
        <v>305</v>
      </c>
      <c r="AT100" s="73">
        <f t="shared" si="72"/>
        <v>0.81233333333333346</v>
      </c>
      <c r="AU100" s="73">
        <v>0.94730000000000003</v>
      </c>
      <c r="AV100" s="73">
        <f t="shared" si="73"/>
        <v>2202.9476560041253</v>
      </c>
      <c r="AW100" s="73">
        <f t="shared" si="74"/>
        <v>1831.1615325808164</v>
      </c>
      <c r="AX100" s="73">
        <f t="shared" si="75"/>
        <v>371.78612342330894</v>
      </c>
      <c r="AY100" s="72">
        <f t="shared" si="76"/>
        <v>46473.26542791359</v>
      </c>
      <c r="AZ100" s="72">
        <f t="shared" si="77"/>
        <v>371.78612342330871</v>
      </c>
      <c r="BA100" s="74">
        <f t="shared" si="69"/>
        <v>13.278075836546741</v>
      </c>
      <c r="BB100" s="73">
        <f t="shared" si="78"/>
        <v>0.10622460669237392</v>
      </c>
      <c r="BD100" s="199"/>
      <c r="BE100" s="199"/>
    </row>
    <row r="101" spans="1:57" s="69" customFormat="1" x14ac:dyDescent="0.25">
      <c r="A101" s="79" t="s">
        <v>295</v>
      </c>
      <c r="B101" s="80"/>
      <c r="C101" s="81">
        <v>1</v>
      </c>
      <c r="D101" s="81">
        <v>125</v>
      </c>
      <c r="E101" s="82"/>
      <c r="F101" s="82"/>
      <c r="G101" s="82"/>
      <c r="H101" s="82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2"/>
      <c r="AN101" s="80"/>
      <c r="AO101" s="83"/>
      <c r="AP101" s="83"/>
      <c r="AQ101" s="83"/>
      <c r="AR101" s="83"/>
      <c r="AS101" s="83"/>
      <c r="AT101" s="83"/>
      <c r="AU101" s="82"/>
      <c r="AV101" s="83"/>
      <c r="AW101" s="83"/>
      <c r="AX101" s="83"/>
      <c r="AY101" s="84">
        <v>71102.75</v>
      </c>
      <c r="AZ101" s="72">
        <f t="shared" si="77"/>
        <v>568.822</v>
      </c>
      <c r="BA101" s="81">
        <v>55.96875</v>
      </c>
      <c r="BB101" s="73">
        <f t="shared" si="78"/>
        <v>0.44774999999999998</v>
      </c>
      <c r="BD101" s="199"/>
      <c r="BE101" s="199"/>
    </row>
    <row r="102" spans="1:57" s="69" customFormat="1" x14ac:dyDescent="0.25">
      <c r="A102" s="79" t="s">
        <v>295</v>
      </c>
      <c r="C102" s="81">
        <v>1</v>
      </c>
      <c r="D102" s="81">
        <v>125</v>
      </c>
      <c r="AO102" s="71"/>
      <c r="AP102" s="71"/>
      <c r="AQ102" s="71"/>
      <c r="AR102" s="71"/>
      <c r="AS102" s="71"/>
      <c r="AT102" s="71"/>
      <c r="AU102" s="70"/>
      <c r="AV102" s="71"/>
      <c r="AW102" s="71"/>
      <c r="AX102" s="71"/>
      <c r="AY102" s="84">
        <v>71102.75</v>
      </c>
      <c r="AZ102" s="72">
        <f t="shared" si="77"/>
        <v>568.822</v>
      </c>
      <c r="BA102" s="81">
        <v>55.96875</v>
      </c>
      <c r="BB102" s="73">
        <f t="shared" si="78"/>
        <v>0.44774999999999998</v>
      </c>
      <c r="BD102" s="199"/>
      <c r="BE102" s="199"/>
    </row>
    <row r="103" spans="1:57" s="69" customFormat="1" x14ac:dyDescent="0.25">
      <c r="A103" s="79" t="s">
        <v>298</v>
      </c>
      <c r="C103" s="81">
        <v>1</v>
      </c>
      <c r="D103" s="81">
        <v>125</v>
      </c>
      <c r="AO103" s="71"/>
      <c r="AP103" s="71"/>
      <c r="AQ103" s="71"/>
      <c r="AR103" s="71"/>
      <c r="AS103" s="71"/>
      <c r="AT103" s="71"/>
      <c r="AU103" s="70"/>
      <c r="AV103" s="71"/>
      <c r="AW103" s="71"/>
      <c r="AX103" s="71"/>
      <c r="AY103" s="84">
        <v>25954.5</v>
      </c>
      <c r="AZ103" s="72">
        <f t="shared" si="77"/>
        <v>207.636</v>
      </c>
      <c r="BA103" s="81">
        <v>15.54</v>
      </c>
      <c r="BB103" s="73">
        <f t="shared" si="78"/>
        <v>0.12432</v>
      </c>
      <c r="BD103" s="199"/>
      <c r="BE103" s="199"/>
    </row>
    <row r="104" spans="1:57" s="69" customFormat="1" x14ac:dyDescent="0.25">
      <c r="A104" s="79" t="s">
        <v>300</v>
      </c>
      <c r="C104" s="81">
        <v>1</v>
      </c>
      <c r="D104" s="81">
        <v>125</v>
      </c>
      <c r="AO104" s="71"/>
      <c r="AP104" s="71"/>
      <c r="AQ104" s="71"/>
      <c r="AR104" s="71"/>
      <c r="AS104" s="71"/>
      <c r="AT104" s="71"/>
      <c r="AU104" s="70"/>
      <c r="AV104" s="71"/>
      <c r="AW104" s="71"/>
      <c r="AX104" s="71"/>
      <c r="AY104" s="84">
        <v>49725.5</v>
      </c>
      <c r="AZ104" s="72">
        <f t="shared" si="77"/>
        <v>397.80399999999997</v>
      </c>
      <c r="BA104" s="81">
        <v>24.86</v>
      </c>
      <c r="BB104" s="73">
        <f t="shared" si="78"/>
        <v>0.19888</v>
      </c>
      <c r="BD104" s="199"/>
      <c r="BE104" s="199"/>
    </row>
    <row r="105" spans="1:57" s="87" customFormat="1" x14ac:dyDescent="0.25">
      <c r="A105" s="85" t="s">
        <v>133</v>
      </c>
      <c r="B105" s="85" t="s">
        <v>134</v>
      </c>
      <c r="C105" s="86">
        <v>1</v>
      </c>
      <c r="D105" s="86">
        <v>150</v>
      </c>
      <c r="E105" s="86">
        <v>1750</v>
      </c>
      <c r="F105" s="86">
        <v>265</v>
      </c>
      <c r="G105" s="86">
        <v>343</v>
      </c>
      <c r="H105" s="86">
        <v>78</v>
      </c>
      <c r="I105" s="87">
        <v>1225</v>
      </c>
      <c r="J105" s="87">
        <v>297</v>
      </c>
      <c r="K105" s="87">
        <v>0.66200000000000003</v>
      </c>
      <c r="L105" s="87">
        <v>265</v>
      </c>
      <c r="M105" s="87">
        <v>0.68400000000000005</v>
      </c>
      <c r="N105" s="87">
        <v>200</v>
      </c>
      <c r="O105" s="87">
        <v>1575</v>
      </c>
      <c r="P105" s="87">
        <v>279</v>
      </c>
      <c r="Q105" s="87">
        <v>0.76300000000000001</v>
      </c>
      <c r="R105" s="87">
        <v>265</v>
      </c>
      <c r="S105" s="87">
        <v>0.77</v>
      </c>
      <c r="T105" s="87">
        <v>200</v>
      </c>
      <c r="U105" s="87">
        <v>910</v>
      </c>
      <c r="V105" s="87">
        <v>309</v>
      </c>
      <c r="W105" s="87">
        <v>0.53300000000000003</v>
      </c>
      <c r="X105" s="87">
        <v>265</v>
      </c>
      <c r="Y105" s="87">
        <v>0.56399999999999995</v>
      </c>
      <c r="Z105" s="87">
        <v>150</v>
      </c>
      <c r="AA105" s="87">
        <v>1750</v>
      </c>
      <c r="AB105" s="87">
        <v>267</v>
      </c>
      <c r="AC105" s="87">
        <v>0.79500000000000004</v>
      </c>
      <c r="AD105" s="87">
        <v>265</v>
      </c>
      <c r="AE105" s="87">
        <v>0.79600000000000004</v>
      </c>
      <c r="AF105" s="87">
        <v>250</v>
      </c>
      <c r="AG105" s="87">
        <v>1400</v>
      </c>
      <c r="AH105" s="87">
        <v>289</v>
      </c>
      <c r="AI105" s="87">
        <v>0.71799999999999997</v>
      </c>
      <c r="AJ105" s="87">
        <v>265</v>
      </c>
      <c r="AK105" s="87">
        <v>0.73399999999999999</v>
      </c>
      <c r="AL105" s="87">
        <v>200</v>
      </c>
      <c r="AM105" s="88">
        <f t="shared" ref="AM105:AM129" si="79">AL105+AF105+Z105+T105+N105</f>
        <v>1000</v>
      </c>
      <c r="AN105" s="88">
        <f t="shared" ref="AN105:AN129" si="80">I105*60*N105+O105*60*T105+U105*60*Z105+AA105*60*AF105+AG105*60*AL105</f>
        <v>84840000</v>
      </c>
      <c r="AO105" s="88">
        <f t="shared" ref="AO105:AO129" si="81">MAX(AG105,AA105,U105,O105,I105)</f>
        <v>1750</v>
      </c>
      <c r="AP105" s="88">
        <f t="shared" ref="AP105:AP129" si="82">AN105/(AM105*60)</f>
        <v>1414</v>
      </c>
      <c r="AQ105" s="88">
        <f t="shared" ref="AQ105:AQ113" si="83">AVERAGE(AH105,AB105,V105,P105,J105)</f>
        <v>288.2</v>
      </c>
      <c r="AR105" s="89">
        <f t="shared" ref="AR105:AR113" si="84">(K105*N105+Q105*T105+W105*Z105+AC105*AF105+AI105*AL105)/AM105</f>
        <v>0.70730000000000004</v>
      </c>
      <c r="AS105" s="88">
        <f t="shared" ref="AS105:AS113" si="85">AVERAGE(AJ105,AD105,X105,R105,L105)</f>
        <v>265</v>
      </c>
      <c r="AT105" s="89">
        <f t="shared" ref="AT105:AT113" si="86">AVERAGE(AK105,AE105,Y105,S105,M105)</f>
        <v>0.70960000000000001</v>
      </c>
      <c r="AU105" s="89">
        <v>0.95799999999999996</v>
      </c>
      <c r="AV105" s="89">
        <f t="shared" ref="AV105:AV113" si="87">((AP105*AQ105/AR105))*AM105*0.746/(3956*D105)</f>
        <v>724.32089427455253</v>
      </c>
      <c r="AW105" s="89">
        <f t="shared" ref="AW105:AW113" si="88">((AP105*AS105/(AT105*AU105)))*AM105*0.746/(3956*D105)</f>
        <v>692.95886170282472</v>
      </c>
      <c r="AX105" s="89">
        <f t="shared" ref="AX105:AX113" si="89">AV105-AW105</f>
        <v>31.362032571727809</v>
      </c>
      <c r="AY105" s="88">
        <f t="shared" ref="AY105:AY113" si="90">((AP105*AQ105/AR105)-(AP105*AS105/(AT105*AU105)))*AM105*0.746/3956</f>
        <v>4704.3048857591557</v>
      </c>
      <c r="AZ105" s="88">
        <f t="shared" si="77"/>
        <v>31.362032571727706</v>
      </c>
      <c r="BA105" s="90">
        <f t="shared" ref="BA105:BA129" si="91">AY105/AM105</f>
        <v>4.7043048857591554</v>
      </c>
      <c r="BB105" s="89">
        <f t="shared" si="78"/>
        <v>3.1362032571727705E-2</v>
      </c>
      <c r="BD105" s="200">
        <f>SUM(AY105:AY132)/SUMPRODUCT(C105:D132)</f>
        <v>301.37817941029374</v>
      </c>
      <c r="BE105" s="200">
        <f>SUM(BA105:BA132)/SUMPRODUCT(C105:D132)</f>
        <v>0.12668217274196533</v>
      </c>
    </row>
    <row r="106" spans="1:57" s="87" customFormat="1" x14ac:dyDescent="0.25">
      <c r="A106" s="85" t="s">
        <v>133</v>
      </c>
      <c r="B106" s="85" t="s">
        <v>134</v>
      </c>
      <c r="C106" s="86">
        <v>1</v>
      </c>
      <c r="D106" s="86">
        <v>150</v>
      </c>
      <c r="E106" s="86">
        <v>1750</v>
      </c>
      <c r="F106" s="86">
        <v>265</v>
      </c>
      <c r="G106" s="86">
        <v>379</v>
      </c>
      <c r="H106" s="86">
        <v>114</v>
      </c>
      <c r="I106" s="87">
        <v>1225</v>
      </c>
      <c r="J106" s="87">
        <v>297</v>
      </c>
      <c r="K106" s="87">
        <v>0.66700000000000004</v>
      </c>
      <c r="L106" s="87">
        <v>265</v>
      </c>
      <c r="M106" s="87">
        <v>0.68799999999999994</v>
      </c>
      <c r="N106" s="87">
        <v>200</v>
      </c>
      <c r="O106" s="87">
        <v>1575</v>
      </c>
      <c r="P106" s="87">
        <v>276</v>
      </c>
      <c r="Q106" s="87">
        <v>0.76700000000000002</v>
      </c>
      <c r="R106" s="87">
        <v>265</v>
      </c>
      <c r="S106" s="87">
        <v>0.77300000000000002</v>
      </c>
      <c r="T106" s="87">
        <v>200</v>
      </c>
      <c r="U106" s="87">
        <v>910</v>
      </c>
      <c r="V106" s="87">
        <v>314</v>
      </c>
      <c r="W106" s="87">
        <v>0.54</v>
      </c>
      <c r="X106" s="87">
        <v>265</v>
      </c>
      <c r="Y106" s="87">
        <v>0.57299999999999995</v>
      </c>
      <c r="Z106" s="87">
        <v>150</v>
      </c>
      <c r="AA106" s="87">
        <v>1750</v>
      </c>
      <c r="AB106" s="87">
        <v>264</v>
      </c>
      <c r="AC106" s="87">
        <v>0.80100000000000005</v>
      </c>
      <c r="AD106" s="87">
        <v>265</v>
      </c>
      <c r="AE106" s="87">
        <v>0.80100000000000005</v>
      </c>
      <c r="AF106" s="87">
        <v>250</v>
      </c>
      <c r="AG106" s="87">
        <v>1400</v>
      </c>
      <c r="AH106" s="87">
        <v>287</v>
      </c>
      <c r="AI106" s="87">
        <v>0.72299999999999998</v>
      </c>
      <c r="AJ106" s="87">
        <v>265</v>
      </c>
      <c r="AK106" s="87">
        <v>0.73599999999999999</v>
      </c>
      <c r="AL106" s="87">
        <v>200</v>
      </c>
      <c r="AM106" s="88">
        <f t="shared" si="79"/>
        <v>1000</v>
      </c>
      <c r="AN106" s="88">
        <f t="shared" si="80"/>
        <v>84840000</v>
      </c>
      <c r="AO106" s="88">
        <f t="shared" si="81"/>
        <v>1750</v>
      </c>
      <c r="AP106" s="88">
        <f t="shared" si="82"/>
        <v>1414</v>
      </c>
      <c r="AQ106" s="88">
        <f t="shared" si="83"/>
        <v>287.60000000000002</v>
      </c>
      <c r="AR106" s="89">
        <f t="shared" si="84"/>
        <v>0.71265000000000001</v>
      </c>
      <c r="AS106" s="88">
        <f t="shared" si="85"/>
        <v>265</v>
      </c>
      <c r="AT106" s="89">
        <f t="shared" si="86"/>
        <v>0.71419999999999995</v>
      </c>
      <c r="AU106" s="89">
        <v>0.95794999999999997</v>
      </c>
      <c r="AV106" s="89">
        <f t="shared" si="87"/>
        <v>717.38664446874884</v>
      </c>
      <c r="AW106" s="89">
        <f t="shared" si="88"/>
        <v>688.53160693820757</v>
      </c>
      <c r="AX106" s="89">
        <f t="shared" si="89"/>
        <v>28.855037530541267</v>
      </c>
      <c r="AY106" s="88">
        <f t="shared" si="90"/>
        <v>4328.2556295811864</v>
      </c>
      <c r="AZ106" s="88">
        <f t="shared" si="77"/>
        <v>28.855037530541242</v>
      </c>
      <c r="BA106" s="90">
        <f t="shared" si="91"/>
        <v>4.3282556295811867</v>
      </c>
      <c r="BB106" s="89">
        <f t="shared" si="78"/>
        <v>2.8855037530541246E-2</v>
      </c>
      <c r="BD106" s="200"/>
      <c r="BE106" s="200"/>
    </row>
    <row r="107" spans="1:57" s="87" customFormat="1" x14ac:dyDescent="0.25">
      <c r="A107" s="87" t="s">
        <v>135</v>
      </c>
      <c r="B107" s="87" t="s">
        <v>136</v>
      </c>
      <c r="C107" s="86">
        <v>1</v>
      </c>
      <c r="D107" s="86">
        <v>150</v>
      </c>
      <c r="E107" s="86">
        <v>1500</v>
      </c>
      <c r="F107" s="86">
        <v>290</v>
      </c>
      <c r="G107" s="86">
        <v>390</v>
      </c>
      <c r="H107" s="86"/>
      <c r="I107" s="87">
        <v>1000</v>
      </c>
      <c r="J107" s="87">
        <v>337</v>
      </c>
      <c r="K107" s="87">
        <v>0.71599999999999997</v>
      </c>
      <c r="L107" s="87">
        <v>260</v>
      </c>
      <c r="M107" s="87">
        <v>0.75700000000000001</v>
      </c>
      <c r="N107" s="87">
        <v>250</v>
      </c>
      <c r="O107" s="87">
        <v>1500</v>
      </c>
      <c r="P107" s="87">
        <v>308</v>
      </c>
      <c r="Q107" s="87">
        <v>0.82</v>
      </c>
      <c r="R107" s="87">
        <v>260</v>
      </c>
      <c r="S107" s="87">
        <v>0.82299999999999995</v>
      </c>
      <c r="T107" s="87">
        <v>250</v>
      </c>
      <c r="U107" s="87">
        <v>1000</v>
      </c>
      <c r="V107" s="87">
        <v>337</v>
      </c>
      <c r="W107" s="87">
        <v>0.71599999999999997</v>
      </c>
      <c r="X107" s="87">
        <v>290</v>
      </c>
      <c r="Y107" s="87">
        <v>0.74099999999999999</v>
      </c>
      <c r="Z107" s="87">
        <v>250</v>
      </c>
      <c r="AA107" s="87">
        <v>1500</v>
      </c>
      <c r="AB107" s="87">
        <v>308</v>
      </c>
      <c r="AC107" s="87">
        <v>0.82</v>
      </c>
      <c r="AD107" s="87">
        <v>290</v>
      </c>
      <c r="AE107" s="87">
        <v>0.82199999999999995</v>
      </c>
      <c r="AF107" s="87">
        <v>250</v>
      </c>
      <c r="AM107" s="88">
        <f t="shared" si="79"/>
        <v>1000</v>
      </c>
      <c r="AN107" s="88">
        <f t="shared" si="80"/>
        <v>75000000</v>
      </c>
      <c r="AO107" s="88">
        <f t="shared" si="81"/>
        <v>1500</v>
      </c>
      <c r="AP107" s="88">
        <f t="shared" si="82"/>
        <v>1250</v>
      </c>
      <c r="AQ107" s="88">
        <f t="shared" si="83"/>
        <v>322.5</v>
      </c>
      <c r="AR107" s="89">
        <f t="shared" si="84"/>
        <v>0.76800000000000002</v>
      </c>
      <c r="AS107" s="88">
        <f t="shared" si="85"/>
        <v>275</v>
      </c>
      <c r="AT107" s="89">
        <f t="shared" si="86"/>
        <v>0.78575000000000006</v>
      </c>
      <c r="AU107" s="91">
        <v>0.95225000000000004</v>
      </c>
      <c r="AV107" s="89">
        <f t="shared" si="87"/>
        <v>659.88734148550725</v>
      </c>
      <c r="AW107" s="89">
        <f t="shared" si="88"/>
        <v>577.56201288829288</v>
      </c>
      <c r="AX107" s="89">
        <f t="shared" si="89"/>
        <v>82.325328597214366</v>
      </c>
      <c r="AY107" s="88">
        <f t="shared" si="90"/>
        <v>12348.799289582163</v>
      </c>
      <c r="AZ107" s="88">
        <f t="shared" si="77"/>
        <v>82.325328597214423</v>
      </c>
      <c r="BA107" s="90">
        <f t="shared" si="91"/>
        <v>12.348799289582162</v>
      </c>
      <c r="BB107" s="89">
        <f t="shared" si="78"/>
        <v>8.232532859721442E-2</v>
      </c>
      <c r="BD107" s="200"/>
      <c r="BE107" s="200"/>
    </row>
    <row r="108" spans="1:57" s="87" customFormat="1" x14ac:dyDescent="0.25">
      <c r="A108" s="87" t="s">
        <v>137</v>
      </c>
      <c r="B108" s="87" t="s">
        <v>136</v>
      </c>
      <c r="C108" s="86">
        <v>1</v>
      </c>
      <c r="D108" s="86">
        <v>150</v>
      </c>
      <c r="E108" s="86">
        <v>2000</v>
      </c>
      <c r="F108" s="86">
        <v>181</v>
      </c>
      <c r="G108" s="86">
        <v>289</v>
      </c>
      <c r="H108" s="86"/>
      <c r="I108" s="87">
        <v>1000</v>
      </c>
      <c r="J108" s="87">
        <v>241</v>
      </c>
      <c r="K108" s="87">
        <v>0.56000000000000005</v>
      </c>
      <c r="L108" s="87">
        <v>181</v>
      </c>
      <c r="M108" s="87">
        <v>0.62</v>
      </c>
      <c r="N108" s="87">
        <v>421</v>
      </c>
      <c r="O108" s="87">
        <v>1500</v>
      </c>
      <c r="P108" s="87">
        <v>219</v>
      </c>
      <c r="Q108" s="87">
        <v>0.73599999999999999</v>
      </c>
      <c r="R108" s="87">
        <v>181</v>
      </c>
      <c r="S108" s="87">
        <v>0.76200000000000001</v>
      </c>
      <c r="T108" s="87">
        <v>281</v>
      </c>
      <c r="U108" s="87">
        <v>2000</v>
      </c>
      <c r="V108" s="87">
        <v>182</v>
      </c>
      <c r="W108" s="87">
        <v>0.79100000000000004</v>
      </c>
      <c r="X108" s="87">
        <v>181</v>
      </c>
      <c r="Y108" s="87">
        <v>0.79100000000000004</v>
      </c>
      <c r="Z108" s="87">
        <v>421</v>
      </c>
      <c r="AM108" s="88">
        <f t="shared" si="79"/>
        <v>1123</v>
      </c>
      <c r="AN108" s="88">
        <f t="shared" si="80"/>
        <v>101070000</v>
      </c>
      <c r="AO108" s="88">
        <f t="shared" si="81"/>
        <v>2000</v>
      </c>
      <c r="AP108" s="88">
        <f t="shared" si="82"/>
        <v>1500</v>
      </c>
      <c r="AQ108" s="88">
        <f t="shared" si="83"/>
        <v>214</v>
      </c>
      <c r="AR108" s="89">
        <f t="shared" si="84"/>
        <v>0.69063846838824572</v>
      </c>
      <c r="AS108" s="88">
        <f t="shared" si="85"/>
        <v>181</v>
      </c>
      <c r="AT108" s="89">
        <f t="shared" si="86"/>
        <v>0.72433333333333338</v>
      </c>
      <c r="AU108" s="89">
        <v>0.95699999999999996</v>
      </c>
      <c r="AV108" s="89">
        <f t="shared" si="87"/>
        <v>656.18350559263229</v>
      </c>
      <c r="AW108" s="89">
        <f t="shared" si="88"/>
        <v>552.95586178709459</v>
      </c>
      <c r="AX108" s="89">
        <f t="shared" si="89"/>
        <v>103.2276438055377</v>
      </c>
      <c r="AY108" s="88">
        <f t="shared" si="90"/>
        <v>15484.146570830651</v>
      </c>
      <c r="AZ108" s="88">
        <f t="shared" si="77"/>
        <v>103.22764380553768</v>
      </c>
      <c r="BA108" s="90">
        <f t="shared" si="91"/>
        <v>13.788198193081612</v>
      </c>
      <c r="BB108" s="89">
        <f t="shared" si="78"/>
        <v>9.1921321287210755E-2</v>
      </c>
      <c r="BD108" s="200"/>
      <c r="BE108" s="200"/>
    </row>
    <row r="109" spans="1:57" s="87" customFormat="1" x14ac:dyDescent="0.25">
      <c r="A109" s="87" t="s">
        <v>138</v>
      </c>
      <c r="B109" s="87" t="s">
        <v>73</v>
      </c>
      <c r="C109" s="86">
        <v>1</v>
      </c>
      <c r="D109" s="86">
        <v>150</v>
      </c>
      <c r="E109" s="86">
        <v>2000</v>
      </c>
      <c r="F109" s="86">
        <v>280</v>
      </c>
      <c r="G109" s="86">
        <v>471</v>
      </c>
      <c r="H109" s="86"/>
      <c r="I109" s="87">
        <v>1620</v>
      </c>
      <c r="J109" s="87">
        <v>320</v>
      </c>
      <c r="K109" s="87">
        <v>0.79300000000000004</v>
      </c>
      <c r="L109" s="87">
        <v>280</v>
      </c>
      <c r="M109" s="87">
        <v>0.81100000000000005</v>
      </c>
      <c r="N109" s="87">
        <v>1224</v>
      </c>
      <c r="AM109" s="88">
        <f t="shared" si="79"/>
        <v>1224</v>
      </c>
      <c r="AN109" s="88">
        <f t="shared" si="80"/>
        <v>118972800</v>
      </c>
      <c r="AO109" s="88">
        <f t="shared" si="81"/>
        <v>1620</v>
      </c>
      <c r="AP109" s="88">
        <f t="shared" si="82"/>
        <v>1620</v>
      </c>
      <c r="AQ109" s="88">
        <f t="shared" si="83"/>
        <v>320</v>
      </c>
      <c r="AR109" s="89">
        <f t="shared" si="84"/>
        <v>0.79300000000000004</v>
      </c>
      <c r="AS109" s="88">
        <f t="shared" si="85"/>
        <v>280</v>
      </c>
      <c r="AT109" s="89">
        <f t="shared" si="86"/>
        <v>0.81100000000000005</v>
      </c>
      <c r="AU109" s="91">
        <v>0.95599999999999996</v>
      </c>
      <c r="AV109" s="89">
        <f t="shared" si="87"/>
        <v>1005.9224687195978</v>
      </c>
      <c r="AW109" s="89">
        <f t="shared" si="88"/>
        <v>900.2580276723437</v>
      </c>
      <c r="AX109" s="89">
        <f t="shared" si="89"/>
        <v>105.66444104725406</v>
      </c>
      <c r="AY109" s="88">
        <f t="shared" si="90"/>
        <v>15849.66615708809</v>
      </c>
      <c r="AZ109" s="88">
        <f t="shared" si="77"/>
        <v>105.66444104725393</v>
      </c>
      <c r="BA109" s="90">
        <f t="shared" si="91"/>
        <v>12.949073657751708</v>
      </c>
      <c r="BB109" s="89">
        <f t="shared" si="78"/>
        <v>8.6327157718344719E-2</v>
      </c>
      <c r="BD109" s="200"/>
      <c r="BE109" s="200"/>
    </row>
    <row r="110" spans="1:57" s="87" customFormat="1" x14ac:dyDescent="0.25">
      <c r="A110" s="87" t="s">
        <v>139</v>
      </c>
      <c r="B110" s="87" t="s">
        <v>75</v>
      </c>
      <c r="C110" s="86">
        <v>1</v>
      </c>
      <c r="D110" s="86">
        <v>150</v>
      </c>
      <c r="E110" s="86">
        <v>2600</v>
      </c>
      <c r="F110" s="92">
        <v>206</v>
      </c>
      <c r="G110" s="92">
        <v>422</v>
      </c>
      <c r="H110" s="86">
        <v>216</v>
      </c>
      <c r="I110" s="87">
        <v>2720</v>
      </c>
      <c r="J110" s="87">
        <v>143</v>
      </c>
      <c r="K110" s="87">
        <v>0.72099999999999997</v>
      </c>
      <c r="L110" s="87">
        <v>143</v>
      </c>
      <c r="M110" s="87">
        <v>0.72099999999999997</v>
      </c>
      <c r="N110" s="87">
        <v>450</v>
      </c>
      <c r="O110" s="87">
        <v>1500</v>
      </c>
      <c r="P110" s="87">
        <v>326</v>
      </c>
      <c r="Q110" s="87">
        <v>0.83</v>
      </c>
      <c r="R110" s="87">
        <v>224</v>
      </c>
      <c r="S110" s="87">
        <v>0.84899999999999998</v>
      </c>
      <c r="T110" s="87">
        <v>830</v>
      </c>
      <c r="AM110" s="88">
        <f t="shared" si="79"/>
        <v>1280</v>
      </c>
      <c r="AN110" s="88">
        <f t="shared" si="80"/>
        <v>148140000</v>
      </c>
      <c r="AO110" s="88">
        <f t="shared" si="81"/>
        <v>2720</v>
      </c>
      <c r="AP110" s="88">
        <f t="shared" si="82"/>
        <v>1928.90625</v>
      </c>
      <c r="AQ110" s="88">
        <f t="shared" si="83"/>
        <v>234.5</v>
      </c>
      <c r="AR110" s="89">
        <f t="shared" si="84"/>
        <v>0.79167968749999995</v>
      </c>
      <c r="AS110" s="88">
        <f t="shared" si="85"/>
        <v>183.5</v>
      </c>
      <c r="AT110" s="89">
        <f t="shared" si="86"/>
        <v>0.78499999999999992</v>
      </c>
      <c r="AU110" s="91">
        <v>0.94708593750000003</v>
      </c>
      <c r="AV110" s="89">
        <f t="shared" si="87"/>
        <v>919.40258459574818</v>
      </c>
      <c r="AW110" s="89">
        <f t="shared" si="88"/>
        <v>766.10694449729829</v>
      </c>
      <c r="AX110" s="89">
        <f t="shared" si="89"/>
        <v>153.29564009844989</v>
      </c>
      <c r="AY110" s="88">
        <f t="shared" si="90"/>
        <v>22994.346014767467</v>
      </c>
      <c r="AZ110" s="88">
        <f t="shared" si="77"/>
        <v>153.29564009844978</v>
      </c>
      <c r="BA110" s="90">
        <f t="shared" si="91"/>
        <v>17.964332824037083</v>
      </c>
      <c r="BB110" s="89">
        <f t="shared" si="78"/>
        <v>0.11976221882691389</v>
      </c>
      <c r="BD110" s="200"/>
      <c r="BE110" s="200"/>
    </row>
    <row r="111" spans="1:57" s="87" customFormat="1" x14ac:dyDescent="0.25">
      <c r="A111" s="93" t="s">
        <v>140</v>
      </c>
      <c r="B111" s="87" t="s">
        <v>46</v>
      </c>
      <c r="C111" s="86">
        <v>1</v>
      </c>
      <c r="D111" s="86">
        <v>150</v>
      </c>
      <c r="E111" s="86">
        <v>500</v>
      </c>
      <c r="F111" s="86">
        <v>323</v>
      </c>
      <c r="G111" s="86">
        <v>1125</v>
      </c>
      <c r="H111" s="86"/>
      <c r="I111" s="87">
        <v>500</v>
      </c>
      <c r="J111" s="87">
        <v>708</v>
      </c>
      <c r="K111" s="87">
        <v>0.83</v>
      </c>
      <c r="L111" s="87">
        <v>423</v>
      </c>
      <c r="M111" s="87">
        <v>0.80100000000000005</v>
      </c>
      <c r="N111" s="87">
        <v>1350</v>
      </c>
      <c r="O111" s="87">
        <v>350</v>
      </c>
      <c r="P111" s="87">
        <v>841</v>
      </c>
      <c r="Q111" s="87">
        <v>0.75800000000000001</v>
      </c>
      <c r="R111" s="87">
        <v>354</v>
      </c>
      <c r="S111" s="87">
        <v>0.83</v>
      </c>
      <c r="T111" s="87">
        <v>150</v>
      </c>
      <c r="AM111" s="88">
        <f t="shared" si="79"/>
        <v>1500</v>
      </c>
      <c r="AN111" s="88">
        <f t="shared" si="80"/>
        <v>43650000</v>
      </c>
      <c r="AO111" s="88">
        <f t="shared" si="81"/>
        <v>500</v>
      </c>
      <c r="AP111" s="88">
        <f t="shared" si="82"/>
        <v>485</v>
      </c>
      <c r="AQ111" s="88">
        <f t="shared" si="83"/>
        <v>774.5</v>
      </c>
      <c r="AR111" s="89">
        <f t="shared" si="84"/>
        <v>0.82279999999999998</v>
      </c>
      <c r="AS111" s="88">
        <f t="shared" si="85"/>
        <v>388.5</v>
      </c>
      <c r="AT111" s="89">
        <f t="shared" si="86"/>
        <v>0.8155</v>
      </c>
      <c r="AU111" s="91">
        <v>0.93140000000000012</v>
      </c>
      <c r="AV111" s="89">
        <f t="shared" si="87"/>
        <v>860.89745157353161</v>
      </c>
      <c r="AW111" s="89">
        <f t="shared" si="88"/>
        <v>467.79449562771106</v>
      </c>
      <c r="AX111" s="89">
        <f t="shared" si="89"/>
        <v>393.10295594582055</v>
      </c>
      <c r="AY111" s="88">
        <f t="shared" si="90"/>
        <v>58965.443391873087</v>
      </c>
      <c r="AZ111" s="88">
        <f t="shared" si="77"/>
        <v>393.10295594582055</v>
      </c>
      <c r="BA111" s="90">
        <f t="shared" si="91"/>
        <v>39.310295594582058</v>
      </c>
      <c r="BB111" s="89">
        <f t="shared" si="78"/>
        <v>0.26206863729721375</v>
      </c>
      <c r="BD111" s="200"/>
      <c r="BE111" s="200"/>
    </row>
    <row r="112" spans="1:57" s="87" customFormat="1" x14ac:dyDescent="0.25">
      <c r="A112" s="87" t="s">
        <v>141</v>
      </c>
      <c r="B112" s="87" t="s">
        <v>73</v>
      </c>
      <c r="C112" s="86">
        <v>1</v>
      </c>
      <c r="D112" s="86">
        <v>150</v>
      </c>
      <c r="E112" s="86">
        <v>1775</v>
      </c>
      <c r="F112" s="86">
        <v>210</v>
      </c>
      <c r="G112" s="86">
        <v>549</v>
      </c>
      <c r="H112" s="86"/>
      <c r="I112" s="87">
        <v>1775</v>
      </c>
      <c r="J112" s="87">
        <v>279</v>
      </c>
      <c r="K112" s="87">
        <v>0.82499999999999996</v>
      </c>
      <c r="L112" s="87">
        <v>210</v>
      </c>
      <c r="M112" s="87">
        <v>0.82499999999999996</v>
      </c>
      <c r="N112" s="87">
        <v>1500</v>
      </c>
      <c r="AM112" s="88">
        <f t="shared" si="79"/>
        <v>1500</v>
      </c>
      <c r="AN112" s="88">
        <f t="shared" si="80"/>
        <v>159750000</v>
      </c>
      <c r="AO112" s="88">
        <f t="shared" si="81"/>
        <v>1775</v>
      </c>
      <c r="AP112" s="88">
        <f t="shared" si="82"/>
        <v>1775</v>
      </c>
      <c r="AQ112" s="88">
        <f t="shared" si="83"/>
        <v>279</v>
      </c>
      <c r="AR112" s="89">
        <f t="shared" si="84"/>
        <v>0.82499999999999996</v>
      </c>
      <c r="AS112" s="88">
        <f t="shared" si="85"/>
        <v>210</v>
      </c>
      <c r="AT112" s="89">
        <f t="shared" si="86"/>
        <v>0.82499999999999996</v>
      </c>
      <c r="AU112" s="89">
        <v>0.95</v>
      </c>
      <c r="AV112" s="89">
        <f t="shared" si="87"/>
        <v>1131.9601985476606</v>
      </c>
      <c r="AW112" s="89">
        <f t="shared" si="88"/>
        <v>896.85584491608654</v>
      </c>
      <c r="AX112" s="89">
        <f t="shared" si="89"/>
        <v>235.1043536315741</v>
      </c>
      <c r="AY112" s="88">
        <f t="shared" si="90"/>
        <v>35265.653044736115</v>
      </c>
      <c r="AZ112" s="88">
        <f t="shared" si="77"/>
        <v>235.1043536315741</v>
      </c>
      <c r="BA112" s="90">
        <f t="shared" si="91"/>
        <v>23.510435363157409</v>
      </c>
      <c r="BB112" s="89">
        <f t="shared" si="78"/>
        <v>0.15673623575438272</v>
      </c>
      <c r="BD112" s="200"/>
      <c r="BE112" s="200"/>
    </row>
    <row r="113" spans="1:57" s="87" customFormat="1" x14ac:dyDescent="0.25">
      <c r="A113" s="87" t="s">
        <v>142</v>
      </c>
      <c r="B113" s="87" t="s">
        <v>136</v>
      </c>
      <c r="C113" s="86">
        <v>1</v>
      </c>
      <c r="D113" s="86">
        <v>150</v>
      </c>
      <c r="E113" s="86">
        <v>1802</v>
      </c>
      <c r="F113" s="86">
        <v>194</v>
      </c>
      <c r="G113" s="86">
        <v>400</v>
      </c>
      <c r="H113" s="86"/>
      <c r="I113" s="87">
        <v>1600</v>
      </c>
      <c r="J113" s="87">
        <v>301</v>
      </c>
      <c r="K113" s="87">
        <v>0.83599999999999997</v>
      </c>
      <c r="L113" s="87">
        <v>255</v>
      </c>
      <c r="M113" s="87">
        <v>0.83299999999999996</v>
      </c>
      <c r="N113" s="87">
        <v>1500</v>
      </c>
      <c r="AM113" s="88">
        <f t="shared" si="79"/>
        <v>1500</v>
      </c>
      <c r="AN113" s="88">
        <f t="shared" si="80"/>
        <v>144000000</v>
      </c>
      <c r="AO113" s="88">
        <f t="shared" si="81"/>
        <v>1600</v>
      </c>
      <c r="AP113" s="88">
        <f t="shared" si="82"/>
        <v>1600</v>
      </c>
      <c r="AQ113" s="88">
        <f t="shared" si="83"/>
        <v>301</v>
      </c>
      <c r="AR113" s="89">
        <f t="shared" si="84"/>
        <v>0.83599999999999997</v>
      </c>
      <c r="AS113" s="88">
        <f t="shared" si="85"/>
        <v>255</v>
      </c>
      <c r="AT113" s="89">
        <f t="shared" si="86"/>
        <v>0.83299999999999996</v>
      </c>
      <c r="AU113" s="89">
        <v>0.95499999999999996</v>
      </c>
      <c r="AV113" s="89">
        <f t="shared" si="87"/>
        <v>1086.3324318701896</v>
      </c>
      <c r="AW113" s="89">
        <f t="shared" si="88"/>
        <v>967.15111012244847</v>
      </c>
      <c r="AX113" s="89">
        <f t="shared" si="89"/>
        <v>119.18132174774109</v>
      </c>
      <c r="AY113" s="88">
        <f t="shared" si="90"/>
        <v>17877.198262161135</v>
      </c>
      <c r="AZ113" s="88">
        <f t="shared" si="77"/>
        <v>119.1813217477409</v>
      </c>
      <c r="BA113" s="90">
        <f t="shared" si="91"/>
        <v>11.91813217477409</v>
      </c>
      <c r="BB113" s="89">
        <f t="shared" si="78"/>
        <v>7.9454214498493936E-2</v>
      </c>
      <c r="BD113" s="200"/>
      <c r="BE113" s="200"/>
    </row>
    <row r="114" spans="1:57" s="87" customFormat="1" x14ac:dyDescent="0.25">
      <c r="A114" s="85" t="s">
        <v>101</v>
      </c>
      <c r="B114" s="85" t="s">
        <v>102</v>
      </c>
      <c r="C114" s="86">
        <v>1</v>
      </c>
      <c r="D114" s="86">
        <v>150</v>
      </c>
      <c r="E114" s="86">
        <v>1500</v>
      </c>
      <c r="F114" s="92">
        <v>270</v>
      </c>
      <c r="G114" s="92">
        <v>375</v>
      </c>
      <c r="H114" s="86">
        <v>105</v>
      </c>
      <c r="I114" s="87">
        <v>1550</v>
      </c>
      <c r="N114" s="87">
        <v>400</v>
      </c>
      <c r="O114" s="87">
        <v>1550</v>
      </c>
      <c r="T114" s="87">
        <v>1200</v>
      </c>
      <c r="AM114" s="88">
        <f t="shared" si="79"/>
        <v>1600</v>
      </c>
      <c r="AN114" s="88">
        <f t="shared" si="80"/>
        <v>148800000</v>
      </c>
      <c r="AO114" s="88">
        <f t="shared" si="81"/>
        <v>1550</v>
      </c>
      <c r="AP114" s="88">
        <f t="shared" si="82"/>
        <v>1550</v>
      </c>
      <c r="AQ114" s="88"/>
      <c r="AR114" s="89"/>
      <c r="AS114" s="88"/>
      <c r="AT114" s="89"/>
      <c r="AU114" s="91">
        <v>0.93275000000000008</v>
      </c>
      <c r="AV114" s="89"/>
      <c r="AW114" s="89"/>
      <c r="AX114" s="89"/>
      <c r="AY114" s="88">
        <v>64114</v>
      </c>
      <c r="AZ114" s="88">
        <f t="shared" si="77"/>
        <v>427.42666666666668</v>
      </c>
      <c r="BA114" s="90">
        <f t="shared" si="91"/>
        <v>40.071249999999999</v>
      </c>
      <c r="BB114" s="89">
        <f t="shared" si="78"/>
        <v>0.26714166666666667</v>
      </c>
      <c r="BD114" s="200"/>
      <c r="BE114" s="200"/>
    </row>
    <row r="115" spans="1:57" s="87" customFormat="1" x14ac:dyDescent="0.25">
      <c r="A115" s="87" t="s">
        <v>143</v>
      </c>
      <c r="B115" s="87" t="s">
        <v>39</v>
      </c>
      <c r="C115" s="86">
        <v>1</v>
      </c>
      <c r="D115" s="86">
        <v>150</v>
      </c>
      <c r="E115" s="86">
        <v>1500</v>
      </c>
      <c r="F115" s="86">
        <v>257</v>
      </c>
      <c r="G115" s="86">
        <v>420</v>
      </c>
      <c r="H115" s="86">
        <v>163</v>
      </c>
      <c r="I115" s="87">
        <v>1450</v>
      </c>
      <c r="J115" s="87">
        <v>324</v>
      </c>
      <c r="K115" s="87">
        <v>0.82699999999999996</v>
      </c>
      <c r="L115" s="87">
        <v>316</v>
      </c>
      <c r="M115" s="87">
        <v>0.82599999999999996</v>
      </c>
      <c r="N115" s="87">
        <v>900</v>
      </c>
      <c r="O115" s="87">
        <v>1250</v>
      </c>
      <c r="P115" s="87">
        <v>354</v>
      </c>
      <c r="Q115" s="87">
        <v>0.81399999999999995</v>
      </c>
      <c r="R115" s="87">
        <v>301</v>
      </c>
      <c r="S115" s="87">
        <v>0.82299999999999995</v>
      </c>
      <c r="T115" s="87">
        <v>900</v>
      </c>
      <c r="AM115" s="88">
        <f t="shared" si="79"/>
        <v>1800</v>
      </c>
      <c r="AN115" s="88">
        <f t="shared" si="80"/>
        <v>145800000</v>
      </c>
      <c r="AO115" s="88">
        <f t="shared" si="81"/>
        <v>1450</v>
      </c>
      <c r="AP115" s="88">
        <f t="shared" si="82"/>
        <v>1350</v>
      </c>
      <c r="AQ115" s="88">
        <f t="shared" ref="AQ115:AQ121" si="92">AVERAGE(AH115,AB115,V115,P115,J115)</f>
        <v>339</v>
      </c>
      <c r="AR115" s="89">
        <f t="shared" ref="AR115:AR121" si="93">(K115*N115+Q115*T115+W115*Z115+AC115*AF115+AI115*AL115)/AM115</f>
        <v>0.8204999999999999</v>
      </c>
      <c r="AS115" s="88">
        <f t="shared" ref="AS115:AT121" si="94">AVERAGE(AJ115,AD115,X115,R115,L115)</f>
        <v>308.5</v>
      </c>
      <c r="AT115" s="89">
        <f t="shared" si="94"/>
        <v>0.82450000000000001</v>
      </c>
      <c r="AU115" s="91">
        <v>0.95699999999999996</v>
      </c>
      <c r="AV115" s="89">
        <f t="shared" ref="AV115:AV121" si="95">((AP115*AQ115/AR115))*AM115*0.746/(3956*D115)</f>
        <v>1262.1723787993342</v>
      </c>
      <c r="AW115" s="89">
        <f t="shared" ref="AW115:AW121" si="96">((AP115*AS115/(AT115*AU115)))*AM115*0.746/(3956*D115)</f>
        <v>1194.4009212788478</v>
      </c>
      <c r="AX115" s="89">
        <f t="shared" ref="AX115:AX121" si="97">AV115-AW115</f>
        <v>67.771457520486365</v>
      </c>
      <c r="AY115" s="88">
        <f t="shared" ref="AY115:AY121" si="98">((AP115*AQ115/AR115)-(AP115*AS115/(AT115*AU115)))*AM115*0.746/3956</f>
        <v>10165.718628072931</v>
      </c>
      <c r="AZ115" s="88">
        <f t="shared" si="77"/>
        <v>67.771457520486209</v>
      </c>
      <c r="BA115" s="90">
        <f t="shared" si="91"/>
        <v>5.6476214600405177</v>
      </c>
      <c r="BB115" s="89">
        <f t="shared" si="78"/>
        <v>3.7650809733603449E-2</v>
      </c>
      <c r="BD115" s="200"/>
      <c r="BE115" s="200"/>
    </row>
    <row r="116" spans="1:57" s="87" customFormat="1" x14ac:dyDescent="0.25">
      <c r="A116" s="87" t="s">
        <v>144</v>
      </c>
      <c r="B116" s="87" t="s">
        <v>136</v>
      </c>
      <c r="C116" s="86">
        <v>1</v>
      </c>
      <c r="D116" s="86">
        <v>150</v>
      </c>
      <c r="E116" s="86">
        <v>2400</v>
      </c>
      <c r="F116" s="86">
        <v>136</v>
      </c>
      <c r="G116" s="86">
        <v>318</v>
      </c>
      <c r="H116" s="86"/>
      <c r="I116" s="87">
        <v>2400</v>
      </c>
      <c r="J116" s="87">
        <v>200</v>
      </c>
      <c r="K116" s="87">
        <v>0.85099999999999998</v>
      </c>
      <c r="L116" s="87">
        <v>160</v>
      </c>
      <c r="M116" s="87">
        <v>0.83799999999999997</v>
      </c>
      <c r="N116" s="87">
        <v>2300</v>
      </c>
      <c r="AM116" s="88">
        <f t="shared" si="79"/>
        <v>2300</v>
      </c>
      <c r="AN116" s="88">
        <f t="shared" si="80"/>
        <v>331200000</v>
      </c>
      <c r="AO116" s="88">
        <f t="shared" si="81"/>
        <v>2400</v>
      </c>
      <c r="AP116" s="88">
        <f t="shared" si="82"/>
        <v>2400</v>
      </c>
      <c r="AQ116" s="88">
        <f t="shared" si="92"/>
        <v>200</v>
      </c>
      <c r="AR116" s="89">
        <f t="shared" si="93"/>
        <v>0.85099999999999998</v>
      </c>
      <c r="AS116" s="88">
        <f t="shared" si="94"/>
        <v>160</v>
      </c>
      <c r="AT116" s="89">
        <f t="shared" si="94"/>
        <v>0.83799999999999997</v>
      </c>
      <c r="AU116" s="89">
        <v>0.95199999999999996</v>
      </c>
      <c r="AV116" s="89">
        <f t="shared" si="95"/>
        <v>1630.91301615063</v>
      </c>
      <c r="AW116" s="89">
        <f t="shared" si="96"/>
        <v>1391.7761143420571</v>
      </c>
      <c r="AX116" s="89">
        <f t="shared" si="97"/>
        <v>239.13690180857293</v>
      </c>
      <c r="AY116" s="88">
        <f t="shared" si="98"/>
        <v>35870.535271285909</v>
      </c>
      <c r="AZ116" s="88">
        <f t="shared" si="77"/>
        <v>239.13690180857273</v>
      </c>
      <c r="BA116" s="90">
        <f t="shared" si="91"/>
        <v>15.59588490055909</v>
      </c>
      <c r="BB116" s="89">
        <f t="shared" si="78"/>
        <v>0.10397256600372727</v>
      </c>
      <c r="BD116" s="200"/>
      <c r="BE116" s="200"/>
    </row>
    <row r="117" spans="1:57" s="87" customFormat="1" x14ac:dyDescent="0.25">
      <c r="A117" s="93" t="s">
        <v>145</v>
      </c>
      <c r="B117" s="87" t="s">
        <v>146</v>
      </c>
      <c r="C117" s="86">
        <v>1</v>
      </c>
      <c r="D117" s="86">
        <v>150</v>
      </c>
      <c r="E117" s="86">
        <v>2500</v>
      </c>
      <c r="F117" s="86">
        <v>190</v>
      </c>
      <c r="G117" s="86">
        <v>400</v>
      </c>
      <c r="H117" s="86"/>
      <c r="I117" s="87">
        <f>(2079+2052)/2</f>
        <v>2065.5</v>
      </c>
      <c r="J117" s="87">
        <f>(239+242)/2</f>
        <v>240.5</v>
      </c>
      <c r="K117" s="87">
        <f>(0.848+0.847)/2</f>
        <v>0.84749999999999992</v>
      </c>
      <c r="L117" s="87">
        <v>215.5</v>
      </c>
      <c r="M117" s="87">
        <v>0.85</v>
      </c>
      <c r="N117" s="87">
        <v>600</v>
      </c>
      <c r="O117" s="87">
        <f>(2219+2320)/2</f>
        <v>2269.5</v>
      </c>
      <c r="P117" s="87">
        <f>(224+210)/2</f>
        <v>217</v>
      </c>
      <c r="Q117" s="87">
        <f>(0.85+0.844)/2</f>
        <v>0.84699999999999998</v>
      </c>
      <c r="R117" s="87">
        <f>(219+222)/2</f>
        <v>220.5</v>
      </c>
      <c r="S117" s="87">
        <v>0.84799999999999998</v>
      </c>
      <c r="T117" s="87">
        <f>300*2</f>
        <v>600</v>
      </c>
      <c r="U117" s="87">
        <f>(2079+2052)/2</f>
        <v>2065.5</v>
      </c>
      <c r="V117" s="87">
        <f>(239+242)/2</f>
        <v>240.5</v>
      </c>
      <c r="W117" s="87">
        <v>0.84750000000000003</v>
      </c>
      <c r="X117" s="87">
        <v>170.5</v>
      </c>
      <c r="Y117" s="87">
        <v>0.84550000000000003</v>
      </c>
      <c r="Z117" s="87">
        <v>600</v>
      </c>
      <c r="AA117" s="87">
        <f>(2219+2320)/2</f>
        <v>2269.5</v>
      </c>
      <c r="AB117" s="87">
        <f>(224+210)/2</f>
        <v>217</v>
      </c>
      <c r="AC117" s="87">
        <v>0.84699999999999998</v>
      </c>
      <c r="AD117" s="87">
        <v>175</v>
      </c>
      <c r="AE117" s="87">
        <v>0.83499999999999996</v>
      </c>
      <c r="AF117" s="87">
        <v>600</v>
      </c>
      <c r="AM117" s="88">
        <f t="shared" si="79"/>
        <v>2400</v>
      </c>
      <c r="AN117" s="88">
        <f t="shared" si="80"/>
        <v>312120000</v>
      </c>
      <c r="AO117" s="88">
        <f t="shared" si="81"/>
        <v>2269.5</v>
      </c>
      <c r="AP117" s="88">
        <f t="shared" si="82"/>
        <v>2167.5</v>
      </c>
      <c r="AQ117" s="88">
        <f t="shared" si="92"/>
        <v>228.75</v>
      </c>
      <c r="AR117" s="89">
        <f t="shared" si="93"/>
        <v>0.84724999999999995</v>
      </c>
      <c r="AS117" s="88">
        <f t="shared" si="94"/>
        <v>195.375</v>
      </c>
      <c r="AT117" s="89">
        <f t="shared" si="94"/>
        <v>0.84462499999999996</v>
      </c>
      <c r="AU117" s="91">
        <v>0.95949999999999991</v>
      </c>
      <c r="AV117" s="89">
        <f t="shared" si="95"/>
        <v>1765.676588236312</v>
      </c>
      <c r="AW117" s="89">
        <f t="shared" si="96"/>
        <v>1576.6006939146496</v>
      </c>
      <c r="AX117" s="89">
        <f t="shared" si="97"/>
        <v>189.07589432166242</v>
      </c>
      <c r="AY117" s="88">
        <f t="shared" si="98"/>
        <v>28361.384148249399</v>
      </c>
      <c r="AZ117" s="88">
        <f t="shared" si="77"/>
        <v>189.07589432166267</v>
      </c>
      <c r="BA117" s="90">
        <f t="shared" si="91"/>
        <v>11.817243395103917</v>
      </c>
      <c r="BB117" s="89">
        <f t="shared" si="78"/>
        <v>7.8781622634026119E-2</v>
      </c>
      <c r="BD117" s="200"/>
      <c r="BE117" s="200"/>
    </row>
    <row r="118" spans="1:57" s="87" customFormat="1" x14ac:dyDescent="0.25">
      <c r="A118" s="87" t="s">
        <v>147</v>
      </c>
      <c r="B118" s="87" t="s">
        <v>102</v>
      </c>
      <c r="C118" s="86">
        <v>1</v>
      </c>
      <c r="D118" s="86">
        <v>150</v>
      </c>
      <c r="E118" s="86">
        <v>800</v>
      </c>
      <c r="F118" s="86">
        <v>273</v>
      </c>
      <c r="G118" s="86">
        <v>325</v>
      </c>
      <c r="H118" s="86"/>
      <c r="I118" s="87">
        <v>800</v>
      </c>
      <c r="J118" s="87">
        <v>269</v>
      </c>
      <c r="K118" s="87">
        <v>0.77800000000000002</v>
      </c>
      <c r="L118" s="87">
        <v>273</v>
      </c>
      <c r="M118" s="87">
        <v>0.77800000000000002</v>
      </c>
      <c r="N118" s="87">
        <v>720</v>
      </c>
      <c r="O118" s="87">
        <v>600</v>
      </c>
      <c r="P118" s="87">
        <v>303</v>
      </c>
      <c r="Q118" s="87">
        <v>0.72599999999999998</v>
      </c>
      <c r="R118" s="87">
        <v>239</v>
      </c>
      <c r="S118" s="87">
        <v>0.75900000000000001</v>
      </c>
      <c r="T118" s="87">
        <v>1680</v>
      </c>
      <c r="AM118" s="88">
        <f t="shared" si="79"/>
        <v>2400</v>
      </c>
      <c r="AN118" s="88">
        <f t="shared" si="80"/>
        <v>95040000</v>
      </c>
      <c r="AO118" s="88">
        <f t="shared" si="81"/>
        <v>800</v>
      </c>
      <c r="AP118" s="88">
        <f t="shared" si="82"/>
        <v>660</v>
      </c>
      <c r="AQ118" s="88">
        <f t="shared" si="92"/>
        <v>286</v>
      </c>
      <c r="AR118" s="89">
        <f t="shared" si="93"/>
        <v>0.74160000000000004</v>
      </c>
      <c r="AS118" s="88">
        <f t="shared" si="94"/>
        <v>256</v>
      </c>
      <c r="AT118" s="89">
        <f t="shared" si="94"/>
        <v>0.76849999999999996</v>
      </c>
      <c r="AU118" s="91">
        <v>0.95150000000000001</v>
      </c>
      <c r="AV118" s="89">
        <f t="shared" si="95"/>
        <v>767.9673823056861</v>
      </c>
      <c r="AW118" s="89">
        <f t="shared" si="96"/>
        <v>697.16209065684302</v>
      </c>
      <c r="AX118" s="89">
        <f t="shared" si="97"/>
        <v>70.805291648843081</v>
      </c>
      <c r="AY118" s="88">
        <f t="shared" si="98"/>
        <v>10620.793747326466</v>
      </c>
      <c r="AZ118" s="88">
        <f t="shared" si="77"/>
        <v>70.805291648843109</v>
      </c>
      <c r="BA118" s="90">
        <f t="shared" si="91"/>
        <v>4.4253307280526943</v>
      </c>
      <c r="BB118" s="89">
        <f t="shared" si="78"/>
        <v>2.9502204853684631E-2</v>
      </c>
      <c r="BD118" s="200"/>
      <c r="BE118" s="200"/>
    </row>
    <row r="119" spans="1:57" s="87" customFormat="1" x14ac:dyDescent="0.25">
      <c r="A119" s="87" t="s">
        <v>138</v>
      </c>
      <c r="B119" s="87" t="s">
        <v>73</v>
      </c>
      <c r="C119" s="86">
        <v>1</v>
      </c>
      <c r="D119" s="86">
        <v>150</v>
      </c>
      <c r="E119" s="86">
        <v>1400</v>
      </c>
      <c r="F119" s="86">
        <v>310</v>
      </c>
      <c r="G119" s="86">
        <v>530</v>
      </c>
      <c r="H119" s="86"/>
      <c r="I119" s="87">
        <v>860</v>
      </c>
      <c r="J119" s="87">
        <v>345</v>
      </c>
      <c r="K119" s="87">
        <v>0.63600000000000001</v>
      </c>
      <c r="L119" s="87">
        <v>310</v>
      </c>
      <c r="M119" s="87">
        <v>0.66</v>
      </c>
      <c r="N119" s="87">
        <v>1224</v>
      </c>
      <c r="O119" s="87">
        <v>860</v>
      </c>
      <c r="P119" s="87">
        <v>345</v>
      </c>
      <c r="Q119" s="87">
        <v>0.63500000000000001</v>
      </c>
      <c r="R119" s="87">
        <v>310</v>
      </c>
      <c r="S119" s="87">
        <v>0.66</v>
      </c>
      <c r="T119" s="87">
        <v>1224</v>
      </c>
      <c r="AM119" s="88">
        <f t="shared" si="79"/>
        <v>2448</v>
      </c>
      <c r="AN119" s="88">
        <f t="shared" si="80"/>
        <v>126316800</v>
      </c>
      <c r="AO119" s="88">
        <f t="shared" si="81"/>
        <v>860</v>
      </c>
      <c r="AP119" s="88">
        <f t="shared" si="82"/>
        <v>860</v>
      </c>
      <c r="AQ119" s="88">
        <f t="shared" si="92"/>
        <v>345</v>
      </c>
      <c r="AR119" s="89">
        <f t="shared" si="93"/>
        <v>0.63550000000000006</v>
      </c>
      <c r="AS119" s="88">
        <f t="shared" si="94"/>
        <v>310</v>
      </c>
      <c r="AT119" s="89">
        <f t="shared" si="94"/>
        <v>0.66</v>
      </c>
      <c r="AU119" s="89">
        <v>0.95599999999999996</v>
      </c>
      <c r="AV119" s="89">
        <f t="shared" si="95"/>
        <v>1436.8276947285601</v>
      </c>
      <c r="AW119" s="89">
        <f t="shared" si="96"/>
        <v>1300.3522582565697</v>
      </c>
      <c r="AX119" s="89">
        <f t="shared" si="97"/>
        <v>136.47543647199041</v>
      </c>
      <c r="AY119" s="88">
        <f t="shared" si="98"/>
        <v>20471.315470798545</v>
      </c>
      <c r="AZ119" s="88">
        <f t="shared" si="77"/>
        <v>136.47543647199029</v>
      </c>
      <c r="BA119" s="90">
        <f t="shared" si="91"/>
        <v>8.3624654700974457</v>
      </c>
      <c r="BB119" s="89">
        <f t="shared" si="78"/>
        <v>5.5749769800649634E-2</v>
      </c>
      <c r="BD119" s="200"/>
      <c r="BE119" s="200"/>
    </row>
    <row r="120" spans="1:57" s="87" customFormat="1" x14ac:dyDescent="0.25">
      <c r="A120" s="87" t="s">
        <v>148</v>
      </c>
      <c r="B120" s="87" t="s">
        <v>102</v>
      </c>
      <c r="C120" s="86">
        <v>1</v>
      </c>
      <c r="D120" s="86">
        <v>150</v>
      </c>
      <c r="E120" s="86">
        <v>1800</v>
      </c>
      <c r="F120" s="86">
        <v>211</v>
      </c>
      <c r="G120" s="86">
        <v>404</v>
      </c>
      <c r="H120" s="86"/>
      <c r="I120" s="87">
        <v>1600</v>
      </c>
      <c r="J120" s="87">
        <v>284</v>
      </c>
      <c r="K120" s="87">
        <v>0.83099999999999996</v>
      </c>
      <c r="L120" s="87">
        <v>211</v>
      </c>
      <c r="M120" s="87">
        <v>0.83399999999999996</v>
      </c>
      <c r="N120" s="87">
        <v>1755</v>
      </c>
      <c r="O120" s="87">
        <v>1800</v>
      </c>
      <c r="P120" s="87">
        <v>257</v>
      </c>
      <c r="Q120" s="87">
        <v>0.83299999999999996</v>
      </c>
      <c r="R120" s="87">
        <v>257</v>
      </c>
      <c r="S120" s="87">
        <v>0.83299999999999996</v>
      </c>
      <c r="T120" s="87">
        <v>780</v>
      </c>
      <c r="AM120" s="88">
        <f t="shared" si="79"/>
        <v>2535</v>
      </c>
      <c r="AN120" s="88">
        <f t="shared" si="80"/>
        <v>252720000</v>
      </c>
      <c r="AO120" s="88">
        <f t="shared" si="81"/>
        <v>1800</v>
      </c>
      <c r="AP120" s="88">
        <f t="shared" si="82"/>
        <v>1661.5384615384614</v>
      </c>
      <c r="AQ120" s="88">
        <f t="shared" si="92"/>
        <v>270.5</v>
      </c>
      <c r="AR120" s="89">
        <f t="shared" si="93"/>
        <v>0.83161538461538465</v>
      </c>
      <c r="AS120" s="88">
        <f t="shared" si="94"/>
        <v>234</v>
      </c>
      <c r="AT120" s="89">
        <f t="shared" si="94"/>
        <v>0.83349999999999991</v>
      </c>
      <c r="AU120" s="91">
        <v>0.95161538461538453</v>
      </c>
      <c r="AV120" s="89">
        <f t="shared" si="95"/>
        <v>1722.36186994129</v>
      </c>
      <c r="AW120" s="89">
        <f t="shared" si="96"/>
        <v>1562.1705515146944</v>
      </c>
      <c r="AX120" s="89">
        <f t="shared" si="97"/>
        <v>160.19131842659567</v>
      </c>
      <c r="AY120" s="88">
        <f t="shared" si="98"/>
        <v>24028.697763989399</v>
      </c>
      <c r="AZ120" s="88">
        <f t="shared" si="77"/>
        <v>160.19131842659598</v>
      </c>
      <c r="BA120" s="90">
        <f t="shared" si="91"/>
        <v>9.4787762382601173</v>
      </c>
      <c r="BB120" s="89">
        <f t="shared" si="78"/>
        <v>6.3191841588400785E-2</v>
      </c>
      <c r="BD120" s="200"/>
      <c r="BE120" s="200"/>
    </row>
    <row r="121" spans="1:57" s="87" customFormat="1" x14ac:dyDescent="0.25">
      <c r="A121" s="87" t="s">
        <v>149</v>
      </c>
      <c r="B121" s="87" t="s">
        <v>113</v>
      </c>
      <c r="C121" s="86">
        <v>1</v>
      </c>
      <c r="D121" s="86">
        <v>150</v>
      </c>
      <c r="E121" s="86">
        <v>2250</v>
      </c>
      <c r="F121" s="92">
        <v>211</v>
      </c>
      <c r="G121" s="92">
        <v>364</v>
      </c>
      <c r="H121" s="86">
        <v>153</v>
      </c>
      <c r="I121" s="87">
        <v>1290</v>
      </c>
      <c r="J121" s="87">
        <v>313</v>
      </c>
      <c r="K121" s="87">
        <v>0.71799999999999997</v>
      </c>
      <c r="L121" s="87">
        <v>223</v>
      </c>
      <c r="M121" s="87">
        <v>0.76700000000000002</v>
      </c>
      <c r="N121" s="87">
        <v>694</v>
      </c>
      <c r="O121" s="87">
        <v>1650</v>
      </c>
      <c r="P121" s="87">
        <v>294</v>
      </c>
      <c r="Q121" s="87">
        <v>0.79200000000000004</v>
      </c>
      <c r="R121" s="87">
        <v>231</v>
      </c>
      <c r="S121" s="87">
        <v>0.81499999999999995</v>
      </c>
      <c r="T121" s="87">
        <v>694</v>
      </c>
      <c r="U121" s="87">
        <v>2250</v>
      </c>
      <c r="V121" s="87">
        <v>245</v>
      </c>
      <c r="W121" s="87">
        <v>0.84099999999999997</v>
      </c>
      <c r="X121" s="87">
        <v>248</v>
      </c>
      <c r="Y121" s="87">
        <v>0.84</v>
      </c>
      <c r="Z121" s="87">
        <v>1387</v>
      </c>
      <c r="AM121" s="88">
        <f t="shared" si="79"/>
        <v>2775</v>
      </c>
      <c r="AN121" s="88">
        <f t="shared" si="80"/>
        <v>309666600</v>
      </c>
      <c r="AO121" s="88">
        <f t="shared" si="81"/>
        <v>2250</v>
      </c>
      <c r="AP121" s="88">
        <f t="shared" si="82"/>
        <v>1859.8594594594595</v>
      </c>
      <c r="AQ121" s="88">
        <f t="shared" si="92"/>
        <v>284</v>
      </c>
      <c r="AR121" s="89">
        <f t="shared" si="93"/>
        <v>0.79798450450450453</v>
      </c>
      <c r="AS121" s="88">
        <f t="shared" si="94"/>
        <v>234</v>
      </c>
      <c r="AT121" s="89">
        <f t="shared" si="94"/>
        <v>0.80733333333333324</v>
      </c>
      <c r="AU121" s="91">
        <v>0.95132720563156736</v>
      </c>
      <c r="AV121" s="89">
        <f t="shared" si="95"/>
        <v>2309.1826339456866</v>
      </c>
      <c r="AW121" s="89">
        <f t="shared" si="96"/>
        <v>1976.8215077252271</v>
      </c>
      <c r="AX121" s="89">
        <f t="shared" si="97"/>
        <v>332.36112622045948</v>
      </c>
      <c r="AY121" s="88">
        <f t="shared" si="98"/>
        <v>49854.16893306886</v>
      </c>
      <c r="AZ121" s="88">
        <f t="shared" si="77"/>
        <v>332.36112622045908</v>
      </c>
      <c r="BA121" s="90">
        <f t="shared" si="91"/>
        <v>17.965466282186977</v>
      </c>
      <c r="BB121" s="89">
        <f t="shared" si="78"/>
        <v>0.11976977521457985</v>
      </c>
      <c r="BD121" s="200"/>
      <c r="BE121" s="200"/>
    </row>
    <row r="122" spans="1:57" s="87" customFormat="1" x14ac:dyDescent="0.25">
      <c r="A122" s="93" t="s">
        <v>150</v>
      </c>
      <c r="B122" s="87" t="s">
        <v>56</v>
      </c>
      <c r="C122" s="86">
        <v>1</v>
      </c>
      <c r="D122" s="86">
        <v>150</v>
      </c>
      <c r="E122" s="86">
        <v>3000</v>
      </c>
      <c r="F122" s="86">
        <v>90</v>
      </c>
      <c r="G122" s="86">
        <v>250</v>
      </c>
      <c r="H122" s="86">
        <v>160</v>
      </c>
      <c r="I122" s="87">
        <v>3000</v>
      </c>
      <c r="N122" s="87">
        <v>744</v>
      </c>
      <c r="O122" s="87">
        <v>1500</v>
      </c>
      <c r="T122" s="87">
        <v>2232</v>
      </c>
      <c r="AM122" s="88">
        <f t="shared" si="79"/>
        <v>2976</v>
      </c>
      <c r="AN122" s="88">
        <f t="shared" si="80"/>
        <v>334800000</v>
      </c>
      <c r="AO122" s="88">
        <f t="shared" si="81"/>
        <v>3000</v>
      </c>
      <c r="AP122" s="88">
        <f t="shared" si="82"/>
        <v>1875</v>
      </c>
      <c r="AQ122" s="88"/>
      <c r="AR122" s="89"/>
      <c r="AS122" s="88"/>
      <c r="AT122" s="89"/>
      <c r="AU122" s="89">
        <v>0.95499999999999996</v>
      </c>
      <c r="AV122" s="89"/>
      <c r="AW122" s="89"/>
      <c r="AX122" s="89"/>
      <c r="AY122" s="88">
        <v>139227</v>
      </c>
      <c r="AZ122" s="88">
        <f t="shared" si="77"/>
        <v>928.18</v>
      </c>
      <c r="BA122" s="90">
        <f t="shared" si="91"/>
        <v>46.783266129032256</v>
      </c>
      <c r="BB122" s="89">
        <f t="shared" si="78"/>
        <v>0.31188844086021505</v>
      </c>
      <c r="BD122" s="200"/>
      <c r="BE122" s="200"/>
    </row>
    <row r="123" spans="1:57" s="87" customFormat="1" x14ac:dyDescent="0.25">
      <c r="A123" s="93" t="s">
        <v>151</v>
      </c>
      <c r="B123" s="87" t="s">
        <v>56</v>
      </c>
      <c r="C123" s="86">
        <v>1</v>
      </c>
      <c r="D123" s="86">
        <v>150</v>
      </c>
      <c r="E123" s="86">
        <v>3000</v>
      </c>
      <c r="F123" s="86">
        <v>90</v>
      </c>
      <c r="G123" s="86">
        <v>250</v>
      </c>
      <c r="H123" s="86">
        <v>160</v>
      </c>
      <c r="I123" s="87">
        <v>3000</v>
      </c>
      <c r="N123" s="87">
        <v>744</v>
      </c>
      <c r="O123" s="87">
        <v>1500</v>
      </c>
      <c r="T123" s="87">
        <v>2232</v>
      </c>
      <c r="AM123" s="88">
        <f t="shared" si="79"/>
        <v>2976</v>
      </c>
      <c r="AN123" s="88">
        <f t="shared" si="80"/>
        <v>334800000</v>
      </c>
      <c r="AO123" s="88">
        <f t="shared" si="81"/>
        <v>3000</v>
      </c>
      <c r="AP123" s="88">
        <f t="shared" si="82"/>
        <v>1875</v>
      </c>
      <c r="AQ123" s="88"/>
      <c r="AR123" s="89"/>
      <c r="AS123" s="88"/>
      <c r="AT123" s="89"/>
      <c r="AU123" s="89">
        <v>0.95499999999999996</v>
      </c>
      <c r="AV123" s="89"/>
      <c r="AW123" s="89"/>
      <c r="AX123" s="89"/>
      <c r="AY123" s="88">
        <v>139227</v>
      </c>
      <c r="AZ123" s="88">
        <f t="shared" si="77"/>
        <v>928.18</v>
      </c>
      <c r="BA123" s="90">
        <f t="shared" si="91"/>
        <v>46.783266129032256</v>
      </c>
      <c r="BB123" s="89">
        <f t="shared" si="78"/>
        <v>0.31188844086021505</v>
      </c>
      <c r="BD123" s="200"/>
      <c r="BE123" s="200"/>
    </row>
    <row r="124" spans="1:57" s="87" customFormat="1" x14ac:dyDescent="0.25">
      <c r="A124" s="93" t="s">
        <v>152</v>
      </c>
      <c r="B124" s="87" t="s">
        <v>56</v>
      </c>
      <c r="C124" s="86">
        <v>1</v>
      </c>
      <c r="D124" s="86">
        <v>150</v>
      </c>
      <c r="E124" s="86">
        <v>2800</v>
      </c>
      <c r="F124" s="86">
        <v>115</v>
      </c>
      <c r="G124" s="86">
        <v>270</v>
      </c>
      <c r="H124" s="86">
        <v>155</v>
      </c>
      <c r="I124" s="87">
        <v>2800</v>
      </c>
      <c r="N124" s="87">
        <v>744</v>
      </c>
      <c r="O124" s="87">
        <v>1500</v>
      </c>
      <c r="T124" s="87">
        <v>2232</v>
      </c>
      <c r="AM124" s="88">
        <f t="shared" si="79"/>
        <v>2976</v>
      </c>
      <c r="AN124" s="88">
        <f t="shared" si="80"/>
        <v>325872000</v>
      </c>
      <c r="AO124" s="88">
        <f t="shared" si="81"/>
        <v>2800</v>
      </c>
      <c r="AP124" s="88">
        <f t="shared" si="82"/>
        <v>1825</v>
      </c>
      <c r="AQ124" s="88"/>
      <c r="AR124" s="89"/>
      <c r="AS124" s="88"/>
      <c r="AT124" s="89"/>
      <c r="AU124" s="89">
        <v>0.95499999999999996</v>
      </c>
      <c r="AV124" s="89"/>
      <c r="AW124" s="89"/>
      <c r="AX124" s="89"/>
      <c r="AY124" s="88">
        <v>138509</v>
      </c>
      <c r="AZ124" s="88">
        <f t="shared" si="77"/>
        <v>923.39333333333332</v>
      </c>
      <c r="BA124" s="90">
        <f t="shared" si="91"/>
        <v>46.54200268817204</v>
      </c>
      <c r="BB124" s="89">
        <f t="shared" si="78"/>
        <v>0.31028001792114696</v>
      </c>
      <c r="BD124" s="200"/>
      <c r="BE124" s="200"/>
    </row>
    <row r="125" spans="1:57" s="87" customFormat="1" x14ac:dyDescent="0.25">
      <c r="A125" s="93" t="s">
        <v>153</v>
      </c>
      <c r="B125" s="87" t="s">
        <v>56</v>
      </c>
      <c r="C125" s="86">
        <v>1</v>
      </c>
      <c r="D125" s="86">
        <v>150</v>
      </c>
      <c r="E125" s="86">
        <v>2797</v>
      </c>
      <c r="F125" s="86">
        <v>110</v>
      </c>
      <c r="G125" s="86">
        <v>270</v>
      </c>
      <c r="H125" s="86">
        <v>160</v>
      </c>
      <c r="I125" s="87">
        <v>3000</v>
      </c>
      <c r="N125" s="87">
        <v>1488</v>
      </c>
      <c r="O125" s="87">
        <v>1800</v>
      </c>
      <c r="T125" s="87">
        <v>1488</v>
      </c>
      <c r="AM125" s="88">
        <f t="shared" si="79"/>
        <v>2976</v>
      </c>
      <c r="AN125" s="88">
        <f t="shared" si="80"/>
        <v>428544000</v>
      </c>
      <c r="AO125" s="88">
        <f t="shared" si="81"/>
        <v>3000</v>
      </c>
      <c r="AP125" s="88">
        <f t="shared" si="82"/>
        <v>2400</v>
      </c>
      <c r="AQ125" s="88"/>
      <c r="AR125" s="89"/>
      <c r="AS125" s="88"/>
      <c r="AT125" s="89"/>
      <c r="AU125" s="89">
        <v>0.95499999999999996</v>
      </c>
      <c r="AV125" s="89"/>
      <c r="AW125" s="89"/>
      <c r="AX125" s="89"/>
      <c r="AY125" s="88">
        <v>102194</v>
      </c>
      <c r="AZ125" s="88">
        <f t="shared" si="77"/>
        <v>681.29333333333329</v>
      </c>
      <c r="BA125" s="90">
        <f t="shared" si="91"/>
        <v>34.339381720430104</v>
      </c>
      <c r="BB125" s="89">
        <f t="shared" si="78"/>
        <v>0.22892921146953402</v>
      </c>
      <c r="BD125" s="200"/>
      <c r="BE125" s="200"/>
    </row>
    <row r="126" spans="1:57" s="87" customFormat="1" x14ac:dyDescent="0.25">
      <c r="A126" s="87" t="s">
        <v>154</v>
      </c>
      <c r="B126" s="87" t="s">
        <v>155</v>
      </c>
      <c r="C126" s="86">
        <v>1</v>
      </c>
      <c r="D126" s="86">
        <v>150</v>
      </c>
      <c r="E126" s="86">
        <v>2150</v>
      </c>
      <c r="F126" s="86">
        <v>243</v>
      </c>
      <c r="G126" s="86">
        <v>408</v>
      </c>
      <c r="H126" s="86"/>
      <c r="I126" s="87">
        <v>650</v>
      </c>
      <c r="J126" s="87">
        <v>359</v>
      </c>
      <c r="K126" s="87">
        <v>0.53</v>
      </c>
      <c r="L126" s="87">
        <v>243</v>
      </c>
      <c r="M126" s="87">
        <v>0.60099999999999998</v>
      </c>
      <c r="N126" s="87">
        <v>400</v>
      </c>
      <c r="O126" s="87">
        <v>1150</v>
      </c>
      <c r="P126" s="87">
        <v>332</v>
      </c>
      <c r="Q126" s="87">
        <v>0.745</v>
      </c>
      <c r="R126" s="87">
        <v>243</v>
      </c>
      <c r="S126" s="87">
        <v>0.78700000000000003</v>
      </c>
      <c r="T126" s="87">
        <v>500</v>
      </c>
      <c r="U126" s="87">
        <v>1650</v>
      </c>
      <c r="V126" s="87">
        <v>299</v>
      </c>
      <c r="W126" s="87">
        <v>0.82599999999999996</v>
      </c>
      <c r="X126" s="87">
        <v>243</v>
      </c>
      <c r="Y126" s="87">
        <v>0.82799999999999996</v>
      </c>
      <c r="Z126" s="87">
        <v>1000</v>
      </c>
      <c r="AA126" s="87">
        <v>2150</v>
      </c>
      <c r="AB126" s="87">
        <v>244</v>
      </c>
      <c r="AC126" s="87">
        <v>0.80300000000000005</v>
      </c>
      <c r="AD126" s="87">
        <v>243</v>
      </c>
      <c r="AE126" s="87">
        <v>0.80300000000000005</v>
      </c>
      <c r="AF126" s="87">
        <v>1250</v>
      </c>
      <c r="AM126" s="88">
        <f t="shared" si="79"/>
        <v>3150</v>
      </c>
      <c r="AN126" s="88">
        <f t="shared" si="80"/>
        <v>310350000</v>
      </c>
      <c r="AO126" s="88">
        <f t="shared" si="81"/>
        <v>2150</v>
      </c>
      <c r="AP126" s="88">
        <f t="shared" si="82"/>
        <v>1642.063492063492</v>
      </c>
      <c r="AQ126" s="88">
        <f>AVERAGE(AH126,AB126,V126,P126,J126)</f>
        <v>308.5</v>
      </c>
      <c r="AR126" s="89">
        <f>(K126*N126+Q126*T126+W126*Z126+AC126*AF126+AI126*AL126)/AM126</f>
        <v>0.76642857142857146</v>
      </c>
      <c r="AS126" s="88">
        <f t="shared" ref="AS126:AT129" si="99">AVERAGE(AJ126,AD126,X126,R126,L126)</f>
        <v>243</v>
      </c>
      <c r="AT126" s="89">
        <f t="shared" si="99"/>
        <v>0.75475000000000003</v>
      </c>
      <c r="AU126" s="91">
        <v>0.95187301587301587</v>
      </c>
      <c r="AV126" s="89">
        <f>((AP126*AQ126/AR126))*AM126*0.746/(3956*D126)</f>
        <v>2617.4311516460498</v>
      </c>
      <c r="AW126" s="89">
        <f>((AP126*AS126/(AT126*AU126)))*AM126*0.746/(3956*D126)</f>
        <v>2199.4592561952286</v>
      </c>
      <c r="AX126" s="89">
        <f>AV126-AW126</f>
        <v>417.97189545082119</v>
      </c>
      <c r="AY126" s="88">
        <f>((AP126*AQ126/AR126)-(AP126*AS126/(AT126*AU126)))*AM126*0.746/3956</f>
        <v>62695.784317623235</v>
      </c>
      <c r="AZ126" s="88">
        <f t="shared" si="77"/>
        <v>417.97189545082159</v>
      </c>
      <c r="BA126" s="90">
        <f t="shared" si="91"/>
        <v>19.903423592896264</v>
      </c>
      <c r="BB126" s="89">
        <f t="shared" si="78"/>
        <v>0.13268949061930843</v>
      </c>
      <c r="BD126" s="200"/>
      <c r="BE126" s="200"/>
    </row>
    <row r="127" spans="1:57" s="87" customFormat="1" x14ac:dyDescent="0.25">
      <c r="A127" s="87" t="s">
        <v>154</v>
      </c>
      <c r="B127" s="87" t="s">
        <v>155</v>
      </c>
      <c r="C127" s="86">
        <v>1</v>
      </c>
      <c r="D127" s="86">
        <v>150</v>
      </c>
      <c r="E127" s="86">
        <v>1800</v>
      </c>
      <c r="F127" s="86">
        <v>243</v>
      </c>
      <c r="G127" s="86">
        <v>408</v>
      </c>
      <c r="H127" s="86"/>
      <c r="I127" s="87">
        <v>600</v>
      </c>
      <c r="J127" s="87">
        <v>362</v>
      </c>
      <c r="K127" s="87">
        <v>0.5</v>
      </c>
      <c r="L127" s="87">
        <v>243</v>
      </c>
      <c r="M127" s="87">
        <v>0.57199999999999995</v>
      </c>
      <c r="N127" s="87">
        <v>400</v>
      </c>
      <c r="O127" s="87">
        <v>1000</v>
      </c>
      <c r="P127" s="87">
        <v>340</v>
      </c>
      <c r="Q127" s="87">
        <v>0.69599999999999995</v>
      </c>
      <c r="R127" s="87">
        <v>243</v>
      </c>
      <c r="S127" s="87">
        <v>0.75</v>
      </c>
      <c r="T127" s="87">
        <v>500</v>
      </c>
      <c r="U127" s="87">
        <v>1400</v>
      </c>
      <c r="V127" s="87">
        <v>317</v>
      </c>
      <c r="W127" s="87">
        <v>0.8</v>
      </c>
      <c r="X127" s="87">
        <v>243</v>
      </c>
      <c r="Y127" s="87">
        <v>0.82</v>
      </c>
      <c r="Z127" s="87">
        <v>1000</v>
      </c>
      <c r="AA127" s="87">
        <v>1800</v>
      </c>
      <c r="AB127" s="87">
        <v>286</v>
      </c>
      <c r="AC127" s="87">
        <v>0.82799999999999996</v>
      </c>
      <c r="AD127" s="87">
        <v>243</v>
      </c>
      <c r="AE127" s="87">
        <v>0.82499999999999996</v>
      </c>
      <c r="AF127" s="87">
        <v>1250</v>
      </c>
      <c r="AM127" s="88">
        <f t="shared" si="79"/>
        <v>3150</v>
      </c>
      <c r="AN127" s="88">
        <f t="shared" si="80"/>
        <v>263400000</v>
      </c>
      <c r="AO127" s="88">
        <f t="shared" si="81"/>
        <v>1800</v>
      </c>
      <c r="AP127" s="88">
        <f t="shared" si="82"/>
        <v>1393.6507936507937</v>
      </c>
      <c r="AQ127" s="88">
        <f>AVERAGE(AH127,AB127,V127,P127,J127)</f>
        <v>326.25</v>
      </c>
      <c r="AR127" s="89">
        <f>(K127*N127+Q127*T127+W127*Z127+AC127*AF127+AI127*AL127)/AM127</f>
        <v>0.75650793650793646</v>
      </c>
      <c r="AS127" s="88">
        <f t="shared" si="99"/>
        <v>243</v>
      </c>
      <c r="AT127" s="89">
        <f t="shared" si="99"/>
        <v>0.74175000000000002</v>
      </c>
      <c r="AU127" s="91">
        <v>0.94634920634920638</v>
      </c>
      <c r="AV127" s="89">
        <f>((AP127*AQ127/AR127))*AM127*0.746/(3956*D127)</f>
        <v>2380.087028972071</v>
      </c>
      <c r="AW127" s="89">
        <f>((AP127*AS127/(AT127*AU127)))*AM127*0.746/(3956*D127)</f>
        <v>1910.5266589983232</v>
      </c>
      <c r="AX127" s="89">
        <f>AV127-AW127</f>
        <v>469.56036997374781</v>
      </c>
      <c r="AY127" s="88">
        <f>((AP127*AQ127/AR127)-(AP127*AS127/(AT127*AU127)))*AM127*0.746/3956</f>
        <v>70434.055496062225</v>
      </c>
      <c r="AZ127" s="88">
        <f t="shared" si="77"/>
        <v>469.56036997374815</v>
      </c>
      <c r="BA127" s="90">
        <f t="shared" si="91"/>
        <v>22.360017617797531</v>
      </c>
      <c r="BB127" s="89">
        <f t="shared" si="78"/>
        <v>0.14906678411865021</v>
      </c>
      <c r="BD127" s="200"/>
      <c r="BE127" s="200"/>
    </row>
    <row r="128" spans="1:57" s="87" customFormat="1" x14ac:dyDescent="0.25">
      <c r="A128" s="93" t="s">
        <v>72</v>
      </c>
      <c r="B128" s="87" t="s">
        <v>73</v>
      </c>
      <c r="C128" s="86">
        <v>1</v>
      </c>
      <c r="D128" s="86">
        <v>150</v>
      </c>
      <c r="E128" s="86">
        <v>2000</v>
      </c>
      <c r="F128" s="86">
        <v>228</v>
      </c>
      <c r="G128" s="86">
        <v>371</v>
      </c>
      <c r="H128" s="86"/>
      <c r="I128" s="87">
        <v>2000</v>
      </c>
      <c r="J128" s="87">
        <v>228</v>
      </c>
      <c r="K128" s="87">
        <v>0.84</v>
      </c>
      <c r="L128" s="87">
        <v>228</v>
      </c>
      <c r="M128" s="87">
        <v>0.84</v>
      </c>
      <c r="N128" s="87">
        <v>1000</v>
      </c>
      <c r="O128" s="87">
        <v>1600</v>
      </c>
      <c r="P128" s="87">
        <v>267</v>
      </c>
      <c r="Q128" s="87">
        <v>0.83499999999999996</v>
      </c>
      <c r="R128" s="87">
        <v>228</v>
      </c>
      <c r="S128" s="87">
        <v>0.84299999999999997</v>
      </c>
      <c r="T128" s="87">
        <v>1000</v>
      </c>
      <c r="U128" s="87">
        <v>1200</v>
      </c>
      <c r="V128" s="87">
        <v>294</v>
      </c>
      <c r="W128" s="87">
        <v>0.75700000000000001</v>
      </c>
      <c r="X128" s="87">
        <v>228</v>
      </c>
      <c r="Y128" s="87">
        <v>0.79400000000000004</v>
      </c>
      <c r="Z128" s="87">
        <v>1200</v>
      </c>
      <c r="AA128" s="87">
        <v>300</v>
      </c>
      <c r="AM128" s="88">
        <f t="shared" si="79"/>
        <v>3200</v>
      </c>
      <c r="AN128" s="88">
        <f t="shared" si="80"/>
        <v>302400000</v>
      </c>
      <c r="AO128" s="88">
        <f t="shared" si="81"/>
        <v>2000</v>
      </c>
      <c r="AP128" s="88">
        <f t="shared" si="82"/>
        <v>1575</v>
      </c>
      <c r="AQ128" s="88">
        <f>AVERAGE(AH128,AB128,V128,P128,J128)</f>
        <v>263</v>
      </c>
      <c r="AR128" s="89">
        <f>(K128*N128+Q128*T128+W128*Z128+AC128*AF128+AI128*AL128)/AM128</f>
        <v>0.80731249999999999</v>
      </c>
      <c r="AS128" s="88">
        <f t="shared" si="99"/>
        <v>228</v>
      </c>
      <c r="AT128" s="89">
        <f t="shared" si="99"/>
        <v>0.82566666666666666</v>
      </c>
      <c r="AU128" s="91">
        <v>0.95643478260869574</v>
      </c>
      <c r="AV128" s="89">
        <f>((AP128*AQ128/AR128))*AM128*0.746/(3956*D128)</f>
        <v>2064.1245228049693</v>
      </c>
      <c r="AW128" s="89">
        <f>((AP128*AS128/(AT128*AU128)))*AM128*0.746/(3956*D128)</f>
        <v>1829.348949691052</v>
      </c>
      <c r="AX128" s="89">
        <f>AV128-AW128</f>
        <v>234.77557311391729</v>
      </c>
      <c r="AY128" s="88">
        <f>((AP128*AQ128/AR128)-(AP128*AS128/(AT128*AU128)))*AM128*0.746/3956</f>
        <v>35216.335967087558</v>
      </c>
      <c r="AZ128" s="88">
        <f t="shared" si="77"/>
        <v>234.77557311391706</v>
      </c>
      <c r="BA128" s="90">
        <f t="shared" si="91"/>
        <v>11.005104989714862</v>
      </c>
      <c r="BB128" s="89">
        <f t="shared" si="78"/>
        <v>7.3367366598099087E-2</v>
      </c>
      <c r="BD128" s="200"/>
      <c r="BE128" s="200"/>
    </row>
    <row r="129" spans="1:57" s="87" customFormat="1" x14ac:dyDescent="0.25">
      <c r="A129" s="87" t="s">
        <v>67</v>
      </c>
      <c r="B129" s="87" t="s">
        <v>117</v>
      </c>
      <c r="C129" s="86">
        <v>1</v>
      </c>
      <c r="D129" s="86">
        <v>150</v>
      </c>
      <c r="E129" s="86">
        <v>3200</v>
      </c>
      <c r="F129" s="86">
        <v>145</v>
      </c>
      <c r="G129" s="86">
        <v>239</v>
      </c>
      <c r="H129" s="86"/>
      <c r="I129" s="87">
        <v>3200</v>
      </c>
      <c r="J129" s="87">
        <v>147</v>
      </c>
      <c r="K129" s="87">
        <v>0.81100000000000005</v>
      </c>
      <c r="L129" s="87">
        <v>145</v>
      </c>
      <c r="M129" s="87">
        <v>0.81</v>
      </c>
      <c r="N129" s="87">
        <v>1500</v>
      </c>
      <c r="O129" s="87">
        <v>2000</v>
      </c>
      <c r="P129" s="87">
        <v>194</v>
      </c>
      <c r="Q129" s="87">
        <v>0.76600000000000001</v>
      </c>
      <c r="R129" s="87">
        <v>145</v>
      </c>
      <c r="S129" s="87">
        <v>0.80400000000000005</v>
      </c>
      <c r="T129" s="87">
        <v>1848</v>
      </c>
      <c r="U129" s="87">
        <v>1500</v>
      </c>
      <c r="V129" s="87">
        <v>206</v>
      </c>
      <c r="W129" s="87">
        <v>0.65500000000000003</v>
      </c>
      <c r="X129" s="87">
        <v>145</v>
      </c>
      <c r="Y129" s="87">
        <v>0.72</v>
      </c>
      <c r="Z129" s="87">
        <v>360</v>
      </c>
      <c r="AM129" s="88">
        <f t="shared" si="79"/>
        <v>3708</v>
      </c>
      <c r="AN129" s="88">
        <f t="shared" si="80"/>
        <v>542160000</v>
      </c>
      <c r="AO129" s="88">
        <f t="shared" si="81"/>
        <v>3200</v>
      </c>
      <c r="AP129" s="88">
        <f t="shared" si="82"/>
        <v>2436.8932038834951</v>
      </c>
      <c r="AQ129" s="88">
        <f>AVERAGE(AH129,AB129,V129,P129,J129)</f>
        <v>182.33333333333334</v>
      </c>
      <c r="AR129" s="89">
        <f>(K129*N129+Q129*T129+W129*Z129+AC129*AF129+AI129*AL129)/AM129</f>
        <v>0.77342718446601955</v>
      </c>
      <c r="AS129" s="88">
        <f t="shared" si="99"/>
        <v>145</v>
      </c>
      <c r="AT129" s="89">
        <f t="shared" si="99"/>
        <v>0.77800000000000002</v>
      </c>
      <c r="AU129" s="89">
        <v>0.95699999999999996</v>
      </c>
      <c r="AV129" s="89">
        <f>((AP129*AQ129/AR129))*AM129*0.746/(3956*D129)</f>
        <v>2678.0220389208548</v>
      </c>
      <c r="AW129" s="89">
        <f>((AP129*AS129/(AT129*AU129)))*AM129*0.746/(3956*D129)</f>
        <v>2212.2997752089996</v>
      </c>
      <c r="AX129" s="89">
        <f>AV129-AW129</f>
        <v>465.72226371185525</v>
      </c>
      <c r="AY129" s="88">
        <f>((AP129*AQ129/AR129)-(AP129*AS129/(AT129*AU129)))*AM129*0.746/3956</f>
        <v>69858.339556778243</v>
      </c>
      <c r="AZ129" s="88">
        <f t="shared" si="77"/>
        <v>465.72226371185496</v>
      </c>
      <c r="BA129" s="90">
        <f t="shared" si="91"/>
        <v>18.839897399346881</v>
      </c>
      <c r="BB129" s="89">
        <f t="shared" si="78"/>
        <v>0.12559931599564589</v>
      </c>
      <c r="BD129" s="200"/>
      <c r="BE129" s="200"/>
    </row>
    <row r="130" spans="1:57" s="87" customFormat="1" x14ac:dyDescent="0.25">
      <c r="A130" s="94" t="s">
        <v>305</v>
      </c>
      <c r="C130" s="95">
        <v>1</v>
      </c>
      <c r="D130" s="95">
        <v>150</v>
      </c>
      <c r="AO130" s="92"/>
      <c r="AP130" s="92"/>
      <c r="AQ130" s="92"/>
      <c r="AR130" s="92"/>
      <c r="AS130" s="92"/>
      <c r="AT130" s="92"/>
      <c r="AU130" s="86"/>
      <c r="AV130" s="92"/>
      <c r="AW130" s="92"/>
      <c r="AX130" s="92"/>
      <c r="AY130" s="96">
        <v>37344</v>
      </c>
      <c r="AZ130" s="88">
        <f t="shared" si="77"/>
        <v>248.96</v>
      </c>
      <c r="BA130" s="95">
        <v>18.670000000000002</v>
      </c>
      <c r="BB130" s="89">
        <f t="shared" si="78"/>
        <v>0.12446666666666668</v>
      </c>
      <c r="BD130" s="200"/>
      <c r="BE130" s="200"/>
    </row>
    <row r="131" spans="1:57" s="87" customFormat="1" x14ac:dyDescent="0.25">
      <c r="A131" s="94" t="s">
        <v>310</v>
      </c>
      <c r="C131" s="95">
        <v>1</v>
      </c>
      <c r="D131" s="95">
        <v>150</v>
      </c>
      <c r="AO131" s="92"/>
      <c r="AP131" s="92"/>
      <c r="AQ131" s="92"/>
      <c r="AR131" s="92"/>
      <c r="AS131" s="92"/>
      <c r="AT131" s="92"/>
      <c r="AU131" s="86"/>
      <c r="AV131" s="92"/>
      <c r="AW131" s="92"/>
      <c r="AX131" s="92"/>
      <c r="AY131" s="96">
        <v>11507</v>
      </c>
      <c r="AZ131" s="88">
        <f t="shared" ref="AZ131:AZ162" si="100">AY131/D131</f>
        <v>76.713333333333338</v>
      </c>
      <c r="BA131" s="95">
        <v>10.1</v>
      </c>
      <c r="BB131" s="89">
        <f t="shared" ref="BB131:BB162" si="101">BA131/D131</f>
        <v>6.7333333333333328E-2</v>
      </c>
      <c r="BD131" s="200"/>
      <c r="BE131" s="200"/>
    </row>
    <row r="132" spans="1:57" s="87" customFormat="1" x14ac:dyDescent="0.25">
      <c r="A132" s="94" t="s">
        <v>302</v>
      </c>
      <c r="C132" s="95">
        <v>1</v>
      </c>
      <c r="D132" s="95">
        <v>150</v>
      </c>
      <c r="AO132" s="92"/>
      <c r="AP132" s="92"/>
      <c r="AQ132" s="92"/>
      <c r="AR132" s="92"/>
      <c r="AS132" s="92"/>
      <c r="AT132" s="92"/>
      <c r="AU132" s="86"/>
      <c r="AV132" s="92"/>
      <c r="AW132" s="92"/>
      <c r="AX132" s="92"/>
      <c r="AY132" s="96">
        <v>36710</v>
      </c>
      <c r="AZ132" s="88">
        <f t="shared" si="100"/>
        <v>244.73333333333332</v>
      </c>
      <c r="BA132" s="95">
        <v>6.1</v>
      </c>
      <c r="BB132" s="89">
        <f t="shared" si="101"/>
        <v>4.0666666666666663E-2</v>
      </c>
      <c r="BD132" s="200"/>
      <c r="BE132" s="200"/>
    </row>
    <row r="133" spans="1:57" s="99" customFormat="1" x14ac:dyDescent="0.25">
      <c r="A133" s="97" t="s">
        <v>38</v>
      </c>
      <c r="B133" s="97" t="s">
        <v>39</v>
      </c>
      <c r="C133" s="98">
        <v>1</v>
      </c>
      <c r="D133" s="98">
        <v>200</v>
      </c>
      <c r="E133" s="98">
        <v>1830</v>
      </c>
      <c r="F133" s="98">
        <v>210</v>
      </c>
      <c r="G133" s="98">
        <v>351</v>
      </c>
      <c r="H133" s="98">
        <v>141</v>
      </c>
      <c r="I133" s="99">
        <v>1830</v>
      </c>
      <c r="N133" s="99">
        <v>600</v>
      </c>
      <c r="AM133" s="100">
        <f t="shared" ref="AM133:AM157" si="102">AL133+AF133+Z133+T133+N133</f>
        <v>600</v>
      </c>
      <c r="AN133" s="100">
        <f t="shared" ref="AN133:AN157" si="103">I133*60*N133+O133*60*T133+U133*60*Z133+AA133*60*AF133+AG133*60*AL133</f>
        <v>65880000</v>
      </c>
      <c r="AO133" s="100">
        <f t="shared" ref="AO133:AO157" si="104">MAX(AG133,AA133,U133,O133,I133)</f>
        <v>1830</v>
      </c>
      <c r="AP133" s="100">
        <f t="shared" ref="AP133:AP157" si="105">AN133/(AM133*60)</f>
        <v>1830</v>
      </c>
      <c r="AQ133" s="100"/>
      <c r="AR133" s="101"/>
      <c r="AS133" s="100"/>
      <c r="AT133" s="101"/>
      <c r="AU133" s="101">
        <v>0.96</v>
      </c>
      <c r="AV133" s="101"/>
      <c r="AW133" s="101"/>
      <c r="AX133" s="101"/>
      <c r="AY133" s="100">
        <v>8734</v>
      </c>
      <c r="AZ133" s="100">
        <f t="shared" si="100"/>
        <v>43.67</v>
      </c>
      <c r="BA133" s="102">
        <f t="shared" ref="BA133:BA157" si="106">AY133/AM133</f>
        <v>14.556666666666667</v>
      </c>
      <c r="BB133" s="101">
        <f t="shared" si="101"/>
        <v>7.2783333333333339E-2</v>
      </c>
      <c r="BD133" s="195">
        <f>SUM(AY133:AY159)/SUMPRODUCT(C133:D159)</f>
        <v>204.58936596806601</v>
      </c>
      <c r="BE133" s="195">
        <f>SUM(BA133:BA159)/SUMPRODUCT(C133:D159)</f>
        <v>0.10494030492252727</v>
      </c>
    </row>
    <row r="134" spans="1:57" s="99" customFormat="1" x14ac:dyDescent="0.25">
      <c r="A134" s="97" t="s">
        <v>38</v>
      </c>
      <c r="B134" s="97" t="s">
        <v>39</v>
      </c>
      <c r="C134" s="98">
        <v>1</v>
      </c>
      <c r="D134" s="98">
        <v>200</v>
      </c>
      <c r="E134" s="98">
        <v>1830</v>
      </c>
      <c r="F134" s="98">
        <v>210</v>
      </c>
      <c r="G134" s="98">
        <v>351</v>
      </c>
      <c r="H134" s="98">
        <v>141</v>
      </c>
      <c r="I134" s="99">
        <v>1830</v>
      </c>
      <c r="N134" s="99">
        <v>600</v>
      </c>
      <c r="AM134" s="100">
        <f t="shared" si="102"/>
        <v>600</v>
      </c>
      <c r="AN134" s="100">
        <f t="shared" si="103"/>
        <v>65880000</v>
      </c>
      <c r="AO134" s="100">
        <f t="shared" si="104"/>
        <v>1830</v>
      </c>
      <c r="AP134" s="100">
        <f t="shared" si="105"/>
        <v>1830</v>
      </c>
      <c r="AQ134" s="100"/>
      <c r="AR134" s="101"/>
      <c r="AS134" s="100"/>
      <c r="AT134" s="101"/>
      <c r="AU134" s="101">
        <v>0.96</v>
      </c>
      <c r="AV134" s="101"/>
      <c r="AW134" s="101"/>
      <c r="AX134" s="101"/>
      <c r="AY134" s="100">
        <v>8734</v>
      </c>
      <c r="AZ134" s="100">
        <f t="shared" si="100"/>
        <v>43.67</v>
      </c>
      <c r="BA134" s="102">
        <f t="shared" si="106"/>
        <v>14.556666666666667</v>
      </c>
      <c r="BB134" s="101">
        <f t="shared" si="101"/>
        <v>7.2783333333333339E-2</v>
      </c>
      <c r="BD134" s="195"/>
      <c r="BE134" s="195"/>
    </row>
    <row r="135" spans="1:57" s="99" customFormat="1" x14ac:dyDescent="0.25">
      <c r="A135" s="97" t="s">
        <v>38</v>
      </c>
      <c r="B135" s="97" t="s">
        <v>39</v>
      </c>
      <c r="C135" s="98">
        <v>1</v>
      </c>
      <c r="D135" s="98">
        <v>200</v>
      </c>
      <c r="E135" s="98">
        <v>1830</v>
      </c>
      <c r="F135" s="98">
        <v>240</v>
      </c>
      <c r="G135" s="98">
        <v>351</v>
      </c>
      <c r="H135" s="98">
        <v>111</v>
      </c>
      <c r="I135" s="99">
        <v>1830</v>
      </c>
      <c r="N135" s="99">
        <v>800</v>
      </c>
      <c r="AM135" s="100">
        <f t="shared" si="102"/>
        <v>800</v>
      </c>
      <c r="AN135" s="100">
        <f t="shared" si="103"/>
        <v>87840000</v>
      </c>
      <c r="AO135" s="100">
        <f t="shared" si="104"/>
        <v>1830</v>
      </c>
      <c r="AP135" s="100">
        <f t="shared" si="105"/>
        <v>1830</v>
      </c>
      <c r="AQ135" s="100"/>
      <c r="AR135" s="101"/>
      <c r="AS135" s="100"/>
      <c r="AT135" s="101"/>
      <c r="AU135" s="101">
        <v>0.96</v>
      </c>
      <c r="AV135" s="101"/>
      <c r="AW135" s="101"/>
      <c r="AX135" s="101"/>
      <c r="AY135" s="100">
        <v>11645</v>
      </c>
      <c r="AZ135" s="100">
        <f t="shared" si="100"/>
        <v>58.225000000000001</v>
      </c>
      <c r="BA135" s="102">
        <f t="shared" si="106"/>
        <v>14.55625</v>
      </c>
      <c r="BB135" s="101">
        <f t="shared" si="101"/>
        <v>7.2781250000000006E-2</v>
      </c>
      <c r="BD135" s="195"/>
      <c r="BE135" s="195"/>
    </row>
    <row r="136" spans="1:57" s="99" customFormat="1" x14ac:dyDescent="0.25">
      <c r="A136" s="97" t="s">
        <v>38</v>
      </c>
      <c r="B136" s="97" t="s">
        <v>39</v>
      </c>
      <c r="C136" s="98">
        <v>1</v>
      </c>
      <c r="D136" s="98">
        <v>200</v>
      </c>
      <c r="E136" s="98">
        <v>1985</v>
      </c>
      <c r="F136" s="98">
        <v>210</v>
      </c>
      <c r="G136" s="98">
        <v>276</v>
      </c>
      <c r="H136" s="98">
        <v>66</v>
      </c>
      <c r="I136" s="99">
        <v>1985</v>
      </c>
      <c r="N136" s="99">
        <v>800</v>
      </c>
      <c r="AM136" s="100">
        <f t="shared" si="102"/>
        <v>800</v>
      </c>
      <c r="AN136" s="100">
        <f t="shared" si="103"/>
        <v>95280000</v>
      </c>
      <c r="AO136" s="100">
        <f t="shared" si="104"/>
        <v>1985</v>
      </c>
      <c r="AP136" s="100">
        <f t="shared" si="105"/>
        <v>1985</v>
      </c>
      <c r="AQ136" s="100"/>
      <c r="AR136" s="101"/>
      <c r="AS136" s="100"/>
      <c r="AT136" s="101"/>
      <c r="AU136" s="101">
        <v>0.96</v>
      </c>
      <c r="AV136" s="101"/>
      <c r="AW136" s="101"/>
      <c r="AX136" s="101"/>
      <c r="AY136" s="100">
        <v>9557</v>
      </c>
      <c r="AZ136" s="100">
        <f t="shared" si="100"/>
        <v>47.784999999999997</v>
      </c>
      <c r="BA136" s="102">
        <f t="shared" si="106"/>
        <v>11.946249999999999</v>
      </c>
      <c r="BB136" s="101">
        <f t="shared" si="101"/>
        <v>5.9731249999999993E-2</v>
      </c>
      <c r="BD136" s="195"/>
      <c r="BE136" s="195"/>
    </row>
    <row r="137" spans="1:57" s="99" customFormat="1" x14ac:dyDescent="0.25">
      <c r="A137" s="99" t="s">
        <v>141</v>
      </c>
      <c r="B137" s="99" t="s">
        <v>73</v>
      </c>
      <c r="C137" s="98">
        <v>1</v>
      </c>
      <c r="D137" s="98">
        <v>200</v>
      </c>
      <c r="E137" s="98">
        <v>2100</v>
      </c>
      <c r="F137" s="98">
        <v>285</v>
      </c>
      <c r="G137" s="98">
        <v>345</v>
      </c>
      <c r="H137" s="98">
        <v>60</v>
      </c>
      <c r="I137" s="99">
        <v>2100</v>
      </c>
      <c r="J137" s="98">
        <v>308</v>
      </c>
      <c r="K137" s="98">
        <v>0.84399999999999997</v>
      </c>
      <c r="L137" s="98">
        <v>285</v>
      </c>
      <c r="M137" s="98">
        <v>0.84399999999999997</v>
      </c>
      <c r="N137" s="99">
        <v>620</v>
      </c>
      <c r="O137" s="99">
        <v>2058</v>
      </c>
      <c r="P137" s="98">
        <v>308</v>
      </c>
      <c r="Q137" s="98">
        <v>0.84399999999999997</v>
      </c>
      <c r="R137" s="98">
        <v>285</v>
      </c>
      <c r="S137" s="98">
        <v>0.84399999999999997</v>
      </c>
      <c r="T137" s="99">
        <v>310</v>
      </c>
      <c r="U137" s="99">
        <v>2016</v>
      </c>
      <c r="V137" s="98">
        <v>314</v>
      </c>
      <c r="W137" s="98">
        <v>0.84299999999999997</v>
      </c>
      <c r="X137" s="98">
        <v>285</v>
      </c>
      <c r="Y137" s="98">
        <v>0.84399999999999997</v>
      </c>
      <c r="Z137" s="99">
        <v>310</v>
      </c>
      <c r="AA137" s="98">
        <v>319</v>
      </c>
      <c r="AB137" s="98">
        <v>0.84199999999999997</v>
      </c>
      <c r="AC137" s="98">
        <v>285</v>
      </c>
      <c r="AD137" s="98">
        <v>0.84399999999999997</v>
      </c>
      <c r="AM137" s="100">
        <f t="shared" si="102"/>
        <v>1240</v>
      </c>
      <c r="AN137" s="100">
        <f t="shared" si="103"/>
        <v>153896400</v>
      </c>
      <c r="AO137" s="100">
        <f t="shared" si="104"/>
        <v>2100</v>
      </c>
      <c r="AP137" s="100">
        <f t="shared" si="105"/>
        <v>2068.5</v>
      </c>
      <c r="AQ137" s="100">
        <f>AVERAGE(AH137,AB137,V137,P137,J137)</f>
        <v>232.7105</v>
      </c>
      <c r="AR137" s="101">
        <f>(K137*N137+Q137*T137+W137*Z137+AC137*AF137+AI137*AL137)/AM137</f>
        <v>0.84375</v>
      </c>
      <c r="AS137" s="100">
        <f t="shared" ref="AS137:AT139" si="107">AVERAGE(AJ137,AD137,X137,R137,L137)</f>
        <v>213.96100000000001</v>
      </c>
      <c r="AT137" s="101">
        <f t="shared" si="107"/>
        <v>0.84399999999999997</v>
      </c>
      <c r="AU137" s="101">
        <v>0.96875</v>
      </c>
      <c r="AV137" s="101">
        <f>((AP137*AQ137/AR137))*AM137*0.746/(3956*D137)</f>
        <v>667.00939748046278</v>
      </c>
      <c r="AW137" s="101">
        <f>((AP137*AS137/(AT137*AU137)))*AM137*0.746/(3956*D137)</f>
        <v>632.86374395315295</v>
      </c>
      <c r="AX137" s="101">
        <f>AV137-AW137</f>
        <v>34.145653527309832</v>
      </c>
      <c r="AY137" s="100">
        <f>((AP137*AQ137/AR137)-(AP137*AS137/(AT137*AU137)))*AM137*0.746/3956</f>
        <v>6829.1307054619947</v>
      </c>
      <c r="AZ137" s="100">
        <f t="shared" si="100"/>
        <v>34.145653527309975</v>
      </c>
      <c r="BA137" s="102">
        <f t="shared" si="106"/>
        <v>5.5073634721467704</v>
      </c>
      <c r="BB137" s="101">
        <f t="shared" si="101"/>
        <v>2.7536817360733851E-2</v>
      </c>
      <c r="BD137" s="195"/>
      <c r="BE137" s="195"/>
    </row>
    <row r="138" spans="1:57" s="99" customFormat="1" x14ac:dyDescent="0.25">
      <c r="A138" s="99" t="s">
        <v>156</v>
      </c>
      <c r="B138" s="99" t="s">
        <v>100</v>
      </c>
      <c r="C138" s="98">
        <v>1</v>
      </c>
      <c r="D138" s="98">
        <v>200</v>
      </c>
      <c r="E138" s="98">
        <v>3000</v>
      </c>
      <c r="F138" s="98">
        <v>155</v>
      </c>
      <c r="G138" s="98">
        <v>492</v>
      </c>
      <c r="H138" s="98">
        <v>337</v>
      </c>
      <c r="I138" s="99">
        <v>2900</v>
      </c>
      <c r="J138" s="99">
        <v>231</v>
      </c>
      <c r="K138" s="99">
        <v>0.81499999999999995</v>
      </c>
      <c r="L138" s="99">
        <v>231</v>
      </c>
      <c r="M138" s="99">
        <v>0.81499999999999995</v>
      </c>
      <c r="N138" s="99">
        <v>864</v>
      </c>
      <c r="O138" s="99">
        <v>1700</v>
      </c>
      <c r="P138" s="99">
        <v>331</v>
      </c>
      <c r="Q138" s="99">
        <v>0.74299999999999999</v>
      </c>
      <c r="R138" s="99">
        <v>181</v>
      </c>
      <c r="S138" s="99">
        <v>0.81899999999999995</v>
      </c>
      <c r="T138" s="99">
        <v>216</v>
      </c>
      <c r="U138" s="99">
        <v>1500</v>
      </c>
      <c r="V138" s="99">
        <v>343</v>
      </c>
      <c r="W138" s="99">
        <v>0.69299999999999995</v>
      </c>
      <c r="X138" s="99">
        <v>175</v>
      </c>
      <c r="Y138" s="99">
        <v>0.79800000000000004</v>
      </c>
      <c r="Z138" s="99">
        <v>216</v>
      </c>
      <c r="AM138" s="100">
        <f t="shared" si="102"/>
        <v>1296</v>
      </c>
      <c r="AN138" s="100">
        <f t="shared" si="103"/>
        <v>191808000</v>
      </c>
      <c r="AO138" s="100">
        <f t="shared" si="104"/>
        <v>2900</v>
      </c>
      <c r="AP138" s="100">
        <f t="shared" si="105"/>
        <v>2466.6666666666665</v>
      </c>
      <c r="AQ138" s="100">
        <f>AVERAGE(AH138,AB138,V138,P138,J138)</f>
        <v>301.66666666666669</v>
      </c>
      <c r="AR138" s="101">
        <f>(K138*N138+Q138*T138+W138*Z138+AC138*AF138+AI138*AL138)/AM138</f>
        <v>0.78266666666666662</v>
      </c>
      <c r="AS138" s="100">
        <f t="shared" si="107"/>
        <v>195.66666666666666</v>
      </c>
      <c r="AT138" s="101">
        <f t="shared" si="107"/>
        <v>0.81066666666666665</v>
      </c>
      <c r="AU138" s="101">
        <v>0.95499999999999996</v>
      </c>
      <c r="AV138" s="101">
        <f>((AP138*AQ138/AR138))*AM138*0.746/(3956*D138)</f>
        <v>1161.7655711979992</v>
      </c>
      <c r="AW138" s="101">
        <f>((AP138*AS138/(AT138*AU138)))*AM138*0.746/(3956*D138)</f>
        <v>761.79685342849598</v>
      </c>
      <c r="AX138" s="101">
        <f>AV138-AW138</f>
        <v>399.9687177695032</v>
      </c>
      <c r="AY138" s="100">
        <f>((AP138*AQ138/AR138)-(AP138*AS138/(AT138*AU138)))*AM138*0.746/3956</f>
        <v>79993.743553900626</v>
      </c>
      <c r="AZ138" s="100">
        <f t="shared" si="100"/>
        <v>399.96871776950314</v>
      </c>
      <c r="BA138" s="102">
        <f t="shared" si="106"/>
        <v>61.723567557022086</v>
      </c>
      <c r="BB138" s="101">
        <f t="shared" si="101"/>
        <v>0.30861783778511043</v>
      </c>
      <c r="BD138" s="195"/>
      <c r="BE138" s="195"/>
    </row>
    <row r="139" spans="1:57" s="99" customFormat="1" x14ac:dyDescent="0.25">
      <c r="A139" s="99" t="s">
        <v>141</v>
      </c>
      <c r="B139" s="99" t="s">
        <v>73</v>
      </c>
      <c r="C139" s="98">
        <v>1</v>
      </c>
      <c r="D139" s="98">
        <v>200</v>
      </c>
      <c r="E139" s="98">
        <v>2100</v>
      </c>
      <c r="F139" s="103">
        <v>220</v>
      </c>
      <c r="G139" s="103">
        <v>455</v>
      </c>
      <c r="H139" s="98"/>
      <c r="I139" s="99">
        <v>1900</v>
      </c>
      <c r="J139" s="99">
        <v>254</v>
      </c>
      <c r="K139" s="99">
        <v>0.77500000000000002</v>
      </c>
      <c r="L139" s="99">
        <v>220</v>
      </c>
      <c r="M139" s="99">
        <v>0.76100000000000001</v>
      </c>
      <c r="N139" s="99">
        <v>650</v>
      </c>
      <c r="O139" s="99">
        <v>1500</v>
      </c>
      <c r="P139" s="99">
        <v>310</v>
      </c>
      <c r="Q139" s="99">
        <v>0.78200000000000003</v>
      </c>
      <c r="R139" s="99">
        <v>220</v>
      </c>
      <c r="S139" s="99">
        <v>0.79</v>
      </c>
      <c r="T139" s="99">
        <v>650</v>
      </c>
      <c r="AM139" s="100">
        <f t="shared" si="102"/>
        <v>1300</v>
      </c>
      <c r="AN139" s="100">
        <f t="shared" si="103"/>
        <v>132600000</v>
      </c>
      <c r="AO139" s="100">
        <f t="shared" si="104"/>
        <v>1900</v>
      </c>
      <c r="AP139" s="100">
        <f t="shared" si="105"/>
        <v>1700</v>
      </c>
      <c r="AQ139" s="100">
        <f>AVERAGE(AH139,AB139,V139,P139,J139)</f>
        <v>282</v>
      </c>
      <c r="AR139" s="101">
        <f>(K139*N139+Q139*T139+W139*Z139+AC139*AF139+AI139*AL139)/AM139</f>
        <v>0.77849999999999997</v>
      </c>
      <c r="AS139" s="100">
        <f t="shared" si="107"/>
        <v>220</v>
      </c>
      <c r="AT139" s="101">
        <f t="shared" si="107"/>
        <v>0.77550000000000008</v>
      </c>
      <c r="AU139" s="104">
        <v>0.95874999999999988</v>
      </c>
      <c r="AV139" s="101">
        <f>((AP139*AQ139/AR139))*AM139*0.746/(3956*D139)</f>
        <v>754.80594828274809</v>
      </c>
      <c r="AW139" s="101">
        <f>((AP139*AS139/(AT139*AU139)))*AM139*0.746/(3956*D139)</f>
        <v>616.56706765160857</v>
      </c>
      <c r="AX139" s="101">
        <f>AV139-AW139</f>
        <v>138.23888063113952</v>
      </c>
      <c r="AY139" s="100">
        <f>((AP139*AQ139/AR139)-(AP139*AS139/(AT139*AU139)))*AM139*0.746/3956</f>
        <v>27647.77612622792</v>
      </c>
      <c r="AZ139" s="100">
        <f t="shared" si="100"/>
        <v>138.23888063113961</v>
      </c>
      <c r="BA139" s="102">
        <f t="shared" si="106"/>
        <v>21.267520097098402</v>
      </c>
      <c r="BB139" s="101">
        <f t="shared" si="101"/>
        <v>0.10633760048549201</v>
      </c>
      <c r="BD139" s="195"/>
      <c r="BE139" s="195"/>
    </row>
    <row r="140" spans="1:57" s="99" customFormat="1" x14ac:dyDescent="0.25">
      <c r="A140" s="97" t="s">
        <v>38</v>
      </c>
      <c r="B140" s="97" t="s">
        <v>39</v>
      </c>
      <c r="C140" s="98">
        <v>1</v>
      </c>
      <c r="D140" s="98">
        <v>200</v>
      </c>
      <c r="E140" s="98">
        <v>1830</v>
      </c>
      <c r="F140" s="98">
        <v>210</v>
      </c>
      <c r="G140" s="98">
        <v>351</v>
      </c>
      <c r="H140" s="98">
        <v>141</v>
      </c>
      <c r="I140" s="99">
        <v>1830</v>
      </c>
      <c r="J140" s="105"/>
      <c r="N140" s="99">
        <v>1320</v>
      </c>
      <c r="AM140" s="100">
        <f t="shared" si="102"/>
        <v>1320</v>
      </c>
      <c r="AN140" s="100">
        <f t="shared" si="103"/>
        <v>144936000</v>
      </c>
      <c r="AO140" s="100">
        <f t="shared" si="104"/>
        <v>1830</v>
      </c>
      <c r="AP140" s="100">
        <f t="shared" si="105"/>
        <v>1830</v>
      </c>
      <c r="AQ140" s="100"/>
      <c r="AR140" s="101"/>
      <c r="AS140" s="100"/>
      <c r="AT140" s="101"/>
      <c r="AU140" s="101">
        <v>0.96</v>
      </c>
      <c r="AV140" s="101"/>
      <c r="AW140" s="101"/>
      <c r="AX140" s="101"/>
      <c r="AY140" s="100">
        <v>12810</v>
      </c>
      <c r="AZ140" s="100">
        <f t="shared" si="100"/>
        <v>64.05</v>
      </c>
      <c r="BA140" s="102">
        <f t="shared" si="106"/>
        <v>9.704545454545455</v>
      </c>
      <c r="BB140" s="101">
        <f t="shared" si="101"/>
        <v>4.8522727272727273E-2</v>
      </c>
      <c r="BD140" s="195"/>
      <c r="BE140" s="195"/>
    </row>
    <row r="141" spans="1:57" s="99" customFormat="1" x14ac:dyDescent="0.25">
      <c r="A141" s="99" t="s">
        <v>157</v>
      </c>
      <c r="B141" s="99" t="s">
        <v>158</v>
      </c>
      <c r="C141" s="98">
        <v>1</v>
      </c>
      <c r="D141" s="98">
        <v>200</v>
      </c>
      <c r="E141" s="98">
        <v>850</v>
      </c>
      <c r="F141" s="103">
        <v>700</v>
      </c>
      <c r="G141" s="103">
        <v>1200</v>
      </c>
      <c r="H141" s="98">
        <v>500</v>
      </c>
      <c r="I141" s="99">
        <v>600</v>
      </c>
      <c r="N141" s="99">
        <v>450</v>
      </c>
      <c r="O141" s="99">
        <v>400</v>
      </c>
      <c r="T141" s="99">
        <v>1050</v>
      </c>
      <c r="AM141" s="100">
        <f t="shared" si="102"/>
        <v>1500</v>
      </c>
      <c r="AN141" s="100">
        <f t="shared" si="103"/>
        <v>41400000</v>
      </c>
      <c r="AO141" s="100">
        <f t="shared" si="104"/>
        <v>600</v>
      </c>
      <c r="AP141" s="100">
        <f t="shared" si="105"/>
        <v>460</v>
      </c>
      <c r="AQ141" s="100"/>
      <c r="AR141" s="101"/>
      <c r="AS141" s="100"/>
      <c r="AT141" s="101"/>
      <c r="AU141" s="101">
        <v>0.96</v>
      </c>
      <c r="AV141" s="101"/>
      <c r="AW141" s="101"/>
      <c r="AX141" s="101"/>
      <c r="AY141" s="100">
        <v>46192</v>
      </c>
      <c r="AZ141" s="100">
        <f t="shared" si="100"/>
        <v>230.96</v>
      </c>
      <c r="BA141" s="102">
        <f t="shared" si="106"/>
        <v>30.794666666666668</v>
      </c>
      <c r="BB141" s="101">
        <f t="shared" si="101"/>
        <v>0.15397333333333335</v>
      </c>
      <c r="BD141" s="195"/>
      <c r="BE141" s="195"/>
    </row>
    <row r="142" spans="1:57" s="99" customFormat="1" x14ac:dyDescent="0.25">
      <c r="A142" s="99" t="s">
        <v>159</v>
      </c>
      <c r="B142" s="99" t="s">
        <v>39</v>
      </c>
      <c r="C142" s="98">
        <v>1</v>
      </c>
      <c r="D142" s="98">
        <v>200</v>
      </c>
      <c r="E142" s="98">
        <v>2100</v>
      </c>
      <c r="F142" s="103">
        <v>313</v>
      </c>
      <c r="G142" s="103">
        <v>600</v>
      </c>
      <c r="H142" s="98"/>
      <c r="I142" s="99">
        <v>2000</v>
      </c>
      <c r="J142" s="99">
        <v>375</v>
      </c>
      <c r="K142" s="99">
        <v>0.85199999999999998</v>
      </c>
      <c r="L142" s="99">
        <v>352</v>
      </c>
      <c r="M142" s="99">
        <v>0.85</v>
      </c>
      <c r="N142" s="99">
        <v>900</v>
      </c>
      <c r="O142" s="99">
        <v>1250</v>
      </c>
      <c r="P142" s="99">
        <v>477</v>
      </c>
      <c r="Q142" s="99">
        <v>0.749</v>
      </c>
      <c r="R142" s="99">
        <v>328</v>
      </c>
      <c r="S142" s="99">
        <v>0.80500000000000005</v>
      </c>
      <c r="T142" s="99">
        <v>600</v>
      </c>
      <c r="AM142" s="100">
        <f t="shared" si="102"/>
        <v>1500</v>
      </c>
      <c r="AN142" s="100">
        <f t="shared" si="103"/>
        <v>153000000</v>
      </c>
      <c r="AO142" s="100">
        <f t="shared" si="104"/>
        <v>2000</v>
      </c>
      <c r="AP142" s="100">
        <f t="shared" si="105"/>
        <v>1700</v>
      </c>
      <c r="AQ142" s="100">
        <f t="shared" ref="AQ142:AQ153" si="108">AVERAGE(AH142,AB142,V142,P142,J142)</f>
        <v>426</v>
      </c>
      <c r="AR142" s="101">
        <f t="shared" ref="AR142:AR153" si="109">(K142*N142+Q142*T142+W142*Z142+AC142*AF142+AI142*AL142)/AM142</f>
        <v>0.81079999999999985</v>
      </c>
      <c r="AS142" s="100">
        <f t="shared" ref="AS142:AS153" si="110">AVERAGE(AJ142,AD142,X142,R142,L142)</f>
        <v>340</v>
      </c>
      <c r="AT142" s="101">
        <f t="shared" ref="AT142:AT153" si="111">AVERAGE(AK142,AE142,Y142,S142,M142)</f>
        <v>0.82750000000000001</v>
      </c>
      <c r="AU142" s="101">
        <v>0.95499999999999996</v>
      </c>
      <c r="AV142" s="101">
        <f t="shared" ref="AV142:AV153" si="112">((AP142*AQ142/AR142))*AM142*0.746/(3956*D142)</f>
        <v>1263.2479100395424</v>
      </c>
      <c r="AW142" s="101">
        <f t="shared" ref="AW142:AW153" si="113">((AP142*AS142/(AT142*AU142)))*AM142*0.746/(3956*D142)</f>
        <v>1034.4280113628395</v>
      </c>
      <c r="AX142" s="101">
        <f t="shared" ref="AX142:AX153" si="114">AV142-AW142</f>
        <v>228.81989867670291</v>
      </c>
      <c r="AY142" s="100">
        <f t="shared" ref="AY142:AY153" si="115">((AP142*AQ142/AR142)-(AP142*AS142/(AT142*AU142)))*AM142*0.746/3956</f>
        <v>45763.979735340559</v>
      </c>
      <c r="AZ142" s="100">
        <f t="shared" si="100"/>
        <v>228.81989867670279</v>
      </c>
      <c r="BA142" s="102">
        <f t="shared" si="106"/>
        <v>30.509319823560372</v>
      </c>
      <c r="BB142" s="101">
        <f t="shared" si="101"/>
        <v>0.15254659911780186</v>
      </c>
      <c r="BD142" s="195"/>
      <c r="BE142" s="195"/>
    </row>
    <row r="143" spans="1:57" s="99" customFormat="1" x14ac:dyDescent="0.25">
      <c r="A143" s="99" t="s">
        <v>124</v>
      </c>
      <c r="B143" s="99" t="s">
        <v>93</v>
      </c>
      <c r="C143" s="98">
        <v>1</v>
      </c>
      <c r="D143" s="98">
        <v>200</v>
      </c>
      <c r="E143" s="98">
        <v>2000</v>
      </c>
      <c r="F143" s="103">
        <v>310</v>
      </c>
      <c r="G143" s="103">
        <v>496</v>
      </c>
      <c r="H143" s="98"/>
      <c r="I143" s="99">
        <v>1000</v>
      </c>
      <c r="J143" s="99">
        <v>413</v>
      </c>
      <c r="K143" s="99">
        <v>0.56000000000000005</v>
      </c>
      <c r="L143" s="99">
        <v>310</v>
      </c>
      <c r="M143" s="99">
        <v>0.62</v>
      </c>
      <c r="N143" s="99">
        <v>400</v>
      </c>
      <c r="O143" s="99">
        <v>1500</v>
      </c>
      <c r="P143" s="99">
        <v>376</v>
      </c>
      <c r="Q143" s="99">
        <v>0.73599999999999999</v>
      </c>
      <c r="R143" s="99">
        <v>310</v>
      </c>
      <c r="S143" s="99">
        <v>0.76200000000000001</v>
      </c>
      <c r="T143" s="99">
        <v>400</v>
      </c>
      <c r="U143" s="99">
        <v>2000</v>
      </c>
      <c r="V143" s="99">
        <v>312</v>
      </c>
      <c r="W143" s="99">
        <v>0.79100000000000004</v>
      </c>
      <c r="X143" s="99">
        <v>310</v>
      </c>
      <c r="Y143" s="99">
        <v>0.79100000000000004</v>
      </c>
      <c r="Z143" s="99">
        <v>800</v>
      </c>
      <c r="AM143" s="100">
        <f t="shared" si="102"/>
        <v>1600</v>
      </c>
      <c r="AN143" s="100">
        <f t="shared" si="103"/>
        <v>156000000</v>
      </c>
      <c r="AO143" s="100">
        <f t="shared" si="104"/>
        <v>2000</v>
      </c>
      <c r="AP143" s="100">
        <f t="shared" si="105"/>
        <v>1625</v>
      </c>
      <c r="AQ143" s="100">
        <f t="shared" si="108"/>
        <v>367</v>
      </c>
      <c r="AR143" s="101">
        <f t="shared" si="109"/>
        <v>0.71950000000000003</v>
      </c>
      <c r="AS143" s="100">
        <f t="shared" si="110"/>
        <v>310</v>
      </c>
      <c r="AT143" s="101">
        <f t="shared" si="111"/>
        <v>0.72433333333333338</v>
      </c>
      <c r="AU143" s="104">
        <v>0.9544999999999999</v>
      </c>
      <c r="AV143" s="101">
        <f t="shared" si="112"/>
        <v>1250.435119883696</v>
      </c>
      <c r="AW143" s="101">
        <f t="shared" si="113"/>
        <v>1099.1910571034132</v>
      </c>
      <c r="AX143" s="101">
        <f t="shared" si="114"/>
        <v>151.24406278028277</v>
      </c>
      <c r="AY143" s="100">
        <f t="shared" si="115"/>
        <v>30248.81255605664</v>
      </c>
      <c r="AZ143" s="100">
        <f t="shared" si="100"/>
        <v>151.2440627802832</v>
      </c>
      <c r="BA143" s="102">
        <f t="shared" si="106"/>
        <v>18.9055078475354</v>
      </c>
      <c r="BB143" s="101">
        <f t="shared" si="101"/>
        <v>9.4527539237676997E-2</v>
      </c>
      <c r="BD143" s="195"/>
      <c r="BE143" s="195"/>
    </row>
    <row r="144" spans="1:57" s="99" customFormat="1" x14ac:dyDescent="0.25">
      <c r="A144" s="99" t="s">
        <v>72</v>
      </c>
      <c r="B144" s="99" t="s">
        <v>64</v>
      </c>
      <c r="C144" s="98">
        <v>1</v>
      </c>
      <c r="D144" s="98">
        <v>200</v>
      </c>
      <c r="E144" s="98">
        <v>3800</v>
      </c>
      <c r="F144" s="103">
        <v>164</v>
      </c>
      <c r="G144" s="103">
        <v>375</v>
      </c>
      <c r="H144" s="98"/>
      <c r="I144" s="99">
        <v>3740</v>
      </c>
      <c r="J144" s="99">
        <v>164</v>
      </c>
      <c r="K144" s="99">
        <v>0.80300000000000005</v>
      </c>
      <c r="L144" s="99">
        <v>164</v>
      </c>
      <c r="M144" s="99">
        <v>0.80300000000000005</v>
      </c>
      <c r="N144" s="99">
        <v>200</v>
      </c>
      <c r="O144" s="99">
        <v>2400</v>
      </c>
      <c r="P144" s="99">
        <v>230</v>
      </c>
      <c r="Q144" s="99">
        <v>0.64</v>
      </c>
      <c r="R144" s="99">
        <v>164</v>
      </c>
      <c r="S144" s="99">
        <v>0.71199999999999997</v>
      </c>
      <c r="T144" s="99">
        <v>1000</v>
      </c>
      <c r="U144" s="99">
        <v>2250</v>
      </c>
      <c r="V144" s="99">
        <v>236</v>
      </c>
      <c r="W144" s="99">
        <v>0.60499999999999998</v>
      </c>
      <c r="X144" s="99">
        <v>164</v>
      </c>
      <c r="Y144" s="99">
        <v>0.68500000000000005</v>
      </c>
      <c r="Z144" s="99">
        <v>400</v>
      </c>
      <c r="AM144" s="100">
        <f t="shared" si="102"/>
        <v>1600</v>
      </c>
      <c r="AN144" s="100">
        <f t="shared" si="103"/>
        <v>242880000</v>
      </c>
      <c r="AO144" s="100">
        <f t="shared" si="104"/>
        <v>3740</v>
      </c>
      <c r="AP144" s="100">
        <f t="shared" si="105"/>
        <v>2530</v>
      </c>
      <c r="AQ144" s="100">
        <f t="shared" si="108"/>
        <v>210</v>
      </c>
      <c r="AR144" s="101">
        <f t="shared" si="109"/>
        <v>0.6516249999999999</v>
      </c>
      <c r="AS144" s="100">
        <f t="shared" si="110"/>
        <v>164</v>
      </c>
      <c r="AT144" s="101">
        <f t="shared" si="111"/>
        <v>0.73333333333333339</v>
      </c>
      <c r="AU144" s="101">
        <v>0.95499999999999996</v>
      </c>
      <c r="AV144" s="101">
        <f t="shared" si="112"/>
        <v>1230.0269005482717</v>
      </c>
      <c r="AW144" s="101">
        <f t="shared" si="113"/>
        <v>893.78302690855935</v>
      </c>
      <c r="AX144" s="101">
        <f t="shared" si="114"/>
        <v>336.24387363971232</v>
      </c>
      <c r="AY144" s="100">
        <f t="shared" si="115"/>
        <v>67248.774727942437</v>
      </c>
      <c r="AZ144" s="100">
        <f t="shared" si="100"/>
        <v>336.24387363971221</v>
      </c>
      <c r="BA144" s="102">
        <f t="shared" si="106"/>
        <v>42.030484204964026</v>
      </c>
      <c r="BB144" s="101">
        <f t="shared" si="101"/>
        <v>0.21015242102482012</v>
      </c>
      <c r="BD144" s="195"/>
      <c r="BE144" s="195"/>
    </row>
    <row r="145" spans="1:57" s="99" customFormat="1" x14ac:dyDescent="0.25">
      <c r="A145" s="99" t="s">
        <v>160</v>
      </c>
      <c r="B145" s="99" t="s">
        <v>100</v>
      </c>
      <c r="C145" s="98">
        <v>1</v>
      </c>
      <c r="D145" s="98">
        <v>200</v>
      </c>
      <c r="E145" s="98">
        <v>2400</v>
      </c>
      <c r="F145" s="103">
        <v>245</v>
      </c>
      <c r="G145" s="103">
        <v>497</v>
      </c>
      <c r="H145" s="98"/>
      <c r="I145" s="99">
        <v>2400</v>
      </c>
      <c r="J145" s="99">
        <v>151</v>
      </c>
      <c r="K145" s="99">
        <v>0.77300000000000002</v>
      </c>
      <c r="L145" s="99">
        <v>245</v>
      </c>
      <c r="M145" s="99">
        <v>0.77100000000000002</v>
      </c>
      <c r="N145" s="99">
        <v>1050</v>
      </c>
      <c r="O145" s="99">
        <v>1650</v>
      </c>
      <c r="P145" s="99">
        <v>346</v>
      </c>
      <c r="Q145" s="99">
        <v>0.76400000000000001</v>
      </c>
      <c r="R145" s="99">
        <v>222</v>
      </c>
      <c r="S145" s="99">
        <v>0.80500000000000005</v>
      </c>
      <c r="T145" s="99">
        <v>700</v>
      </c>
      <c r="AM145" s="100">
        <f t="shared" si="102"/>
        <v>1750</v>
      </c>
      <c r="AN145" s="100">
        <f t="shared" si="103"/>
        <v>220500000</v>
      </c>
      <c r="AO145" s="100">
        <f t="shared" si="104"/>
        <v>2400</v>
      </c>
      <c r="AP145" s="100">
        <f t="shared" si="105"/>
        <v>2100</v>
      </c>
      <c r="AQ145" s="100">
        <f t="shared" si="108"/>
        <v>248.5</v>
      </c>
      <c r="AR145" s="101">
        <f t="shared" si="109"/>
        <v>0.76939999999999986</v>
      </c>
      <c r="AS145" s="100">
        <f t="shared" si="110"/>
        <v>233.5</v>
      </c>
      <c r="AT145" s="101">
        <f t="shared" si="111"/>
        <v>0.78800000000000003</v>
      </c>
      <c r="AU145" s="101">
        <v>0.95499999999999996</v>
      </c>
      <c r="AV145" s="101">
        <f t="shared" si="112"/>
        <v>1119.1391881399845</v>
      </c>
      <c r="AW145" s="101">
        <f t="shared" si="113"/>
        <v>1075.1453678157395</v>
      </c>
      <c r="AX145" s="101">
        <f t="shared" si="114"/>
        <v>43.993820324245007</v>
      </c>
      <c r="AY145" s="100">
        <f t="shared" si="115"/>
        <v>8798.764064848996</v>
      </c>
      <c r="AZ145" s="100">
        <f t="shared" si="100"/>
        <v>43.993820324244979</v>
      </c>
      <c r="BA145" s="102">
        <f t="shared" si="106"/>
        <v>5.0278651799137117</v>
      </c>
      <c r="BB145" s="101">
        <f t="shared" si="101"/>
        <v>2.5139325899568559E-2</v>
      </c>
      <c r="BD145" s="195"/>
      <c r="BE145" s="195"/>
    </row>
    <row r="146" spans="1:57" s="99" customFormat="1" x14ac:dyDescent="0.25">
      <c r="A146" s="99" t="s">
        <v>161</v>
      </c>
      <c r="B146" s="99" t="s">
        <v>85</v>
      </c>
      <c r="C146" s="98">
        <v>1</v>
      </c>
      <c r="D146" s="98">
        <v>200</v>
      </c>
      <c r="E146" s="98">
        <v>2000</v>
      </c>
      <c r="F146" s="98">
        <v>131</v>
      </c>
      <c r="G146" s="98">
        <v>423</v>
      </c>
      <c r="H146" s="98">
        <v>292</v>
      </c>
      <c r="I146" s="99">
        <v>2000</v>
      </c>
      <c r="J146" s="98">
        <v>280</v>
      </c>
      <c r="K146" s="98">
        <v>0.84299999999999997</v>
      </c>
      <c r="L146" s="98">
        <v>279</v>
      </c>
      <c r="M146" s="98">
        <v>0.84299999999999997</v>
      </c>
      <c r="N146" s="99">
        <v>438</v>
      </c>
      <c r="O146" s="99">
        <v>1750</v>
      </c>
      <c r="P146" s="98">
        <v>305</v>
      </c>
      <c r="Q146" s="98">
        <v>0.84599999999999997</v>
      </c>
      <c r="R146" s="98">
        <v>244</v>
      </c>
      <c r="S146" s="98">
        <v>0.84699999999999998</v>
      </c>
      <c r="T146" s="99">
        <v>438</v>
      </c>
      <c r="U146" s="99">
        <v>1500</v>
      </c>
      <c r="V146" s="98">
        <v>325</v>
      </c>
      <c r="W146" s="98">
        <v>0.82799999999999996</v>
      </c>
      <c r="X146" s="98">
        <v>214</v>
      </c>
      <c r="Y146" s="98">
        <v>0.84699999999999998</v>
      </c>
      <c r="Z146" s="99">
        <v>875</v>
      </c>
      <c r="AM146" s="100">
        <f t="shared" si="102"/>
        <v>1751</v>
      </c>
      <c r="AN146" s="100">
        <f t="shared" si="103"/>
        <v>177300000</v>
      </c>
      <c r="AO146" s="100">
        <f t="shared" si="104"/>
        <v>2000</v>
      </c>
      <c r="AP146" s="100">
        <f t="shared" si="105"/>
        <v>1687.6070816676186</v>
      </c>
      <c r="AQ146" s="100">
        <f t="shared" si="108"/>
        <v>303.33333333333331</v>
      </c>
      <c r="AR146" s="101">
        <f t="shared" si="109"/>
        <v>0.83625471159337517</v>
      </c>
      <c r="AS146" s="100">
        <f t="shared" si="110"/>
        <v>245.66666666666666</v>
      </c>
      <c r="AT146" s="101">
        <f t="shared" si="111"/>
        <v>0.84566666666666668</v>
      </c>
      <c r="AU146" s="104">
        <v>0.94650542547115923</v>
      </c>
      <c r="AV146" s="101">
        <f t="shared" si="112"/>
        <v>1010.6286227210936</v>
      </c>
      <c r="AW146" s="101">
        <f t="shared" si="113"/>
        <v>855.13355253513896</v>
      </c>
      <c r="AX146" s="101">
        <f t="shared" si="114"/>
        <v>155.49507018595466</v>
      </c>
      <c r="AY146" s="100">
        <f t="shared" si="115"/>
        <v>31099.014037190926</v>
      </c>
      <c r="AZ146" s="100">
        <f t="shared" si="100"/>
        <v>155.49507018595463</v>
      </c>
      <c r="BA146" s="102">
        <f t="shared" si="106"/>
        <v>17.760716183432852</v>
      </c>
      <c r="BB146" s="101">
        <f t="shared" si="101"/>
        <v>8.8803580917164254E-2</v>
      </c>
      <c r="BD146" s="195"/>
      <c r="BE146" s="195"/>
    </row>
    <row r="147" spans="1:57" s="99" customFormat="1" x14ac:dyDescent="0.25">
      <c r="A147" s="99" t="s">
        <v>162</v>
      </c>
      <c r="B147" s="99" t="s">
        <v>39</v>
      </c>
      <c r="C147" s="98">
        <v>1</v>
      </c>
      <c r="D147" s="98">
        <v>200</v>
      </c>
      <c r="E147" s="98">
        <v>1100</v>
      </c>
      <c r="F147" s="103">
        <v>407</v>
      </c>
      <c r="G147" s="103">
        <v>760</v>
      </c>
      <c r="H147" s="98"/>
      <c r="I147" s="99">
        <v>1100</v>
      </c>
      <c r="J147" s="99">
        <v>543</v>
      </c>
      <c r="K147" s="99">
        <v>0.80100000000000005</v>
      </c>
      <c r="L147" s="99">
        <v>437</v>
      </c>
      <c r="M147" s="99">
        <v>0.79200000000000004</v>
      </c>
      <c r="N147" s="99">
        <v>1900</v>
      </c>
      <c r="AM147" s="100">
        <f t="shared" si="102"/>
        <v>1900</v>
      </c>
      <c r="AN147" s="100">
        <f t="shared" si="103"/>
        <v>125400000</v>
      </c>
      <c r="AO147" s="100">
        <f t="shared" si="104"/>
        <v>1100</v>
      </c>
      <c r="AP147" s="100">
        <f t="shared" si="105"/>
        <v>1100</v>
      </c>
      <c r="AQ147" s="100">
        <f t="shared" si="108"/>
        <v>543</v>
      </c>
      <c r="AR147" s="101">
        <f t="shared" si="109"/>
        <v>0.80100000000000005</v>
      </c>
      <c r="AS147" s="100">
        <f t="shared" si="110"/>
        <v>437</v>
      </c>
      <c r="AT147" s="101">
        <f t="shared" si="111"/>
        <v>0.79200000000000004</v>
      </c>
      <c r="AU147" s="101">
        <v>0.95199999999999996</v>
      </c>
      <c r="AV147" s="101">
        <f t="shared" si="112"/>
        <v>1335.8760030750236</v>
      </c>
      <c r="AW147" s="101">
        <f t="shared" si="113"/>
        <v>1142.136845048097</v>
      </c>
      <c r="AX147" s="101">
        <f t="shared" si="114"/>
        <v>193.73915802692659</v>
      </c>
      <c r="AY147" s="100">
        <f t="shared" si="115"/>
        <v>38747.831605385392</v>
      </c>
      <c r="AZ147" s="100">
        <f t="shared" si="100"/>
        <v>193.73915802692696</v>
      </c>
      <c r="BA147" s="102">
        <f t="shared" si="106"/>
        <v>20.393595581781785</v>
      </c>
      <c r="BB147" s="101">
        <f t="shared" si="101"/>
        <v>0.10196797790890892</v>
      </c>
      <c r="BD147" s="195"/>
      <c r="BE147" s="195"/>
    </row>
    <row r="148" spans="1:57" s="99" customFormat="1" x14ac:dyDescent="0.25">
      <c r="A148" s="99" t="s">
        <v>163</v>
      </c>
      <c r="B148" s="99" t="s">
        <v>164</v>
      </c>
      <c r="C148" s="98">
        <v>1</v>
      </c>
      <c r="D148" s="98">
        <v>200</v>
      </c>
      <c r="E148" s="98">
        <v>1250</v>
      </c>
      <c r="F148" s="103">
        <v>455</v>
      </c>
      <c r="G148" s="103">
        <v>595</v>
      </c>
      <c r="H148" s="98">
        <v>140</v>
      </c>
      <c r="I148" s="99">
        <v>450</v>
      </c>
      <c r="J148" s="99">
        <v>560</v>
      </c>
      <c r="K148" s="99">
        <v>0.51400000000000001</v>
      </c>
      <c r="L148" s="99">
        <v>455</v>
      </c>
      <c r="M148" s="99">
        <v>0.55400000000000005</v>
      </c>
      <c r="N148" s="99">
        <v>400</v>
      </c>
      <c r="O148" s="99">
        <v>600</v>
      </c>
      <c r="P148" s="99">
        <v>551</v>
      </c>
      <c r="Q148" s="99">
        <v>0.63</v>
      </c>
      <c r="R148" s="99">
        <v>455</v>
      </c>
      <c r="S148" s="99">
        <v>0.66800000000000004</v>
      </c>
      <c r="T148" s="99">
        <v>600</v>
      </c>
      <c r="U148" s="99">
        <v>750</v>
      </c>
      <c r="V148" s="99">
        <v>539</v>
      </c>
      <c r="W148" s="99">
        <v>0.72099999999999997</v>
      </c>
      <c r="X148" s="99">
        <v>455</v>
      </c>
      <c r="Y148" s="99">
        <v>0.751</v>
      </c>
      <c r="Z148" s="99">
        <v>400</v>
      </c>
      <c r="AA148" s="99">
        <v>900</v>
      </c>
      <c r="AB148" s="99">
        <v>523</v>
      </c>
      <c r="AC148" s="99">
        <v>0.78700000000000003</v>
      </c>
      <c r="AD148" s="99">
        <v>455</v>
      </c>
      <c r="AE148" s="99">
        <v>0.80600000000000005</v>
      </c>
      <c r="AF148" s="99">
        <v>400</v>
      </c>
      <c r="AG148" s="99">
        <v>1250</v>
      </c>
      <c r="AH148" s="99">
        <v>455</v>
      </c>
      <c r="AI148" s="99">
        <v>0.84899999999999998</v>
      </c>
      <c r="AJ148" s="99">
        <v>455</v>
      </c>
      <c r="AK148" s="99">
        <v>0.84899999999999998</v>
      </c>
      <c r="AL148" s="99">
        <v>200</v>
      </c>
      <c r="AM148" s="100">
        <f t="shared" si="102"/>
        <v>2000</v>
      </c>
      <c r="AN148" s="100">
        <f t="shared" si="103"/>
        <v>87000000</v>
      </c>
      <c r="AO148" s="100">
        <f t="shared" si="104"/>
        <v>1250</v>
      </c>
      <c r="AP148" s="100">
        <f t="shared" si="105"/>
        <v>725</v>
      </c>
      <c r="AQ148" s="100">
        <f t="shared" si="108"/>
        <v>525.6</v>
      </c>
      <c r="AR148" s="101">
        <f t="shared" si="109"/>
        <v>0.6782999999999999</v>
      </c>
      <c r="AS148" s="100">
        <f t="shared" si="110"/>
        <v>455</v>
      </c>
      <c r="AT148" s="101">
        <f t="shared" si="111"/>
        <v>0.72560000000000002</v>
      </c>
      <c r="AU148" s="101">
        <v>0.95150000000000001</v>
      </c>
      <c r="AV148" s="101">
        <f t="shared" si="112"/>
        <v>1059.3856615606703</v>
      </c>
      <c r="AW148" s="101">
        <f t="shared" si="113"/>
        <v>901.00226160068314</v>
      </c>
      <c r="AX148" s="101">
        <f t="shared" si="114"/>
        <v>158.38339995998717</v>
      </c>
      <c r="AY148" s="100">
        <f t="shared" si="115"/>
        <v>31676.679991997444</v>
      </c>
      <c r="AZ148" s="100">
        <f t="shared" si="100"/>
        <v>158.38339995998723</v>
      </c>
      <c r="BA148" s="102">
        <f t="shared" si="106"/>
        <v>15.838339995998721</v>
      </c>
      <c r="BB148" s="101">
        <f t="shared" si="101"/>
        <v>7.9191699979993604E-2</v>
      </c>
      <c r="BD148" s="195"/>
      <c r="BE148" s="195"/>
    </row>
    <row r="149" spans="1:57" s="99" customFormat="1" x14ac:dyDescent="0.25">
      <c r="A149" s="99" t="s">
        <v>165</v>
      </c>
      <c r="B149" s="99" t="s">
        <v>164</v>
      </c>
      <c r="C149" s="98">
        <v>1</v>
      </c>
      <c r="D149" s="98">
        <v>200</v>
      </c>
      <c r="E149" s="98">
        <v>1200</v>
      </c>
      <c r="F149" s="103">
        <v>414</v>
      </c>
      <c r="G149" s="103">
        <v>597</v>
      </c>
      <c r="H149" s="98"/>
      <c r="I149" s="99">
        <v>1200</v>
      </c>
      <c r="J149" s="99">
        <v>469</v>
      </c>
      <c r="K149" s="99">
        <v>0.85499999999999998</v>
      </c>
      <c r="L149" s="99">
        <v>414</v>
      </c>
      <c r="M149" s="99">
        <v>0.84599999999999997</v>
      </c>
      <c r="N149" s="99">
        <v>2000</v>
      </c>
      <c r="AM149" s="100">
        <f t="shared" si="102"/>
        <v>2000</v>
      </c>
      <c r="AN149" s="100">
        <f t="shared" si="103"/>
        <v>144000000</v>
      </c>
      <c r="AO149" s="100">
        <f t="shared" si="104"/>
        <v>1200</v>
      </c>
      <c r="AP149" s="100">
        <f t="shared" si="105"/>
        <v>1200</v>
      </c>
      <c r="AQ149" s="100">
        <f t="shared" si="108"/>
        <v>469</v>
      </c>
      <c r="AR149" s="101">
        <f t="shared" si="109"/>
        <v>0.85499999999999998</v>
      </c>
      <c r="AS149" s="100">
        <f t="shared" si="110"/>
        <v>414</v>
      </c>
      <c r="AT149" s="101">
        <f t="shared" si="111"/>
        <v>0.84599999999999997</v>
      </c>
      <c r="AU149" s="101">
        <v>0.95699999999999996</v>
      </c>
      <c r="AV149" s="101">
        <f t="shared" si="112"/>
        <v>1241.2821740904333</v>
      </c>
      <c r="AW149" s="101">
        <f t="shared" si="113"/>
        <v>1157.129140885902</v>
      </c>
      <c r="AX149" s="101">
        <f t="shared" si="114"/>
        <v>84.153033204531312</v>
      </c>
      <c r="AY149" s="100">
        <f t="shared" si="115"/>
        <v>16830.606640906299</v>
      </c>
      <c r="AZ149" s="100">
        <f t="shared" si="100"/>
        <v>84.153033204531496</v>
      </c>
      <c r="BA149" s="102">
        <f t="shared" si="106"/>
        <v>8.41530332045315</v>
      </c>
      <c r="BB149" s="101">
        <f t="shared" si="101"/>
        <v>4.2076516602265752E-2</v>
      </c>
      <c r="BD149" s="195"/>
      <c r="BE149" s="195"/>
    </row>
    <row r="150" spans="1:57" s="99" customFormat="1" x14ac:dyDescent="0.25">
      <c r="A150" s="99" t="s">
        <v>166</v>
      </c>
      <c r="B150" s="99" t="s">
        <v>102</v>
      </c>
      <c r="C150" s="98">
        <v>1</v>
      </c>
      <c r="D150" s="98">
        <v>200</v>
      </c>
      <c r="E150" s="98">
        <v>1000</v>
      </c>
      <c r="F150" s="103">
        <v>225</v>
      </c>
      <c r="G150" s="103">
        <v>274</v>
      </c>
      <c r="H150" s="98"/>
      <c r="I150" s="99">
        <v>1000</v>
      </c>
      <c r="J150" s="99">
        <v>227</v>
      </c>
      <c r="K150" s="99">
        <v>0.77800000000000002</v>
      </c>
      <c r="L150" s="99">
        <v>225</v>
      </c>
      <c r="M150" s="99">
        <v>0.77800000000000002</v>
      </c>
      <c r="N150" s="99">
        <v>840</v>
      </c>
      <c r="O150" s="99">
        <v>600</v>
      </c>
      <c r="P150" s="99">
        <v>263</v>
      </c>
      <c r="Q150" s="99">
        <v>0.63400000000000001</v>
      </c>
      <c r="R150" s="99">
        <v>190</v>
      </c>
      <c r="S150" s="99">
        <v>0.7</v>
      </c>
      <c r="T150" s="99">
        <v>1260</v>
      </c>
      <c r="AM150" s="100">
        <f t="shared" si="102"/>
        <v>2100</v>
      </c>
      <c r="AN150" s="100">
        <f t="shared" si="103"/>
        <v>95760000</v>
      </c>
      <c r="AO150" s="100">
        <f t="shared" si="104"/>
        <v>1000</v>
      </c>
      <c r="AP150" s="100">
        <f t="shared" si="105"/>
        <v>760</v>
      </c>
      <c r="AQ150" s="100">
        <f t="shared" si="108"/>
        <v>245</v>
      </c>
      <c r="AR150" s="101">
        <f t="shared" si="109"/>
        <v>0.6916000000000001</v>
      </c>
      <c r="AS150" s="100">
        <f t="shared" si="110"/>
        <v>207.5</v>
      </c>
      <c r="AT150" s="101">
        <f t="shared" si="111"/>
        <v>0.73899999999999999</v>
      </c>
      <c r="AU150" s="104">
        <v>0.94879999999999987</v>
      </c>
      <c r="AV150" s="101">
        <f t="shared" si="112"/>
        <v>533.08508983433137</v>
      </c>
      <c r="AW150" s="101">
        <f t="shared" si="113"/>
        <v>445.33253259700177</v>
      </c>
      <c r="AX150" s="101">
        <f t="shared" si="114"/>
        <v>87.752557237329597</v>
      </c>
      <c r="AY150" s="100">
        <f t="shared" si="115"/>
        <v>17550.511447465931</v>
      </c>
      <c r="AZ150" s="100">
        <f t="shared" si="100"/>
        <v>87.752557237329654</v>
      </c>
      <c r="BA150" s="102">
        <f t="shared" si="106"/>
        <v>8.3573864035552052</v>
      </c>
      <c r="BB150" s="101">
        <f t="shared" si="101"/>
        <v>4.178693201777603E-2</v>
      </c>
      <c r="BD150" s="195"/>
      <c r="BE150" s="195"/>
    </row>
    <row r="151" spans="1:57" s="99" customFormat="1" x14ac:dyDescent="0.25">
      <c r="A151" s="99" t="s">
        <v>63</v>
      </c>
      <c r="B151" s="99" t="s">
        <v>64</v>
      </c>
      <c r="C151" s="98">
        <v>1</v>
      </c>
      <c r="D151" s="98">
        <v>200</v>
      </c>
      <c r="E151" s="98">
        <v>5400</v>
      </c>
      <c r="F151" s="103">
        <v>100</v>
      </c>
      <c r="G151" s="103">
        <v>184.1</v>
      </c>
      <c r="H151" s="98"/>
      <c r="I151" s="99">
        <v>5400</v>
      </c>
      <c r="J151" s="99">
        <v>101</v>
      </c>
      <c r="K151" s="99">
        <v>0.75600000000000001</v>
      </c>
      <c r="L151" s="99">
        <v>100</v>
      </c>
      <c r="M151" s="99">
        <v>0.755</v>
      </c>
      <c r="N151" s="99">
        <v>1500</v>
      </c>
      <c r="O151" s="99">
        <v>3750</v>
      </c>
      <c r="P151" s="99">
        <v>130</v>
      </c>
      <c r="Q151" s="99">
        <v>0.74099999999999999</v>
      </c>
      <c r="R151" s="99">
        <v>100</v>
      </c>
      <c r="S151" s="99">
        <v>0.76600000000000001</v>
      </c>
      <c r="T151" s="99">
        <v>500</v>
      </c>
      <c r="U151" s="99">
        <v>2100</v>
      </c>
      <c r="V151" s="99">
        <v>150</v>
      </c>
      <c r="W151" s="99">
        <v>0.51900000000000002</v>
      </c>
      <c r="X151" s="99">
        <v>100</v>
      </c>
      <c r="Y151" s="99">
        <v>0.59399999999999997</v>
      </c>
      <c r="Z151" s="99">
        <v>500</v>
      </c>
      <c r="AM151" s="100">
        <f t="shared" si="102"/>
        <v>2500</v>
      </c>
      <c r="AN151" s="100">
        <f t="shared" si="103"/>
        <v>661500000</v>
      </c>
      <c r="AO151" s="100">
        <f t="shared" si="104"/>
        <v>5400</v>
      </c>
      <c r="AP151" s="100">
        <f t="shared" si="105"/>
        <v>4410</v>
      </c>
      <c r="AQ151" s="100">
        <f t="shared" si="108"/>
        <v>127</v>
      </c>
      <c r="AR151" s="101">
        <f t="shared" si="109"/>
        <v>0.7056</v>
      </c>
      <c r="AS151" s="100">
        <f t="shared" si="110"/>
        <v>100</v>
      </c>
      <c r="AT151" s="101">
        <f t="shared" si="111"/>
        <v>0.70499999999999996</v>
      </c>
      <c r="AU151" s="104">
        <v>0.95094117647058818</v>
      </c>
      <c r="AV151" s="101">
        <f t="shared" si="112"/>
        <v>1871.0108063700707</v>
      </c>
      <c r="AW151" s="101">
        <f t="shared" si="113"/>
        <v>1550.5592885171041</v>
      </c>
      <c r="AX151" s="101">
        <f t="shared" si="114"/>
        <v>320.45151785296662</v>
      </c>
      <c r="AY151" s="100">
        <f t="shared" si="115"/>
        <v>64090.303570593293</v>
      </c>
      <c r="AZ151" s="100">
        <f t="shared" si="100"/>
        <v>320.45151785296645</v>
      </c>
      <c r="BA151" s="102">
        <f t="shared" si="106"/>
        <v>25.636121428237317</v>
      </c>
      <c r="BB151" s="101">
        <f t="shared" si="101"/>
        <v>0.12818060714118659</v>
      </c>
      <c r="BD151" s="195"/>
      <c r="BE151" s="195"/>
    </row>
    <row r="152" spans="1:57" s="99" customFormat="1" x14ac:dyDescent="0.25">
      <c r="A152" s="99" t="s">
        <v>167</v>
      </c>
      <c r="B152" s="99" t="s">
        <v>85</v>
      </c>
      <c r="C152" s="98">
        <v>1</v>
      </c>
      <c r="D152" s="98">
        <v>200</v>
      </c>
      <c r="E152" s="98">
        <v>1200</v>
      </c>
      <c r="F152" s="98">
        <v>377</v>
      </c>
      <c r="G152" s="98">
        <v>601</v>
      </c>
      <c r="H152" s="98">
        <v>224</v>
      </c>
      <c r="I152" s="99">
        <v>825</v>
      </c>
      <c r="J152" s="98">
        <v>526</v>
      </c>
      <c r="K152" s="98">
        <v>0.69199999999999995</v>
      </c>
      <c r="L152" s="98">
        <v>401</v>
      </c>
      <c r="M152" s="98">
        <v>0.74</v>
      </c>
      <c r="N152" s="99">
        <v>500</v>
      </c>
      <c r="O152" s="99">
        <v>1200</v>
      </c>
      <c r="P152" s="98">
        <v>491</v>
      </c>
      <c r="Q152" s="98">
        <v>0.81699999999999995</v>
      </c>
      <c r="R152" s="98">
        <v>427</v>
      </c>
      <c r="S152" s="98">
        <v>0.83099999999999996</v>
      </c>
      <c r="T152" s="99">
        <v>1000</v>
      </c>
      <c r="U152" s="99">
        <v>1490</v>
      </c>
      <c r="V152" s="98">
        <v>455</v>
      </c>
      <c r="W152" s="98">
        <v>0.85199999999999998</v>
      </c>
      <c r="X152" s="98">
        <v>454</v>
      </c>
      <c r="Y152" s="98">
        <v>0.85199999999999998</v>
      </c>
      <c r="Z152" s="99">
        <v>1000</v>
      </c>
      <c r="AM152" s="100">
        <f t="shared" si="102"/>
        <v>2500</v>
      </c>
      <c r="AN152" s="100">
        <f t="shared" si="103"/>
        <v>186150000</v>
      </c>
      <c r="AO152" s="100">
        <f t="shared" si="104"/>
        <v>1490</v>
      </c>
      <c r="AP152" s="100">
        <f t="shared" si="105"/>
        <v>1241</v>
      </c>
      <c r="AQ152" s="100">
        <f t="shared" si="108"/>
        <v>490.66666666666669</v>
      </c>
      <c r="AR152" s="101">
        <f t="shared" si="109"/>
        <v>0.80600000000000005</v>
      </c>
      <c r="AS152" s="100">
        <f t="shared" si="110"/>
        <v>427.33333333333331</v>
      </c>
      <c r="AT152" s="101">
        <f t="shared" si="111"/>
        <v>0.80766666666666664</v>
      </c>
      <c r="AU152" s="104">
        <v>0.95520000000000005</v>
      </c>
      <c r="AV152" s="101">
        <f t="shared" si="112"/>
        <v>1780.8028930309499</v>
      </c>
      <c r="AW152" s="101">
        <f t="shared" si="113"/>
        <v>1620.3343405402411</v>
      </c>
      <c r="AX152" s="101">
        <f t="shared" si="114"/>
        <v>160.46855249070882</v>
      </c>
      <c r="AY152" s="100">
        <f t="shared" si="115"/>
        <v>32093.710498141751</v>
      </c>
      <c r="AZ152" s="100">
        <f t="shared" si="100"/>
        <v>160.46855249070876</v>
      </c>
      <c r="BA152" s="102">
        <f t="shared" si="106"/>
        <v>12.8374841992567</v>
      </c>
      <c r="BB152" s="101">
        <f t="shared" si="101"/>
        <v>6.4187420996283495E-2</v>
      </c>
      <c r="BD152" s="195"/>
      <c r="BE152" s="195"/>
    </row>
    <row r="153" spans="1:57" s="99" customFormat="1" x14ac:dyDescent="0.25">
      <c r="A153" s="106" t="s">
        <v>168</v>
      </c>
      <c r="B153" s="106" t="s">
        <v>169</v>
      </c>
      <c r="C153" s="98">
        <v>1</v>
      </c>
      <c r="D153" s="98">
        <v>200</v>
      </c>
      <c r="E153" s="98">
        <v>1400</v>
      </c>
      <c r="F153" s="98">
        <v>265</v>
      </c>
      <c r="G153" s="98">
        <v>546</v>
      </c>
      <c r="H153" s="98">
        <v>281</v>
      </c>
      <c r="I153" s="99">
        <v>1300</v>
      </c>
      <c r="J153" s="98">
        <v>275</v>
      </c>
      <c r="K153" s="98">
        <v>0.80100000000000005</v>
      </c>
      <c r="L153" s="98">
        <v>265</v>
      </c>
      <c r="M153" s="98">
        <v>0.80500000000000005</v>
      </c>
      <c r="N153" s="99">
        <v>1400</v>
      </c>
      <c r="O153" s="99">
        <v>1150</v>
      </c>
      <c r="P153" s="98">
        <v>285</v>
      </c>
      <c r="Q153" s="98">
        <v>0.76700000000000002</v>
      </c>
      <c r="R153" s="98">
        <v>265</v>
      </c>
      <c r="S153" s="98">
        <v>0.77700000000000002</v>
      </c>
      <c r="T153" s="99">
        <v>200</v>
      </c>
      <c r="U153" s="99">
        <v>710</v>
      </c>
      <c r="V153" s="98">
        <v>312</v>
      </c>
      <c r="W153" s="98">
        <v>0.58799999999999997</v>
      </c>
      <c r="X153" s="98">
        <v>265</v>
      </c>
      <c r="Y153" s="98">
        <v>0.61799999999999999</v>
      </c>
      <c r="Z153" s="99">
        <v>996</v>
      </c>
      <c r="AM153" s="100">
        <f t="shared" si="102"/>
        <v>2596</v>
      </c>
      <c r="AN153" s="100">
        <f t="shared" si="103"/>
        <v>165429600</v>
      </c>
      <c r="AO153" s="100">
        <f t="shared" si="104"/>
        <v>1300</v>
      </c>
      <c r="AP153" s="100">
        <f t="shared" si="105"/>
        <v>1062.080123266564</v>
      </c>
      <c r="AQ153" s="100">
        <f t="shared" si="108"/>
        <v>290.66666666666669</v>
      </c>
      <c r="AR153" s="101">
        <f t="shared" si="109"/>
        <v>0.71665947611710323</v>
      </c>
      <c r="AS153" s="100">
        <f t="shared" si="110"/>
        <v>265</v>
      </c>
      <c r="AT153" s="101">
        <f t="shared" si="111"/>
        <v>0.73333333333333339</v>
      </c>
      <c r="AU153" s="101">
        <v>0.95699999999999996</v>
      </c>
      <c r="AV153" s="101">
        <f t="shared" si="112"/>
        <v>1054.3793716507989</v>
      </c>
      <c r="AW153" s="101">
        <f t="shared" si="113"/>
        <v>981.62820449279491</v>
      </c>
      <c r="AX153" s="101">
        <f t="shared" si="114"/>
        <v>72.751167158004023</v>
      </c>
      <c r="AY153" s="100">
        <f t="shared" si="115"/>
        <v>14550.233431600822</v>
      </c>
      <c r="AZ153" s="100">
        <f t="shared" si="100"/>
        <v>72.751167158004108</v>
      </c>
      <c r="BA153" s="102">
        <f t="shared" si="106"/>
        <v>5.6048664990758175</v>
      </c>
      <c r="BB153" s="101">
        <f t="shared" si="101"/>
        <v>2.8024332495379087E-2</v>
      </c>
      <c r="BD153" s="195"/>
      <c r="BE153" s="195"/>
    </row>
    <row r="154" spans="1:57" s="99" customFormat="1" x14ac:dyDescent="0.25">
      <c r="A154" s="106" t="s">
        <v>170</v>
      </c>
      <c r="B154" s="99" t="s">
        <v>56</v>
      </c>
      <c r="C154" s="98">
        <v>1</v>
      </c>
      <c r="D154" s="98">
        <v>200</v>
      </c>
      <c r="E154" s="98">
        <v>3000</v>
      </c>
      <c r="F154" s="98">
        <v>90</v>
      </c>
      <c r="G154" s="98">
        <v>250</v>
      </c>
      <c r="H154" s="98">
        <v>160</v>
      </c>
      <c r="I154" s="99">
        <v>3300</v>
      </c>
      <c r="N154" s="99">
        <v>2381</v>
      </c>
      <c r="O154" s="99">
        <v>1000</v>
      </c>
      <c r="T154" s="99">
        <v>595</v>
      </c>
      <c r="AM154" s="100">
        <f t="shared" si="102"/>
        <v>2976</v>
      </c>
      <c r="AN154" s="100">
        <f t="shared" si="103"/>
        <v>507138000</v>
      </c>
      <c r="AO154" s="100">
        <f t="shared" si="104"/>
        <v>3300</v>
      </c>
      <c r="AP154" s="100">
        <f t="shared" si="105"/>
        <v>2840.1545698924733</v>
      </c>
      <c r="AQ154" s="100"/>
      <c r="AR154" s="101"/>
      <c r="AS154" s="100"/>
      <c r="AT154" s="101"/>
      <c r="AU154" s="101">
        <v>0.95499999999999996</v>
      </c>
      <c r="AV154" s="101"/>
      <c r="AW154" s="101"/>
      <c r="AX154" s="101"/>
      <c r="AY154" s="100">
        <v>57312</v>
      </c>
      <c r="AZ154" s="100">
        <f t="shared" si="100"/>
        <v>286.56</v>
      </c>
      <c r="BA154" s="102">
        <f t="shared" si="106"/>
        <v>19.258064516129032</v>
      </c>
      <c r="BB154" s="101">
        <f t="shared" si="101"/>
        <v>9.6290322580645155E-2</v>
      </c>
      <c r="BD154" s="195"/>
      <c r="BE154" s="195"/>
    </row>
    <row r="155" spans="1:57" s="99" customFormat="1" x14ac:dyDescent="0.25">
      <c r="A155" s="99" t="s">
        <v>171</v>
      </c>
      <c r="B155" s="99" t="s">
        <v>109</v>
      </c>
      <c r="C155" s="98">
        <v>1</v>
      </c>
      <c r="D155" s="98">
        <v>200</v>
      </c>
      <c r="E155" s="98">
        <v>800</v>
      </c>
      <c r="F155" s="103">
        <v>424</v>
      </c>
      <c r="G155" s="103">
        <v>820</v>
      </c>
      <c r="H155" s="98"/>
      <c r="I155" s="99">
        <v>800</v>
      </c>
      <c r="J155" s="99">
        <v>631</v>
      </c>
      <c r="K155" s="99">
        <v>0.63200000000000001</v>
      </c>
      <c r="L155" s="99">
        <v>355</v>
      </c>
      <c r="M155" s="99">
        <v>0.75800000000000001</v>
      </c>
      <c r="N155" s="99">
        <v>2175</v>
      </c>
      <c r="O155" s="99">
        <v>1500</v>
      </c>
      <c r="P155" s="99">
        <v>479</v>
      </c>
      <c r="Q155" s="99">
        <v>0.84199999999999997</v>
      </c>
      <c r="R155" s="99">
        <v>485</v>
      </c>
      <c r="S155" s="99">
        <v>0.84299999999999997</v>
      </c>
      <c r="T155" s="99">
        <v>847</v>
      </c>
      <c r="AM155" s="100">
        <f t="shared" si="102"/>
        <v>3022</v>
      </c>
      <c r="AN155" s="100">
        <f t="shared" si="103"/>
        <v>180630000</v>
      </c>
      <c r="AO155" s="100">
        <f t="shared" si="104"/>
        <v>1500</v>
      </c>
      <c r="AP155" s="100">
        <f t="shared" si="105"/>
        <v>996.19457313037719</v>
      </c>
      <c r="AQ155" s="100">
        <f>AVERAGE(AH155,AB155,V155,P155,J155)</f>
        <v>555</v>
      </c>
      <c r="AR155" s="101">
        <f>(K155*N155+Q155*T155+W155*Z155+AC155*AF155+AI155*AL155)/AM155</f>
        <v>0.69085837193911315</v>
      </c>
      <c r="AS155" s="100">
        <f t="shared" ref="AS155:AT157" si="116">AVERAGE(AJ155,AD155,X155,R155,L155)</f>
        <v>420</v>
      </c>
      <c r="AT155" s="101">
        <f t="shared" si="116"/>
        <v>0.80049999999999999</v>
      </c>
      <c r="AU155" s="104">
        <v>0.93824917273328923</v>
      </c>
      <c r="AV155" s="101">
        <f>((AP155*AQ155/AR155))*AM155*0.746/(3956*D155)</f>
        <v>2280.3165471940529</v>
      </c>
      <c r="AW155" s="101">
        <f>((AP155*AS155/(AT155*AU155)))*AM155*0.746/(3956*D155)</f>
        <v>1587.3070472182162</v>
      </c>
      <c r="AX155" s="101">
        <f>AV155-AW155</f>
        <v>693.00949997583666</v>
      </c>
      <c r="AY155" s="100">
        <f>((AP155*AQ155/AR155)-(AP155*AS155/(AT155*AU155)))*AM155*0.746/3956</f>
        <v>138601.8999951673</v>
      </c>
      <c r="AZ155" s="100">
        <f t="shared" si="100"/>
        <v>693.00949997583655</v>
      </c>
      <c r="BA155" s="102">
        <f t="shared" si="106"/>
        <v>45.864295167163235</v>
      </c>
      <c r="BB155" s="101">
        <f t="shared" si="101"/>
        <v>0.22932147583581616</v>
      </c>
      <c r="BD155" s="195"/>
      <c r="BE155" s="195"/>
    </row>
    <row r="156" spans="1:57" s="99" customFormat="1" x14ac:dyDescent="0.25">
      <c r="A156" s="99" t="s">
        <v>154</v>
      </c>
      <c r="B156" s="99" t="s">
        <v>155</v>
      </c>
      <c r="C156" s="98">
        <v>1</v>
      </c>
      <c r="D156" s="98">
        <v>200</v>
      </c>
      <c r="E156" s="98">
        <v>2930</v>
      </c>
      <c r="F156" s="103">
        <v>236</v>
      </c>
      <c r="G156" s="103">
        <v>476</v>
      </c>
      <c r="H156" s="98"/>
      <c r="I156" s="99">
        <v>1000</v>
      </c>
      <c r="J156" s="99">
        <v>337</v>
      </c>
      <c r="K156" s="99">
        <v>0.39400000000000002</v>
      </c>
      <c r="L156" s="99">
        <v>236</v>
      </c>
      <c r="M156" s="99">
        <v>0.47099999999999997</v>
      </c>
      <c r="N156" s="99">
        <v>400</v>
      </c>
      <c r="O156" s="99">
        <v>1643</v>
      </c>
      <c r="P156" s="99">
        <v>314</v>
      </c>
      <c r="Q156" s="99">
        <v>0.65300000000000002</v>
      </c>
      <c r="R156" s="99">
        <v>236</v>
      </c>
      <c r="S156" s="99">
        <v>0.72799999999999998</v>
      </c>
      <c r="T156" s="99">
        <v>500</v>
      </c>
      <c r="U156" s="99">
        <v>2286</v>
      </c>
      <c r="V156" s="99">
        <v>294</v>
      </c>
      <c r="W156" s="99">
        <v>0.81399999999999995</v>
      </c>
      <c r="X156" s="99">
        <v>236</v>
      </c>
      <c r="Y156" s="99">
        <v>0.83</v>
      </c>
      <c r="Z156" s="99">
        <v>1000</v>
      </c>
      <c r="AA156" s="99">
        <v>2930</v>
      </c>
      <c r="AB156" s="99">
        <v>236</v>
      </c>
      <c r="AC156" s="99">
        <v>0.78800000000000003</v>
      </c>
      <c r="AD156" s="99">
        <v>236</v>
      </c>
      <c r="AE156" s="99">
        <v>0.78800000000000003</v>
      </c>
      <c r="AF156" s="99">
        <v>1250</v>
      </c>
      <c r="AM156" s="100">
        <f t="shared" si="102"/>
        <v>3150</v>
      </c>
      <c r="AN156" s="100">
        <f t="shared" si="103"/>
        <v>430200000</v>
      </c>
      <c r="AO156" s="100">
        <f t="shared" si="104"/>
        <v>2930</v>
      </c>
      <c r="AP156" s="100">
        <f t="shared" si="105"/>
        <v>2276.1904761904761</v>
      </c>
      <c r="AQ156" s="100">
        <f>AVERAGE(AH156,AB156,V156,P156,J156)</f>
        <v>295.25</v>
      </c>
      <c r="AR156" s="101">
        <f>(K156*N156+Q156*T156+W156*Z156+AC156*AF156+AI156*AL156)/AM156</f>
        <v>0.72479365079365077</v>
      </c>
      <c r="AS156" s="100">
        <f t="shared" si="116"/>
        <v>236</v>
      </c>
      <c r="AT156" s="101">
        <f t="shared" si="116"/>
        <v>0.70425000000000004</v>
      </c>
      <c r="AU156" s="104">
        <v>0.95196825396825391</v>
      </c>
      <c r="AV156" s="101">
        <f>((AP156*AQ156/AR156))*AM156*0.746/(3956*D156)</f>
        <v>2753.894068132799</v>
      </c>
      <c r="AW156" s="101">
        <f>((AP156*AS156/(AT156*AU156)))*AM156*0.746/(3956*D156)</f>
        <v>2379.7667155308045</v>
      </c>
      <c r="AX156" s="101">
        <f>AV156-AW156</f>
        <v>374.12735260199452</v>
      </c>
      <c r="AY156" s="100">
        <f>((AP156*AQ156/AR156)-(AP156*AS156/(AT156*AU156)))*AM156*0.746/3956</f>
        <v>74825.470520398943</v>
      </c>
      <c r="AZ156" s="100">
        <f t="shared" si="100"/>
        <v>374.12735260199474</v>
      </c>
      <c r="BA156" s="102">
        <f t="shared" si="106"/>
        <v>23.754117625523474</v>
      </c>
      <c r="BB156" s="101">
        <f t="shared" si="101"/>
        <v>0.11877058812761737</v>
      </c>
      <c r="BD156" s="195"/>
      <c r="BE156" s="195"/>
    </row>
    <row r="157" spans="1:57" s="99" customFormat="1" x14ac:dyDescent="0.25">
      <c r="A157" s="99" t="s">
        <v>172</v>
      </c>
      <c r="B157" s="99" t="s">
        <v>87</v>
      </c>
      <c r="C157" s="98">
        <v>1</v>
      </c>
      <c r="D157" s="98">
        <v>200</v>
      </c>
      <c r="E157" s="98">
        <v>1500</v>
      </c>
      <c r="F157" s="103">
        <v>450</v>
      </c>
      <c r="G157" s="103">
        <v>752</v>
      </c>
      <c r="H157" s="98">
        <v>302</v>
      </c>
      <c r="I157" s="99">
        <v>1500</v>
      </c>
      <c r="J157" s="99">
        <v>448</v>
      </c>
      <c r="K157" s="99">
        <v>0.85099999999999998</v>
      </c>
      <c r="L157" s="99">
        <v>450</v>
      </c>
      <c r="M157" s="99">
        <v>0.85099999999999998</v>
      </c>
      <c r="N157" s="99">
        <v>350</v>
      </c>
      <c r="O157" s="99">
        <v>1125</v>
      </c>
      <c r="P157" s="99">
        <v>528</v>
      </c>
      <c r="Q157" s="99">
        <v>0.79200000000000004</v>
      </c>
      <c r="R157" s="99">
        <v>450</v>
      </c>
      <c r="S157" s="99">
        <v>0.82099999999999995</v>
      </c>
      <c r="T157" s="99">
        <v>1050</v>
      </c>
      <c r="U157" s="99">
        <v>750</v>
      </c>
      <c r="V157" s="99">
        <v>587</v>
      </c>
      <c r="W157" s="99">
        <v>0.56999999999999995</v>
      </c>
      <c r="X157" s="99">
        <v>450</v>
      </c>
      <c r="Y157" s="99">
        <v>0.63700000000000001</v>
      </c>
      <c r="Z157" s="99">
        <v>2100</v>
      </c>
      <c r="AM157" s="100">
        <f t="shared" si="102"/>
        <v>3500</v>
      </c>
      <c r="AN157" s="100">
        <f t="shared" si="103"/>
        <v>196875000</v>
      </c>
      <c r="AO157" s="100">
        <f t="shared" si="104"/>
        <v>1500</v>
      </c>
      <c r="AP157" s="100">
        <f t="shared" si="105"/>
        <v>937.5</v>
      </c>
      <c r="AQ157" s="100">
        <f>AVERAGE(AH157,AB157,V157,P157,J157)</f>
        <v>521</v>
      </c>
      <c r="AR157" s="101">
        <f>(K157*N157+Q157*T157+W157*Z157+AC157*AF157+AI157*AL157)/AM157</f>
        <v>0.66469999999999996</v>
      </c>
      <c r="AS157" s="100">
        <f t="shared" si="116"/>
        <v>450</v>
      </c>
      <c r="AT157" s="101">
        <f t="shared" si="116"/>
        <v>0.76966666666666672</v>
      </c>
      <c r="AU157" s="101">
        <v>0.94850000000000001</v>
      </c>
      <c r="AV157" s="101">
        <f>((AP157*AQ157/AR157))*AM157*0.746/(3956*D157)</f>
        <v>2424.9562862998932</v>
      </c>
      <c r="AW157" s="101">
        <f>((AP157*AS157/(AT157*AU157)))*AM157*0.746/(3956*D157)</f>
        <v>1907.0600567995582</v>
      </c>
      <c r="AX157" s="101">
        <f>AV157-AW157</f>
        <v>517.89622950033504</v>
      </c>
      <c r="AY157" s="100">
        <f>((AP157*AQ157/AR157)-(AP157*AS157/(AT157*AU157)))*AM157*0.746/3956</f>
        <v>103579.24590006701</v>
      </c>
      <c r="AZ157" s="100">
        <f t="shared" si="100"/>
        <v>517.89622950033504</v>
      </c>
      <c r="BA157" s="102">
        <f t="shared" si="106"/>
        <v>29.594070257162002</v>
      </c>
      <c r="BB157" s="101">
        <f t="shared" si="101"/>
        <v>0.14797035128581001</v>
      </c>
      <c r="BD157" s="195"/>
      <c r="BE157" s="195"/>
    </row>
    <row r="158" spans="1:57" s="99" customFormat="1" x14ac:dyDescent="0.25">
      <c r="A158" s="107" t="s">
        <v>302</v>
      </c>
      <c r="C158" s="108">
        <v>1</v>
      </c>
      <c r="D158" s="108">
        <v>200</v>
      </c>
      <c r="AO158" s="103"/>
      <c r="AP158" s="103"/>
      <c r="AQ158" s="103"/>
      <c r="AR158" s="103"/>
      <c r="AS158" s="103"/>
      <c r="AT158" s="103"/>
      <c r="AU158" s="98"/>
      <c r="AV158" s="103"/>
      <c r="AW158" s="103"/>
      <c r="AX158" s="103"/>
      <c r="AY158" s="109">
        <v>37761</v>
      </c>
      <c r="AZ158" s="100">
        <f t="shared" si="100"/>
        <v>188.80500000000001</v>
      </c>
      <c r="BA158" s="108">
        <v>15.39</v>
      </c>
      <c r="BB158" s="101">
        <f t="shared" si="101"/>
        <v>7.6950000000000005E-2</v>
      </c>
      <c r="BD158" s="195"/>
      <c r="BE158" s="195"/>
    </row>
    <row r="159" spans="1:57" s="99" customFormat="1" x14ac:dyDescent="0.25">
      <c r="A159" s="107" t="s">
        <v>303</v>
      </c>
      <c r="C159" s="108">
        <v>1</v>
      </c>
      <c r="D159" s="108">
        <v>200</v>
      </c>
      <c r="AO159" s="103"/>
      <c r="AP159" s="103"/>
      <c r="AQ159" s="103"/>
      <c r="AR159" s="103"/>
      <c r="AS159" s="103"/>
      <c r="AT159" s="103"/>
      <c r="AU159" s="98"/>
      <c r="AV159" s="103"/>
      <c r="AW159" s="103"/>
      <c r="AX159" s="103"/>
      <c r="AY159" s="109">
        <v>87385</v>
      </c>
      <c r="AZ159" s="100">
        <f t="shared" si="100"/>
        <v>436.92500000000001</v>
      </c>
      <c r="BA159" s="108">
        <v>39.72</v>
      </c>
      <c r="BB159" s="101">
        <f t="shared" si="101"/>
        <v>0.1986</v>
      </c>
      <c r="BD159" s="195"/>
      <c r="BE159" s="195"/>
    </row>
    <row r="160" spans="1:57" s="110" customFormat="1" x14ac:dyDescent="0.25">
      <c r="A160" s="110" t="s">
        <v>173</v>
      </c>
      <c r="B160" s="110" t="s">
        <v>49</v>
      </c>
      <c r="C160" s="111">
        <v>1</v>
      </c>
      <c r="D160" s="111">
        <v>250</v>
      </c>
      <c r="E160" s="111">
        <v>2500</v>
      </c>
      <c r="F160" s="112">
        <v>277</v>
      </c>
      <c r="G160" s="112">
        <v>490</v>
      </c>
      <c r="H160" s="111"/>
      <c r="I160" s="110">
        <v>2500</v>
      </c>
      <c r="J160" s="110">
        <v>273</v>
      </c>
      <c r="K160" s="110">
        <v>0.81399999999999995</v>
      </c>
      <c r="L160" s="110">
        <v>277</v>
      </c>
      <c r="M160" s="110">
        <v>0.81299999999999994</v>
      </c>
      <c r="N160" s="110">
        <v>40</v>
      </c>
      <c r="O160" s="110">
        <v>1350</v>
      </c>
      <c r="P160" s="110">
        <v>362</v>
      </c>
      <c r="Q160" s="110">
        <v>0.67500000000000004</v>
      </c>
      <c r="R160" s="110">
        <v>277</v>
      </c>
      <c r="S160" s="110">
        <v>0.71199999999999997</v>
      </c>
      <c r="T160" s="110">
        <v>800</v>
      </c>
      <c r="AM160" s="113">
        <f t="shared" ref="AM160:AM198" si="117">AL160+AF160+Z160+T160+N160</f>
        <v>840</v>
      </c>
      <c r="AN160" s="113">
        <f t="shared" ref="AN160:AN198" si="118">I160*60*N160+O160*60*T160+U160*60*Z160+AA160*60*AF160+AG160*60*AL160</f>
        <v>70800000</v>
      </c>
      <c r="AO160" s="113">
        <f t="shared" ref="AO160:AO198" si="119">MAX(AG160,AA160,U160,O160,I160)</f>
        <v>2500</v>
      </c>
      <c r="AP160" s="113">
        <f t="shared" ref="AP160:AP198" si="120">AN160/(AM160*60)</f>
        <v>1404.7619047619048</v>
      </c>
      <c r="AQ160" s="113">
        <f t="shared" ref="AQ160:AQ169" si="121">AVERAGE(AH160,AB160,V160,P160,J160)</f>
        <v>317.5</v>
      </c>
      <c r="AR160" s="114">
        <f t="shared" ref="AR160:AR169" si="122">(K160*N160+Q160*T160+W160*Z160+AC160*AF160+AI160*AL160)/AM160</f>
        <v>0.68161904761904757</v>
      </c>
      <c r="AS160" s="113">
        <f t="shared" ref="AS160:AS169" si="123">AVERAGE(AJ160,AD160,X160,R160,L160)</f>
        <v>277</v>
      </c>
      <c r="AT160" s="114">
        <f t="shared" ref="AT160:AT169" si="124">AVERAGE(AK160,AE160,Y160,S160,M160)</f>
        <v>0.76249999999999996</v>
      </c>
      <c r="AU160" s="115">
        <v>0.94580952380952388</v>
      </c>
      <c r="AV160" s="114">
        <f t="shared" ref="AV160:AV169" si="125">((AP160*AQ160/AR160))*AM160*0.746/(3956*D160)</f>
        <v>414.59738131038466</v>
      </c>
      <c r="AW160" s="114">
        <f t="shared" ref="AW160:AW169" si="126">((AP160*AS160/(AT160*AU160)))*AM160*0.746/(3956*D160)</f>
        <v>341.86983424369043</v>
      </c>
      <c r="AX160" s="114">
        <f t="shared" ref="AX160:AX169" si="127">AV160-AW160</f>
        <v>72.727547066694228</v>
      </c>
      <c r="AY160" s="113">
        <f t="shared" ref="AY160:AY169" si="128">((AP160*AQ160/AR160)-(AP160*AS160/(AT160*AU160)))*AM160*0.746/3956</f>
        <v>18181.886766673542</v>
      </c>
      <c r="AZ160" s="113">
        <f t="shared" si="100"/>
        <v>72.727547066694171</v>
      </c>
      <c r="BA160" s="116">
        <f t="shared" ref="BA160:BA198" si="129">AY160/AM160</f>
        <v>21.64510329365898</v>
      </c>
      <c r="BB160" s="114">
        <f t="shared" si="101"/>
        <v>8.6580413174635926E-2</v>
      </c>
      <c r="BD160" s="196">
        <f>SUM(AY160:AY176)/SUMPRODUCT(C160:D176)</f>
        <v>218.78265175018333</v>
      </c>
      <c r="BE160" s="196">
        <f>SUM(BA160:BA176)/SUMPRODUCT(C160:D176)</f>
        <v>0.11618438589599749</v>
      </c>
    </row>
    <row r="161" spans="1:57" s="110" customFormat="1" x14ac:dyDescent="0.25">
      <c r="A161" s="110" t="s">
        <v>138</v>
      </c>
      <c r="B161" s="110" t="s">
        <v>73</v>
      </c>
      <c r="C161" s="111">
        <v>1</v>
      </c>
      <c r="D161" s="111">
        <v>250</v>
      </c>
      <c r="E161" s="111">
        <v>2750</v>
      </c>
      <c r="F161" s="112">
        <v>300</v>
      </c>
      <c r="G161" s="112">
        <v>539</v>
      </c>
      <c r="H161" s="111"/>
      <c r="I161" s="110">
        <v>1100</v>
      </c>
      <c r="J161" s="110">
        <v>439</v>
      </c>
      <c r="K161" s="110">
        <v>0.54900000000000004</v>
      </c>
      <c r="L161" s="110">
        <v>300</v>
      </c>
      <c r="M161" s="110">
        <v>0.623</v>
      </c>
      <c r="N161" s="110">
        <v>150</v>
      </c>
      <c r="O161" s="110">
        <v>900</v>
      </c>
      <c r="P161" s="110">
        <v>454</v>
      </c>
      <c r="Q161" s="110">
        <v>0.46899999999999997</v>
      </c>
      <c r="R161" s="110">
        <v>300</v>
      </c>
      <c r="S161" s="110">
        <v>0.54500000000000004</v>
      </c>
      <c r="T161" s="110">
        <v>300</v>
      </c>
      <c r="U161" s="110">
        <v>900</v>
      </c>
      <c r="V161" s="110">
        <v>454</v>
      </c>
      <c r="W161" s="110">
        <v>0.46899999999999997</v>
      </c>
      <c r="X161" s="110">
        <f>(37+41)/2</f>
        <v>39</v>
      </c>
      <c r="Y161" s="110">
        <v>0.83499999999999996</v>
      </c>
      <c r="Z161" s="110">
        <v>300</v>
      </c>
      <c r="AA161" s="110">
        <v>1150</v>
      </c>
      <c r="AB161" s="110">
        <v>436</v>
      </c>
      <c r="AC161" s="110">
        <v>0.56699999999999995</v>
      </c>
      <c r="AD161" s="110">
        <v>47</v>
      </c>
      <c r="AE161" s="110">
        <v>0.82299999999999995</v>
      </c>
      <c r="AF161" s="110">
        <v>150</v>
      </c>
      <c r="AM161" s="113">
        <f t="shared" si="117"/>
        <v>900</v>
      </c>
      <c r="AN161" s="113">
        <f t="shared" si="118"/>
        <v>52650000</v>
      </c>
      <c r="AO161" s="113">
        <f t="shared" si="119"/>
        <v>1150</v>
      </c>
      <c r="AP161" s="113">
        <f t="shared" si="120"/>
        <v>975</v>
      </c>
      <c r="AQ161" s="113">
        <f t="shared" si="121"/>
        <v>445.75</v>
      </c>
      <c r="AR161" s="114">
        <f t="shared" si="122"/>
        <v>0.4986666666666667</v>
      </c>
      <c r="AS161" s="113">
        <f t="shared" si="123"/>
        <v>171.5</v>
      </c>
      <c r="AT161" s="114">
        <f t="shared" si="124"/>
        <v>0.70649999999999991</v>
      </c>
      <c r="AU161" s="114">
        <v>0.95499999999999996</v>
      </c>
      <c r="AV161" s="114">
        <f t="shared" si="125"/>
        <v>591.65790861914218</v>
      </c>
      <c r="AW161" s="114">
        <f t="shared" si="126"/>
        <v>168.24348184853815</v>
      </c>
      <c r="AX161" s="114">
        <f t="shared" si="127"/>
        <v>423.414426770604</v>
      </c>
      <c r="AY161" s="113">
        <f t="shared" si="128"/>
        <v>105853.60669265097</v>
      </c>
      <c r="AZ161" s="113">
        <f t="shared" si="100"/>
        <v>423.41442677060388</v>
      </c>
      <c r="BA161" s="116">
        <f t="shared" si="129"/>
        <v>117.61511854738997</v>
      </c>
      <c r="BB161" s="114">
        <f t="shared" si="101"/>
        <v>0.47046047418955989</v>
      </c>
      <c r="BD161" s="196"/>
      <c r="BE161" s="196"/>
    </row>
    <row r="162" spans="1:57" s="110" customFormat="1" x14ac:dyDescent="0.25">
      <c r="A162" s="110" t="s">
        <v>174</v>
      </c>
      <c r="B162" s="110" t="s">
        <v>136</v>
      </c>
      <c r="C162" s="111">
        <v>1</v>
      </c>
      <c r="D162" s="111">
        <v>250</v>
      </c>
      <c r="E162" s="111">
        <v>3157</v>
      </c>
      <c r="F162" s="112">
        <v>200</v>
      </c>
      <c r="G162" s="112">
        <v>496</v>
      </c>
      <c r="H162" s="111"/>
      <c r="I162" s="110">
        <v>3114</v>
      </c>
      <c r="J162" s="110">
        <v>206</v>
      </c>
      <c r="K162" s="110">
        <v>0.79700000000000004</v>
      </c>
      <c r="L162" s="110">
        <v>200</v>
      </c>
      <c r="M162" s="110">
        <v>0.79300000000000004</v>
      </c>
      <c r="N162" s="110">
        <v>280</v>
      </c>
      <c r="O162" s="110">
        <v>2200</v>
      </c>
      <c r="P162" s="110">
        <v>302</v>
      </c>
      <c r="Q162" s="110">
        <v>0.81799999999999995</v>
      </c>
      <c r="R162" s="110">
        <v>200</v>
      </c>
      <c r="S162" s="110">
        <v>0.83799999999999997</v>
      </c>
      <c r="T162" s="110">
        <v>560</v>
      </c>
      <c r="U162" s="110">
        <v>3743</v>
      </c>
      <c r="V162" s="110">
        <v>100</v>
      </c>
      <c r="W162" s="110">
        <v>0.63600000000000001</v>
      </c>
      <c r="X162" s="110">
        <v>100</v>
      </c>
      <c r="Y162" s="110">
        <v>0.63700000000000001</v>
      </c>
      <c r="Z162" s="110">
        <v>240</v>
      </c>
      <c r="AM162" s="113">
        <f t="shared" si="117"/>
        <v>1080</v>
      </c>
      <c r="AN162" s="113">
        <f t="shared" si="118"/>
        <v>180134400</v>
      </c>
      <c r="AO162" s="113">
        <f t="shared" si="119"/>
        <v>3743</v>
      </c>
      <c r="AP162" s="113">
        <f t="shared" si="120"/>
        <v>2779.8518518518517</v>
      </c>
      <c r="AQ162" s="113">
        <f t="shared" si="121"/>
        <v>202.66666666666666</v>
      </c>
      <c r="AR162" s="114">
        <f t="shared" si="122"/>
        <v>0.77211111111111108</v>
      </c>
      <c r="AS162" s="113">
        <f t="shared" si="123"/>
        <v>166.66666666666666</v>
      </c>
      <c r="AT162" s="114">
        <f t="shared" si="124"/>
        <v>0.75600000000000012</v>
      </c>
      <c r="AU162" s="115">
        <v>0.95033333333333347</v>
      </c>
      <c r="AV162" s="114">
        <f t="shared" si="125"/>
        <v>594.41596472697722</v>
      </c>
      <c r="AW162" s="114">
        <f t="shared" si="126"/>
        <v>525.33814269979757</v>
      </c>
      <c r="AX162" s="114">
        <f t="shared" si="127"/>
        <v>69.07782202717965</v>
      </c>
      <c r="AY162" s="113">
        <f t="shared" si="128"/>
        <v>17269.455506794908</v>
      </c>
      <c r="AZ162" s="113">
        <f t="shared" si="100"/>
        <v>69.077822027179636</v>
      </c>
      <c r="BA162" s="116">
        <f t="shared" si="129"/>
        <v>15.990236580365655</v>
      </c>
      <c r="BB162" s="114">
        <f t="shared" si="101"/>
        <v>6.3960946321462625E-2</v>
      </c>
      <c r="BD162" s="196"/>
      <c r="BE162" s="196"/>
    </row>
    <row r="163" spans="1:57" s="110" customFormat="1" x14ac:dyDescent="0.25">
      <c r="A163" s="110" t="s">
        <v>175</v>
      </c>
      <c r="B163" s="110" t="s">
        <v>176</v>
      </c>
      <c r="C163" s="111">
        <v>1</v>
      </c>
      <c r="D163" s="111">
        <v>250</v>
      </c>
      <c r="E163" s="111">
        <v>1500</v>
      </c>
      <c r="F163" s="112">
        <v>285</v>
      </c>
      <c r="G163" s="112">
        <v>700</v>
      </c>
      <c r="H163" s="111"/>
      <c r="I163" s="110">
        <v>1500</v>
      </c>
      <c r="J163" s="110">
        <v>450</v>
      </c>
      <c r="K163" s="110">
        <v>0.83199999999999996</v>
      </c>
      <c r="L163" s="110">
        <v>450</v>
      </c>
      <c r="M163" s="110">
        <v>0.83199999999999996</v>
      </c>
      <c r="N163" s="110">
        <v>975</v>
      </c>
      <c r="O163" s="110">
        <v>1000</v>
      </c>
      <c r="P163" s="110">
        <v>542</v>
      </c>
      <c r="Q163" s="110">
        <v>0.72499999999999998</v>
      </c>
      <c r="R163" s="110">
        <v>358</v>
      </c>
      <c r="S163" s="110">
        <v>0.78700000000000003</v>
      </c>
      <c r="T163" s="110">
        <v>525</v>
      </c>
      <c r="AM163" s="113">
        <f t="shared" si="117"/>
        <v>1500</v>
      </c>
      <c r="AN163" s="113">
        <f t="shared" si="118"/>
        <v>119250000</v>
      </c>
      <c r="AO163" s="113">
        <f t="shared" si="119"/>
        <v>1500</v>
      </c>
      <c r="AP163" s="113">
        <f t="shared" si="120"/>
        <v>1325</v>
      </c>
      <c r="AQ163" s="113">
        <f t="shared" si="121"/>
        <v>496</v>
      </c>
      <c r="AR163" s="114">
        <f t="shared" si="122"/>
        <v>0.79454999999999987</v>
      </c>
      <c r="AS163" s="113">
        <f t="shared" si="123"/>
        <v>404</v>
      </c>
      <c r="AT163" s="114">
        <f t="shared" si="124"/>
        <v>0.8095</v>
      </c>
      <c r="AU163" s="115">
        <v>0.95325000000000004</v>
      </c>
      <c r="AV163" s="114">
        <f t="shared" si="125"/>
        <v>935.85834590157594</v>
      </c>
      <c r="AW163" s="114">
        <f t="shared" si="126"/>
        <v>784.88742526860631</v>
      </c>
      <c r="AX163" s="114">
        <f t="shared" si="127"/>
        <v>150.97092063296964</v>
      </c>
      <c r="AY163" s="113">
        <f t="shared" si="128"/>
        <v>37742.730158242382</v>
      </c>
      <c r="AZ163" s="113">
        <f t="shared" ref="AZ163:AZ194" si="130">AY163/D163</f>
        <v>150.97092063296952</v>
      </c>
      <c r="BA163" s="116">
        <f t="shared" si="129"/>
        <v>25.161820105494922</v>
      </c>
      <c r="BB163" s="114">
        <f t="shared" ref="BB163:BB194" si="131">BA163/D163</f>
        <v>0.10064728042197969</v>
      </c>
      <c r="BD163" s="196"/>
      <c r="BE163" s="196"/>
    </row>
    <row r="164" spans="1:57" s="110" customFormat="1" x14ac:dyDescent="0.25">
      <c r="A164" s="110" t="s">
        <v>177</v>
      </c>
      <c r="B164" s="110" t="s">
        <v>176</v>
      </c>
      <c r="C164" s="111">
        <v>1</v>
      </c>
      <c r="D164" s="111">
        <v>250</v>
      </c>
      <c r="E164" s="111">
        <v>1900</v>
      </c>
      <c r="F164" s="112">
        <v>285</v>
      </c>
      <c r="G164" s="112">
        <v>700</v>
      </c>
      <c r="H164" s="111"/>
      <c r="I164" s="110">
        <v>1900</v>
      </c>
      <c r="J164" s="110">
        <v>441</v>
      </c>
      <c r="K164" s="110">
        <v>0.84299999999999997</v>
      </c>
      <c r="L164" s="110">
        <v>440</v>
      </c>
      <c r="M164" s="110">
        <v>0.84199999999999997</v>
      </c>
      <c r="N164" s="110">
        <v>900</v>
      </c>
      <c r="O164" s="110">
        <v>1250</v>
      </c>
      <c r="P164" s="110">
        <v>549</v>
      </c>
      <c r="Q164" s="110">
        <v>0.76900000000000002</v>
      </c>
      <c r="R164" s="110">
        <v>352</v>
      </c>
      <c r="S164" s="110">
        <v>0.82199999999999995</v>
      </c>
      <c r="T164" s="110">
        <v>600</v>
      </c>
      <c r="AM164" s="113">
        <f t="shared" si="117"/>
        <v>1500</v>
      </c>
      <c r="AN164" s="113">
        <f t="shared" si="118"/>
        <v>147600000</v>
      </c>
      <c r="AO164" s="113">
        <f t="shared" si="119"/>
        <v>1900</v>
      </c>
      <c r="AP164" s="113">
        <f t="shared" si="120"/>
        <v>1640</v>
      </c>
      <c r="AQ164" s="113">
        <f t="shared" si="121"/>
        <v>495</v>
      </c>
      <c r="AR164" s="114">
        <f t="shared" si="122"/>
        <v>0.8133999999999999</v>
      </c>
      <c r="AS164" s="113">
        <f t="shared" si="123"/>
        <v>396</v>
      </c>
      <c r="AT164" s="114">
        <f t="shared" si="124"/>
        <v>0.83199999999999996</v>
      </c>
      <c r="AU164" s="115">
        <v>0.95119999999999993</v>
      </c>
      <c r="AV164" s="114">
        <f t="shared" si="125"/>
        <v>1129.2202921589167</v>
      </c>
      <c r="AW164" s="114">
        <f t="shared" si="126"/>
        <v>928.49092001405381</v>
      </c>
      <c r="AX164" s="114">
        <f t="shared" si="127"/>
        <v>200.72937214486285</v>
      </c>
      <c r="AY164" s="113">
        <f t="shared" si="128"/>
        <v>50182.343036215716</v>
      </c>
      <c r="AZ164" s="113">
        <f t="shared" si="130"/>
        <v>200.72937214486285</v>
      </c>
      <c r="BA164" s="116">
        <f t="shared" si="129"/>
        <v>33.454895357477142</v>
      </c>
      <c r="BB164" s="114">
        <f t="shared" si="131"/>
        <v>0.13381958142990857</v>
      </c>
      <c r="BD164" s="196"/>
      <c r="BE164" s="196"/>
    </row>
    <row r="165" spans="1:57" s="110" customFormat="1" x14ac:dyDescent="0.25">
      <c r="A165" s="110" t="s">
        <v>178</v>
      </c>
      <c r="B165" s="110" t="s">
        <v>87</v>
      </c>
      <c r="C165" s="111">
        <v>1</v>
      </c>
      <c r="D165" s="111">
        <v>250</v>
      </c>
      <c r="E165" s="111">
        <v>2000</v>
      </c>
      <c r="F165" s="112">
        <v>325</v>
      </c>
      <c r="G165" s="112">
        <v>688</v>
      </c>
      <c r="H165" s="111"/>
      <c r="I165" s="110">
        <v>2200</v>
      </c>
      <c r="J165" s="110">
        <v>373</v>
      </c>
      <c r="K165" s="110">
        <v>0.84499999999999997</v>
      </c>
      <c r="L165" s="110">
        <v>367</v>
      </c>
      <c r="M165" s="110">
        <v>0.84399999999999997</v>
      </c>
      <c r="N165" s="110">
        <v>600</v>
      </c>
      <c r="O165" s="110">
        <v>1900</v>
      </c>
      <c r="P165" s="110">
        <v>435</v>
      </c>
      <c r="Q165" s="110">
        <v>0.85199999999999998</v>
      </c>
      <c r="R165" s="110">
        <v>357</v>
      </c>
      <c r="S165" s="110">
        <v>0.85399999999999998</v>
      </c>
      <c r="T165" s="110">
        <v>600</v>
      </c>
      <c r="U165" s="110">
        <v>1600</v>
      </c>
      <c r="V165" s="110">
        <v>483</v>
      </c>
      <c r="W165" s="110">
        <v>0.81799999999999995</v>
      </c>
      <c r="X165" s="110">
        <v>347</v>
      </c>
      <c r="Y165" s="110">
        <v>0.84699999999999998</v>
      </c>
      <c r="Z165" s="110">
        <v>600</v>
      </c>
      <c r="AM165" s="113">
        <f t="shared" si="117"/>
        <v>1800</v>
      </c>
      <c r="AN165" s="113">
        <f t="shared" si="118"/>
        <v>205200000</v>
      </c>
      <c r="AO165" s="113">
        <f t="shared" si="119"/>
        <v>2200</v>
      </c>
      <c r="AP165" s="113">
        <f t="shared" si="120"/>
        <v>1900</v>
      </c>
      <c r="AQ165" s="113">
        <f t="shared" si="121"/>
        <v>430.33333333333331</v>
      </c>
      <c r="AR165" s="114">
        <f t="shared" si="122"/>
        <v>0.83833333333333337</v>
      </c>
      <c r="AS165" s="113">
        <f t="shared" si="123"/>
        <v>357</v>
      </c>
      <c r="AT165" s="114">
        <f t="shared" si="124"/>
        <v>0.84833333333333327</v>
      </c>
      <c r="AU165" s="114">
        <v>0.95499999999999996</v>
      </c>
      <c r="AV165" s="114">
        <f t="shared" si="125"/>
        <v>1324.2100963480993</v>
      </c>
      <c r="AW165" s="114">
        <f t="shared" si="126"/>
        <v>1136.7552130304955</v>
      </c>
      <c r="AX165" s="114">
        <f t="shared" si="127"/>
        <v>187.45488331760384</v>
      </c>
      <c r="AY165" s="113">
        <f t="shared" si="128"/>
        <v>46863.720829400925</v>
      </c>
      <c r="AZ165" s="113">
        <f t="shared" si="130"/>
        <v>187.4548833176037</v>
      </c>
      <c r="BA165" s="116">
        <f t="shared" si="129"/>
        <v>26.035400460778291</v>
      </c>
      <c r="BB165" s="114">
        <f t="shared" si="131"/>
        <v>0.10414160184311316</v>
      </c>
      <c r="BD165" s="196"/>
      <c r="BE165" s="196"/>
    </row>
    <row r="166" spans="1:57" s="110" customFormat="1" x14ac:dyDescent="0.25">
      <c r="A166" s="117" t="s">
        <v>179</v>
      </c>
      <c r="B166" s="117" t="s">
        <v>109</v>
      </c>
      <c r="C166" s="111">
        <v>1</v>
      </c>
      <c r="D166" s="111">
        <v>250</v>
      </c>
      <c r="E166" s="111">
        <v>2000</v>
      </c>
      <c r="F166" s="111">
        <v>365</v>
      </c>
      <c r="G166" s="111">
        <v>610</v>
      </c>
      <c r="H166" s="111">
        <v>245</v>
      </c>
      <c r="I166" s="110">
        <v>2000</v>
      </c>
      <c r="J166" s="110">
        <v>366</v>
      </c>
      <c r="K166" s="110">
        <v>0.84399999999999997</v>
      </c>
      <c r="L166" s="110">
        <v>365</v>
      </c>
      <c r="M166" s="110">
        <v>0.84399999999999997</v>
      </c>
      <c r="N166" s="110">
        <v>1365</v>
      </c>
      <c r="O166" s="110">
        <v>1200</v>
      </c>
      <c r="P166" s="110">
        <v>481</v>
      </c>
      <c r="Q166" s="110">
        <v>0.752</v>
      </c>
      <c r="R166" s="110">
        <v>365</v>
      </c>
      <c r="S166" s="110">
        <v>0.79</v>
      </c>
      <c r="T166" s="110">
        <v>195</v>
      </c>
      <c r="U166" s="110">
        <v>1500</v>
      </c>
      <c r="V166" s="110">
        <v>448</v>
      </c>
      <c r="W166" s="110">
        <v>0.81599999999999995</v>
      </c>
      <c r="X166" s="110">
        <v>273</v>
      </c>
      <c r="Y166" s="110">
        <v>0.84399999999999997</v>
      </c>
      <c r="Z166" s="110">
        <v>390</v>
      </c>
      <c r="AM166" s="113">
        <f t="shared" si="117"/>
        <v>1950</v>
      </c>
      <c r="AN166" s="113">
        <f t="shared" si="118"/>
        <v>212940000</v>
      </c>
      <c r="AO166" s="113">
        <f t="shared" si="119"/>
        <v>2000</v>
      </c>
      <c r="AP166" s="113">
        <f t="shared" si="120"/>
        <v>1820</v>
      </c>
      <c r="AQ166" s="113">
        <f t="shared" si="121"/>
        <v>431.66666666666669</v>
      </c>
      <c r="AR166" s="114">
        <f t="shared" si="122"/>
        <v>0.82919999999999994</v>
      </c>
      <c r="AS166" s="113">
        <f t="shared" si="123"/>
        <v>334.33333333333331</v>
      </c>
      <c r="AT166" s="114">
        <f t="shared" si="124"/>
        <v>0.82599999999999996</v>
      </c>
      <c r="AU166" s="114">
        <v>0.95499999999999996</v>
      </c>
      <c r="AV166" s="114">
        <f t="shared" si="125"/>
        <v>1393.5987736788222</v>
      </c>
      <c r="AW166" s="114">
        <f t="shared" si="126"/>
        <v>1134.6052652475662</v>
      </c>
      <c r="AX166" s="114">
        <f t="shared" si="127"/>
        <v>258.99350843125603</v>
      </c>
      <c r="AY166" s="113">
        <f t="shared" si="128"/>
        <v>64748.377107814027</v>
      </c>
      <c r="AZ166" s="113">
        <f t="shared" si="130"/>
        <v>258.99350843125609</v>
      </c>
      <c r="BA166" s="116">
        <f t="shared" si="129"/>
        <v>33.20429595272514</v>
      </c>
      <c r="BB166" s="114">
        <f t="shared" si="131"/>
        <v>0.13281718381090055</v>
      </c>
      <c r="BD166" s="196"/>
      <c r="BE166" s="196"/>
    </row>
    <row r="167" spans="1:57" s="110" customFormat="1" x14ac:dyDescent="0.25">
      <c r="A167" s="118" t="s">
        <v>180</v>
      </c>
      <c r="B167" s="118" t="s">
        <v>181</v>
      </c>
      <c r="C167" s="111">
        <v>1</v>
      </c>
      <c r="D167" s="111">
        <v>250</v>
      </c>
      <c r="E167" s="111">
        <v>1600</v>
      </c>
      <c r="F167" s="111">
        <v>236</v>
      </c>
      <c r="G167" s="111">
        <v>789</v>
      </c>
      <c r="H167" s="111">
        <v>553</v>
      </c>
      <c r="I167" s="110">
        <v>1400</v>
      </c>
      <c r="J167" s="110">
        <v>544</v>
      </c>
      <c r="K167" s="110">
        <v>0.79600000000000004</v>
      </c>
      <c r="L167" s="110">
        <v>426</v>
      </c>
      <c r="M167" s="110">
        <v>0.748</v>
      </c>
      <c r="N167" s="110">
        <v>2000</v>
      </c>
      <c r="AM167" s="113">
        <f t="shared" si="117"/>
        <v>2000</v>
      </c>
      <c r="AN167" s="113">
        <f t="shared" si="118"/>
        <v>168000000</v>
      </c>
      <c r="AO167" s="113">
        <f t="shared" si="119"/>
        <v>1400</v>
      </c>
      <c r="AP167" s="113">
        <f t="shared" si="120"/>
        <v>1400</v>
      </c>
      <c r="AQ167" s="113">
        <f t="shared" si="121"/>
        <v>544</v>
      </c>
      <c r="AR167" s="114">
        <f t="shared" si="122"/>
        <v>0.79600000000000004</v>
      </c>
      <c r="AS167" s="113">
        <f t="shared" si="123"/>
        <v>426</v>
      </c>
      <c r="AT167" s="114">
        <f t="shared" si="124"/>
        <v>0.748</v>
      </c>
      <c r="AU167" s="114">
        <v>0.95099999999999996</v>
      </c>
      <c r="AV167" s="114">
        <f t="shared" si="125"/>
        <v>1443.398997007281</v>
      </c>
      <c r="AW167" s="114">
        <f t="shared" si="126"/>
        <v>1264.818040705559</v>
      </c>
      <c r="AX167" s="114">
        <f t="shared" si="127"/>
        <v>178.58095630172193</v>
      </c>
      <c r="AY167" s="113">
        <f t="shared" si="128"/>
        <v>44645.239075430465</v>
      </c>
      <c r="AZ167" s="113">
        <f t="shared" si="130"/>
        <v>178.58095630172187</v>
      </c>
      <c r="BA167" s="116">
        <f t="shared" si="129"/>
        <v>22.322619537715234</v>
      </c>
      <c r="BB167" s="114">
        <f t="shared" si="131"/>
        <v>8.9290478150860941E-2</v>
      </c>
      <c r="BD167" s="196"/>
      <c r="BE167" s="196"/>
    </row>
    <row r="168" spans="1:57" s="110" customFormat="1" x14ac:dyDescent="0.25">
      <c r="A168" s="110" t="s">
        <v>182</v>
      </c>
      <c r="B168" s="110" t="s">
        <v>136</v>
      </c>
      <c r="C168" s="111">
        <v>1</v>
      </c>
      <c r="D168" s="111">
        <v>250</v>
      </c>
      <c r="E168" s="111">
        <v>3000</v>
      </c>
      <c r="F168" s="112">
        <v>126</v>
      </c>
      <c r="G168" s="112">
        <v>340</v>
      </c>
      <c r="H168" s="111"/>
      <c r="I168" s="110">
        <v>3000</v>
      </c>
      <c r="J168" s="110">
        <v>251</v>
      </c>
      <c r="K168" s="110">
        <v>0.81899999999999995</v>
      </c>
      <c r="L168" s="110">
        <v>250</v>
      </c>
      <c r="M168" s="110">
        <v>0.81899999999999995</v>
      </c>
      <c r="N168" s="110">
        <v>1795</v>
      </c>
      <c r="O168" s="110">
        <v>500</v>
      </c>
      <c r="P168" s="110">
        <v>337</v>
      </c>
      <c r="Q168" s="110">
        <v>0.3</v>
      </c>
      <c r="R168" s="110">
        <v>129</v>
      </c>
      <c r="S168" s="110">
        <v>0.44500000000000001</v>
      </c>
      <c r="T168" s="110">
        <v>599</v>
      </c>
      <c r="AM168" s="113">
        <f t="shared" si="117"/>
        <v>2394</v>
      </c>
      <c r="AN168" s="113">
        <f t="shared" si="118"/>
        <v>341070000</v>
      </c>
      <c r="AO168" s="113">
        <f t="shared" si="119"/>
        <v>3000</v>
      </c>
      <c r="AP168" s="113">
        <f t="shared" si="120"/>
        <v>2374.4778613199665</v>
      </c>
      <c r="AQ168" s="113">
        <f t="shared" si="121"/>
        <v>294</v>
      </c>
      <c r="AR168" s="114">
        <f t="shared" si="122"/>
        <v>0.68914160401002511</v>
      </c>
      <c r="AS168" s="113">
        <f t="shared" si="123"/>
        <v>189.5</v>
      </c>
      <c r="AT168" s="114">
        <f t="shared" si="124"/>
        <v>0.63200000000000001</v>
      </c>
      <c r="AU168" s="114">
        <v>0.95499999999999996</v>
      </c>
      <c r="AV168" s="114">
        <f t="shared" si="125"/>
        <v>1829.2525440643346</v>
      </c>
      <c r="AW168" s="114">
        <f t="shared" si="126"/>
        <v>1346.2433502908023</v>
      </c>
      <c r="AX168" s="114">
        <f t="shared" si="127"/>
        <v>483.00919377353239</v>
      </c>
      <c r="AY168" s="113">
        <f t="shared" si="128"/>
        <v>120752.29844338314</v>
      </c>
      <c r="AZ168" s="113">
        <f t="shared" si="130"/>
        <v>483.00919377353256</v>
      </c>
      <c r="BA168" s="116">
        <f t="shared" si="129"/>
        <v>50.439556576183435</v>
      </c>
      <c r="BB168" s="114">
        <f t="shared" si="131"/>
        <v>0.20175822630473375</v>
      </c>
      <c r="BD168" s="196"/>
      <c r="BE168" s="196"/>
    </row>
    <row r="169" spans="1:57" s="110" customFormat="1" x14ac:dyDescent="0.25">
      <c r="A169" s="118" t="s">
        <v>183</v>
      </c>
      <c r="B169" s="118" t="s">
        <v>184</v>
      </c>
      <c r="C169" s="111">
        <v>1</v>
      </c>
      <c r="D169" s="111">
        <v>250</v>
      </c>
      <c r="E169" s="111">
        <v>2200</v>
      </c>
      <c r="F169" s="112">
        <v>159</v>
      </c>
      <c r="G169" s="112">
        <v>462</v>
      </c>
      <c r="H169" s="111">
        <v>303</v>
      </c>
      <c r="I169" s="110">
        <v>1250</v>
      </c>
      <c r="J169" s="110">
        <v>299</v>
      </c>
      <c r="K169" s="110">
        <v>0.80600000000000005</v>
      </c>
      <c r="L169" s="110">
        <v>223</v>
      </c>
      <c r="M169" s="110">
        <v>0.83599999999999997</v>
      </c>
      <c r="N169" s="110">
        <v>1440</v>
      </c>
      <c r="O169" s="110">
        <v>1500</v>
      </c>
      <c r="P169" s="110">
        <v>246</v>
      </c>
      <c r="Q169" s="110">
        <v>0.83699999999999997</v>
      </c>
      <c r="R169" s="110">
        <v>240</v>
      </c>
      <c r="S169" s="110">
        <v>0.83499999999999996</v>
      </c>
      <c r="T169" s="110">
        <v>480</v>
      </c>
      <c r="U169" s="110">
        <v>2200</v>
      </c>
      <c r="Z169" s="110">
        <v>480</v>
      </c>
      <c r="AM169" s="113">
        <f t="shared" si="117"/>
        <v>2400</v>
      </c>
      <c r="AN169" s="113">
        <f t="shared" si="118"/>
        <v>214560000</v>
      </c>
      <c r="AO169" s="113">
        <f t="shared" si="119"/>
        <v>2200</v>
      </c>
      <c r="AP169" s="113">
        <f t="shared" si="120"/>
        <v>1490</v>
      </c>
      <c r="AQ169" s="113">
        <f t="shared" si="121"/>
        <v>272.5</v>
      </c>
      <c r="AR169" s="114">
        <f t="shared" si="122"/>
        <v>0.65100000000000002</v>
      </c>
      <c r="AS169" s="113">
        <f t="shared" si="123"/>
        <v>231.5</v>
      </c>
      <c r="AT169" s="114">
        <f t="shared" si="124"/>
        <v>0.83549999999999991</v>
      </c>
      <c r="AU169" s="115">
        <v>0.93419999999999992</v>
      </c>
      <c r="AV169" s="114">
        <f t="shared" si="125"/>
        <v>1129.0822084403089</v>
      </c>
      <c r="AW169" s="114">
        <f t="shared" si="126"/>
        <v>800.02714734979827</v>
      </c>
      <c r="AX169" s="114">
        <f t="shared" si="127"/>
        <v>329.05506109051066</v>
      </c>
      <c r="AY169" s="113">
        <f t="shared" si="128"/>
        <v>82263.765272627628</v>
      </c>
      <c r="AZ169" s="113">
        <f t="shared" si="130"/>
        <v>329.05506109051049</v>
      </c>
      <c r="BA169" s="116">
        <f t="shared" si="129"/>
        <v>34.276568863594846</v>
      </c>
      <c r="BB169" s="114">
        <f t="shared" si="131"/>
        <v>0.13710627545437939</v>
      </c>
      <c r="BD169" s="196"/>
      <c r="BE169" s="196"/>
    </row>
    <row r="170" spans="1:57" s="110" customFormat="1" x14ac:dyDescent="0.25">
      <c r="A170" s="118" t="s">
        <v>183</v>
      </c>
      <c r="B170" s="118" t="s">
        <v>184</v>
      </c>
      <c r="C170" s="111">
        <v>1</v>
      </c>
      <c r="D170" s="111">
        <v>250</v>
      </c>
      <c r="E170" s="111">
        <v>2000</v>
      </c>
      <c r="F170" s="112">
        <v>201</v>
      </c>
      <c r="G170" s="112">
        <v>408</v>
      </c>
      <c r="H170" s="111">
        <v>207</v>
      </c>
      <c r="I170" s="110">
        <v>1500</v>
      </c>
      <c r="N170" s="110">
        <v>1200</v>
      </c>
      <c r="O170" s="110">
        <v>2000</v>
      </c>
      <c r="T170" s="110">
        <v>1200</v>
      </c>
      <c r="AM170" s="113">
        <f t="shared" si="117"/>
        <v>2400</v>
      </c>
      <c r="AN170" s="113">
        <f t="shared" si="118"/>
        <v>252000000</v>
      </c>
      <c r="AO170" s="113">
        <f t="shared" si="119"/>
        <v>2000</v>
      </c>
      <c r="AP170" s="113">
        <f t="shared" si="120"/>
        <v>1750</v>
      </c>
      <c r="AQ170" s="113"/>
      <c r="AR170" s="114"/>
      <c r="AS170" s="113"/>
      <c r="AT170" s="114"/>
      <c r="AU170" s="115">
        <v>0.95299999999999996</v>
      </c>
      <c r="AV170" s="114"/>
      <c r="AW170" s="114"/>
      <c r="AX170" s="114"/>
      <c r="AY170" s="113">
        <v>26792</v>
      </c>
      <c r="AZ170" s="113">
        <f t="shared" si="130"/>
        <v>107.16800000000001</v>
      </c>
      <c r="BA170" s="116">
        <f t="shared" si="129"/>
        <v>11.163333333333334</v>
      </c>
      <c r="BB170" s="114">
        <f t="shared" si="131"/>
        <v>4.4653333333333337E-2</v>
      </c>
      <c r="BD170" s="196"/>
      <c r="BE170" s="196"/>
    </row>
    <row r="171" spans="1:57" s="110" customFormat="1" x14ac:dyDescent="0.25">
      <c r="A171" s="118" t="s">
        <v>185</v>
      </c>
      <c r="B171" s="118" t="s">
        <v>102</v>
      </c>
      <c r="C171" s="111">
        <v>1</v>
      </c>
      <c r="D171" s="111">
        <v>250</v>
      </c>
      <c r="E171" s="111">
        <v>1000</v>
      </c>
      <c r="F171" s="112">
        <v>620</v>
      </c>
      <c r="G171" s="112">
        <v>800</v>
      </c>
      <c r="H171" s="111">
        <v>180</v>
      </c>
      <c r="I171" s="110">
        <v>1000</v>
      </c>
      <c r="J171" s="110">
        <v>626</v>
      </c>
      <c r="K171" s="110">
        <v>0.82399999999999995</v>
      </c>
      <c r="L171" s="110">
        <v>622</v>
      </c>
      <c r="M171" s="110">
        <v>0.82399999999999995</v>
      </c>
      <c r="N171" s="110">
        <v>650</v>
      </c>
      <c r="O171" s="110">
        <v>850</v>
      </c>
      <c r="P171" s="110">
        <v>677</v>
      </c>
      <c r="Q171" s="110">
        <v>0.83199999999999996</v>
      </c>
      <c r="R171" s="110">
        <v>621</v>
      </c>
      <c r="S171" s="110">
        <v>0.83299999999999996</v>
      </c>
      <c r="T171" s="110">
        <v>650</v>
      </c>
      <c r="U171" s="110">
        <v>750</v>
      </c>
      <c r="V171" s="110">
        <v>697</v>
      </c>
      <c r="W171" s="110">
        <v>0.81699999999999995</v>
      </c>
      <c r="X171" s="110">
        <v>621</v>
      </c>
      <c r="Y171" s="110">
        <v>0.82499999999999996</v>
      </c>
      <c r="Z171" s="110">
        <v>650</v>
      </c>
      <c r="AA171" s="110">
        <v>500</v>
      </c>
      <c r="AB171" s="110">
        <v>722</v>
      </c>
      <c r="AC171" s="110">
        <v>0.7</v>
      </c>
      <c r="AD171" s="110">
        <v>621</v>
      </c>
      <c r="AE171" s="110">
        <v>0.72599999999999998</v>
      </c>
      <c r="AF171" s="110">
        <v>650</v>
      </c>
      <c r="AM171" s="113">
        <f t="shared" si="117"/>
        <v>2600</v>
      </c>
      <c r="AN171" s="113">
        <f t="shared" si="118"/>
        <v>120900000</v>
      </c>
      <c r="AO171" s="113">
        <f t="shared" si="119"/>
        <v>1000</v>
      </c>
      <c r="AP171" s="113">
        <f t="shared" si="120"/>
        <v>775</v>
      </c>
      <c r="AQ171" s="113">
        <f t="shared" ref="AQ171:AQ198" si="132">AVERAGE(AH171,AB171,V171,P171,J171)</f>
        <v>680.5</v>
      </c>
      <c r="AR171" s="114">
        <f t="shared" ref="AR171:AR198" si="133">(K171*N171+Q171*T171+W171*Z171+AC171*AF171+AI171*AL171)/AM171</f>
        <v>0.7932499999999999</v>
      </c>
      <c r="AS171" s="113">
        <f t="shared" ref="AS171:AS198" si="134">AVERAGE(AJ171,AD171,X171,R171,L171)</f>
        <v>621.25</v>
      </c>
      <c r="AT171" s="114">
        <f t="shared" ref="AT171:AT198" si="135">AVERAGE(AK171,AE171,Y171,S171,M171)</f>
        <v>0.80199999999999994</v>
      </c>
      <c r="AU171" s="114">
        <v>0.95699999999999996</v>
      </c>
      <c r="AV171" s="114">
        <f t="shared" ref="AV171:AV198" si="136">((AP171*AQ171/AR171))*AM171*0.746/(3956*D171)</f>
        <v>1303.8740293878743</v>
      </c>
      <c r="AW171" s="114">
        <f t="shared" ref="AW171:AW198" si="137">((AP171*AS171/(AT171*AU171)))*AM171*0.746/(3956*D171)</f>
        <v>1230.2622044963875</v>
      </c>
      <c r="AX171" s="114">
        <f t="shared" ref="AX171:AX198" si="138">AV171-AW171</f>
        <v>73.611824891486776</v>
      </c>
      <c r="AY171" s="113">
        <f t="shared" ref="AY171:AY198" si="139">((AP171*AQ171/AR171)-(AP171*AS171/(AT171*AU171)))*AM171*0.746/3956</f>
        <v>18402.956222871726</v>
      </c>
      <c r="AZ171" s="113">
        <f t="shared" si="130"/>
        <v>73.611824891486904</v>
      </c>
      <c r="BA171" s="116">
        <f t="shared" si="129"/>
        <v>7.078060085719895</v>
      </c>
      <c r="BB171" s="114">
        <f t="shared" si="131"/>
        <v>2.8312240342879581E-2</v>
      </c>
      <c r="BD171" s="196"/>
      <c r="BE171" s="196"/>
    </row>
    <row r="172" spans="1:57" s="110" customFormat="1" x14ac:dyDescent="0.25">
      <c r="A172" s="118" t="s">
        <v>185</v>
      </c>
      <c r="B172" s="118" t="s">
        <v>102</v>
      </c>
      <c r="C172" s="111">
        <v>1</v>
      </c>
      <c r="D172" s="111">
        <v>250</v>
      </c>
      <c r="E172" s="111">
        <v>1325</v>
      </c>
      <c r="F172" s="112">
        <v>550</v>
      </c>
      <c r="G172" s="112">
        <v>800</v>
      </c>
      <c r="H172" s="111">
        <v>250</v>
      </c>
      <c r="I172" s="110">
        <v>1325</v>
      </c>
      <c r="J172" s="110">
        <v>573</v>
      </c>
      <c r="K172" s="110">
        <v>0.82899999999999996</v>
      </c>
      <c r="L172" s="110">
        <v>552</v>
      </c>
      <c r="M172" s="110">
        <v>0.82399999999999995</v>
      </c>
      <c r="N172" s="110">
        <v>650</v>
      </c>
      <c r="O172" s="110">
        <v>1125</v>
      </c>
      <c r="P172" s="110">
        <v>649</v>
      </c>
      <c r="Q172" s="110">
        <v>0.85199999999999998</v>
      </c>
      <c r="R172" s="110">
        <v>551</v>
      </c>
      <c r="S172" s="110">
        <v>0.85199999999999998</v>
      </c>
      <c r="T172" s="110">
        <v>650</v>
      </c>
      <c r="U172" s="110">
        <v>995</v>
      </c>
      <c r="V172" s="110">
        <v>686</v>
      </c>
      <c r="W172" s="110">
        <v>0.83099999999999996</v>
      </c>
      <c r="X172" s="110">
        <v>551</v>
      </c>
      <c r="Y172" s="110">
        <v>0.84899999999999998</v>
      </c>
      <c r="Z172" s="110">
        <v>650</v>
      </c>
      <c r="AA172" s="110">
        <v>660</v>
      </c>
      <c r="AB172" s="110">
        <v>743</v>
      </c>
      <c r="AC172" s="110">
        <v>0.66600000000000004</v>
      </c>
      <c r="AD172" s="110">
        <v>550</v>
      </c>
      <c r="AE172" s="110">
        <v>0.73</v>
      </c>
      <c r="AF172" s="110">
        <v>650</v>
      </c>
      <c r="AM172" s="113">
        <f t="shared" si="117"/>
        <v>2600</v>
      </c>
      <c r="AN172" s="113">
        <f t="shared" si="118"/>
        <v>160095000</v>
      </c>
      <c r="AO172" s="113">
        <f t="shared" si="119"/>
        <v>1325</v>
      </c>
      <c r="AP172" s="113">
        <f t="shared" si="120"/>
        <v>1026.25</v>
      </c>
      <c r="AQ172" s="113">
        <f t="shared" si="132"/>
        <v>662.75</v>
      </c>
      <c r="AR172" s="114">
        <f t="shared" si="133"/>
        <v>0.7945000000000001</v>
      </c>
      <c r="AS172" s="113">
        <f t="shared" si="134"/>
        <v>551</v>
      </c>
      <c r="AT172" s="114">
        <f t="shared" si="135"/>
        <v>0.81374999999999997</v>
      </c>
      <c r="AU172" s="114">
        <v>0.95125000000000004</v>
      </c>
      <c r="AV172" s="114">
        <f t="shared" si="136"/>
        <v>1678.9002308909646</v>
      </c>
      <c r="AW172" s="114">
        <f t="shared" si="137"/>
        <v>1432.6331015095986</v>
      </c>
      <c r="AX172" s="114">
        <f t="shared" si="138"/>
        <v>246.26712938136598</v>
      </c>
      <c r="AY172" s="113">
        <f t="shared" si="139"/>
        <v>61566.782345341548</v>
      </c>
      <c r="AZ172" s="113">
        <f t="shared" si="130"/>
        <v>246.2671293813662</v>
      </c>
      <c r="BA172" s="116">
        <f t="shared" si="129"/>
        <v>23.679531671285211</v>
      </c>
      <c r="BB172" s="114">
        <f t="shared" si="131"/>
        <v>9.4718126685140847E-2</v>
      </c>
      <c r="BD172" s="196"/>
      <c r="BE172" s="196"/>
    </row>
    <row r="173" spans="1:57" s="110" customFormat="1" x14ac:dyDescent="0.25">
      <c r="A173" s="110" t="s">
        <v>186</v>
      </c>
      <c r="B173" s="110" t="s">
        <v>187</v>
      </c>
      <c r="C173" s="111">
        <v>1</v>
      </c>
      <c r="D173" s="111">
        <v>250</v>
      </c>
      <c r="E173" s="111">
        <v>2100</v>
      </c>
      <c r="F173" s="111">
        <v>205</v>
      </c>
      <c r="G173" s="111">
        <v>629</v>
      </c>
      <c r="H173" s="111">
        <v>424</v>
      </c>
      <c r="I173" s="110">
        <v>2100</v>
      </c>
      <c r="J173" s="110">
        <v>386</v>
      </c>
      <c r="K173" s="110">
        <v>0.84599999999999997</v>
      </c>
      <c r="L173" s="110">
        <v>385</v>
      </c>
      <c r="M173" s="110">
        <v>0.84599999999999997</v>
      </c>
      <c r="N173" s="110">
        <v>650</v>
      </c>
      <c r="O173" s="110">
        <v>1800</v>
      </c>
      <c r="P173" s="110">
        <v>432</v>
      </c>
      <c r="Q173" s="110">
        <v>0.81899999999999995</v>
      </c>
      <c r="R173" s="110">
        <v>431</v>
      </c>
      <c r="S173" s="110">
        <v>0.81899999999999995</v>
      </c>
      <c r="T173" s="110">
        <v>1000</v>
      </c>
      <c r="U173" s="110">
        <v>1550</v>
      </c>
      <c r="V173" s="110">
        <v>473</v>
      </c>
      <c r="W173" s="110">
        <v>0.76500000000000001</v>
      </c>
      <c r="X173" s="110">
        <v>395</v>
      </c>
      <c r="Y173" s="110">
        <v>0.79300000000000004</v>
      </c>
      <c r="Z173" s="110">
        <v>500</v>
      </c>
      <c r="AA173" s="110">
        <v>1300</v>
      </c>
      <c r="AB173" s="110">
        <v>513</v>
      </c>
      <c r="AC173" s="110">
        <v>0.68799999999999994</v>
      </c>
      <c r="AD173" s="110">
        <v>364</v>
      </c>
      <c r="AE173" s="110">
        <v>0.751</v>
      </c>
      <c r="AF173" s="110">
        <v>500</v>
      </c>
      <c r="AM173" s="113">
        <f t="shared" si="117"/>
        <v>2650</v>
      </c>
      <c r="AN173" s="113">
        <f t="shared" si="118"/>
        <v>275400000</v>
      </c>
      <c r="AO173" s="113">
        <f t="shared" si="119"/>
        <v>2100</v>
      </c>
      <c r="AP173" s="113">
        <f t="shared" si="120"/>
        <v>1732.0754716981132</v>
      </c>
      <c r="AQ173" s="113">
        <f t="shared" si="132"/>
        <v>451</v>
      </c>
      <c r="AR173" s="114">
        <f t="shared" si="133"/>
        <v>0.79071698113207556</v>
      </c>
      <c r="AS173" s="113">
        <f t="shared" si="134"/>
        <v>393.75</v>
      </c>
      <c r="AT173" s="114">
        <f t="shared" si="135"/>
        <v>0.80225000000000002</v>
      </c>
      <c r="AU173" s="115">
        <v>0.95633962264150951</v>
      </c>
      <c r="AV173" s="114">
        <f t="shared" si="136"/>
        <v>1974.7435211976194</v>
      </c>
      <c r="AW173" s="114">
        <f t="shared" si="137"/>
        <v>1776.862872140232</v>
      </c>
      <c r="AX173" s="114">
        <f t="shared" si="138"/>
        <v>197.88064905738747</v>
      </c>
      <c r="AY173" s="113">
        <f t="shared" si="139"/>
        <v>49470.162264346829</v>
      </c>
      <c r="AZ173" s="113">
        <f t="shared" si="130"/>
        <v>197.8806490573873</v>
      </c>
      <c r="BA173" s="116">
        <f t="shared" si="129"/>
        <v>18.667985760130879</v>
      </c>
      <c r="BB173" s="114">
        <f t="shared" si="131"/>
        <v>7.467194304052352E-2</v>
      </c>
      <c r="BD173" s="196"/>
      <c r="BE173" s="196"/>
    </row>
    <row r="174" spans="1:57" s="110" customFormat="1" x14ac:dyDescent="0.25">
      <c r="A174" s="110" t="s">
        <v>188</v>
      </c>
      <c r="B174" s="110" t="s">
        <v>102</v>
      </c>
      <c r="C174" s="111">
        <v>1</v>
      </c>
      <c r="D174" s="111">
        <v>250</v>
      </c>
      <c r="E174" s="111">
        <v>423</v>
      </c>
      <c r="F174" s="112">
        <v>668</v>
      </c>
      <c r="G174" s="112">
        <v>857</v>
      </c>
      <c r="H174" s="111">
        <v>189</v>
      </c>
      <c r="I174" s="110">
        <v>200</v>
      </c>
      <c r="J174" s="110">
        <v>841</v>
      </c>
      <c r="K174" s="110">
        <v>0.26</v>
      </c>
      <c r="L174" s="110">
        <v>704</v>
      </c>
      <c r="M174" s="110">
        <v>0.28199999999999997</v>
      </c>
      <c r="N174" s="110">
        <v>1969</v>
      </c>
      <c r="O174" s="110">
        <v>523</v>
      </c>
      <c r="P174" s="110">
        <v>815</v>
      </c>
      <c r="Q174" s="110">
        <v>0.58899999999999997</v>
      </c>
      <c r="R174" s="110">
        <v>809</v>
      </c>
      <c r="S174" s="110">
        <v>0.59</v>
      </c>
      <c r="T174" s="110">
        <v>1313</v>
      </c>
      <c r="AM174" s="113">
        <f t="shared" si="117"/>
        <v>3282</v>
      </c>
      <c r="AN174" s="113">
        <f t="shared" si="118"/>
        <v>64829940</v>
      </c>
      <c r="AO174" s="113">
        <f t="shared" si="119"/>
        <v>523</v>
      </c>
      <c r="AP174" s="113">
        <f t="shared" si="120"/>
        <v>329.21968312004873</v>
      </c>
      <c r="AQ174" s="113">
        <f t="shared" si="132"/>
        <v>828</v>
      </c>
      <c r="AR174" s="114">
        <f t="shared" si="133"/>
        <v>0.39162004875076173</v>
      </c>
      <c r="AS174" s="113">
        <f t="shared" si="134"/>
        <v>756.5</v>
      </c>
      <c r="AT174" s="114">
        <f t="shared" si="135"/>
        <v>0.43599999999999994</v>
      </c>
      <c r="AU174" s="115">
        <v>0.96040067032297372</v>
      </c>
      <c r="AV174" s="114">
        <f t="shared" si="136"/>
        <v>1723.1866636092125</v>
      </c>
      <c r="AW174" s="114">
        <f t="shared" si="137"/>
        <v>1472.4375821315089</v>
      </c>
      <c r="AX174" s="114">
        <f t="shared" si="138"/>
        <v>250.74908147770361</v>
      </c>
      <c r="AY174" s="113">
        <f t="shared" si="139"/>
        <v>62687.270369425903</v>
      </c>
      <c r="AZ174" s="113">
        <f t="shared" si="130"/>
        <v>250.74908147770361</v>
      </c>
      <c r="BA174" s="116">
        <f t="shared" si="129"/>
        <v>19.100326133280287</v>
      </c>
      <c r="BB174" s="114">
        <f t="shared" si="131"/>
        <v>7.6401304533121148E-2</v>
      </c>
      <c r="BD174" s="196"/>
      <c r="BE174" s="196"/>
    </row>
    <row r="175" spans="1:57" s="119" customFormat="1" x14ac:dyDescent="0.25">
      <c r="A175" s="110" t="s">
        <v>189</v>
      </c>
      <c r="B175" s="110" t="s">
        <v>190</v>
      </c>
      <c r="C175" s="111">
        <v>1</v>
      </c>
      <c r="D175" s="111">
        <v>250</v>
      </c>
      <c r="E175" s="111">
        <v>1450</v>
      </c>
      <c r="F175" s="112">
        <v>345</v>
      </c>
      <c r="G175" s="112">
        <v>728</v>
      </c>
      <c r="H175" s="111"/>
      <c r="I175" s="110">
        <v>1450</v>
      </c>
      <c r="J175" s="110">
        <v>488</v>
      </c>
      <c r="K175" s="110">
        <v>0.79700000000000004</v>
      </c>
      <c r="L175" s="110">
        <v>359</v>
      </c>
      <c r="M175" s="110">
        <v>0.76800000000000002</v>
      </c>
      <c r="N175" s="110">
        <v>3375</v>
      </c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0"/>
      <c r="AB175" s="110"/>
      <c r="AC175" s="110"/>
      <c r="AD175" s="110"/>
      <c r="AE175" s="110"/>
      <c r="AF175" s="110"/>
      <c r="AG175" s="110"/>
      <c r="AH175" s="110"/>
      <c r="AI175" s="110"/>
      <c r="AJ175" s="110"/>
      <c r="AK175" s="110"/>
      <c r="AL175" s="110"/>
      <c r="AM175" s="113">
        <f t="shared" si="117"/>
        <v>3375</v>
      </c>
      <c r="AN175" s="113">
        <f t="shared" si="118"/>
        <v>293625000</v>
      </c>
      <c r="AO175" s="113">
        <f t="shared" si="119"/>
        <v>1450</v>
      </c>
      <c r="AP175" s="113">
        <f t="shared" si="120"/>
        <v>1450</v>
      </c>
      <c r="AQ175" s="113">
        <f t="shared" si="132"/>
        <v>488</v>
      </c>
      <c r="AR175" s="114">
        <f t="shared" si="133"/>
        <v>0.79700000000000004</v>
      </c>
      <c r="AS175" s="113">
        <f t="shared" si="134"/>
        <v>359</v>
      </c>
      <c r="AT175" s="114">
        <f t="shared" si="135"/>
        <v>0.76800000000000002</v>
      </c>
      <c r="AU175" s="114">
        <v>0.95499999999999996</v>
      </c>
      <c r="AV175" s="114">
        <f t="shared" si="136"/>
        <v>2260.1945110138754</v>
      </c>
      <c r="AW175" s="114">
        <f t="shared" si="137"/>
        <v>1806.8170172122404</v>
      </c>
      <c r="AX175" s="114">
        <f t="shared" si="138"/>
        <v>453.37749380163496</v>
      </c>
      <c r="AY175" s="113">
        <f t="shared" si="139"/>
        <v>113344.37345040872</v>
      </c>
      <c r="AZ175" s="113">
        <f t="shared" si="130"/>
        <v>453.3774938016349</v>
      </c>
      <c r="BA175" s="116">
        <f t="shared" si="129"/>
        <v>33.58351805938036</v>
      </c>
      <c r="BB175" s="114">
        <f t="shared" si="131"/>
        <v>0.13433407223752145</v>
      </c>
      <c r="BD175" s="196"/>
      <c r="BE175" s="196"/>
    </row>
    <row r="176" spans="1:57" s="111" customFormat="1" x14ac:dyDescent="0.25">
      <c r="A176" s="110" t="s">
        <v>191</v>
      </c>
      <c r="B176" s="110" t="s">
        <v>192</v>
      </c>
      <c r="C176" s="111">
        <v>1</v>
      </c>
      <c r="D176" s="111">
        <v>250</v>
      </c>
      <c r="E176" s="111">
        <v>2000</v>
      </c>
      <c r="F176" s="112">
        <v>474</v>
      </c>
      <c r="G176" s="112">
        <v>621</v>
      </c>
      <c r="I176" s="110">
        <v>2000</v>
      </c>
      <c r="J176" s="110">
        <v>386</v>
      </c>
      <c r="K176" s="110">
        <v>0.81499999999999995</v>
      </c>
      <c r="L176" s="110">
        <v>370</v>
      </c>
      <c r="M176" s="110">
        <v>0.81100000000000005</v>
      </c>
      <c r="N176" s="110">
        <v>1360</v>
      </c>
      <c r="O176" s="110">
        <v>1200</v>
      </c>
      <c r="P176" s="110">
        <v>500</v>
      </c>
      <c r="Q176" s="110">
        <v>0.77900000000000003</v>
      </c>
      <c r="R176" s="110">
        <v>474</v>
      </c>
      <c r="S176" s="110">
        <v>0.78700000000000003</v>
      </c>
      <c r="T176" s="110">
        <v>1700</v>
      </c>
      <c r="U176" s="110">
        <v>1200</v>
      </c>
      <c r="V176" s="110">
        <v>500</v>
      </c>
      <c r="W176" s="110">
        <v>0.77900000000000003</v>
      </c>
      <c r="X176" s="110">
        <v>474</v>
      </c>
      <c r="Y176" s="110">
        <v>0.78700000000000003</v>
      </c>
      <c r="Z176" s="110">
        <v>1500</v>
      </c>
      <c r="AA176" s="110">
        <v>600</v>
      </c>
      <c r="AB176" s="110">
        <v>551</v>
      </c>
      <c r="AC176" s="110">
        <v>0.51400000000000001</v>
      </c>
      <c r="AD176" s="110">
        <v>474</v>
      </c>
      <c r="AE176" s="110">
        <v>0.54200000000000004</v>
      </c>
      <c r="AF176" s="110">
        <v>900</v>
      </c>
      <c r="AG176" s="110"/>
      <c r="AH176" s="110"/>
      <c r="AI176" s="110"/>
      <c r="AJ176" s="110"/>
      <c r="AK176" s="110"/>
      <c r="AL176" s="110"/>
      <c r="AM176" s="113">
        <f t="shared" si="117"/>
        <v>5460</v>
      </c>
      <c r="AN176" s="113">
        <f t="shared" si="118"/>
        <v>426000000</v>
      </c>
      <c r="AO176" s="113">
        <f t="shared" si="119"/>
        <v>2000</v>
      </c>
      <c r="AP176" s="113">
        <f t="shared" si="120"/>
        <v>1300.3663003663003</v>
      </c>
      <c r="AQ176" s="113">
        <f t="shared" si="132"/>
        <v>484.25</v>
      </c>
      <c r="AR176" s="114">
        <f t="shared" si="133"/>
        <v>0.74428571428571422</v>
      </c>
      <c r="AS176" s="113">
        <f t="shared" si="134"/>
        <v>448</v>
      </c>
      <c r="AT176" s="114">
        <f t="shared" si="135"/>
        <v>0.73175000000000001</v>
      </c>
      <c r="AU176" s="114">
        <v>0.95499999999999996</v>
      </c>
      <c r="AV176" s="114">
        <f t="shared" si="136"/>
        <v>3484.4226704886182</v>
      </c>
      <c r="AW176" s="114">
        <f t="shared" si="137"/>
        <v>3433.3082405830023</v>
      </c>
      <c r="AX176" s="114">
        <f t="shared" si="138"/>
        <v>51.114429905615907</v>
      </c>
      <c r="AY176" s="113">
        <f t="shared" si="139"/>
        <v>12778.607476404006</v>
      </c>
      <c r="AZ176" s="113">
        <f t="shared" si="130"/>
        <v>51.114429905616021</v>
      </c>
      <c r="BA176" s="116">
        <f t="shared" si="129"/>
        <v>2.3404042997076933</v>
      </c>
      <c r="BB176" s="114">
        <f t="shared" si="131"/>
        <v>9.3616171988307722E-3</v>
      </c>
      <c r="BC176" s="120"/>
      <c r="BD176" s="196"/>
      <c r="BE176" s="196"/>
    </row>
    <row r="177" spans="1:58" s="42" customFormat="1" x14ac:dyDescent="0.25">
      <c r="A177" s="41" t="s">
        <v>174</v>
      </c>
      <c r="B177" s="41" t="s">
        <v>136</v>
      </c>
      <c r="C177" s="42">
        <v>1</v>
      </c>
      <c r="D177" s="42">
        <v>300</v>
      </c>
      <c r="E177" s="42">
        <v>3157</v>
      </c>
      <c r="F177" s="47">
        <v>200</v>
      </c>
      <c r="G177" s="47">
        <v>496</v>
      </c>
      <c r="I177" s="43">
        <v>3006</v>
      </c>
      <c r="J177" s="43">
        <v>220</v>
      </c>
      <c r="K177" s="43">
        <v>0.81200000000000006</v>
      </c>
      <c r="L177" s="43">
        <v>200</v>
      </c>
      <c r="M177" s="43">
        <v>0.80100000000000005</v>
      </c>
      <c r="N177" s="43">
        <v>560</v>
      </c>
      <c r="O177" s="43">
        <v>2070</v>
      </c>
      <c r="P177" s="43">
        <v>312</v>
      </c>
      <c r="Q177" s="43">
        <v>0.80200000000000005</v>
      </c>
      <c r="R177" s="43">
        <v>200</v>
      </c>
      <c r="S177" s="43">
        <v>0.83599999999999997</v>
      </c>
      <c r="T177" s="43">
        <v>48</v>
      </c>
      <c r="U177" s="43">
        <v>3743</v>
      </c>
      <c r="V177" s="43">
        <v>100</v>
      </c>
      <c r="W177" s="43">
        <v>0.63600000000000001</v>
      </c>
      <c r="X177" s="43">
        <v>100</v>
      </c>
      <c r="Y177" s="43">
        <v>0.63700000000000001</v>
      </c>
      <c r="Z177" s="43">
        <v>540</v>
      </c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4">
        <f t="shared" si="117"/>
        <v>1148</v>
      </c>
      <c r="AN177" s="44">
        <f t="shared" si="118"/>
        <v>228236400</v>
      </c>
      <c r="AO177" s="44">
        <f t="shared" si="119"/>
        <v>3743</v>
      </c>
      <c r="AP177" s="44">
        <f t="shared" si="120"/>
        <v>3313.5365853658536</v>
      </c>
      <c r="AQ177" s="44">
        <f t="shared" si="132"/>
        <v>210.66666666666666</v>
      </c>
      <c r="AR177" s="45">
        <f t="shared" si="133"/>
        <v>0.72879442508710801</v>
      </c>
      <c r="AS177" s="44">
        <f t="shared" si="134"/>
        <v>166.66666666666666</v>
      </c>
      <c r="AT177" s="45">
        <f t="shared" si="135"/>
        <v>0.75800000000000001</v>
      </c>
      <c r="AU177" s="48">
        <v>0.96002090592334499</v>
      </c>
      <c r="AV177" s="45">
        <f t="shared" si="136"/>
        <v>691.17135309849903</v>
      </c>
      <c r="AW177" s="45">
        <f t="shared" si="137"/>
        <v>547.63828455179987</v>
      </c>
      <c r="AX177" s="45">
        <f t="shared" si="138"/>
        <v>143.53306854669916</v>
      </c>
      <c r="AY177" s="44">
        <f t="shared" si="139"/>
        <v>43059.920564009721</v>
      </c>
      <c r="AZ177" s="44">
        <f t="shared" si="130"/>
        <v>143.53306854669907</v>
      </c>
      <c r="BA177" s="46">
        <f t="shared" si="129"/>
        <v>37.508641606280243</v>
      </c>
      <c r="BB177" s="45">
        <f t="shared" si="131"/>
        <v>0.12502880535426747</v>
      </c>
      <c r="BC177" s="121"/>
      <c r="BD177" s="197">
        <f>SUM(AY177:AY199)/SUMPRODUCT(C177:D199)</f>
        <v>222.24415275593998</v>
      </c>
      <c r="BE177" s="197">
        <f>SUM(BA177:BA199)/SUMPRODUCT(C177:D199)</f>
        <v>7.8464269265644385E-2</v>
      </c>
    </row>
    <row r="178" spans="1:58" s="43" customFormat="1" x14ac:dyDescent="0.25">
      <c r="A178" s="43" t="s">
        <v>193</v>
      </c>
      <c r="B178" s="43" t="s">
        <v>194</v>
      </c>
      <c r="C178" s="42">
        <v>1</v>
      </c>
      <c r="D178" s="42">
        <v>300</v>
      </c>
      <c r="E178" s="42">
        <v>2600</v>
      </c>
      <c r="F178" s="42">
        <v>325</v>
      </c>
      <c r="G178" s="42">
        <v>546</v>
      </c>
      <c r="H178" s="42">
        <v>221</v>
      </c>
      <c r="I178" s="43">
        <v>2214</v>
      </c>
      <c r="J178" s="43">
        <v>424</v>
      </c>
      <c r="K178" s="43">
        <v>0.81299999999999994</v>
      </c>
      <c r="L178" s="43">
        <v>373</v>
      </c>
      <c r="M178" s="43">
        <v>0.82499999999999996</v>
      </c>
      <c r="N178" s="43">
        <v>560</v>
      </c>
      <c r="O178" s="43">
        <v>2330</v>
      </c>
      <c r="P178" s="43">
        <v>415</v>
      </c>
      <c r="Q178" s="43">
        <v>0.82499999999999996</v>
      </c>
      <c r="R178" s="43">
        <v>378</v>
      </c>
      <c r="S178" s="43">
        <v>0.83099999999999996</v>
      </c>
      <c r="T178" s="43">
        <v>580</v>
      </c>
      <c r="U178" s="43">
        <v>2590</v>
      </c>
      <c r="V178" s="43">
        <v>391</v>
      </c>
      <c r="W178" s="43">
        <v>0.83699999999999997</v>
      </c>
      <c r="X178" s="43">
        <v>390</v>
      </c>
      <c r="Y178" s="43">
        <v>0.83699999999999997</v>
      </c>
      <c r="Z178" s="43">
        <v>50</v>
      </c>
      <c r="AM178" s="44">
        <f t="shared" si="117"/>
        <v>1190</v>
      </c>
      <c r="AN178" s="44">
        <f t="shared" si="118"/>
        <v>163244400</v>
      </c>
      <c r="AO178" s="44">
        <f t="shared" si="119"/>
        <v>2590</v>
      </c>
      <c r="AP178" s="44">
        <f t="shared" si="120"/>
        <v>2286.3361344537816</v>
      </c>
      <c r="AQ178" s="44">
        <f t="shared" si="132"/>
        <v>410</v>
      </c>
      <c r="AR178" s="45">
        <f t="shared" si="133"/>
        <v>0.81985714285714284</v>
      </c>
      <c r="AS178" s="44">
        <f t="shared" si="134"/>
        <v>380.33333333333331</v>
      </c>
      <c r="AT178" s="45">
        <f t="shared" si="135"/>
        <v>0.83099999999999996</v>
      </c>
      <c r="AU178" s="45">
        <v>0.95699999999999996</v>
      </c>
      <c r="AV178" s="45">
        <f t="shared" si="136"/>
        <v>855.25181286419888</v>
      </c>
      <c r="AW178" s="45">
        <f t="shared" si="137"/>
        <v>817.8991551311226</v>
      </c>
      <c r="AX178" s="45">
        <f t="shared" si="138"/>
        <v>37.352657733076285</v>
      </c>
      <c r="AY178" s="44">
        <f t="shared" si="139"/>
        <v>11205.797319922856</v>
      </c>
      <c r="AZ178" s="44">
        <f t="shared" si="130"/>
        <v>37.352657733076185</v>
      </c>
      <c r="BA178" s="46">
        <f t="shared" si="129"/>
        <v>9.4166364032965184</v>
      </c>
      <c r="BB178" s="45">
        <f t="shared" si="131"/>
        <v>3.1388788010988392E-2</v>
      </c>
      <c r="BD178" s="197"/>
      <c r="BE178" s="197"/>
    </row>
    <row r="179" spans="1:58" s="43" customFormat="1" x14ac:dyDescent="0.25">
      <c r="A179" s="41" t="s">
        <v>195</v>
      </c>
      <c r="B179" s="43" t="s">
        <v>196</v>
      </c>
      <c r="C179" s="42">
        <v>1</v>
      </c>
      <c r="D179" s="42">
        <v>300</v>
      </c>
      <c r="E179" s="42">
        <v>2000</v>
      </c>
      <c r="F179" s="47">
        <v>345</v>
      </c>
      <c r="G179" s="47">
        <v>754</v>
      </c>
      <c r="H179" s="42"/>
      <c r="I179" s="43">
        <v>2000</v>
      </c>
      <c r="J179" s="43">
        <v>477</v>
      </c>
      <c r="K179" s="43">
        <v>0.84299999999999997</v>
      </c>
      <c r="L179" s="43">
        <v>441</v>
      </c>
      <c r="M179" s="43">
        <v>0.84399999999999997</v>
      </c>
      <c r="N179" s="43">
        <v>1500</v>
      </c>
      <c r="AM179" s="44">
        <f t="shared" si="117"/>
        <v>1500</v>
      </c>
      <c r="AN179" s="44">
        <f t="shared" si="118"/>
        <v>180000000</v>
      </c>
      <c r="AO179" s="44">
        <f t="shared" si="119"/>
        <v>2000</v>
      </c>
      <c r="AP179" s="44">
        <f t="shared" si="120"/>
        <v>2000</v>
      </c>
      <c r="AQ179" s="44">
        <f t="shared" si="132"/>
        <v>477</v>
      </c>
      <c r="AR179" s="45">
        <f t="shared" si="133"/>
        <v>0.84299999999999997</v>
      </c>
      <c r="AS179" s="44">
        <f t="shared" si="134"/>
        <v>441</v>
      </c>
      <c r="AT179" s="45">
        <f t="shared" si="135"/>
        <v>0.84399999999999997</v>
      </c>
      <c r="AU179" s="45">
        <v>0.95499999999999996</v>
      </c>
      <c r="AV179" s="45">
        <f t="shared" si="136"/>
        <v>1067.0219388360938</v>
      </c>
      <c r="AW179" s="45">
        <f t="shared" si="137"/>
        <v>1031.7519914413506</v>
      </c>
      <c r="AX179" s="45">
        <f t="shared" si="138"/>
        <v>35.269947394743212</v>
      </c>
      <c r="AY179" s="44">
        <f t="shared" si="139"/>
        <v>10580.984218423047</v>
      </c>
      <c r="AZ179" s="44">
        <f t="shared" si="130"/>
        <v>35.26994739474349</v>
      </c>
      <c r="BA179" s="46">
        <f t="shared" si="129"/>
        <v>7.0539894789486981</v>
      </c>
      <c r="BB179" s="45">
        <f t="shared" si="131"/>
        <v>2.3513298263162327E-2</v>
      </c>
      <c r="BD179" s="197"/>
      <c r="BE179" s="197"/>
    </row>
    <row r="180" spans="1:58" s="43" customFormat="1" x14ac:dyDescent="0.25">
      <c r="A180" s="41" t="s">
        <v>197</v>
      </c>
      <c r="B180" s="43" t="s">
        <v>87</v>
      </c>
      <c r="C180" s="42">
        <v>1</v>
      </c>
      <c r="D180" s="42">
        <v>300</v>
      </c>
      <c r="E180" s="42">
        <v>1700</v>
      </c>
      <c r="F180" s="47">
        <v>445</v>
      </c>
      <c r="G180" s="47">
        <v>780</v>
      </c>
      <c r="H180" s="42"/>
      <c r="I180" s="43">
        <v>1655</v>
      </c>
      <c r="J180" s="43">
        <v>567</v>
      </c>
      <c r="K180" s="43">
        <v>0.85499999999999998</v>
      </c>
      <c r="L180" s="43">
        <v>494</v>
      </c>
      <c r="M180" s="43">
        <v>0.85</v>
      </c>
      <c r="N180" s="43">
        <v>1600</v>
      </c>
      <c r="AM180" s="44">
        <f t="shared" si="117"/>
        <v>1600</v>
      </c>
      <c r="AN180" s="44">
        <f t="shared" si="118"/>
        <v>158880000</v>
      </c>
      <c r="AO180" s="44">
        <f t="shared" si="119"/>
        <v>1655</v>
      </c>
      <c r="AP180" s="44">
        <f t="shared" si="120"/>
        <v>1655</v>
      </c>
      <c r="AQ180" s="44">
        <f t="shared" si="132"/>
        <v>567</v>
      </c>
      <c r="AR180" s="45">
        <f t="shared" si="133"/>
        <v>0.85499999999999998</v>
      </c>
      <c r="AS180" s="44">
        <f t="shared" si="134"/>
        <v>494</v>
      </c>
      <c r="AT180" s="45">
        <f t="shared" si="135"/>
        <v>0.85</v>
      </c>
      <c r="AU180" s="45">
        <v>0.95599999999999996</v>
      </c>
      <c r="AV180" s="45">
        <f t="shared" si="136"/>
        <v>1103.814804959821</v>
      </c>
      <c r="AW180" s="45">
        <f t="shared" si="137"/>
        <v>1011.8809073904342</v>
      </c>
      <c r="AX180" s="45">
        <f t="shared" si="138"/>
        <v>91.933897569386772</v>
      </c>
      <c r="AY180" s="44">
        <f t="shared" si="139"/>
        <v>27580.169270816103</v>
      </c>
      <c r="AZ180" s="44">
        <f t="shared" si="130"/>
        <v>91.933897569387014</v>
      </c>
      <c r="BA180" s="46">
        <f t="shared" si="129"/>
        <v>17.237605794260062</v>
      </c>
      <c r="BB180" s="45">
        <f t="shared" si="131"/>
        <v>5.7458685980866876E-2</v>
      </c>
      <c r="BD180" s="197"/>
      <c r="BE180" s="197"/>
    </row>
    <row r="181" spans="1:58" s="43" customFormat="1" x14ac:dyDescent="0.25">
      <c r="A181" s="41" t="s">
        <v>180</v>
      </c>
      <c r="B181" s="41" t="s">
        <v>181</v>
      </c>
      <c r="C181" s="42">
        <v>1</v>
      </c>
      <c r="D181" s="42">
        <v>300</v>
      </c>
      <c r="E181" s="42">
        <v>2400</v>
      </c>
      <c r="F181" s="42">
        <v>226</v>
      </c>
      <c r="G181" s="42">
        <v>624</v>
      </c>
      <c r="H181" s="42">
        <v>398</v>
      </c>
      <c r="I181" s="43">
        <v>2250</v>
      </c>
      <c r="J181" s="43">
        <v>469</v>
      </c>
      <c r="K181" s="43">
        <v>0.84099999999999997</v>
      </c>
      <c r="L181" s="43">
        <v>418</v>
      </c>
      <c r="M181" s="43">
        <v>0.83699999999999997</v>
      </c>
      <c r="N181" s="43">
        <v>2000</v>
      </c>
      <c r="AM181" s="44">
        <f t="shared" si="117"/>
        <v>2000</v>
      </c>
      <c r="AN181" s="44">
        <f t="shared" si="118"/>
        <v>270000000</v>
      </c>
      <c r="AO181" s="44">
        <f t="shared" si="119"/>
        <v>2250</v>
      </c>
      <c r="AP181" s="44">
        <f t="shared" si="120"/>
        <v>2250</v>
      </c>
      <c r="AQ181" s="44">
        <f t="shared" si="132"/>
        <v>469</v>
      </c>
      <c r="AR181" s="45">
        <f t="shared" si="133"/>
        <v>0.84099999999999997</v>
      </c>
      <c r="AS181" s="44">
        <f t="shared" si="134"/>
        <v>418</v>
      </c>
      <c r="AT181" s="45">
        <f t="shared" si="135"/>
        <v>0.83699999999999997</v>
      </c>
      <c r="AU181" s="45">
        <v>0.95699999999999996</v>
      </c>
      <c r="AV181" s="45">
        <f t="shared" si="136"/>
        <v>1577.4320137445313</v>
      </c>
      <c r="AW181" s="45">
        <f t="shared" si="137"/>
        <v>1476.0894954706525</v>
      </c>
      <c r="AX181" s="45">
        <f t="shared" si="138"/>
        <v>101.3425182738788</v>
      </c>
      <c r="AY181" s="44">
        <f t="shared" si="139"/>
        <v>30402.755482163542</v>
      </c>
      <c r="AZ181" s="44">
        <f t="shared" si="130"/>
        <v>101.34251827387847</v>
      </c>
      <c r="BA181" s="46">
        <f t="shared" si="129"/>
        <v>15.201377741081771</v>
      </c>
      <c r="BB181" s="45">
        <f t="shared" si="131"/>
        <v>5.0671259136939234E-2</v>
      </c>
      <c r="BD181" s="197"/>
      <c r="BE181" s="197"/>
    </row>
    <row r="182" spans="1:58" s="43" customFormat="1" x14ac:dyDescent="0.25">
      <c r="A182" s="41" t="s">
        <v>198</v>
      </c>
      <c r="B182" s="41" t="s">
        <v>194</v>
      </c>
      <c r="C182" s="42">
        <v>1</v>
      </c>
      <c r="D182" s="42">
        <v>300</v>
      </c>
      <c r="E182" s="42">
        <v>2888</v>
      </c>
      <c r="F182" s="42">
        <v>335</v>
      </c>
      <c r="G182" s="42">
        <v>489</v>
      </c>
      <c r="H182" s="42">
        <v>154</v>
      </c>
      <c r="I182" s="43">
        <v>2600</v>
      </c>
      <c r="J182" s="43">
        <v>361</v>
      </c>
      <c r="K182" s="43">
        <v>0.84</v>
      </c>
      <c r="L182" s="43">
        <v>335</v>
      </c>
      <c r="M182" s="43">
        <v>0.84399999999999997</v>
      </c>
      <c r="N182" s="43">
        <v>2000</v>
      </c>
      <c r="AM182" s="44">
        <f t="shared" si="117"/>
        <v>2000</v>
      </c>
      <c r="AN182" s="44">
        <f t="shared" si="118"/>
        <v>312000000</v>
      </c>
      <c r="AO182" s="44">
        <f t="shared" si="119"/>
        <v>2600</v>
      </c>
      <c r="AP182" s="44">
        <f t="shared" si="120"/>
        <v>2600</v>
      </c>
      <c r="AQ182" s="44">
        <f t="shared" si="132"/>
        <v>361</v>
      </c>
      <c r="AR182" s="45">
        <f t="shared" si="133"/>
        <v>0.84</v>
      </c>
      <c r="AS182" s="44">
        <f t="shared" si="134"/>
        <v>335</v>
      </c>
      <c r="AT182" s="45">
        <f t="shared" si="135"/>
        <v>0.84399999999999997</v>
      </c>
      <c r="AU182" s="45">
        <v>0.94899999999999995</v>
      </c>
      <c r="AV182" s="45">
        <f t="shared" si="136"/>
        <v>1404.7290031617636</v>
      </c>
      <c r="AW182" s="45">
        <f t="shared" si="137"/>
        <v>1367.1015680919206</v>
      </c>
      <c r="AX182" s="45">
        <f t="shared" si="138"/>
        <v>37.627435069842932</v>
      </c>
      <c r="AY182" s="44">
        <f t="shared" si="139"/>
        <v>11288.230520952873</v>
      </c>
      <c r="AZ182" s="44">
        <f t="shared" si="130"/>
        <v>37.62743506984291</v>
      </c>
      <c r="BA182" s="46">
        <f t="shared" si="129"/>
        <v>5.6441152604764362</v>
      </c>
      <c r="BB182" s="45">
        <f t="shared" si="131"/>
        <v>1.8813717534921455E-2</v>
      </c>
      <c r="BD182" s="197"/>
      <c r="BE182" s="197"/>
    </row>
    <row r="183" spans="1:58" s="43" customFormat="1" x14ac:dyDescent="0.25">
      <c r="A183" s="41" t="s">
        <v>198</v>
      </c>
      <c r="B183" s="41" t="s">
        <v>194</v>
      </c>
      <c r="C183" s="42">
        <v>1</v>
      </c>
      <c r="D183" s="42">
        <v>300</v>
      </c>
      <c r="E183" s="42">
        <v>2500</v>
      </c>
      <c r="F183" s="42">
        <v>401</v>
      </c>
      <c r="G183" s="42">
        <v>615</v>
      </c>
      <c r="H183" s="42">
        <v>214</v>
      </c>
      <c r="I183" s="43">
        <v>2300</v>
      </c>
      <c r="J183" s="43">
        <v>429</v>
      </c>
      <c r="K183" s="43">
        <v>0.83899999999999997</v>
      </c>
      <c r="L183" s="43">
        <v>401</v>
      </c>
      <c r="M183" s="43">
        <v>0.83899999999999997</v>
      </c>
      <c r="N183" s="43">
        <v>2000</v>
      </c>
      <c r="AM183" s="44">
        <f t="shared" si="117"/>
        <v>2000</v>
      </c>
      <c r="AN183" s="44">
        <f t="shared" si="118"/>
        <v>276000000</v>
      </c>
      <c r="AO183" s="44">
        <f t="shared" si="119"/>
        <v>2300</v>
      </c>
      <c r="AP183" s="44">
        <f t="shared" si="120"/>
        <v>2300</v>
      </c>
      <c r="AQ183" s="44">
        <f t="shared" si="132"/>
        <v>429</v>
      </c>
      <c r="AR183" s="45">
        <f t="shared" si="133"/>
        <v>0.83899999999999997</v>
      </c>
      <c r="AS183" s="44">
        <f t="shared" si="134"/>
        <v>401</v>
      </c>
      <c r="AT183" s="45">
        <f t="shared" si="135"/>
        <v>0.83899999999999997</v>
      </c>
      <c r="AU183" s="45">
        <v>0.96</v>
      </c>
      <c r="AV183" s="45">
        <f t="shared" si="136"/>
        <v>1478.4765917343459</v>
      </c>
      <c r="AW183" s="45">
        <f t="shared" si="137"/>
        <v>1439.5617552580438</v>
      </c>
      <c r="AX183" s="45">
        <f t="shared" si="138"/>
        <v>38.914836476302071</v>
      </c>
      <c r="AY183" s="44">
        <f t="shared" si="139"/>
        <v>11674.450942890624</v>
      </c>
      <c r="AZ183" s="44">
        <f t="shared" si="130"/>
        <v>38.914836476302078</v>
      </c>
      <c r="BA183" s="46">
        <f t="shared" si="129"/>
        <v>5.8372254714453122</v>
      </c>
      <c r="BB183" s="45">
        <f t="shared" si="131"/>
        <v>1.9457418238151041E-2</v>
      </c>
      <c r="BD183" s="197"/>
      <c r="BE183" s="197"/>
    </row>
    <row r="184" spans="1:58" s="43" customFormat="1" x14ac:dyDescent="0.25">
      <c r="A184" s="41" t="s">
        <v>199</v>
      </c>
      <c r="B184" s="41" t="s">
        <v>200</v>
      </c>
      <c r="C184" s="42">
        <v>1</v>
      </c>
      <c r="D184" s="42">
        <v>300</v>
      </c>
      <c r="E184" s="42">
        <v>3763</v>
      </c>
      <c r="F184" s="47">
        <v>334</v>
      </c>
      <c r="G184" s="47">
        <v>660</v>
      </c>
      <c r="H184" s="42"/>
      <c r="I184" s="43">
        <v>3763</v>
      </c>
      <c r="J184" s="43">
        <v>196</v>
      </c>
      <c r="K184" s="43">
        <v>0.71699999999999997</v>
      </c>
      <c r="L184" s="43">
        <v>196</v>
      </c>
      <c r="M184" s="43">
        <v>0.71699999999999997</v>
      </c>
      <c r="N184" s="43">
        <v>100</v>
      </c>
      <c r="O184" s="43">
        <v>1200</v>
      </c>
      <c r="P184" s="43">
        <v>506</v>
      </c>
      <c r="Q184" s="43">
        <v>0.54900000000000004</v>
      </c>
      <c r="R184" s="43">
        <v>238</v>
      </c>
      <c r="S184" s="43">
        <v>0.69899999999999995</v>
      </c>
      <c r="T184" s="43">
        <v>100</v>
      </c>
      <c r="U184" s="43">
        <v>3000</v>
      </c>
      <c r="V184" s="43">
        <v>335</v>
      </c>
      <c r="W184" s="43">
        <v>0.84599999999999997</v>
      </c>
      <c r="X184" s="43">
        <v>288</v>
      </c>
      <c r="Y184" s="43">
        <v>0.83499999999999996</v>
      </c>
      <c r="Z184" s="43">
        <v>100</v>
      </c>
      <c r="AA184" s="43">
        <v>2800</v>
      </c>
      <c r="AB184" s="43">
        <v>361</v>
      </c>
      <c r="AC184" s="43">
        <v>0.85199999999999998</v>
      </c>
      <c r="AD184" s="43">
        <v>334</v>
      </c>
      <c r="AE184" s="43">
        <v>0.85099999999999998</v>
      </c>
      <c r="AF184" s="43">
        <v>1700</v>
      </c>
      <c r="AM184" s="44">
        <f t="shared" si="117"/>
        <v>2000</v>
      </c>
      <c r="AN184" s="44">
        <f t="shared" si="118"/>
        <v>333378000</v>
      </c>
      <c r="AO184" s="44">
        <f t="shared" si="119"/>
        <v>3763</v>
      </c>
      <c r="AP184" s="44">
        <f t="shared" si="120"/>
        <v>2778.15</v>
      </c>
      <c r="AQ184" s="44">
        <f t="shared" si="132"/>
        <v>349.5</v>
      </c>
      <c r="AR184" s="45">
        <f t="shared" si="133"/>
        <v>0.82979999999999998</v>
      </c>
      <c r="AS184" s="44">
        <f t="shared" si="134"/>
        <v>264</v>
      </c>
      <c r="AT184" s="45">
        <f t="shared" si="135"/>
        <v>0.77549999999999997</v>
      </c>
      <c r="AU184" s="48">
        <v>0.95720000000000005</v>
      </c>
      <c r="AV184" s="45">
        <f t="shared" si="136"/>
        <v>1471.0272770906583</v>
      </c>
      <c r="AW184" s="45">
        <f t="shared" si="137"/>
        <v>1242.1281696711321</v>
      </c>
      <c r="AX184" s="45">
        <f t="shared" si="138"/>
        <v>228.89910741952622</v>
      </c>
      <c r="AY184" s="44">
        <f t="shared" si="139"/>
        <v>68669.732225857864</v>
      </c>
      <c r="AZ184" s="44">
        <f t="shared" si="130"/>
        <v>228.89910741952622</v>
      </c>
      <c r="BA184" s="46">
        <f t="shared" si="129"/>
        <v>34.334866112928935</v>
      </c>
      <c r="BB184" s="45">
        <f t="shared" si="131"/>
        <v>0.11444955370976312</v>
      </c>
      <c r="BD184" s="197"/>
      <c r="BE184" s="197"/>
    </row>
    <row r="185" spans="1:58" s="43" customFormat="1" x14ac:dyDescent="0.25">
      <c r="A185" s="41" t="s">
        <v>201</v>
      </c>
      <c r="B185" s="41" t="s">
        <v>87</v>
      </c>
      <c r="C185" s="42">
        <v>1</v>
      </c>
      <c r="D185" s="42">
        <v>300</v>
      </c>
      <c r="E185" s="42">
        <v>2880</v>
      </c>
      <c r="F185" s="47">
        <v>336</v>
      </c>
      <c r="G185" s="47">
        <v>720</v>
      </c>
      <c r="H185" s="42"/>
      <c r="I185" s="43">
        <v>2880</v>
      </c>
      <c r="J185" s="43">
        <v>337</v>
      </c>
      <c r="K185" s="43">
        <v>0.83199999999999996</v>
      </c>
      <c r="L185" s="43">
        <v>336</v>
      </c>
      <c r="M185" s="43">
        <v>0.83199999999999996</v>
      </c>
      <c r="N185" s="43">
        <v>700</v>
      </c>
      <c r="O185" s="43">
        <v>2550</v>
      </c>
      <c r="P185" s="43">
        <v>392</v>
      </c>
      <c r="Q185" s="43">
        <v>0.84399999999999997</v>
      </c>
      <c r="R185" s="43">
        <v>336</v>
      </c>
      <c r="S185" s="43">
        <v>0.84399999999999997</v>
      </c>
      <c r="T185" s="43">
        <v>700</v>
      </c>
      <c r="U185" s="43">
        <v>2200</v>
      </c>
      <c r="V185" s="43">
        <v>438</v>
      </c>
      <c r="W185" s="43">
        <v>0.81699999999999995</v>
      </c>
      <c r="X185" s="43">
        <v>336</v>
      </c>
      <c r="Y185" s="43">
        <v>0.83899999999999997</v>
      </c>
      <c r="Z185" s="43">
        <v>700</v>
      </c>
      <c r="AM185" s="44">
        <f t="shared" si="117"/>
        <v>2100</v>
      </c>
      <c r="AN185" s="44">
        <f t="shared" si="118"/>
        <v>320460000</v>
      </c>
      <c r="AO185" s="44">
        <f t="shared" si="119"/>
        <v>2880</v>
      </c>
      <c r="AP185" s="44">
        <f t="shared" si="120"/>
        <v>2543.3333333333335</v>
      </c>
      <c r="AQ185" s="44">
        <f t="shared" si="132"/>
        <v>389</v>
      </c>
      <c r="AR185" s="45">
        <f t="shared" si="133"/>
        <v>0.83099999999999996</v>
      </c>
      <c r="AS185" s="44">
        <f t="shared" si="134"/>
        <v>336</v>
      </c>
      <c r="AT185" s="45">
        <f t="shared" si="135"/>
        <v>0.83833333333333326</v>
      </c>
      <c r="AU185" s="48">
        <v>0.95533333333333326</v>
      </c>
      <c r="AV185" s="45">
        <f t="shared" si="136"/>
        <v>1571.5653516397988</v>
      </c>
      <c r="AW185" s="45">
        <f t="shared" si="137"/>
        <v>1408.4825772022618</v>
      </c>
      <c r="AX185" s="45">
        <f t="shared" si="138"/>
        <v>163.08277443753695</v>
      </c>
      <c r="AY185" s="44">
        <f t="shared" si="139"/>
        <v>48924.832331261176</v>
      </c>
      <c r="AZ185" s="44">
        <f t="shared" si="130"/>
        <v>163.08277443753724</v>
      </c>
      <c r="BA185" s="46">
        <f t="shared" si="129"/>
        <v>23.297539205362465</v>
      </c>
      <c r="BB185" s="45">
        <f t="shared" si="131"/>
        <v>7.7658464017874879E-2</v>
      </c>
      <c r="BD185" s="197"/>
      <c r="BE185" s="197"/>
    </row>
    <row r="186" spans="1:58" s="43" customFormat="1" x14ac:dyDescent="0.25">
      <c r="A186" s="41" t="s">
        <v>202</v>
      </c>
      <c r="B186" s="41" t="s">
        <v>87</v>
      </c>
      <c r="C186" s="42">
        <v>1</v>
      </c>
      <c r="D186" s="42">
        <v>300</v>
      </c>
      <c r="E186" s="42">
        <v>1800</v>
      </c>
      <c r="F186" s="42">
        <v>350</v>
      </c>
      <c r="G186" s="42">
        <v>428</v>
      </c>
      <c r="H186" s="42">
        <f>G186-F186</f>
        <v>78</v>
      </c>
      <c r="I186" s="42">
        <v>1350</v>
      </c>
      <c r="J186" s="42">
        <v>399</v>
      </c>
      <c r="K186" s="42">
        <v>0.71899999999999997</v>
      </c>
      <c r="L186" s="42">
        <v>356</v>
      </c>
      <c r="M186" s="42">
        <v>0.74299999999999999</v>
      </c>
      <c r="N186" s="42">
        <v>2500</v>
      </c>
      <c r="AM186" s="44">
        <f t="shared" si="117"/>
        <v>2500</v>
      </c>
      <c r="AN186" s="44">
        <f t="shared" si="118"/>
        <v>202500000</v>
      </c>
      <c r="AO186" s="44">
        <f t="shared" si="119"/>
        <v>1350</v>
      </c>
      <c r="AP186" s="44">
        <f t="shared" si="120"/>
        <v>1350</v>
      </c>
      <c r="AQ186" s="44">
        <f t="shared" si="132"/>
        <v>399</v>
      </c>
      <c r="AR186" s="45">
        <f t="shared" si="133"/>
        <v>0.71899999999999997</v>
      </c>
      <c r="AS186" s="44">
        <f t="shared" si="134"/>
        <v>356</v>
      </c>
      <c r="AT186" s="45">
        <f t="shared" si="135"/>
        <v>0.74299999999999999</v>
      </c>
      <c r="AU186" s="45">
        <v>0.95199999999999996</v>
      </c>
      <c r="AV186" s="45">
        <f t="shared" si="136"/>
        <v>1177.2781191155561</v>
      </c>
      <c r="AW186" s="45">
        <f t="shared" si="137"/>
        <v>1067.7247327396435</v>
      </c>
      <c r="AX186" s="45">
        <f t="shared" si="138"/>
        <v>109.55338637591262</v>
      </c>
      <c r="AY186" s="44">
        <f t="shared" si="139"/>
        <v>32866.015912773801</v>
      </c>
      <c r="AZ186" s="44">
        <f t="shared" si="130"/>
        <v>109.55338637591267</v>
      </c>
      <c r="BA186" s="46">
        <f t="shared" si="129"/>
        <v>13.14640636510952</v>
      </c>
      <c r="BB186" s="45">
        <f t="shared" si="131"/>
        <v>4.3821354550365066E-2</v>
      </c>
      <c r="BD186" s="197"/>
      <c r="BE186" s="197"/>
    </row>
    <row r="187" spans="1:58" s="43" customFormat="1" x14ac:dyDescent="0.25">
      <c r="A187" s="41" t="s">
        <v>203</v>
      </c>
      <c r="B187" s="41" t="s">
        <v>39</v>
      </c>
      <c r="C187" s="42">
        <v>1</v>
      </c>
      <c r="D187" s="42">
        <v>300</v>
      </c>
      <c r="E187" s="42">
        <v>1500</v>
      </c>
      <c r="F187" s="47">
        <v>470</v>
      </c>
      <c r="G187" s="47">
        <v>710</v>
      </c>
      <c r="H187" s="42"/>
      <c r="I187" s="43">
        <v>1500</v>
      </c>
      <c r="J187" s="43">
        <v>558</v>
      </c>
      <c r="K187" s="43">
        <v>0.82599999999999996</v>
      </c>
      <c r="L187" s="43">
        <v>470</v>
      </c>
      <c r="M187" s="43">
        <v>0.83099999999999996</v>
      </c>
      <c r="N187" s="43">
        <v>2500</v>
      </c>
      <c r="AM187" s="44">
        <f t="shared" si="117"/>
        <v>2500</v>
      </c>
      <c r="AN187" s="44">
        <f t="shared" si="118"/>
        <v>225000000</v>
      </c>
      <c r="AO187" s="44">
        <f t="shared" si="119"/>
        <v>1500</v>
      </c>
      <c r="AP187" s="44">
        <f t="shared" si="120"/>
        <v>1500</v>
      </c>
      <c r="AQ187" s="44">
        <f t="shared" si="132"/>
        <v>558</v>
      </c>
      <c r="AR187" s="45">
        <f t="shared" si="133"/>
        <v>0.82599999999999996</v>
      </c>
      <c r="AS187" s="44">
        <f t="shared" si="134"/>
        <v>470</v>
      </c>
      <c r="AT187" s="45">
        <f t="shared" si="135"/>
        <v>0.83099999999999996</v>
      </c>
      <c r="AU187" s="45">
        <v>0.95299999999999996</v>
      </c>
      <c r="AV187" s="45">
        <f t="shared" si="136"/>
        <v>1592.3799812464963</v>
      </c>
      <c r="AW187" s="45">
        <f t="shared" si="137"/>
        <v>1398.9316343069481</v>
      </c>
      <c r="AX187" s="45">
        <f t="shared" si="138"/>
        <v>193.44834693954817</v>
      </c>
      <c r="AY187" s="44">
        <f t="shared" si="139"/>
        <v>58034.504081864376</v>
      </c>
      <c r="AZ187" s="44">
        <f t="shared" si="130"/>
        <v>193.44834693954792</v>
      </c>
      <c r="BA187" s="46">
        <f t="shared" si="129"/>
        <v>23.213801632745749</v>
      </c>
      <c r="BB187" s="45">
        <f t="shared" si="131"/>
        <v>7.7379338775819165E-2</v>
      </c>
      <c r="BD187" s="197"/>
      <c r="BE187" s="197"/>
    </row>
    <row r="188" spans="1:58" s="43" customFormat="1" x14ac:dyDescent="0.25">
      <c r="A188" s="41" t="s">
        <v>204</v>
      </c>
      <c r="B188" s="41" t="s">
        <v>169</v>
      </c>
      <c r="C188" s="42">
        <v>1</v>
      </c>
      <c r="D188" s="42">
        <v>300</v>
      </c>
      <c r="E188" s="42">
        <v>2350</v>
      </c>
      <c r="F188" s="42">
        <v>314</v>
      </c>
      <c r="G188" s="42">
        <v>580</v>
      </c>
      <c r="H188" s="42">
        <v>266</v>
      </c>
      <c r="I188" s="43">
        <v>2350</v>
      </c>
      <c r="J188" s="42">
        <v>375</v>
      </c>
      <c r="K188" s="42">
        <v>0.80700000000000005</v>
      </c>
      <c r="L188" s="42">
        <v>375</v>
      </c>
      <c r="M188" s="42">
        <v>0.80700000000000005</v>
      </c>
      <c r="N188" s="43">
        <v>750</v>
      </c>
      <c r="O188" s="43">
        <v>1880</v>
      </c>
      <c r="P188" s="42">
        <v>441</v>
      </c>
      <c r="Q188" s="42">
        <v>0.83299999999999996</v>
      </c>
      <c r="R188" s="42">
        <v>353</v>
      </c>
      <c r="S188" s="42">
        <v>0.83</v>
      </c>
      <c r="T188" s="43">
        <v>2250</v>
      </c>
      <c r="AM188" s="44">
        <f t="shared" si="117"/>
        <v>3000</v>
      </c>
      <c r="AN188" s="44">
        <f t="shared" si="118"/>
        <v>359550000</v>
      </c>
      <c r="AO188" s="44">
        <f t="shared" si="119"/>
        <v>2350</v>
      </c>
      <c r="AP188" s="44">
        <f t="shared" si="120"/>
        <v>1997.5</v>
      </c>
      <c r="AQ188" s="44">
        <f t="shared" si="132"/>
        <v>408</v>
      </c>
      <c r="AR188" s="45">
        <f t="shared" si="133"/>
        <v>0.82650000000000001</v>
      </c>
      <c r="AS188" s="44">
        <f t="shared" si="134"/>
        <v>364</v>
      </c>
      <c r="AT188" s="45">
        <f t="shared" si="135"/>
        <v>0.81850000000000001</v>
      </c>
      <c r="AU188" s="45">
        <v>0.95299999999999996</v>
      </c>
      <c r="AV188" s="45">
        <f t="shared" si="136"/>
        <v>1859.4591321230453</v>
      </c>
      <c r="AW188" s="45">
        <f t="shared" si="137"/>
        <v>1757.758196705913</v>
      </c>
      <c r="AX188" s="45">
        <f t="shared" si="138"/>
        <v>101.70093541713231</v>
      </c>
      <c r="AY188" s="44">
        <f t="shared" si="139"/>
        <v>30510.28062513957</v>
      </c>
      <c r="AZ188" s="44">
        <f t="shared" si="130"/>
        <v>101.7009354171319</v>
      </c>
      <c r="BA188" s="46">
        <f t="shared" si="129"/>
        <v>10.170093541713189</v>
      </c>
      <c r="BB188" s="45">
        <f t="shared" si="131"/>
        <v>3.3900311805710633E-2</v>
      </c>
      <c r="BD188" s="197"/>
      <c r="BE188" s="197"/>
      <c r="BF188" s="122"/>
    </row>
    <row r="189" spans="1:58" s="43" customFormat="1" x14ac:dyDescent="0.25">
      <c r="A189" s="41" t="s">
        <v>205</v>
      </c>
      <c r="B189" s="43" t="s">
        <v>87</v>
      </c>
      <c r="C189" s="42">
        <v>1</v>
      </c>
      <c r="D189" s="42">
        <v>300</v>
      </c>
      <c r="E189" s="42">
        <v>2350</v>
      </c>
      <c r="F189" s="47">
        <v>413</v>
      </c>
      <c r="G189" s="47">
        <v>740</v>
      </c>
      <c r="H189" s="42"/>
      <c r="I189" s="43">
        <v>2350</v>
      </c>
      <c r="J189" s="43">
        <v>415</v>
      </c>
      <c r="K189" s="43">
        <v>0.83899999999999997</v>
      </c>
      <c r="L189" s="43">
        <v>413</v>
      </c>
      <c r="M189" s="43">
        <v>0.83899999999999997</v>
      </c>
      <c r="N189" s="43">
        <v>1500</v>
      </c>
      <c r="O189" s="43">
        <v>1900</v>
      </c>
      <c r="P189" s="43">
        <v>502</v>
      </c>
      <c r="Q189" s="43">
        <v>0.83399999999999996</v>
      </c>
      <c r="R189" s="43">
        <v>413</v>
      </c>
      <c r="S189" s="43">
        <v>0.84499999999999997</v>
      </c>
      <c r="T189" s="43">
        <v>1100</v>
      </c>
      <c r="U189" s="43">
        <v>1400</v>
      </c>
      <c r="V189" s="43">
        <v>570</v>
      </c>
      <c r="W189" s="43">
        <v>0.72899999999999998</v>
      </c>
      <c r="X189" s="43">
        <v>413</v>
      </c>
      <c r="Y189" s="43">
        <v>0.78500000000000003</v>
      </c>
      <c r="Z189" s="43">
        <v>413</v>
      </c>
      <c r="AM189" s="44">
        <f t="shared" si="117"/>
        <v>3013</v>
      </c>
      <c r="AN189" s="44">
        <f t="shared" si="118"/>
        <v>371592000</v>
      </c>
      <c r="AO189" s="44">
        <f t="shared" si="119"/>
        <v>2350</v>
      </c>
      <c r="AP189" s="44">
        <f t="shared" si="120"/>
        <v>2055.4928642548953</v>
      </c>
      <c r="AQ189" s="44">
        <f t="shared" si="132"/>
        <v>495.66666666666669</v>
      </c>
      <c r="AR189" s="45">
        <f t="shared" si="133"/>
        <v>0.82209658148025222</v>
      </c>
      <c r="AS189" s="44">
        <f t="shared" si="134"/>
        <v>413</v>
      </c>
      <c r="AT189" s="45">
        <f t="shared" si="135"/>
        <v>0.82299999999999995</v>
      </c>
      <c r="AU189" s="48">
        <v>0.95338888888888884</v>
      </c>
      <c r="AV189" s="45">
        <f t="shared" si="136"/>
        <v>2347.1630864883364</v>
      </c>
      <c r="AW189" s="45">
        <f t="shared" si="137"/>
        <v>2049.0687271755578</v>
      </c>
      <c r="AX189" s="45">
        <f t="shared" si="138"/>
        <v>298.09435931277858</v>
      </c>
      <c r="AY189" s="44">
        <f t="shared" si="139"/>
        <v>89428.307793833534</v>
      </c>
      <c r="AZ189" s="44">
        <f t="shared" si="130"/>
        <v>298.09435931277847</v>
      </c>
      <c r="BA189" s="46">
        <f t="shared" si="129"/>
        <v>29.680819048733333</v>
      </c>
      <c r="BB189" s="45">
        <f t="shared" si="131"/>
        <v>9.8936063495777785E-2</v>
      </c>
      <c r="BD189" s="197"/>
      <c r="BE189" s="197"/>
    </row>
    <row r="190" spans="1:58" s="43" customFormat="1" x14ac:dyDescent="0.25">
      <c r="A190" s="41" t="s">
        <v>206</v>
      </c>
      <c r="B190" s="41" t="s">
        <v>207</v>
      </c>
      <c r="C190" s="42">
        <v>1</v>
      </c>
      <c r="D190" s="42">
        <v>300</v>
      </c>
      <c r="E190" s="42">
        <v>2500</v>
      </c>
      <c r="F190" s="47">
        <v>270</v>
      </c>
      <c r="G190" s="47">
        <v>390</v>
      </c>
      <c r="H190" s="42"/>
      <c r="I190" s="43">
        <v>2500</v>
      </c>
      <c r="J190" s="43">
        <v>390</v>
      </c>
      <c r="K190" s="43">
        <v>0.84299999999999997</v>
      </c>
      <c r="L190" s="43">
        <v>315.89999999999998</v>
      </c>
      <c r="M190" s="43">
        <v>0.84299999999999997</v>
      </c>
      <c r="N190" s="43">
        <v>3160</v>
      </c>
      <c r="AM190" s="44">
        <f t="shared" si="117"/>
        <v>3160</v>
      </c>
      <c r="AN190" s="44">
        <f t="shared" si="118"/>
        <v>474000000</v>
      </c>
      <c r="AO190" s="44">
        <f t="shared" si="119"/>
        <v>2500</v>
      </c>
      <c r="AP190" s="44">
        <f t="shared" si="120"/>
        <v>2500</v>
      </c>
      <c r="AQ190" s="44">
        <f t="shared" si="132"/>
        <v>390</v>
      </c>
      <c r="AR190" s="45">
        <f t="shared" si="133"/>
        <v>0.84300000000000008</v>
      </c>
      <c r="AS190" s="44">
        <f t="shared" si="134"/>
        <v>315.89999999999998</v>
      </c>
      <c r="AT190" s="45">
        <f t="shared" si="135"/>
        <v>0.84299999999999997</v>
      </c>
      <c r="AU190" s="45">
        <v>0.95499999999999996</v>
      </c>
      <c r="AV190" s="45">
        <f t="shared" si="136"/>
        <v>2297.3407362362022</v>
      </c>
      <c r="AW190" s="45">
        <f t="shared" si="137"/>
        <v>1948.529839111334</v>
      </c>
      <c r="AX190" s="45">
        <f t="shared" si="138"/>
        <v>348.81089712486823</v>
      </c>
      <c r="AY190" s="44">
        <f t="shared" si="139"/>
        <v>104643.26913746042</v>
      </c>
      <c r="AZ190" s="44">
        <f t="shared" si="130"/>
        <v>348.81089712486806</v>
      </c>
      <c r="BA190" s="46">
        <f t="shared" si="129"/>
        <v>33.114958587803933</v>
      </c>
      <c r="BB190" s="45">
        <f t="shared" si="131"/>
        <v>0.11038319529267977</v>
      </c>
      <c r="BD190" s="197"/>
      <c r="BE190" s="197"/>
    </row>
    <row r="191" spans="1:58" s="43" customFormat="1" x14ac:dyDescent="0.25">
      <c r="A191" s="43" t="s">
        <v>208</v>
      </c>
      <c r="B191" s="43" t="s">
        <v>146</v>
      </c>
      <c r="C191" s="42">
        <v>1</v>
      </c>
      <c r="D191" s="42">
        <v>300</v>
      </c>
      <c r="E191" s="42">
        <v>5800</v>
      </c>
      <c r="F191" s="42">
        <v>113</v>
      </c>
      <c r="G191" s="42">
        <v>370</v>
      </c>
      <c r="H191" s="42">
        <v>257</v>
      </c>
      <c r="I191" s="43">
        <v>5790</v>
      </c>
      <c r="J191" s="43">
        <v>170</v>
      </c>
      <c r="K191" s="43">
        <v>0.84899999999999998</v>
      </c>
      <c r="L191" s="43">
        <v>170</v>
      </c>
      <c r="M191" s="43">
        <v>0.84899999999999998</v>
      </c>
      <c r="N191" s="43">
        <v>1200</v>
      </c>
      <c r="O191" s="43">
        <v>4930</v>
      </c>
      <c r="P191" s="43">
        <v>202</v>
      </c>
      <c r="Q191" s="43">
        <v>0.85299999999999998</v>
      </c>
      <c r="R191" s="43">
        <v>154</v>
      </c>
      <c r="S191" s="43">
        <v>0.85899999999999999</v>
      </c>
      <c r="T191" s="43">
        <v>1200</v>
      </c>
      <c r="U191" s="43">
        <v>4350</v>
      </c>
      <c r="V191" s="43">
        <v>218</v>
      </c>
      <c r="W191" s="43">
        <v>0.82199999999999995</v>
      </c>
      <c r="X191" s="43">
        <v>145</v>
      </c>
      <c r="Y191" s="43">
        <v>0.85699999999999998</v>
      </c>
      <c r="Z191" s="43">
        <v>1000</v>
      </c>
      <c r="AM191" s="44">
        <f t="shared" si="117"/>
        <v>3400</v>
      </c>
      <c r="AN191" s="44">
        <f t="shared" si="118"/>
        <v>1032840000</v>
      </c>
      <c r="AO191" s="44">
        <f t="shared" si="119"/>
        <v>5790</v>
      </c>
      <c r="AP191" s="44">
        <f t="shared" si="120"/>
        <v>5062.9411764705883</v>
      </c>
      <c r="AQ191" s="44">
        <f t="shared" si="132"/>
        <v>196.66666666666666</v>
      </c>
      <c r="AR191" s="45">
        <f t="shared" si="133"/>
        <v>0.84247058823529419</v>
      </c>
      <c r="AS191" s="44">
        <f t="shared" si="134"/>
        <v>156.33333333333334</v>
      </c>
      <c r="AT191" s="45">
        <f t="shared" si="135"/>
        <v>0.85499999999999998</v>
      </c>
      <c r="AU191" s="48">
        <v>0.95094117647058818</v>
      </c>
      <c r="AV191" s="45">
        <f t="shared" si="136"/>
        <v>2525.9171253381755</v>
      </c>
      <c r="AW191" s="45">
        <f t="shared" si="137"/>
        <v>2080.5344370528237</v>
      </c>
      <c r="AX191" s="45">
        <f t="shared" si="138"/>
        <v>445.38268828535183</v>
      </c>
      <c r="AY191" s="44">
        <f t="shared" si="139"/>
        <v>133614.80648560551</v>
      </c>
      <c r="AZ191" s="44">
        <f t="shared" si="130"/>
        <v>445.38268828535172</v>
      </c>
      <c r="BA191" s="46">
        <f t="shared" si="129"/>
        <v>39.298472495766326</v>
      </c>
      <c r="BB191" s="45">
        <f t="shared" si="131"/>
        <v>0.13099490831922109</v>
      </c>
      <c r="BD191" s="197"/>
      <c r="BE191" s="197"/>
    </row>
    <row r="192" spans="1:58" s="43" customFormat="1" x14ac:dyDescent="0.25">
      <c r="A192" s="43" t="s">
        <v>209</v>
      </c>
      <c r="B192" s="43" t="s">
        <v>87</v>
      </c>
      <c r="C192" s="42">
        <v>1</v>
      </c>
      <c r="D192" s="42">
        <v>300</v>
      </c>
      <c r="E192" s="42">
        <v>3000</v>
      </c>
      <c r="F192" s="47">
        <v>381</v>
      </c>
      <c r="G192" s="47">
        <v>660</v>
      </c>
      <c r="H192" s="42">
        <v>279</v>
      </c>
      <c r="I192" s="43">
        <v>3000</v>
      </c>
      <c r="J192" s="43">
        <v>330</v>
      </c>
      <c r="K192" s="43">
        <v>0.85</v>
      </c>
      <c r="L192" s="43">
        <v>330</v>
      </c>
      <c r="M192" s="43">
        <v>0.85</v>
      </c>
      <c r="N192" s="43">
        <v>175</v>
      </c>
      <c r="O192" s="43">
        <v>1000</v>
      </c>
      <c r="P192" s="43">
        <v>510</v>
      </c>
      <c r="Q192" s="43">
        <v>0.48699999999999999</v>
      </c>
      <c r="R192" s="43">
        <v>385</v>
      </c>
      <c r="S192" s="43">
        <v>0.53700000000000003</v>
      </c>
      <c r="T192" s="43">
        <v>175</v>
      </c>
      <c r="U192" s="43">
        <v>1500</v>
      </c>
      <c r="V192" s="43">
        <v>463</v>
      </c>
      <c r="W192" s="43">
        <v>0.65600000000000003</v>
      </c>
      <c r="X192" s="43">
        <v>390</v>
      </c>
      <c r="Y192" s="43">
        <v>0.68799999999999994</v>
      </c>
      <c r="Z192" s="43">
        <v>1050</v>
      </c>
      <c r="AA192" s="43">
        <v>1600</v>
      </c>
      <c r="AB192" s="43">
        <v>454</v>
      </c>
      <c r="AC192" s="43">
        <v>0.68400000000000005</v>
      </c>
      <c r="AD192" s="43">
        <v>392</v>
      </c>
      <c r="AE192" s="43">
        <v>0.71199999999999997</v>
      </c>
      <c r="AF192" s="43">
        <v>1050</v>
      </c>
      <c r="AG192" s="43">
        <v>1700</v>
      </c>
      <c r="AH192" s="43">
        <v>446</v>
      </c>
      <c r="AI192" s="43">
        <v>0.71</v>
      </c>
      <c r="AJ192" s="43">
        <v>393</v>
      </c>
      <c r="AK192" s="43">
        <v>0.73299999999999998</v>
      </c>
      <c r="AL192" s="43">
        <v>1050</v>
      </c>
      <c r="AM192" s="44">
        <f t="shared" si="117"/>
        <v>3500</v>
      </c>
      <c r="AN192" s="44">
        <f t="shared" si="118"/>
        <v>344400000</v>
      </c>
      <c r="AO192" s="44">
        <f t="shared" si="119"/>
        <v>3000</v>
      </c>
      <c r="AP192" s="44">
        <f t="shared" si="120"/>
        <v>1640</v>
      </c>
      <c r="AQ192" s="44">
        <f t="shared" si="132"/>
        <v>440.6</v>
      </c>
      <c r="AR192" s="45">
        <f t="shared" si="133"/>
        <v>0.68185000000000007</v>
      </c>
      <c r="AS192" s="44">
        <f t="shared" si="134"/>
        <v>378</v>
      </c>
      <c r="AT192" s="45">
        <f t="shared" si="135"/>
        <v>0.70399999999999996</v>
      </c>
      <c r="AU192" s="48">
        <v>0.9536</v>
      </c>
      <c r="AV192" s="45">
        <f t="shared" si="136"/>
        <v>2331.4646242247372</v>
      </c>
      <c r="AW192" s="45">
        <f t="shared" si="137"/>
        <v>2031.5432872680944</v>
      </c>
      <c r="AX192" s="45">
        <f t="shared" si="138"/>
        <v>299.92133695664279</v>
      </c>
      <c r="AY192" s="44">
        <f t="shared" si="139"/>
        <v>89976.401086992963</v>
      </c>
      <c r="AZ192" s="44">
        <f t="shared" si="130"/>
        <v>299.92133695664319</v>
      </c>
      <c r="BA192" s="46">
        <f t="shared" si="129"/>
        <v>25.707543167712274</v>
      </c>
      <c r="BB192" s="45">
        <f t="shared" si="131"/>
        <v>8.5691810559040918E-2</v>
      </c>
      <c r="BD192" s="197"/>
      <c r="BE192" s="197"/>
    </row>
    <row r="193" spans="1:57" s="43" customFormat="1" x14ac:dyDescent="0.25">
      <c r="A193" s="43" t="s">
        <v>210</v>
      </c>
      <c r="B193" s="43" t="s">
        <v>87</v>
      </c>
      <c r="C193" s="42">
        <v>1</v>
      </c>
      <c r="D193" s="42">
        <v>300</v>
      </c>
      <c r="E193" s="42">
        <v>2800</v>
      </c>
      <c r="F193" s="47">
        <v>300</v>
      </c>
      <c r="G193" s="47">
        <v>612</v>
      </c>
      <c r="H193" s="42">
        <v>312</v>
      </c>
      <c r="I193" s="43">
        <v>3000</v>
      </c>
      <c r="J193" s="43">
        <v>276</v>
      </c>
      <c r="K193" s="43">
        <v>0.82399999999999995</v>
      </c>
      <c r="L193" s="43">
        <v>308</v>
      </c>
      <c r="M193" s="43">
        <v>0.83099999999999996</v>
      </c>
      <c r="N193" s="43">
        <v>350</v>
      </c>
      <c r="O193" s="43">
        <v>2250</v>
      </c>
      <c r="P193" s="43">
        <v>370</v>
      </c>
      <c r="Q193" s="43">
        <v>0.82</v>
      </c>
      <c r="R193" s="43">
        <v>305</v>
      </c>
      <c r="S193" s="43">
        <v>0.83699999999999997</v>
      </c>
      <c r="T193" s="43">
        <v>1050</v>
      </c>
      <c r="U193" s="43">
        <v>1500</v>
      </c>
      <c r="V193" s="43">
        <v>433</v>
      </c>
      <c r="W193" s="43">
        <v>0.65900000000000003</v>
      </c>
      <c r="X193" s="43">
        <v>302</v>
      </c>
      <c r="Y193" s="43">
        <v>0.73</v>
      </c>
      <c r="Z193" s="43">
        <v>2100</v>
      </c>
      <c r="AM193" s="44">
        <f t="shared" si="117"/>
        <v>3500</v>
      </c>
      <c r="AN193" s="44">
        <f t="shared" si="118"/>
        <v>393750000</v>
      </c>
      <c r="AO193" s="44">
        <f t="shared" si="119"/>
        <v>3000</v>
      </c>
      <c r="AP193" s="44">
        <f t="shared" si="120"/>
        <v>1875</v>
      </c>
      <c r="AQ193" s="44">
        <f t="shared" si="132"/>
        <v>359.66666666666669</v>
      </c>
      <c r="AR193" s="45">
        <f t="shared" si="133"/>
        <v>0.7238</v>
      </c>
      <c r="AS193" s="44">
        <f t="shared" si="134"/>
        <v>305</v>
      </c>
      <c r="AT193" s="45">
        <f t="shared" si="135"/>
        <v>0.79933333333333323</v>
      </c>
      <c r="AU193" s="48">
        <v>0.95429999999999993</v>
      </c>
      <c r="AV193" s="45">
        <f t="shared" si="136"/>
        <v>2049.8034390546168</v>
      </c>
      <c r="AW193" s="45">
        <f t="shared" si="137"/>
        <v>1649.3681265349192</v>
      </c>
      <c r="AX193" s="45">
        <f t="shared" si="138"/>
        <v>400.43531251969762</v>
      </c>
      <c r="AY193" s="44">
        <f t="shared" si="139"/>
        <v>120130.59375590934</v>
      </c>
      <c r="AZ193" s="44">
        <f t="shared" si="130"/>
        <v>400.43531251969779</v>
      </c>
      <c r="BA193" s="46">
        <f t="shared" si="129"/>
        <v>34.323026787402668</v>
      </c>
      <c r="BB193" s="45">
        <f t="shared" si="131"/>
        <v>0.11441008929134222</v>
      </c>
      <c r="BD193" s="197"/>
      <c r="BE193" s="197"/>
    </row>
    <row r="194" spans="1:57" s="43" customFormat="1" x14ac:dyDescent="0.25">
      <c r="A194" s="41" t="s">
        <v>205</v>
      </c>
      <c r="B194" s="43" t="s">
        <v>87</v>
      </c>
      <c r="C194" s="42">
        <v>1</v>
      </c>
      <c r="D194" s="42">
        <v>300</v>
      </c>
      <c r="E194" s="42">
        <v>2100</v>
      </c>
      <c r="F194" s="47">
        <v>450</v>
      </c>
      <c r="G194" s="47">
        <v>688</v>
      </c>
      <c r="H194" s="42">
        <v>238</v>
      </c>
      <c r="I194" s="43">
        <v>1050</v>
      </c>
      <c r="J194" s="43">
        <v>582</v>
      </c>
      <c r="K194" s="43">
        <v>0.6</v>
      </c>
      <c r="L194" s="43">
        <v>450</v>
      </c>
      <c r="M194" s="43">
        <v>0.65</v>
      </c>
      <c r="N194" s="43">
        <v>2100</v>
      </c>
      <c r="O194" s="43">
        <v>1575</v>
      </c>
      <c r="P194" s="43">
        <v>517</v>
      </c>
      <c r="Q194" s="43">
        <v>0.76900000000000002</v>
      </c>
      <c r="R194" s="43">
        <v>450</v>
      </c>
      <c r="S194" s="43">
        <v>0.78900000000000003</v>
      </c>
      <c r="T194" s="43">
        <v>1050</v>
      </c>
      <c r="U194" s="43">
        <v>2100</v>
      </c>
      <c r="V194" s="43">
        <v>441</v>
      </c>
      <c r="W194" s="43">
        <v>0.84199999999999997</v>
      </c>
      <c r="X194" s="43">
        <v>450</v>
      </c>
      <c r="Y194" s="43">
        <v>0.84199999999999997</v>
      </c>
      <c r="Z194" s="43">
        <v>350</v>
      </c>
      <c r="AM194" s="44">
        <f t="shared" si="117"/>
        <v>3500</v>
      </c>
      <c r="AN194" s="44">
        <f t="shared" si="118"/>
        <v>275625000</v>
      </c>
      <c r="AO194" s="44">
        <f t="shared" si="119"/>
        <v>2100</v>
      </c>
      <c r="AP194" s="44">
        <f t="shared" si="120"/>
        <v>1312.5</v>
      </c>
      <c r="AQ194" s="44">
        <f t="shared" si="132"/>
        <v>513.33333333333337</v>
      </c>
      <c r="AR194" s="45">
        <f t="shared" si="133"/>
        <v>0.67489999999999994</v>
      </c>
      <c r="AS194" s="44">
        <f t="shared" si="134"/>
        <v>450</v>
      </c>
      <c r="AT194" s="45">
        <f t="shared" si="135"/>
        <v>0.76033333333333342</v>
      </c>
      <c r="AU194" s="45">
        <v>0.94969999999999999</v>
      </c>
      <c r="AV194" s="45">
        <f t="shared" si="136"/>
        <v>2196.2849431362911</v>
      </c>
      <c r="AW194" s="45">
        <f t="shared" si="137"/>
        <v>1799.4951955402094</v>
      </c>
      <c r="AX194" s="45">
        <f t="shared" si="138"/>
        <v>396.78974759608172</v>
      </c>
      <c r="AY194" s="44">
        <f t="shared" si="139"/>
        <v>119036.92427882456</v>
      </c>
      <c r="AZ194" s="44">
        <f t="shared" si="130"/>
        <v>396.7897475960819</v>
      </c>
      <c r="BA194" s="46">
        <f t="shared" si="129"/>
        <v>34.010549793949878</v>
      </c>
      <c r="BB194" s="45">
        <f t="shared" si="131"/>
        <v>0.11336849931316625</v>
      </c>
      <c r="BD194" s="197"/>
      <c r="BE194" s="197"/>
    </row>
    <row r="195" spans="1:57" s="43" customFormat="1" x14ac:dyDescent="0.25">
      <c r="A195" s="41" t="s">
        <v>205</v>
      </c>
      <c r="B195" s="43" t="s">
        <v>87</v>
      </c>
      <c r="C195" s="42">
        <v>1</v>
      </c>
      <c r="D195" s="42">
        <v>300</v>
      </c>
      <c r="E195" s="42">
        <v>2100</v>
      </c>
      <c r="F195" s="47">
        <v>450</v>
      </c>
      <c r="G195" s="47">
        <v>688</v>
      </c>
      <c r="H195" s="42">
        <v>238</v>
      </c>
      <c r="I195" s="43">
        <v>1050</v>
      </c>
      <c r="J195" s="43">
        <v>582</v>
      </c>
      <c r="K195" s="43">
        <v>0.6</v>
      </c>
      <c r="L195" s="43">
        <v>450</v>
      </c>
      <c r="M195" s="43">
        <v>0.65</v>
      </c>
      <c r="N195" s="43">
        <v>2100</v>
      </c>
      <c r="O195" s="43">
        <v>1575</v>
      </c>
      <c r="P195" s="43">
        <v>517</v>
      </c>
      <c r="Q195" s="43">
        <v>0.76900000000000002</v>
      </c>
      <c r="R195" s="43">
        <v>450</v>
      </c>
      <c r="S195" s="43">
        <v>0.78900000000000003</v>
      </c>
      <c r="T195" s="43">
        <v>1050</v>
      </c>
      <c r="U195" s="43">
        <v>2100</v>
      </c>
      <c r="V195" s="43">
        <v>441</v>
      </c>
      <c r="W195" s="43">
        <v>0.84199999999999997</v>
      </c>
      <c r="X195" s="43">
        <v>450</v>
      </c>
      <c r="Y195" s="43">
        <v>0.84199999999999997</v>
      </c>
      <c r="Z195" s="43">
        <v>350</v>
      </c>
      <c r="AM195" s="44">
        <f t="shared" si="117"/>
        <v>3500</v>
      </c>
      <c r="AN195" s="44">
        <f t="shared" si="118"/>
        <v>275625000</v>
      </c>
      <c r="AO195" s="44">
        <f t="shared" si="119"/>
        <v>2100</v>
      </c>
      <c r="AP195" s="44">
        <f t="shared" si="120"/>
        <v>1312.5</v>
      </c>
      <c r="AQ195" s="44">
        <f t="shared" si="132"/>
        <v>513.33333333333337</v>
      </c>
      <c r="AR195" s="45">
        <f t="shared" si="133"/>
        <v>0.67489999999999994</v>
      </c>
      <c r="AS195" s="44">
        <f t="shared" si="134"/>
        <v>450</v>
      </c>
      <c r="AT195" s="45">
        <f t="shared" si="135"/>
        <v>0.76033333333333342</v>
      </c>
      <c r="AU195" s="45">
        <v>0.94969999999999999</v>
      </c>
      <c r="AV195" s="45">
        <f t="shared" si="136"/>
        <v>2196.2849431362911</v>
      </c>
      <c r="AW195" s="45">
        <f t="shared" si="137"/>
        <v>1799.4951955402094</v>
      </c>
      <c r="AX195" s="45">
        <f t="shared" si="138"/>
        <v>396.78974759608172</v>
      </c>
      <c r="AY195" s="44">
        <f t="shared" si="139"/>
        <v>119036.92427882456</v>
      </c>
      <c r="AZ195" s="44">
        <f t="shared" ref="AZ195:AZ199" si="140">AY195/D195</f>
        <v>396.7897475960819</v>
      </c>
      <c r="BA195" s="46">
        <f t="shared" si="129"/>
        <v>34.010549793949878</v>
      </c>
      <c r="BB195" s="45">
        <f t="shared" ref="BB195:BB199" si="141">BA195/D195</f>
        <v>0.11336849931316625</v>
      </c>
      <c r="BD195" s="197"/>
      <c r="BE195" s="197"/>
    </row>
    <row r="196" spans="1:57" s="43" customFormat="1" x14ac:dyDescent="0.25">
      <c r="A196" s="41" t="s">
        <v>205</v>
      </c>
      <c r="B196" s="43" t="s">
        <v>87</v>
      </c>
      <c r="C196" s="42">
        <v>1</v>
      </c>
      <c r="D196" s="42">
        <v>300</v>
      </c>
      <c r="E196" s="42">
        <v>2100</v>
      </c>
      <c r="F196" s="47">
        <v>445</v>
      </c>
      <c r="G196" s="47">
        <v>688</v>
      </c>
      <c r="H196" s="42">
        <v>238</v>
      </c>
      <c r="I196" s="43">
        <v>1050</v>
      </c>
      <c r="J196" s="43">
        <v>582</v>
      </c>
      <c r="K196" s="43">
        <v>0.6</v>
      </c>
      <c r="L196" s="43">
        <v>445</v>
      </c>
      <c r="M196" s="43">
        <v>0.65200000000000002</v>
      </c>
      <c r="N196" s="43">
        <v>2100</v>
      </c>
      <c r="O196" s="43">
        <v>1575</v>
      </c>
      <c r="P196" s="43">
        <v>517</v>
      </c>
      <c r="Q196" s="43">
        <v>0.76900000000000002</v>
      </c>
      <c r="R196" s="43">
        <v>445</v>
      </c>
      <c r="S196" s="43">
        <v>0.79100000000000004</v>
      </c>
      <c r="T196" s="43">
        <v>1050</v>
      </c>
      <c r="U196" s="43">
        <v>2100</v>
      </c>
      <c r="V196" s="43">
        <v>441</v>
      </c>
      <c r="W196" s="43">
        <v>0.84199999999999997</v>
      </c>
      <c r="X196" s="43">
        <v>445</v>
      </c>
      <c r="Y196" s="43">
        <v>0.84199999999999997</v>
      </c>
      <c r="Z196" s="43">
        <v>350</v>
      </c>
      <c r="AM196" s="44">
        <f t="shared" si="117"/>
        <v>3500</v>
      </c>
      <c r="AN196" s="44">
        <f t="shared" si="118"/>
        <v>275625000</v>
      </c>
      <c r="AO196" s="44">
        <f t="shared" si="119"/>
        <v>2100</v>
      </c>
      <c r="AP196" s="44">
        <f t="shared" si="120"/>
        <v>1312.5</v>
      </c>
      <c r="AQ196" s="44">
        <f t="shared" si="132"/>
        <v>513.33333333333337</v>
      </c>
      <c r="AR196" s="45">
        <f t="shared" si="133"/>
        <v>0.67489999999999994</v>
      </c>
      <c r="AS196" s="44">
        <f t="shared" si="134"/>
        <v>445</v>
      </c>
      <c r="AT196" s="45">
        <f t="shared" si="135"/>
        <v>0.76166666666666671</v>
      </c>
      <c r="AU196" s="45">
        <v>0.94940000000000002</v>
      </c>
      <c r="AV196" s="45">
        <f t="shared" si="136"/>
        <v>2196.2849431362911</v>
      </c>
      <c r="AW196" s="45">
        <f t="shared" si="137"/>
        <v>1776.947023025718</v>
      </c>
      <c r="AX196" s="45">
        <f t="shared" si="138"/>
        <v>419.33792011057312</v>
      </c>
      <c r="AY196" s="44">
        <f t="shared" si="139"/>
        <v>125801.37603317192</v>
      </c>
      <c r="AZ196" s="44">
        <f t="shared" si="140"/>
        <v>419.33792011057307</v>
      </c>
      <c r="BA196" s="46">
        <f t="shared" si="129"/>
        <v>35.94325029519198</v>
      </c>
      <c r="BB196" s="45">
        <f t="shared" si="141"/>
        <v>0.1198108343173066</v>
      </c>
      <c r="BD196" s="197"/>
      <c r="BE196" s="197"/>
    </row>
    <row r="197" spans="1:57" s="43" customFormat="1" x14ac:dyDescent="0.25">
      <c r="A197" s="41" t="s">
        <v>211</v>
      </c>
      <c r="B197" s="41" t="s">
        <v>212</v>
      </c>
      <c r="C197" s="42">
        <v>1</v>
      </c>
      <c r="D197" s="42">
        <v>300</v>
      </c>
      <c r="E197" s="42">
        <v>2100</v>
      </c>
      <c r="F197" s="47">
        <v>500</v>
      </c>
      <c r="G197" s="47">
        <v>864</v>
      </c>
      <c r="H197" s="42"/>
      <c r="I197" s="43">
        <v>1700</v>
      </c>
      <c r="J197" s="43">
        <v>601</v>
      </c>
      <c r="K197" s="43">
        <v>0.80400000000000005</v>
      </c>
      <c r="L197" s="43">
        <v>500</v>
      </c>
      <c r="M197" s="43">
        <v>0.82</v>
      </c>
      <c r="N197" s="43">
        <v>1000</v>
      </c>
      <c r="O197" s="43">
        <v>1833</v>
      </c>
      <c r="P197" s="43">
        <v>567</v>
      </c>
      <c r="Q197" s="43">
        <v>0.82099999999999995</v>
      </c>
      <c r="R197" s="43">
        <v>500</v>
      </c>
      <c r="S197" s="43">
        <v>0.82799999999999996</v>
      </c>
      <c r="T197" s="43">
        <v>1000</v>
      </c>
      <c r="U197" s="43">
        <v>1967</v>
      </c>
      <c r="V197" s="43">
        <v>530</v>
      </c>
      <c r="W197" s="43">
        <v>0.83</v>
      </c>
      <c r="X197" s="43">
        <v>500</v>
      </c>
      <c r="Y197" s="43">
        <v>0.83199999999999996</v>
      </c>
      <c r="Z197" s="43">
        <v>1000</v>
      </c>
      <c r="AA197" s="43">
        <v>2100</v>
      </c>
      <c r="AB197" s="43">
        <v>490</v>
      </c>
      <c r="AC197" s="43">
        <v>0.83099999999999996</v>
      </c>
      <c r="AD197" s="43">
        <v>500</v>
      </c>
      <c r="AE197" s="43">
        <v>0.83199999999999996</v>
      </c>
      <c r="AF197" s="43">
        <v>1320</v>
      </c>
      <c r="AM197" s="44">
        <f t="shared" si="117"/>
        <v>4320</v>
      </c>
      <c r="AN197" s="44">
        <f t="shared" si="118"/>
        <v>496320000</v>
      </c>
      <c r="AO197" s="44">
        <f t="shared" si="119"/>
        <v>2100</v>
      </c>
      <c r="AP197" s="44">
        <f t="shared" si="120"/>
        <v>1914.8148148148148</v>
      </c>
      <c r="AQ197" s="44">
        <f t="shared" si="132"/>
        <v>547</v>
      </c>
      <c r="AR197" s="45">
        <f t="shared" si="133"/>
        <v>0.82220370370370377</v>
      </c>
      <c r="AS197" s="44">
        <f t="shared" si="134"/>
        <v>500</v>
      </c>
      <c r="AT197" s="45">
        <f t="shared" si="135"/>
        <v>0.82799999999999996</v>
      </c>
      <c r="AU197" s="48">
        <v>0.95829629629629631</v>
      </c>
      <c r="AV197" s="45">
        <f t="shared" si="136"/>
        <v>3459.232186042685</v>
      </c>
      <c r="AW197" s="45">
        <f t="shared" si="137"/>
        <v>3276.5113255737465</v>
      </c>
      <c r="AX197" s="45">
        <f t="shared" si="138"/>
        <v>182.72086046893855</v>
      </c>
      <c r="AY197" s="44">
        <f t="shared" si="139"/>
        <v>54816.258140681632</v>
      </c>
      <c r="AZ197" s="44">
        <f t="shared" si="140"/>
        <v>182.72086046893878</v>
      </c>
      <c r="BA197" s="46">
        <f t="shared" si="129"/>
        <v>12.688948643676303</v>
      </c>
      <c r="BB197" s="45">
        <f t="shared" si="141"/>
        <v>4.229649547892101E-2</v>
      </c>
      <c r="BD197" s="197"/>
      <c r="BE197" s="197"/>
    </row>
    <row r="198" spans="1:57" s="43" customFormat="1" x14ac:dyDescent="0.25">
      <c r="A198" s="41" t="s">
        <v>213</v>
      </c>
      <c r="B198" s="41" t="s">
        <v>62</v>
      </c>
      <c r="C198" s="42">
        <v>1</v>
      </c>
      <c r="D198" s="42">
        <v>300</v>
      </c>
      <c r="E198" s="42">
        <v>2000</v>
      </c>
      <c r="F198" s="47">
        <v>469</v>
      </c>
      <c r="G198" s="47">
        <v>630</v>
      </c>
      <c r="H198" s="42">
        <v>161</v>
      </c>
      <c r="I198" s="43">
        <v>1000</v>
      </c>
      <c r="J198" s="43">
        <v>571</v>
      </c>
      <c r="K198" s="43">
        <v>0.57799999999999996</v>
      </c>
      <c r="L198" s="43">
        <v>469</v>
      </c>
      <c r="M198" s="43">
        <v>0.72099999999999997</v>
      </c>
      <c r="N198" s="43">
        <v>1500</v>
      </c>
      <c r="O198" s="43">
        <v>1500</v>
      </c>
      <c r="P198" s="43">
        <v>539</v>
      </c>
      <c r="Q198" s="43">
        <v>0.76300000000000001</v>
      </c>
      <c r="R198" s="43">
        <v>469</v>
      </c>
      <c r="S198" s="43">
        <v>0.83499999999999996</v>
      </c>
      <c r="T198" s="43">
        <v>1500</v>
      </c>
      <c r="U198" s="43">
        <v>2000</v>
      </c>
      <c r="V198" s="43">
        <v>470</v>
      </c>
      <c r="W198" s="43">
        <v>0.83699999999999997</v>
      </c>
      <c r="X198" s="43">
        <v>469</v>
      </c>
      <c r="Y198" s="43">
        <v>0.79500000000000004</v>
      </c>
      <c r="Z198" s="43">
        <v>1500</v>
      </c>
      <c r="AM198" s="44">
        <f t="shared" si="117"/>
        <v>4500</v>
      </c>
      <c r="AN198" s="44">
        <f t="shared" si="118"/>
        <v>405000000</v>
      </c>
      <c r="AO198" s="44">
        <f t="shared" si="119"/>
        <v>2000</v>
      </c>
      <c r="AP198" s="44">
        <f t="shared" si="120"/>
        <v>1500</v>
      </c>
      <c r="AQ198" s="44">
        <f t="shared" si="132"/>
        <v>526.66666666666663</v>
      </c>
      <c r="AR198" s="45">
        <f t="shared" si="133"/>
        <v>0.72599999999999998</v>
      </c>
      <c r="AS198" s="44">
        <f t="shared" si="134"/>
        <v>469</v>
      </c>
      <c r="AT198" s="45">
        <f t="shared" si="135"/>
        <v>0.78366666666666662</v>
      </c>
      <c r="AU198" s="48">
        <v>0.92742857142857149</v>
      </c>
      <c r="AV198" s="45">
        <f t="shared" si="136"/>
        <v>3077.9692317977087</v>
      </c>
      <c r="AW198" s="45">
        <f t="shared" si="137"/>
        <v>2737.9534483244001</v>
      </c>
      <c r="AX198" s="45">
        <f t="shared" si="138"/>
        <v>340.0157834733086</v>
      </c>
      <c r="AY198" s="44">
        <f t="shared" si="139"/>
        <v>102004.73504199239</v>
      </c>
      <c r="AZ198" s="44">
        <f t="shared" si="140"/>
        <v>340.01578347330798</v>
      </c>
      <c r="BA198" s="46">
        <f t="shared" si="129"/>
        <v>22.667718898220532</v>
      </c>
      <c r="BB198" s="45">
        <f t="shared" si="141"/>
        <v>7.5559062994068435E-2</v>
      </c>
      <c r="BD198" s="197"/>
      <c r="BE198" s="197"/>
    </row>
    <row r="199" spans="1:57" s="43" customFormat="1" x14ac:dyDescent="0.25">
      <c r="A199" s="50" t="s">
        <v>296</v>
      </c>
      <c r="C199" s="52">
        <v>1</v>
      </c>
      <c r="D199" s="52">
        <v>300</v>
      </c>
      <c r="AO199" s="47"/>
      <c r="AP199" s="47"/>
      <c r="AQ199" s="47"/>
      <c r="AR199" s="47"/>
      <c r="AS199" s="47"/>
      <c r="AT199" s="47"/>
      <c r="AU199" s="42"/>
      <c r="AV199" s="47"/>
      <c r="AW199" s="47"/>
      <c r="AX199" s="47"/>
      <c r="AY199" s="53">
        <v>95309</v>
      </c>
      <c r="AZ199" s="44">
        <f t="shared" si="140"/>
        <v>317.69666666666666</v>
      </c>
      <c r="BA199" s="52">
        <v>39.700000000000003</v>
      </c>
      <c r="BB199" s="45">
        <f t="shared" si="141"/>
        <v>0.13233333333333333</v>
      </c>
      <c r="BD199" s="197"/>
      <c r="BE199" s="197"/>
    </row>
    <row r="201" spans="1:57" s="5" customFormat="1" x14ac:dyDescent="0.25">
      <c r="A201" s="5" t="s">
        <v>312</v>
      </c>
      <c r="AM201" s="17">
        <f>AVERAGE(AM3:AM199)</f>
        <v>2122.6488095238096</v>
      </c>
      <c r="AV201" s="17">
        <v>1481.16</v>
      </c>
      <c r="AW201" s="18">
        <f>AVERAGE(AW5:AW199)</f>
        <v>1233.651456809816</v>
      </c>
      <c r="AX201" s="18">
        <f>AV201-AW201</f>
        <v>247.50854319018413</v>
      </c>
      <c r="AY201" s="17">
        <f>AVERAGE(AY5:AY199)</f>
        <v>36615.962452471322</v>
      </c>
      <c r="AZ201" s="18">
        <f>AVERAGE(AZ5:AZ199)</f>
        <v>256.16563588295116</v>
      </c>
      <c r="BA201" s="17">
        <f>AVERAGE(BA5:BA199)</f>
        <v>17.070406519812018</v>
      </c>
      <c r="BB201" s="19">
        <f>AVERAGE(BB5:BB199)</f>
        <v>0.12174041421432975</v>
      </c>
      <c r="BD201" s="5">
        <f>AVERAGE(BD3:BD199)</f>
        <v>256.5985920498905</v>
      </c>
      <c r="BE201" s="5">
        <f>AVERAGE(BE3:BE199)</f>
        <v>0.12073628575456091</v>
      </c>
    </row>
  </sheetData>
  <sortState ref="A1:BB199">
    <sortCondition ref="D1:D199"/>
  </sortState>
  <mergeCells count="18">
    <mergeCell ref="BE3:BE14"/>
    <mergeCell ref="BD3:BD14"/>
    <mergeCell ref="BE15:BE32"/>
    <mergeCell ref="BD15:BD32"/>
    <mergeCell ref="BE33:BE52"/>
    <mergeCell ref="BD33:BD52"/>
    <mergeCell ref="BE53:BE76"/>
    <mergeCell ref="BD53:BD76"/>
    <mergeCell ref="BE77:BE104"/>
    <mergeCell ref="BD77:BD104"/>
    <mergeCell ref="BE105:BE132"/>
    <mergeCell ref="BD105:BD132"/>
    <mergeCell ref="BE133:BE159"/>
    <mergeCell ref="BD133:BD159"/>
    <mergeCell ref="BE160:BE176"/>
    <mergeCell ref="BD160:BD176"/>
    <mergeCell ref="BE177:BE199"/>
    <mergeCell ref="BD177:BD199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03"/>
  <sheetViews>
    <sheetView topLeftCell="A72" workbookViewId="0">
      <selection activeCell="AY106" sqref="AY106"/>
    </sheetView>
  </sheetViews>
  <sheetFormatPr defaultColWidth="9.140625" defaultRowHeight="15" x14ac:dyDescent="0.25"/>
  <cols>
    <col min="1" max="1" width="30.28515625" style="7" bestFit="1" customWidth="1"/>
    <col min="2" max="2" width="12.7109375" style="7" bestFit="1" customWidth="1"/>
    <col min="3" max="5" width="9.140625" style="7"/>
    <col min="6" max="6" width="9.7109375" style="7" customWidth="1"/>
    <col min="7" max="7" width="9.140625" style="9"/>
    <col min="8" max="8" width="9.140625" style="8"/>
    <col min="9" max="38" width="9.140625" style="7"/>
    <col min="39" max="39" width="12.85546875" style="7" customWidth="1"/>
    <col min="40" max="52" width="11" style="7" customWidth="1"/>
    <col min="53" max="16384" width="9.140625" style="7"/>
  </cols>
  <sheetData>
    <row r="1" spans="1:55" ht="33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214</v>
      </c>
      <c r="F1" s="6" t="s">
        <v>4</v>
      </c>
      <c r="G1" s="6" t="s">
        <v>5</v>
      </c>
      <c r="H1" s="6" t="s">
        <v>8</v>
      </c>
      <c r="I1" s="6" t="s">
        <v>283</v>
      </c>
      <c r="J1" s="6" t="s">
        <v>284</v>
      </c>
      <c r="K1" s="6" t="s">
        <v>285</v>
      </c>
      <c r="L1" s="6" t="s">
        <v>286</v>
      </c>
      <c r="M1" s="6" t="s">
        <v>13</v>
      </c>
      <c r="N1" s="6" t="s">
        <v>14</v>
      </c>
      <c r="O1" s="6" t="s">
        <v>283</v>
      </c>
      <c r="P1" s="6" t="s">
        <v>284</v>
      </c>
      <c r="Q1" s="6" t="s">
        <v>285</v>
      </c>
      <c r="R1" s="6" t="s">
        <v>286</v>
      </c>
      <c r="S1" s="6" t="s">
        <v>15</v>
      </c>
      <c r="T1" s="6" t="s">
        <v>16</v>
      </c>
      <c r="U1" s="6" t="s">
        <v>283</v>
      </c>
      <c r="V1" s="6" t="s">
        <v>284</v>
      </c>
      <c r="W1" s="6" t="s">
        <v>285</v>
      </c>
      <c r="X1" s="6" t="s">
        <v>286</v>
      </c>
      <c r="Y1" s="6" t="s">
        <v>17</v>
      </c>
      <c r="Z1" s="6" t="s">
        <v>18</v>
      </c>
      <c r="AA1" s="6" t="s">
        <v>283</v>
      </c>
      <c r="AB1" s="6" t="s">
        <v>284</v>
      </c>
      <c r="AC1" s="6" t="s">
        <v>285</v>
      </c>
      <c r="AD1" s="6" t="s">
        <v>286</v>
      </c>
      <c r="AE1" s="6" t="s">
        <v>19</v>
      </c>
      <c r="AF1" s="6" t="s">
        <v>20</v>
      </c>
      <c r="AG1" s="6" t="s">
        <v>283</v>
      </c>
      <c r="AH1" s="6" t="s">
        <v>284</v>
      </c>
      <c r="AI1" s="6" t="s">
        <v>285</v>
      </c>
      <c r="AJ1" s="6" t="s">
        <v>286</v>
      </c>
      <c r="AK1" s="6" t="s">
        <v>21</v>
      </c>
      <c r="AL1" s="6" t="s">
        <v>22</v>
      </c>
      <c r="AM1" s="6" t="s">
        <v>23</v>
      </c>
      <c r="AN1" s="6" t="s">
        <v>25</v>
      </c>
      <c r="AO1" s="1" t="s">
        <v>288</v>
      </c>
      <c r="AP1" s="1" t="s">
        <v>290</v>
      </c>
      <c r="AQ1" s="1" t="s">
        <v>289</v>
      </c>
      <c r="AR1" s="1" t="s">
        <v>291</v>
      </c>
      <c r="AS1" s="1" t="s">
        <v>287</v>
      </c>
      <c r="AT1" s="1" t="s">
        <v>329</v>
      </c>
      <c r="AU1" s="1" t="s">
        <v>330</v>
      </c>
      <c r="AV1" s="1"/>
      <c r="AW1" s="6" t="s">
        <v>215</v>
      </c>
      <c r="AX1" s="6" t="s">
        <v>27</v>
      </c>
      <c r="AY1" s="6" t="s">
        <v>28</v>
      </c>
      <c r="AZ1" s="6" t="s">
        <v>29</v>
      </c>
      <c r="BB1" s="1" t="s">
        <v>331</v>
      </c>
      <c r="BC1" s="1" t="s">
        <v>332</v>
      </c>
    </row>
    <row r="2" spans="1:55" x14ac:dyDescent="0.25">
      <c r="A2" s="8"/>
      <c r="B2" s="8"/>
      <c r="C2" s="8"/>
      <c r="D2" s="8"/>
      <c r="E2" s="8"/>
      <c r="F2" s="8" t="s">
        <v>30</v>
      </c>
      <c r="G2" s="8" t="s">
        <v>31</v>
      </c>
      <c r="H2" s="8" t="s">
        <v>30</v>
      </c>
      <c r="I2" s="8" t="s">
        <v>31</v>
      </c>
      <c r="J2" s="8"/>
      <c r="K2" s="8" t="s">
        <v>31</v>
      </c>
      <c r="L2" s="8"/>
      <c r="M2" s="8" t="s">
        <v>32</v>
      </c>
      <c r="N2" s="8" t="s">
        <v>30</v>
      </c>
      <c r="O2" s="8" t="s">
        <v>31</v>
      </c>
      <c r="P2" s="8"/>
      <c r="Q2" s="8" t="s">
        <v>31</v>
      </c>
      <c r="R2" s="8"/>
      <c r="S2" s="8" t="s">
        <v>32</v>
      </c>
      <c r="T2" s="8" t="s">
        <v>30</v>
      </c>
      <c r="U2" s="8" t="s">
        <v>31</v>
      </c>
      <c r="V2" s="8"/>
      <c r="W2" s="8" t="s">
        <v>31</v>
      </c>
      <c r="X2" s="8"/>
      <c r="Y2" s="8" t="s">
        <v>32</v>
      </c>
      <c r="Z2" s="8" t="s">
        <v>30</v>
      </c>
      <c r="AA2" s="8" t="s">
        <v>31</v>
      </c>
      <c r="AB2" s="8"/>
      <c r="AC2" s="8" t="s">
        <v>31</v>
      </c>
      <c r="AD2" s="8"/>
      <c r="AE2" s="8" t="s">
        <v>32</v>
      </c>
      <c r="AF2" s="8" t="s">
        <v>30</v>
      </c>
      <c r="AG2" s="8" t="s">
        <v>31</v>
      </c>
      <c r="AH2" s="8"/>
      <c r="AI2" s="8" t="s">
        <v>31</v>
      </c>
      <c r="AJ2" s="8"/>
      <c r="AK2" s="8" t="s">
        <v>32</v>
      </c>
      <c r="AL2" s="8"/>
      <c r="AM2" s="8" t="s">
        <v>33</v>
      </c>
      <c r="AN2" s="8" t="s">
        <v>30</v>
      </c>
      <c r="AO2" s="8" t="s">
        <v>31</v>
      </c>
      <c r="AP2" s="8"/>
      <c r="AQ2" s="8" t="s">
        <v>31</v>
      </c>
      <c r="AR2" s="8"/>
      <c r="AS2" s="8"/>
      <c r="AT2" s="8"/>
      <c r="AU2" s="8"/>
      <c r="AV2" s="8"/>
      <c r="AW2" s="8"/>
      <c r="AX2" s="8"/>
      <c r="AY2" s="8"/>
      <c r="AZ2" s="8"/>
    </row>
    <row r="3" spans="1:55" s="126" customFormat="1" x14ac:dyDescent="0.25">
      <c r="A3" s="123" t="s">
        <v>225</v>
      </c>
      <c r="B3" s="123" t="s">
        <v>164</v>
      </c>
      <c r="C3" s="52">
        <v>1</v>
      </c>
      <c r="D3" s="52">
        <v>25</v>
      </c>
      <c r="E3" s="52">
        <f>C3*D3</f>
        <v>25</v>
      </c>
      <c r="F3" s="53">
        <v>660</v>
      </c>
      <c r="G3" s="52">
        <v>110</v>
      </c>
      <c r="H3" s="52">
        <v>215</v>
      </c>
      <c r="I3" s="52">
        <v>130</v>
      </c>
      <c r="J3" s="52">
        <v>0.49099999999999999</v>
      </c>
      <c r="K3" s="52">
        <v>110</v>
      </c>
      <c r="L3" s="52">
        <v>0.52</v>
      </c>
      <c r="M3" s="52">
        <v>2000</v>
      </c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3">
        <f>AK3+AE3+Y3+S3+M3</f>
        <v>2000</v>
      </c>
      <c r="AM3" s="53">
        <f>AF3*AK3*60+Z3*AE3*60+T3*Y3*60+N3*S3*60+H3*M3*60</f>
        <v>25800000</v>
      </c>
      <c r="AN3" s="53">
        <f>(AM3/AL3)/60</f>
        <v>215</v>
      </c>
      <c r="AO3" s="53">
        <f t="shared" ref="AO3:AR5" si="0">AVERAGE(AG3,AA3,U3,O3,I3)</f>
        <v>130</v>
      </c>
      <c r="AP3" s="124">
        <f t="shared" si="0"/>
        <v>0.49099999999999999</v>
      </c>
      <c r="AQ3" s="53">
        <f t="shared" si="0"/>
        <v>110</v>
      </c>
      <c r="AR3" s="124">
        <f t="shared" si="0"/>
        <v>0.52</v>
      </c>
      <c r="AS3" s="124">
        <v>0.95099999999999996</v>
      </c>
      <c r="AT3" s="124">
        <f>((AN3*AO3/AP3))*AL3*0.746/(3956*E3)</f>
        <v>858.76206499601517</v>
      </c>
      <c r="AU3" s="124">
        <f>((AN3*AQ3/AR3))*AL3*0.746/(3956*E3)</f>
        <v>686.12040133779249</v>
      </c>
      <c r="AV3" s="124">
        <f>AT3-AU3</f>
        <v>172.64166365822268</v>
      </c>
      <c r="AW3" s="53">
        <f>((AN3*AO3/AP3)-(AN3*AQ3/AR3))*AL3*0.746/3956</f>
        <v>4316.041591455567</v>
      </c>
      <c r="AX3" s="125">
        <f t="shared" ref="AX3:AX34" si="1">AW3/E3</f>
        <v>172.64166365822268</v>
      </c>
      <c r="AY3" s="125">
        <f>AW3/AL3</f>
        <v>2.1580207957277833</v>
      </c>
      <c r="AZ3" s="124">
        <f t="shared" ref="AZ3:AZ34" si="2">AY3/E3</f>
        <v>8.6320831829111336E-2</v>
      </c>
      <c r="BB3" s="209">
        <f>SUM(AW3:AW7)/SUMPRODUCT(C3:D7)</f>
        <v>193.66993283579345</v>
      </c>
      <c r="BC3" s="209">
        <f>SUM(AY3:AY7)/SUMPRODUCT(C3:D7)</f>
        <v>0.14023875199375965</v>
      </c>
    </row>
    <row r="4" spans="1:55" s="126" customFormat="1" x14ac:dyDescent="0.25">
      <c r="A4" s="123" t="s">
        <v>217</v>
      </c>
      <c r="B4" s="123" t="s">
        <v>81</v>
      </c>
      <c r="C4" s="52">
        <v>1</v>
      </c>
      <c r="D4" s="52">
        <v>30</v>
      </c>
      <c r="E4" s="52">
        <f>C4*D4</f>
        <v>30</v>
      </c>
      <c r="F4" s="53">
        <v>800</v>
      </c>
      <c r="G4" s="52">
        <v>114</v>
      </c>
      <c r="H4" s="52">
        <v>700</v>
      </c>
      <c r="I4" s="52">
        <v>123</v>
      </c>
      <c r="J4" s="52">
        <v>0.84699999999999998</v>
      </c>
      <c r="K4" s="52">
        <v>114</v>
      </c>
      <c r="L4" s="52">
        <v>0.84799999999999998</v>
      </c>
      <c r="M4" s="52">
        <v>675</v>
      </c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3">
        <f>AK4+AE4+Y4+S4+M4</f>
        <v>675</v>
      </c>
      <c r="AM4" s="53">
        <f>AF4*AK4*60+Z4*AE4*60+T4*Y4*60+N4*S4*60+H4*M4*60</f>
        <v>28350000</v>
      </c>
      <c r="AN4" s="53">
        <f>(AM4/AL4)/60</f>
        <v>700</v>
      </c>
      <c r="AO4" s="53">
        <f t="shared" si="0"/>
        <v>123</v>
      </c>
      <c r="AP4" s="124">
        <f t="shared" si="0"/>
        <v>0.84699999999999998</v>
      </c>
      <c r="AQ4" s="53">
        <f t="shared" si="0"/>
        <v>114</v>
      </c>
      <c r="AR4" s="124">
        <f t="shared" si="0"/>
        <v>0.84799999999999998</v>
      </c>
      <c r="AS4" s="124">
        <v>0.95899999999999996</v>
      </c>
      <c r="AT4" s="124">
        <f>((AN4*AO4/AP4))*AL4*0.746/(3956*E4)</f>
        <v>431.3053088101347</v>
      </c>
      <c r="AU4" s="124">
        <f>((AN4*AQ4/AR4))*AL4*0.746/(3956*E4)</f>
        <v>399.27498473777592</v>
      </c>
      <c r="AV4" s="124"/>
      <c r="AW4" s="53">
        <f>((AN4*AO4/AP4)-(AN4*AQ4/AR4))*AL4*0.746/3956</f>
        <v>960.90972217076182</v>
      </c>
      <c r="AX4" s="125">
        <f t="shared" si="1"/>
        <v>32.030324072358731</v>
      </c>
      <c r="AY4" s="125">
        <f>AW4/AL4</f>
        <v>1.4235699587714989</v>
      </c>
      <c r="AZ4" s="124">
        <f t="shared" si="2"/>
        <v>4.7452331959049965E-2</v>
      </c>
      <c r="BB4" s="209"/>
      <c r="BC4" s="209"/>
    </row>
    <row r="5" spans="1:55" s="126" customFormat="1" x14ac:dyDescent="0.25">
      <c r="A5" s="123" t="s">
        <v>232</v>
      </c>
      <c r="B5" s="123" t="s">
        <v>233</v>
      </c>
      <c r="C5" s="52">
        <v>1</v>
      </c>
      <c r="D5" s="52">
        <v>30</v>
      </c>
      <c r="E5" s="52">
        <f>C5*D5</f>
        <v>30</v>
      </c>
      <c r="F5" s="53">
        <v>600</v>
      </c>
      <c r="G5" s="52">
        <v>160</v>
      </c>
      <c r="H5" s="52">
        <v>451</v>
      </c>
      <c r="I5" s="52">
        <v>177</v>
      </c>
      <c r="J5" s="52">
        <v>0.72699999999999998</v>
      </c>
      <c r="K5" s="52">
        <v>160</v>
      </c>
      <c r="L5" s="52">
        <v>0.74299999999999999</v>
      </c>
      <c r="M5" s="52">
        <v>681</v>
      </c>
      <c r="N5" s="52">
        <v>446</v>
      </c>
      <c r="O5" s="52">
        <v>178</v>
      </c>
      <c r="P5" s="52">
        <v>0.72299999999999998</v>
      </c>
      <c r="Q5" s="52">
        <v>160</v>
      </c>
      <c r="R5" s="52">
        <v>0.73899999999999999</v>
      </c>
      <c r="S5" s="52">
        <v>681</v>
      </c>
      <c r="T5" s="52">
        <v>374</v>
      </c>
      <c r="U5" s="52">
        <v>182</v>
      </c>
      <c r="V5" s="52">
        <v>0.65100000000000002</v>
      </c>
      <c r="W5" s="52">
        <v>160</v>
      </c>
      <c r="X5" s="52">
        <v>0.67700000000000005</v>
      </c>
      <c r="Y5" s="52">
        <v>681</v>
      </c>
      <c r="Z5" s="52">
        <v>227</v>
      </c>
      <c r="AA5" s="52">
        <v>186</v>
      </c>
      <c r="AB5" s="52">
        <v>0.436</v>
      </c>
      <c r="AC5" s="52">
        <v>160</v>
      </c>
      <c r="AD5" s="52">
        <v>0.46500000000000002</v>
      </c>
      <c r="AE5" s="52">
        <v>681</v>
      </c>
      <c r="AF5" s="52">
        <v>525</v>
      </c>
      <c r="AG5" s="52">
        <v>170</v>
      </c>
      <c r="AH5" s="52">
        <v>0.77</v>
      </c>
      <c r="AI5" s="52">
        <v>160</v>
      </c>
      <c r="AJ5" s="52">
        <v>0.77400000000000002</v>
      </c>
      <c r="AK5" s="52">
        <v>681</v>
      </c>
      <c r="AL5" s="53">
        <f>AK5+AE5+Y5+S5+M5</f>
        <v>3405</v>
      </c>
      <c r="AM5" s="53">
        <f>AF5*AK5*60+Z5*AE5*60+T5*Y5*60+N5*S5*60+H5*M5*60</f>
        <v>82659780</v>
      </c>
      <c r="AN5" s="53">
        <f>(AM5/AL5)/60</f>
        <v>404.6</v>
      </c>
      <c r="AO5" s="53">
        <f t="shared" si="0"/>
        <v>178.6</v>
      </c>
      <c r="AP5" s="124">
        <f t="shared" si="0"/>
        <v>0.66139999999999999</v>
      </c>
      <c r="AQ5" s="53">
        <f t="shared" si="0"/>
        <v>160</v>
      </c>
      <c r="AR5" s="124">
        <f t="shared" si="0"/>
        <v>0.67959999999999998</v>
      </c>
      <c r="AS5" s="127">
        <v>0.95579999999999998</v>
      </c>
      <c r="AT5" s="124">
        <f>((AN5*AO5/AP5))*AL5*0.746/(3956*E5)</f>
        <v>2338.4147862502036</v>
      </c>
      <c r="AU5" s="124">
        <f>((AN5*AQ5/AR5))*AL5*0.746/(3956*E5)</f>
        <v>2038.7824991921138</v>
      </c>
      <c r="AV5" s="127"/>
      <c r="AW5" s="53">
        <f>((AN5*AO5/AP5)-(AN5*AQ5/AR5))*AL5*0.746/3956</f>
        <v>8988.9686117426882</v>
      </c>
      <c r="AX5" s="125">
        <f t="shared" si="1"/>
        <v>299.63228705808962</v>
      </c>
      <c r="AY5" s="125">
        <f>AW5/AL5</f>
        <v>2.6399320445646661</v>
      </c>
      <c r="AZ5" s="124">
        <f t="shared" si="2"/>
        <v>8.7997734818822199E-2</v>
      </c>
      <c r="BB5" s="209"/>
      <c r="BC5" s="209"/>
    </row>
    <row r="6" spans="1:55" s="126" customFormat="1" x14ac:dyDescent="0.25">
      <c r="A6" s="126" t="s">
        <v>320</v>
      </c>
      <c r="C6" s="52">
        <v>1</v>
      </c>
      <c r="D6" s="52">
        <v>30</v>
      </c>
      <c r="E6" s="52">
        <f>D6</f>
        <v>30</v>
      </c>
      <c r="G6" s="128"/>
      <c r="H6" s="52"/>
      <c r="AW6" s="53">
        <v>7656</v>
      </c>
      <c r="AX6" s="125">
        <f t="shared" si="1"/>
        <v>255.2</v>
      </c>
      <c r="AY6" s="52">
        <v>7.7</v>
      </c>
      <c r="AZ6" s="124">
        <f t="shared" si="2"/>
        <v>0.25666666666666665</v>
      </c>
      <c r="BB6" s="209"/>
      <c r="BC6" s="209"/>
    </row>
    <row r="7" spans="1:55" s="126" customFormat="1" x14ac:dyDescent="0.25">
      <c r="A7" s="50" t="s">
        <v>311</v>
      </c>
      <c r="C7" s="52">
        <v>1</v>
      </c>
      <c r="D7" s="52">
        <v>30</v>
      </c>
      <c r="E7" s="52">
        <f>D7</f>
        <v>30</v>
      </c>
      <c r="G7" s="128"/>
      <c r="H7" s="52"/>
      <c r="AW7" s="53">
        <v>7128.57</v>
      </c>
      <c r="AX7" s="125">
        <f t="shared" si="1"/>
        <v>237.619</v>
      </c>
      <c r="AY7" s="52">
        <v>7.1142899999999996</v>
      </c>
      <c r="AZ7" s="124">
        <f t="shared" si="2"/>
        <v>0.23714299999999999</v>
      </c>
      <c r="BB7" s="209"/>
      <c r="BC7" s="209"/>
    </row>
    <row r="8" spans="1:55" s="135" customFormat="1" x14ac:dyDescent="0.25">
      <c r="A8" s="129" t="s">
        <v>219</v>
      </c>
      <c r="B8" s="129" t="s">
        <v>220</v>
      </c>
      <c r="C8" s="130">
        <v>1</v>
      </c>
      <c r="D8" s="130">
        <v>40</v>
      </c>
      <c r="E8" s="130">
        <f t="shared" ref="E8:E16" si="3">C8*D8</f>
        <v>40</v>
      </c>
      <c r="F8" s="131">
        <v>1200</v>
      </c>
      <c r="G8" s="130">
        <v>102.5</v>
      </c>
      <c r="H8" s="130">
        <v>1200</v>
      </c>
      <c r="I8" s="130">
        <v>103</v>
      </c>
      <c r="J8" s="130">
        <v>0.83799999999999997</v>
      </c>
      <c r="K8" s="130">
        <v>103</v>
      </c>
      <c r="L8" s="130">
        <v>0.83799999999999997</v>
      </c>
      <c r="M8" s="130">
        <v>250</v>
      </c>
      <c r="N8" s="130">
        <v>850</v>
      </c>
      <c r="O8" s="130">
        <v>122</v>
      </c>
      <c r="P8" s="130">
        <v>0.77800000000000002</v>
      </c>
      <c r="Q8" s="130">
        <v>103</v>
      </c>
      <c r="R8" s="130">
        <v>0.80100000000000005</v>
      </c>
      <c r="S8" s="130">
        <v>650</v>
      </c>
      <c r="T8" s="130">
        <v>500</v>
      </c>
      <c r="U8" s="130">
        <v>131</v>
      </c>
      <c r="V8" s="130">
        <v>0.57099999999999995</v>
      </c>
      <c r="W8" s="130">
        <v>103</v>
      </c>
      <c r="X8" s="130">
        <v>0.62</v>
      </c>
      <c r="Y8" s="130">
        <v>400</v>
      </c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1">
        <f t="shared" ref="AL8:AL16" si="4">AK8+AE8+Y8+S8+M8</f>
        <v>1300</v>
      </c>
      <c r="AM8" s="131">
        <f t="shared" ref="AM8:AM16" si="5">AF8*AK8*60+Z8*AE8*60+T8*Y8*60+N8*S8*60+H8*M8*60</f>
        <v>63150000</v>
      </c>
      <c r="AN8" s="131">
        <f t="shared" ref="AN8:AN16" si="6">(AM8/AL8)/60</f>
        <v>809.61538461538464</v>
      </c>
      <c r="AO8" s="131">
        <f t="shared" ref="AO8:AO16" si="7">AVERAGE(AG8,AA8,U8,O8,I8)</f>
        <v>118.66666666666667</v>
      </c>
      <c r="AP8" s="132">
        <f t="shared" ref="AP8:AP16" si="8">AVERAGE(AH8,AB8,V8,P8,J8)</f>
        <v>0.72899999999999998</v>
      </c>
      <c r="AQ8" s="131">
        <f t="shared" ref="AQ8:AQ16" si="9">AVERAGE(AI8,AC8,W8,Q8,K8)</f>
        <v>103</v>
      </c>
      <c r="AR8" s="132">
        <f t="shared" ref="AR8:AR16" si="10">AVERAGE(AJ8,AD8,X8,R8,L8)</f>
        <v>0.753</v>
      </c>
      <c r="AS8" s="133">
        <v>0.95126923076923087</v>
      </c>
      <c r="AT8" s="132">
        <f t="shared" ref="AT8:AT16" si="11">((AN8*AO8/AP8))*AL8*0.746/(3956*E8)</f>
        <v>807.69216988149947</v>
      </c>
      <c r="AU8" s="132">
        <f t="shared" ref="AU8:AU16" si="12">((AN8*AQ8/AR8))*AL8*0.746/(3956*E8)</f>
        <v>678.71415416863056</v>
      </c>
      <c r="AV8" s="133"/>
      <c r="AW8" s="131">
        <f t="shared" ref="AW8:AW16" si="13">((AN8*AO8/AP8)-(AN8*AQ8/AR8))*AL8*0.746/3956</f>
        <v>5159.1206285147546</v>
      </c>
      <c r="AX8" s="134">
        <f t="shared" si="1"/>
        <v>128.97801571286885</v>
      </c>
      <c r="AY8" s="134">
        <f t="shared" ref="AY8:AY16" si="14">AW8/AL8</f>
        <v>3.9685543296267345</v>
      </c>
      <c r="AZ8" s="132">
        <f t="shared" si="2"/>
        <v>9.9213858240668362E-2</v>
      </c>
      <c r="BB8" s="208">
        <f>SUM(AW8:AW17)/SUMPRODUCT(C8:D17)</f>
        <v>271.0797162734363</v>
      </c>
      <c r="BC8" s="208">
        <f>SUM(AY8:AY17)/SUMPRODUCT(C8:D17)</f>
        <v>0.110983688235763</v>
      </c>
    </row>
    <row r="9" spans="1:55" s="135" customFormat="1" x14ac:dyDescent="0.25">
      <c r="A9" s="136" t="s">
        <v>222</v>
      </c>
      <c r="B9" s="129" t="s">
        <v>223</v>
      </c>
      <c r="C9" s="130">
        <v>1</v>
      </c>
      <c r="D9" s="130">
        <v>40</v>
      </c>
      <c r="E9" s="130">
        <f t="shared" si="3"/>
        <v>40</v>
      </c>
      <c r="F9" s="131">
        <v>1100</v>
      </c>
      <c r="G9" s="130">
        <v>100</v>
      </c>
      <c r="H9" s="130">
        <v>1100</v>
      </c>
      <c r="I9" s="130">
        <v>101</v>
      </c>
      <c r="J9" s="130">
        <v>0.81200000000000006</v>
      </c>
      <c r="K9" s="130">
        <v>100</v>
      </c>
      <c r="L9" s="130">
        <v>0.81200000000000006</v>
      </c>
      <c r="M9" s="130">
        <v>900</v>
      </c>
      <c r="N9" s="130">
        <v>550</v>
      </c>
      <c r="O9" s="130">
        <v>137</v>
      </c>
      <c r="P9" s="130">
        <v>0.77100000000000002</v>
      </c>
      <c r="Q9" s="130">
        <v>100</v>
      </c>
      <c r="R9" s="130">
        <v>0.81200000000000006</v>
      </c>
      <c r="S9" s="130">
        <v>900</v>
      </c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1">
        <f t="shared" si="4"/>
        <v>1800</v>
      </c>
      <c r="AM9" s="131">
        <f t="shared" si="5"/>
        <v>89100000</v>
      </c>
      <c r="AN9" s="131">
        <f t="shared" si="6"/>
        <v>825</v>
      </c>
      <c r="AO9" s="131">
        <f t="shared" si="7"/>
        <v>119</v>
      </c>
      <c r="AP9" s="132">
        <f t="shared" si="8"/>
        <v>0.79150000000000009</v>
      </c>
      <c r="AQ9" s="131">
        <f t="shared" si="9"/>
        <v>100</v>
      </c>
      <c r="AR9" s="132">
        <f t="shared" si="10"/>
        <v>0.81200000000000006</v>
      </c>
      <c r="AS9" s="132">
        <v>0.95150000000000001</v>
      </c>
      <c r="AT9" s="132">
        <f t="shared" si="11"/>
        <v>1052.5556069384834</v>
      </c>
      <c r="AU9" s="132">
        <f t="shared" si="12"/>
        <v>862.17014001304995</v>
      </c>
      <c r="AV9" s="132"/>
      <c r="AW9" s="131">
        <f t="shared" si="13"/>
        <v>7615.4186770173483</v>
      </c>
      <c r="AX9" s="134">
        <f t="shared" si="1"/>
        <v>190.38546692543372</v>
      </c>
      <c r="AY9" s="134">
        <f t="shared" si="14"/>
        <v>4.2307881538985272</v>
      </c>
      <c r="AZ9" s="132">
        <f t="shared" si="2"/>
        <v>0.10576970384746318</v>
      </c>
      <c r="BB9" s="208"/>
      <c r="BC9" s="208"/>
    </row>
    <row r="10" spans="1:55" s="135" customFormat="1" x14ac:dyDescent="0.25">
      <c r="A10" s="136" t="s">
        <v>222</v>
      </c>
      <c r="B10" s="129" t="s">
        <v>223</v>
      </c>
      <c r="C10" s="130">
        <v>1</v>
      </c>
      <c r="D10" s="130">
        <v>40</v>
      </c>
      <c r="E10" s="130">
        <f t="shared" si="3"/>
        <v>40</v>
      </c>
      <c r="F10" s="131">
        <v>1100</v>
      </c>
      <c r="G10" s="130">
        <v>100</v>
      </c>
      <c r="H10" s="130">
        <v>1100</v>
      </c>
      <c r="I10" s="130">
        <v>101</v>
      </c>
      <c r="J10" s="130">
        <v>0.81200000000000006</v>
      </c>
      <c r="K10" s="130">
        <v>100</v>
      </c>
      <c r="L10" s="130">
        <v>0.81200000000000006</v>
      </c>
      <c r="M10" s="130">
        <v>900</v>
      </c>
      <c r="N10" s="130">
        <v>550</v>
      </c>
      <c r="O10" s="130">
        <v>137</v>
      </c>
      <c r="P10" s="130">
        <v>0.77100000000000002</v>
      </c>
      <c r="Q10" s="130">
        <v>100</v>
      </c>
      <c r="R10" s="130">
        <v>0.81200000000000006</v>
      </c>
      <c r="S10" s="130">
        <v>900</v>
      </c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1">
        <f t="shared" si="4"/>
        <v>1800</v>
      </c>
      <c r="AM10" s="131">
        <f t="shared" si="5"/>
        <v>89100000</v>
      </c>
      <c r="AN10" s="131">
        <f t="shared" si="6"/>
        <v>825</v>
      </c>
      <c r="AO10" s="131">
        <f t="shared" si="7"/>
        <v>119</v>
      </c>
      <c r="AP10" s="132">
        <f t="shared" si="8"/>
        <v>0.79150000000000009</v>
      </c>
      <c r="AQ10" s="131">
        <f t="shared" si="9"/>
        <v>100</v>
      </c>
      <c r="AR10" s="132">
        <f t="shared" si="10"/>
        <v>0.81200000000000006</v>
      </c>
      <c r="AS10" s="132">
        <v>0.95150000000000001</v>
      </c>
      <c r="AT10" s="132">
        <f t="shared" si="11"/>
        <v>1052.5556069384834</v>
      </c>
      <c r="AU10" s="132">
        <f t="shared" si="12"/>
        <v>862.17014001304995</v>
      </c>
      <c r="AV10" s="132"/>
      <c r="AW10" s="131">
        <f t="shared" si="13"/>
        <v>7615.4186770173483</v>
      </c>
      <c r="AX10" s="134">
        <f t="shared" si="1"/>
        <v>190.38546692543372</v>
      </c>
      <c r="AY10" s="134">
        <f t="shared" si="14"/>
        <v>4.2307881538985272</v>
      </c>
      <c r="AZ10" s="132">
        <f t="shared" si="2"/>
        <v>0.10576970384746318</v>
      </c>
      <c r="BB10" s="208"/>
      <c r="BC10" s="208"/>
    </row>
    <row r="11" spans="1:55" s="135" customFormat="1" x14ac:dyDescent="0.25">
      <c r="A11" s="129" t="s">
        <v>224</v>
      </c>
      <c r="B11" s="129" t="s">
        <v>73</v>
      </c>
      <c r="C11" s="130">
        <v>1</v>
      </c>
      <c r="D11" s="130">
        <v>40</v>
      </c>
      <c r="E11" s="130">
        <f t="shared" si="3"/>
        <v>40</v>
      </c>
      <c r="F11" s="131">
        <v>1000</v>
      </c>
      <c r="G11" s="130">
        <v>84.23</v>
      </c>
      <c r="H11" s="130">
        <v>867</v>
      </c>
      <c r="I11" s="130">
        <v>102</v>
      </c>
      <c r="J11" s="130">
        <v>0.81100000000000005</v>
      </c>
      <c r="K11" s="130">
        <v>84</v>
      </c>
      <c r="L11" s="130">
        <v>0.78700000000000003</v>
      </c>
      <c r="M11" s="130">
        <v>970</v>
      </c>
      <c r="N11" s="130">
        <v>795</v>
      </c>
      <c r="O11" s="130">
        <v>108</v>
      </c>
      <c r="P11" s="130">
        <v>0.83699999999999997</v>
      </c>
      <c r="Q11" s="130">
        <v>84</v>
      </c>
      <c r="R11" s="130">
        <v>0.80900000000000005</v>
      </c>
      <c r="S11" s="130">
        <v>970</v>
      </c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1">
        <f t="shared" si="4"/>
        <v>1940</v>
      </c>
      <c r="AM11" s="131">
        <f t="shared" si="5"/>
        <v>96728400</v>
      </c>
      <c r="AN11" s="131">
        <f t="shared" si="6"/>
        <v>831</v>
      </c>
      <c r="AO11" s="131">
        <f t="shared" si="7"/>
        <v>105</v>
      </c>
      <c r="AP11" s="132">
        <f t="shared" si="8"/>
        <v>0.82400000000000007</v>
      </c>
      <c r="AQ11" s="131">
        <f t="shared" si="9"/>
        <v>84</v>
      </c>
      <c r="AR11" s="132">
        <f t="shared" si="10"/>
        <v>0.79800000000000004</v>
      </c>
      <c r="AS11" s="133">
        <v>0.95685845632712319</v>
      </c>
      <c r="AT11" s="132">
        <f t="shared" si="11"/>
        <v>968.47272515878535</v>
      </c>
      <c r="AU11" s="132">
        <f t="shared" si="12"/>
        <v>800.02157947953799</v>
      </c>
      <c r="AV11" s="133"/>
      <c r="AW11" s="131">
        <f t="shared" si="13"/>
        <v>6738.045827169899</v>
      </c>
      <c r="AX11" s="134">
        <f t="shared" si="1"/>
        <v>168.45114567924747</v>
      </c>
      <c r="AY11" s="134">
        <f t="shared" si="14"/>
        <v>3.4732194985411851</v>
      </c>
      <c r="AZ11" s="132">
        <f t="shared" si="2"/>
        <v>8.6830487463529629E-2</v>
      </c>
      <c r="BB11" s="208"/>
      <c r="BC11" s="208"/>
    </row>
    <row r="12" spans="1:55" s="135" customFormat="1" x14ac:dyDescent="0.25">
      <c r="A12" s="129" t="s">
        <v>228</v>
      </c>
      <c r="B12" s="129" t="s">
        <v>136</v>
      </c>
      <c r="C12" s="130">
        <v>1</v>
      </c>
      <c r="D12" s="130">
        <v>40</v>
      </c>
      <c r="E12" s="130">
        <f t="shared" si="3"/>
        <v>40</v>
      </c>
      <c r="F12" s="131">
        <v>800</v>
      </c>
      <c r="G12" s="130">
        <v>103.82</v>
      </c>
      <c r="H12" s="130">
        <v>644</v>
      </c>
      <c r="I12" s="130">
        <v>154</v>
      </c>
      <c r="J12" s="130">
        <v>0.79400000000000004</v>
      </c>
      <c r="K12" s="130">
        <v>131</v>
      </c>
      <c r="L12" s="130">
        <v>0.79500000000000004</v>
      </c>
      <c r="M12" s="130">
        <v>1960</v>
      </c>
      <c r="N12" s="130">
        <v>322</v>
      </c>
      <c r="O12" s="130">
        <v>163</v>
      </c>
      <c r="P12" s="130">
        <v>0.61199999999999999</v>
      </c>
      <c r="Q12" s="130">
        <v>110</v>
      </c>
      <c r="R12" s="130">
        <v>0.68</v>
      </c>
      <c r="S12" s="130">
        <v>840</v>
      </c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1">
        <f t="shared" si="4"/>
        <v>2800</v>
      </c>
      <c r="AM12" s="131">
        <f t="shared" si="5"/>
        <v>91963200</v>
      </c>
      <c r="AN12" s="131">
        <f t="shared" si="6"/>
        <v>547.4</v>
      </c>
      <c r="AO12" s="131">
        <f t="shared" si="7"/>
        <v>158.5</v>
      </c>
      <c r="AP12" s="132">
        <f t="shared" si="8"/>
        <v>0.70300000000000007</v>
      </c>
      <c r="AQ12" s="131">
        <f t="shared" si="9"/>
        <v>120.5</v>
      </c>
      <c r="AR12" s="132">
        <f t="shared" si="10"/>
        <v>0.73750000000000004</v>
      </c>
      <c r="AS12" s="133">
        <v>0.94689999999999985</v>
      </c>
      <c r="AT12" s="132">
        <f t="shared" si="11"/>
        <v>1629.1434218796517</v>
      </c>
      <c r="AU12" s="132">
        <f t="shared" si="12"/>
        <v>1180.6207173827354</v>
      </c>
      <c r="AV12" s="133"/>
      <c r="AW12" s="131">
        <f t="shared" si="13"/>
        <v>17940.90817987666</v>
      </c>
      <c r="AX12" s="134">
        <f t="shared" si="1"/>
        <v>448.5227044969165</v>
      </c>
      <c r="AY12" s="134">
        <f t="shared" si="14"/>
        <v>6.407467207098807</v>
      </c>
      <c r="AZ12" s="132">
        <f t="shared" si="2"/>
        <v>0.16018668017747018</v>
      </c>
      <c r="BB12" s="208"/>
      <c r="BC12" s="208"/>
    </row>
    <row r="13" spans="1:55" s="135" customFormat="1" x14ac:dyDescent="0.25">
      <c r="A13" s="129" t="s">
        <v>229</v>
      </c>
      <c r="B13" s="129" t="s">
        <v>136</v>
      </c>
      <c r="C13" s="130">
        <v>1</v>
      </c>
      <c r="D13" s="130">
        <v>40</v>
      </c>
      <c r="E13" s="130">
        <f t="shared" si="3"/>
        <v>40</v>
      </c>
      <c r="F13" s="131">
        <v>800</v>
      </c>
      <c r="G13" s="130">
        <v>103.82</v>
      </c>
      <c r="H13" s="130">
        <v>688</v>
      </c>
      <c r="I13" s="130">
        <v>152</v>
      </c>
      <c r="J13" s="130">
        <v>0.79600000000000004</v>
      </c>
      <c r="K13" s="130">
        <v>134</v>
      </c>
      <c r="L13" s="130">
        <v>0.79300000000000004</v>
      </c>
      <c r="M13" s="130">
        <v>1960</v>
      </c>
      <c r="N13" s="130">
        <v>344</v>
      </c>
      <c r="O13" s="130">
        <v>162</v>
      </c>
      <c r="P13" s="130">
        <v>0.63600000000000001</v>
      </c>
      <c r="Q13" s="130">
        <v>111</v>
      </c>
      <c r="R13" s="130">
        <v>0.7</v>
      </c>
      <c r="S13" s="130">
        <v>840</v>
      </c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1">
        <f t="shared" si="4"/>
        <v>2800</v>
      </c>
      <c r="AM13" s="131">
        <f t="shared" si="5"/>
        <v>98246400</v>
      </c>
      <c r="AN13" s="131">
        <f t="shared" si="6"/>
        <v>584.79999999999995</v>
      </c>
      <c r="AO13" s="131">
        <f t="shared" si="7"/>
        <v>157</v>
      </c>
      <c r="AP13" s="132">
        <f t="shared" si="8"/>
        <v>0.71599999999999997</v>
      </c>
      <c r="AQ13" s="131">
        <f t="shared" si="9"/>
        <v>122.5</v>
      </c>
      <c r="AR13" s="132">
        <f t="shared" si="10"/>
        <v>0.74649999999999994</v>
      </c>
      <c r="AS13" s="133">
        <v>0.94930000000000003</v>
      </c>
      <c r="AT13" s="132">
        <f t="shared" si="11"/>
        <v>1692.6788923973766</v>
      </c>
      <c r="AU13" s="132">
        <f t="shared" si="12"/>
        <v>1266.7596610268208</v>
      </c>
      <c r="AV13" s="133"/>
      <c r="AW13" s="131">
        <f t="shared" si="13"/>
        <v>17036.769254822226</v>
      </c>
      <c r="AX13" s="134">
        <f t="shared" si="1"/>
        <v>425.91923137055562</v>
      </c>
      <c r="AY13" s="134">
        <f t="shared" si="14"/>
        <v>6.0845604481507953</v>
      </c>
      <c r="AZ13" s="132">
        <f t="shared" si="2"/>
        <v>0.15211401120376988</v>
      </c>
      <c r="BB13" s="208"/>
      <c r="BC13" s="208"/>
    </row>
    <row r="14" spans="1:55" s="135" customFormat="1" x14ac:dyDescent="0.25">
      <c r="A14" s="129" t="s">
        <v>230</v>
      </c>
      <c r="B14" s="129" t="s">
        <v>231</v>
      </c>
      <c r="C14" s="130">
        <v>1</v>
      </c>
      <c r="D14" s="130">
        <v>40</v>
      </c>
      <c r="E14" s="130">
        <f t="shared" si="3"/>
        <v>40</v>
      </c>
      <c r="F14" s="131">
        <v>1519</v>
      </c>
      <c r="G14" s="130">
        <v>80</v>
      </c>
      <c r="H14" s="130">
        <v>1519</v>
      </c>
      <c r="I14" s="130">
        <v>58</v>
      </c>
      <c r="J14" s="130">
        <v>0.61599999999999999</v>
      </c>
      <c r="K14" s="130">
        <v>60</v>
      </c>
      <c r="L14" s="130">
        <v>0.622</v>
      </c>
      <c r="M14" s="130">
        <v>600</v>
      </c>
      <c r="N14" s="130">
        <v>400</v>
      </c>
      <c r="O14" s="130">
        <v>160</v>
      </c>
      <c r="P14" s="130">
        <v>0.58399999999999996</v>
      </c>
      <c r="Q14" s="130">
        <v>80</v>
      </c>
      <c r="R14" s="130">
        <v>0.71699999999999997</v>
      </c>
      <c r="S14" s="130">
        <v>600</v>
      </c>
      <c r="T14" s="130">
        <v>800</v>
      </c>
      <c r="U14" s="130">
        <v>143</v>
      </c>
      <c r="V14" s="130">
        <v>0.83099999999999996</v>
      </c>
      <c r="W14" s="130">
        <v>80</v>
      </c>
      <c r="X14" s="130">
        <v>0.84499999999999997</v>
      </c>
      <c r="Y14" s="130">
        <v>600</v>
      </c>
      <c r="Z14" s="130">
        <v>400</v>
      </c>
      <c r="AA14" s="130">
        <v>160</v>
      </c>
      <c r="AB14" s="130">
        <v>0.58399999999999996</v>
      </c>
      <c r="AC14" s="130">
        <v>140</v>
      </c>
      <c r="AD14" s="130">
        <v>0.60899999999999999</v>
      </c>
      <c r="AE14" s="130">
        <v>600</v>
      </c>
      <c r="AF14" s="130">
        <v>800</v>
      </c>
      <c r="AG14" s="130">
        <v>143</v>
      </c>
      <c r="AH14" s="130">
        <v>0.83099999999999996</v>
      </c>
      <c r="AI14" s="130">
        <v>140</v>
      </c>
      <c r="AJ14" s="130">
        <v>0.60899999999999999</v>
      </c>
      <c r="AK14" s="130">
        <v>600</v>
      </c>
      <c r="AL14" s="131">
        <f t="shared" si="4"/>
        <v>3000</v>
      </c>
      <c r="AM14" s="131">
        <f t="shared" si="5"/>
        <v>141084000</v>
      </c>
      <c r="AN14" s="131">
        <f t="shared" si="6"/>
        <v>783.8</v>
      </c>
      <c r="AO14" s="131">
        <f t="shared" si="7"/>
        <v>132.80000000000001</v>
      </c>
      <c r="AP14" s="132">
        <f t="shared" si="8"/>
        <v>0.68920000000000003</v>
      </c>
      <c r="AQ14" s="131">
        <f t="shared" si="9"/>
        <v>100</v>
      </c>
      <c r="AR14" s="132">
        <f t="shared" si="10"/>
        <v>0.68039999999999989</v>
      </c>
      <c r="AS14" s="133">
        <v>0.94619999999999993</v>
      </c>
      <c r="AT14" s="132">
        <f t="shared" si="11"/>
        <v>2136.0030738588785</v>
      </c>
      <c r="AU14" s="132">
        <f t="shared" si="12"/>
        <v>1629.2388674003103</v>
      </c>
      <c r="AV14" s="133"/>
      <c r="AW14" s="131">
        <f t="shared" si="13"/>
        <v>20270.568258342722</v>
      </c>
      <c r="AX14" s="134">
        <f t="shared" si="1"/>
        <v>506.76420645856808</v>
      </c>
      <c r="AY14" s="134">
        <f t="shared" si="14"/>
        <v>6.756856086114241</v>
      </c>
      <c r="AZ14" s="132">
        <f t="shared" si="2"/>
        <v>0.16892140215285603</v>
      </c>
      <c r="BB14" s="208"/>
      <c r="BC14" s="208"/>
    </row>
    <row r="15" spans="1:55" s="135" customFormat="1" x14ac:dyDescent="0.25">
      <c r="A15" s="136" t="s">
        <v>234</v>
      </c>
      <c r="B15" s="129" t="s">
        <v>73</v>
      </c>
      <c r="C15" s="130">
        <v>1</v>
      </c>
      <c r="D15" s="130">
        <v>40</v>
      </c>
      <c r="E15" s="130">
        <f t="shared" si="3"/>
        <v>40</v>
      </c>
      <c r="F15" s="131">
        <v>1000</v>
      </c>
      <c r="G15" s="130">
        <v>110</v>
      </c>
      <c r="H15" s="130">
        <v>814</v>
      </c>
      <c r="I15" s="130">
        <v>120</v>
      </c>
      <c r="J15" s="130">
        <v>0.79300000000000004</v>
      </c>
      <c r="K15" s="130">
        <v>110</v>
      </c>
      <c r="L15" s="130">
        <v>0.79600000000000004</v>
      </c>
      <c r="M15" s="130">
        <v>600</v>
      </c>
      <c r="N15" s="130">
        <v>693</v>
      </c>
      <c r="O15" s="130">
        <v>126</v>
      </c>
      <c r="P15" s="130">
        <v>0.76700000000000002</v>
      </c>
      <c r="Q15" s="130">
        <v>110</v>
      </c>
      <c r="R15" s="130">
        <v>0.77900000000000003</v>
      </c>
      <c r="S15" s="130">
        <v>941</v>
      </c>
      <c r="T15" s="130">
        <v>928</v>
      </c>
      <c r="U15" s="130">
        <v>114</v>
      </c>
      <c r="V15" s="130">
        <v>0.79900000000000004</v>
      </c>
      <c r="W15" s="130">
        <v>110</v>
      </c>
      <c r="X15" s="130">
        <v>0.79800000000000004</v>
      </c>
      <c r="Y15" s="130">
        <v>652</v>
      </c>
      <c r="Z15" s="130">
        <v>840</v>
      </c>
      <c r="AA15" s="130">
        <v>119</v>
      </c>
      <c r="AB15" s="130">
        <v>0.79600000000000004</v>
      </c>
      <c r="AC15" s="130">
        <v>110</v>
      </c>
      <c r="AD15" s="130">
        <v>0.79800000000000004</v>
      </c>
      <c r="AE15" s="130">
        <v>970</v>
      </c>
      <c r="AF15" s="130">
        <v>672</v>
      </c>
      <c r="AG15" s="130">
        <v>127</v>
      </c>
      <c r="AH15" s="130">
        <v>0.76</v>
      </c>
      <c r="AI15" s="130">
        <v>110</v>
      </c>
      <c r="AJ15" s="130">
        <v>0.77400000000000002</v>
      </c>
      <c r="AK15" s="130">
        <v>970</v>
      </c>
      <c r="AL15" s="131">
        <f t="shared" si="4"/>
        <v>4133</v>
      </c>
      <c r="AM15" s="131">
        <f t="shared" si="5"/>
        <v>192732540</v>
      </c>
      <c r="AN15" s="131">
        <f t="shared" si="6"/>
        <v>777.21001693684968</v>
      </c>
      <c r="AO15" s="131">
        <f t="shared" si="7"/>
        <v>121.2</v>
      </c>
      <c r="AP15" s="132">
        <f t="shared" si="8"/>
        <v>0.78300000000000003</v>
      </c>
      <c r="AQ15" s="131">
        <f t="shared" si="9"/>
        <v>110</v>
      </c>
      <c r="AR15" s="132">
        <f t="shared" si="10"/>
        <v>0.78900000000000003</v>
      </c>
      <c r="AS15" s="132">
        <v>0.95</v>
      </c>
      <c r="AT15" s="132">
        <f t="shared" si="11"/>
        <v>2344.0518046596853</v>
      </c>
      <c r="AU15" s="132">
        <f t="shared" si="12"/>
        <v>2111.2615076039219</v>
      </c>
      <c r="AV15" s="132"/>
      <c r="AW15" s="131">
        <f t="shared" si="13"/>
        <v>9311.6118822305434</v>
      </c>
      <c r="AX15" s="134">
        <f t="shared" si="1"/>
        <v>232.79029705576357</v>
      </c>
      <c r="AY15" s="134">
        <f t="shared" si="14"/>
        <v>2.252991019170226</v>
      </c>
      <c r="AZ15" s="132">
        <f t="shared" si="2"/>
        <v>5.632477547925565E-2</v>
      </c>
      <c r="BB15" s="208"/>
      <c r="BC15" s="208"/>
    </row>
    <row r="16" spans="1:55" s="135" customFormat="1" x14ac:dyDescent="0.25">
      <c r="A16" s="129" t="s">
        <v>235</v>
      </c>
      <c r="B16" s="129" t="s">
        <v>60</v>
      </c>
      <c r="C16" s="130">
        <v>1</v>
      </c>
      <c r="D16" s="130">
        <v>40</v>
      </c>
      <c r="E16" s="130">
        <f t="shared" si="3"/>
        <v>40</v>
      </c>
      <c r="F16" s="131">
        <v>1200</v>
      </c>
      <c r="G16" s="130">
        <v>98</v>
      </c>
      <c r="H16" s="130">
        <v>400</v>
      </c>
      <c r="I16" s="130">
        <v>118</v>
      </c>
      <c r="J16" s="130">
        <v>0.435</v>
      </c>
      <c r="K16" s="130">
        <v>98</v>
      </c>
      <c r="L16" s="130">
        <v>0.46700000000000003</v>
      </c>
      <c r="M16" s="130">
        <v>1017</v>
      </c>
      <c r="N16" s="130">
        <v>540</v>
      </c>
      <c r="O16" s="130">
        <v>117</v>
      </c>
      <c r="P16" s="130">
        <v>0.54400000000000004</v>
      </c>
      <c r="Q16" s="130">
        <v>98</v>
      </c>
      <c r="R16" s="130">
        <v>0.57699999999999996</v>
      </c>
      <c r="S16" s="130">
        <v>704</v>
      </c>
      <c r="T16" s="130">
        <v>900</v>
      </c>
      <c r="U16" s="130">
        <v>110</v>
      </c>
      <c r="V16" s="130">
        <v>0.73199999999999998</v>
      </c>
      <c r="W16" s="130">
        <v>98</v>
      </c>
      <c r="X16" s="130">
        <v>0.748</v>
      </c>
      <c r="Y16" s="130">
        <v>782</v>
      </c>
      <c r="Z16" s="130">
        <v>1070</v>
      </c>
      <c r="AA16" s="130">
        <v>105</v>
      </c>
      <c r="AB16" s="130">
        <v>0.77900000000000003</v>
      </c>
      <c r="AC16" s="130">
        <v>98</v>
      </c>
      <c r="AD16" s="130">
        <v>0.78400000000000003</v>
      </c>
      <c r="AE16" s="130">
        <v>1017</v>
      </c>
      <c r="AF16" s="130">
        <v>1200</v>
      </c>
      <c r="AG16" s="130">
        <v>99</v>
      </c>
      <c r="AH16" s="130">
        <v>0.79700000000000004</v>
      </c>
      <c r="AI16" s="130">
        <v>98</v>
      </c>
      <c r="AJ16" s="130">
        <v>0.79800000000000004</v>
      </c>
      <c r="AK16" s="130">
        <v>860</v>
      </c>
      <c r="AL16" s="131">
        <f t="shared" si="4"/>
        <v>4380</v>
      </c>
      <c r="AM16" s="131">
        <f t="shared" si="5"/>
        <v>216657000</v>
      </c>
      <c r="AN16" s="131">
        <f t="shared" si="6"/>
        <v>824.41780821917803</v>
      </c>
      <c r="AO16" s="131">
        <f t="shared" si="7"/>
        <v>109.8</v>
      </c>
      <c r="AP16" s="132">
        <f t="shared" si="8"/>
        <v>0.65739999999999998</v>
      </c>
      <c r="AQ16" s="131">
        <f t="shared" si="9"/>
        <v>98</v>
      </c>
      <c r="AR16" s="132">
        <f t="shared" si="10"/>
        <v>0.67480000000000007</v>
      </c>
      <c r="AS16" s="133">
        <v>0.95528493150684934</v>
      </c>
      <c r="AT16" s="132">
        <f t="shared" si="11"/>
        <v>2843.2606102094128</v>
      </c>
      <c r="AU16" s="132">
        <f t="shared" si="12"/>
        <v>2472.2650530314786</v>
      </c>
      <c r="AV16" s="133"/>
      <c r="AW16" s="131">
        <f t="shared" si="13"/>
        <v>14839.822287117378</v>
      </c>
      <c r="AX16" s="134">
        <f t="shared" si="1"/>
        <v>370.99555717793447</v>
      </c>
      <c r="AY16" s="134">
        <f t="shared" si="14"/>
        <v>3.3880872801637851</v>
      </c>
      <c r="AZ16" s="132">
        <f t="shared" si="2"/>
        <v>8.4702182004094628E-2</v>
      </c>
      <c r="BB16" s="208"/>
      <c r="BC16" s="208"/>
    </row>
    <row r="17" spans="1:55" s="135" customFormat="1" x14ac:dyDescent="0.25">
      <c r="A17" s="135" t="s">
        <v>314</v>
      </c>
      <c r="B17" s="137"/>
      <c r="C17" s="130">
        <v>1</v>
      </c>
      <c r="D17" s="130">
        <v>40</v>
      </c>
      <c r="E17" s="130">
        <f>D17</f>
        <v>40</v>
      </c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8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1">
        <v>4615</v>
      </c>
      <c r="AX17" s="134">
        <f t="shared" si="1"/>
        <v>115.375</v>
      </c>
      <c r="AY17" s="130">
        <v>4.71</v>
      </c>
      <c r="AZ17" s="132">
        <f t="shared" si="2"/>
        <v>0.11774999999999999</v>
      </c>
      <c r="BB17" s="208"/>
      <c r="BC17" s="208"/>
    </row>
    <row r="18" spans="1:55" s="142" customFormat="1" x14ac:dyDescent="0.25">
      <c r="A18" s="139" t="s">
        <v>216</v>
      </c>
      <c r="B18" s="139" t="s">
        <v>113</v>
      </c>
      <c r="C18" s="39">
        <v>1</v>
      </c>
      <c r="D18" s="39">
        <v>50</v>
      </c>
      <c r="E18" s="39">
        <f t="shared" ref="E18:E24" si="15">C18*D18</f>
        <v>50</v>
      </c>
      <c r="F18" s="40">
        <v>1352</v>
      </c>
      <c r="G18" s="39">
        <v>117</v>
      </c>
      <c r="H18" s="39">
        <v>800</v>
      </c>
      <c r="I18" s="39">
        <v>142</v>
      </c>
      <c r="J18" s="39">
        <v>0.71599999999999997</v>
      </c>
      <c r="K18" s="39">
        <v>117</v>
      </c>
      <c r="L18" s="39">
        <v>0.752</v>
      </c>
      <c r="M18" s="39">
        <v>400</v>
      </c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40">
        <f t="shared" ref="AL18:AL24" si="16">AK18+AE18+Y18+S18+M18</f>
        <v>400</v>
      </c>
      <c r="AM18" s="40">
        <f t="shared" ref="AM18:AM24" si="17">AF18*AK18*60+Z18*AE18*60+T18*Y18*60+N18*S18*60+H18*M18*60</f>
        <v>19200000</v>
      </c>
      <c r="AN18" s="40">
        <f t="shared" ref="AN18:AN24" si="18">(AM18/AL18)/60</f>
        <v>800</v>
      </c>
      <c r="AO18" s="40">
        <f t="shared" ref="AO18:AR24" si="19">AVERAGE(AG18,AA18,U18,O18,I18)</f>
        <v>142</v>
      </c>
      <c r="AP18" s="140">
        <f t="shared" si="19"/>
        <v>0.71599999999999997</v>
      </c>
      <c r="AQ18" s="40">
        <f t="shared" si="19"/>
        <v>117</v>
      </c>
      <c r="AR18" s="140">
        <f t="shared" si="19"/>
        <v>0.752</v>
      </c>
      <c r="AS18" s="140">
        <v>0.95</v>
      </c>
      <c r="AT18" s="140">
        <f t="shared" ref="AT18:AT24" si="20">((AN18*AO18/AP18))*AL18*0.746/(3956*E18)</f>
        <v>239.35242980043046</v>
      </c>
      <c r="AU18" s="140">
        <f t="shared" ref="AU18:AU24" si="21">((AN18*AQ18/AR18))*AL18*0.746/(3956*E18)</f>
        <v>187.77187358819356</v>
      </c>
      <c r="AV18" s="140"/>
      <c r="AW18" s="40">
        <f t="shared" ref="AW18:AW24" si="22">((AN18*AO18/AP18)-(AN18*AQ18/AR18))*AL18*0.746/3956</f>
        <v>2579.0278106118458</v>
      </c>
      <c r="AX18" s="141">
        <f t="shared" si="1"/>
        <v>51.580556212236914</v>
      </c>
      <c r="AY18" s="141">
        <f t="shared" ref="AY18:AY24" si="23">AW18/AL18</f>
        <v>6.4475695265296142</v>
      </c>
      <c r="AZ18" s="140">
        <f t="shared" si="2"/>
        <v>0.12895139053059229</v>
      </c>
      <c r="BB18" s="207">
        <f>SUM(AW18:AW27)/SUMPRODUCT(C18:D27)</f>
        <v>176.35830294414373</v>
      </c>
      <c r="BC18" s="207">
        <f>SUM(AY18:AY27)/SUMPRODUCT(C18:D27)</f>
        <v>0.10775046422825969</v>
      </c>
    </row>
    <row r="19" spans="1:55" s="142" customFormat="1" x14ac:dyDescent="0.25">
      <c r="A19" s="38" t="s">
        <v>218</v>
      </c>
      <c r="B19" s="139" t="s">
        <v>83</v>
      </c>
      <c r="C19" s="39">
        <v>1</v>
      </c>
      <c r="D19" s="39">
        <v>50</v>
      </c>
      <c r="E19" s="39">
        <f t="shared" si="15"/>
        <v>50</v>
      </c>
      <c r="F19" s="40">
        <v>1670</v>
      </c>
      <c r="G19" s="39">
        <v>92.3</v>
      </c>
      <c r="H19" s="39">
        <v>1500</v>
      </c>
      <c r="I19" s="39">
        <v>106</v>
      </c>
      <c r="J19" s="39">
        <v>0.82299999999999995</v>
      </c>
      <c r="K19" s="39">
        <v>92</v>
      </c>
      <c r="L19" s="39">
        <v>0.81100000000000005</v>
      </c>
      <c r="M19" s="39">
        <v>1000</v>
      </c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40">
        <f t="shared" si="16"/>
        <v>1000</v>
      </c>
      <c r="AM19" s="40">
        <f t="shared" si="17"/>
        <v>90000000</v>
      </c>
      <c r="AN19" s="40">
        <f t="shared" si="18"/>
        <v>1500</v>
      </c>
      <c r="AO19" s="40">
        <f t="shared" si="19"/>
        <v>106</v>
      </c>
      <c r="AP19" s="140">
        <f t="shared" si="19"/>
        <v>0.82299999999999995</v>
      </c>
      <c r="AQ19" s="40">
        <f t="shared" si="19"/>
        <v>92</v>
      </c>
      <c r="AR19" s="140">
        <f t="shared" si="19"/>
        <v>0.81100000000000005</v>
      </c>
      <c r="AS19" s="143">
        <v>0.95699999999999996</v>
      </c>
      <c r="AT19" s="140">
        <f t="shared" si="20"/>
        <v>728.63466540204718</v>
      </c>
      <c r="AU19" s="140">
        <f t="shared" si="21"/>
        <v>641.75723338972853</v>
      </c>
      <c r="AV19" s="143"/>
      <c r="AW19" s="40">
        <f t="shared" si="22"/>
        <v>4343.8716006159329</v>
      </c>
      <c r="AX19" s="141">
        <f t="shared" si="1"/>
        <v>86.877432012318664</v>
      </c>
      <c r="AY19" s="141">
        <f t="shared" si="23"/>
        <v>4.343871600615933</v>
      </c>
      <c r="AZ19" s="140">
        <f t="shared" si="2"/>
        <v>8.6877432012318664E-2</v>
      </c>
      <c r="BB19" s="207"/>
      <c r="BC19" s="207"/>
    </row>
    <row r="20" spans="1:55" s="142" customFormat="1" x14ac:dyDescent="0.25">
      <c r="A20" s="38" t="s">
        <v>218</v>
      </c>
      <c r="B20" s="139" t="s">
        <v>83</v>
      </c>
      <c r="C20" s="39">
        <v>1</v>
      </c>
      <c r="D20" s="39">
        <v>50</v>
      </c>
      <c r="E20" s="39">
        <f t="shared" si="15"/>
        <v>50</v>
      </c>
      <c r="F20" s="40">
        <v>1670</v>
      </c>
      <c r="G20" s="39">
        <v>92.3</v>
      </c>
      <c r="H20" s="39">
        <v>1500</v>
      </c>
      <c r="I20" s="39">
        <v>106</v>
      </c>
      <c r="J20" s="39">
        <v>0.82299999999999995</v>
      </c>
      <c r="K20" s="39">
        <v>92</v>
      </c>
      <c r="L20" s="39">
        <v>0.81100000000000005</v>
      </c>
      <c r="M20" s="39">
        <v>1000</v>
      </c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40">
        <f t="shared" si="16"/>
        <v>1000</v>
      </c>
      <c r="AM20" s="40">
        <f t="shared" si="17"/>
        <v>90000000</v>
      </c>
      <c r="AN20" s="40">
        <f t="shared" si="18"/>
        <v>1500</v>
      </c>
      <c r="AO20" s="40">
        <f t="shared" si="19"/>
        <v>106</v>
      </c>
      <c r="AP20" s="140">
        <f t="shared" si="19"/>
        <v>0.82299999999999995</v>
      </c>
      <c r="AQ20" s="40">
        <f t="shared" si="19"/>
        <v>92</v>
      </c>
      <c r="AR20" s="140">
        <f t="shared" si="19"/>
        <v>0.81100000000000005</v>
      </c>
      <c r="AS20" s="143">
        <v>0.95699999999999996</v>
      </c>
      <c r="AT20" s="140">
        <f t="shared" si="20"/>
        <v>728.63466540204718</v>
      </c>
      <c r="AU20" s="140">
        <f t="shared" si="21"/>
        <v>641.75723338972853</v>
      </c>
      <c r="AV20" s="143"/>
      <c r="AW20" s="40">
        <f t="shared" si="22"/>
        <v>4343.8716006159329</v>
      </c>
      <c r="AX20" s="141">
        <f t="shared" si="1"/>
        <v>86.877432012318664</v>
      </c>
      <c r="AY20" s="141">
        <f t="shared" si="23"/>
        <v>4.343871600615933</v>
      </c>
      <c r="AZ20" s="140">
        <f t="shared" si="2"/>
        <v>8.6877432012318664E-2</v>
      </c>
      <c r="BB20" s="207"/>
      <c r="BC20" s="207"/>
    </row>
    <row r="21" spans="1:55" s="142" customFormat="1" x14ac:dyDescent="0.25">
      <c r="A21" s="38" t="s">
        <v>221</v>
      </c>
      <c r="B21" s="139" t="s">
        <v>83</v>
      </c>
      <c r="C21" s="39">
        <v>1</v>
      </c>
      <c r="D21" s="39">
        <v>50</v>
      </c>
      <c r="E21" s="39">
        <f t="shared" si="15"/>
        <v>50</v>
      </c>
      <c r="F21" s="40">
        <v>1500</v>
      </c>
      <c r="G21" s="39">
        <v>150</v>
      </c>
      <c r="H21" s="39">
        <v>845</v>
      </c>
      <c r="I21" s="39">
        <v>150</v>
      </c>
      <c r="J21" s="39">
        <v>0.8</v>
      </c>
      <c r="K21" s="39">
        <v>150</v>
      </c>
      <c r="L21" s="39">
        <v>0.8</v>
      </c>
      <c r="M21" s="39">
        <v>150</v>
      </c>
      <c r="N21" s="39">
        <v>847</v>
      </c>
      <c r="O21" s="39">
        <v>150</v>
      </c>
      <c r="P21" s="39">
        <v>0.80100000000000005</v>
      </c>
      <c r="Q21" s="39">
        <v>104</v>
      </c>
      <c r="R21" s="39">
        <v>0.82499999999999996</v>
      </c>
      <c r="S21" s="39">
        <v>1300</v>
      </c>
      <c r="T21" s="39">
        <v>1047</v>
      </c>
      <c r="U21" s="39">
        <v>144</v>
      </c>
      <c r="V21" s="39">
        <v>0.82899999999999996</v>
      </c>
      <c r="W21" s="39">
        <v>104</v>
      </c>
      <c r="X21" s="39">
        <v>0.83599999999999997</v>
      </c>
      <c r="Y21" s="39">
        <v>200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40">
        <f t="shared" si="16"/>
        <v>1650</v>
      </c>
      <c r="AM21" s="40">
        <f t="shared" si="17"/>
        <v>86235000</v>
      </c>
      <c r="AN21" s="40">
        <f t="shared" si="18"/>
        <v>871.06060606060601</v>
      </c>
      <c r="AO21" s="40">
        <f t="shared" si="19"/>
        <v>148</v>
      </c>
      <c r="AP21" s="140">
        <f t="shared" si="19"/>
        <v>0.80999999999999994</v>
      </c>
      <c r="AQ21" s="40">
        <f t="shared" si="19"/>
        <v>119.33333333333333</v>
      </c>
      <c r="AR21" s="140">
        <f t="shared" si="19"/>
        <v>0.82033333333333347</v>
      </c>
      <c r="AS21" s="143">
        <v>0.9548658536585366</v>
      </c>
      <c r="AT21" s="140">
        <f t="shared" si="20"/>
        <v>990.42490856208428</v>
      </c>
      <c r="AU21" s="140">
        <f t="shared" si="21"/>
        <v>788.52645866005105</v>
      </c>
      <c r="AV21" s="143"/>
      <c r="AW21" s="40">
        <f t="shared" si="22"/>
        <v>10094.922495101662</v>
      </c>
      <c r="AX21" s="141">
        <f t="shared" si="1"/>
        <v>201.89844990203324</v>
      </c>
      <c r="AY21" s="141">
        <f t="shared" si="23"/>
        <v>6.1181348455161588</v>
      </c>
      <c r="AZ21" s="140">
        <f t="shared" si="2"/>
        <v>0.12236269691032317</v>
      </c>
      <c r="BB21" s="207"/>
      <c r="BC21" s="207"/>
    </row>
    <row r="22" spans="1:55" s="142" customFormat="1" x14ac:dyDescent="0.25">
      <c r="A22" s="139" t="s">
        <v>72</v>
      </c>
      <c r="B22" s="139" t="s">
        <v>73</v>
      </c>
      <c r="C22" s="39">
        <v>1</v>
      </c>
      <c r="D22" s="39">
        <v>50</v>
      </c>
      <c r="E22" s="39">
        <f t="shared" si="15"/>
        <v>50</v>
      </c>
      <c r="F22" s="40">
        <v>1500</v>
      </c>
      <c r="G22" s="39">
        <v>115</v>
      </c>
      <c r="H22" s="39">
        <v>950</v>
      </c>
      <c r="I22" s="39">
        <v>147</v>
      </c>
      <c r="J22" s="39">
        <v>0.81399999999999995</v>
      </c>
      <c r="K22" s="39">
        <v>115</v>
      </c>
      <c r="L22" s="39">
        <v>0.82699999999999996</v>
      </c>
      <c r="M22" s="39">
        <v>120</v>
      </c>
      <c r="N22" s="39">
        <v>1100</v>
      </c>
      <c r="O22" s="39">
        <v>142</v>
      </c>
      <c r="P22" s="39">
        <v>0.82899999999999996</v>
      </c>
      <c r="Q22" s="39">
        <v>115</v>
      </c>
      <c r="R22" s="39">
        <v>0.83399999999999996</v>
      </c>
      <c r="S22" s="39">
        <v>800</v>
      </c>
      <c r="T22" s="39">
        <v>1200</v>
      </c>
      <c r="U22" s="39">
        <v>137</v>
      </c>
      <c r="V22" s="39">
        <v>0.83399999999999996</v>
      </c>
      <c r="W22" s="39">
        <v>115</v>
      </c>
      <c r="X22" s="39">
        <v>0.83699999999999997</v>
      </c>
      <c r="Y22" s="39">
        <v>1000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40">
        <f t="shared" si="16"/>
        <v>1920</v>
      </c>
      <c r="AM22" s="40">
        <f t="shared" si="17"/>
        <v>131640000</v>
      </c>
      <c r="AN22" s="40">
        <f t="shared" si="18"/>
        <v>1142.7083333333333</v>
      </c>
      <c r="AO22" s="40">
        <f t="shared" si="19"/>
        <v>142</v>
      </c>
      <c r="AP22" s="140">
        <f t="shared" si="19"/>
        <v>0.82566666666666666</v>
      </c>
      <c r="AQ22" s="40">
        <f t="shared" si="19"/>
        <v>115</v>
      </c>
      <c r="AR22" s="140">
        <f t="shared" si="19"/>
        <v>0.83266666666666656</v>
      </c>
      <c r="AS22" s="143">
        <v>0.95131250000000001</v>
      </c>
      <c r="AT22" s="140">
        <f t="shared" si="20"/>
        <v>1423.0912749162871</v>
      </c>
      <c r="AU22" s="140">
        <f t="shared" si="21"/>
        <v>1142.8147168897908</v>
      </c>
      <c r="AV22" s="143"/>
      <c r="AW22" s="40">
        <f t="shared" si="22"/>
        <v>14013.827901324821</v>
      </c>
      <c r="AX22" s="141">
        <f t="shared" si="1"/>
        <v>280.27655802649645</v>
      </c>
      <c r="AY22" s="141">
        <f t="shared" si="23"/>
        <v>7.298868698606678</v>
      </c>
      <c r="AZ22" s="140">
        <f t="shared" si="2"/>
        <v>0.14597737397213356</v>
      </c>
      <c r="BB22" s="207"/>
      <c r="BC22" s="207"/>
    </row>
    <row r="23" spans="1:55" s="142" customFormat="1" x14ac:dyDescent="0.25">
      <c r="A23" s="139" t="s">
        <v>226</v>
      </c>
      <c r="B23" s="139" t="s">
        <v>136</v>
      </c>
      <c r="C23" s="39">
        <v>1</v>
      </c>
      <c r="D23" s="39">
        <v>50</v>
      </c>
      <c r="E23" s="39">
        <f t="shared" si="15"/>
        <v>50</v>
      </c>
      <c r="F23" s="40">
        <v>1600</v>
      </c>
      <c r="G23" s="39">
        <v>104</v>
      </c>
      <c r="H23" s="39">
        <v>400</v>
      </c>
      <c r="I23" s="39">
        <v>121</v>
      </c>
      <c r="J23" s="39">
        <v>0.29699999999999999</v>
      </c>
      <c r="K23" s="39">
        <v>104</v>
      </c>
      <c r="L23" s="39">
        <v>0.31900000000000001</v>
      </c>
      <c r="M23" s="39">
        <v>700</v>
      </c>
      <c r="N23" s="39">
        <v>800</v>
      </c>
      <c r="O23" s="39">
        <v>120</v>
      </c>
      <c r="P23" s="39">
        <v>0.55200000000000005</v>
      </c>
      <c r="Q23" s="39">
        <v>104</v>
      </c>
      <c r="R23" s="39">
        <v>0.58299999999999996</v>
      </c>
      <c r="S23" s="39">
        <v>330</v>
      </c>
      <c r="T23" s="39">
        <v>1600</v>
      </c>
      <c r="U23" s="39">
        <v>103</v>
      </c>
      <c r="V23" s="39">
        <v>0.77800000000000002</v>
      </c>
      <c r="W23" s="39">
        <v>104</v>
      </c>
      <c r="X23" s="39">
        <v>0.77900000000000003</v>
      </c>
      <c r="Y23" s="39">
        <v>1100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40">
        <f t="shared" si="16"/>
        <v>2130</v>
      </c>
      <c r="AM23" s="40">
        <f t="shared" si="17"/>
        <v>138240000</v>
      </c>
      <c r="AN23" s="40">
        <f t="shared" si="18"/>
        <v>1081.6901408450706</v>
      </c>
      <c r="AO23" s="40">
        <f t="shared" si="19"/>
        <v>114.66666666666667</v>
      </c>
      <c r="AP23" s="140">
        <f t="shared" si="19"/>
        <v>0.54233333333333333</v>
      </c>
      <c r="AQ23" s="40">
        <f t="shared" si="19"/>
        <v>104</v>
      </c>
      <c r="AR23" s="140">
        <f t="shared" si="19"/>
        <v>0.56033333333333335</v>
      </c>
      <c r="AS23" s="143">
        <v>0.95715000000000006</v>
      </c>
      <c r="AT23" s="140">
        <f t="shared" si="20"/>
        <v>1837.2400523770079</v>
      </c>
      <c r="AU23" s="140">
        <f t="shared" si="21"/>
        <v>1612.8051276714896</v>
      </c>
      <c r="AV23" s="143"/>
      <c r="AW23" s="40">
        <f t="shared" si="22"/>
        <v>11221.746235275919</v>
      </c>
      <c r="AX23" s="141">
        <f t="shared" si="1"/>
        <v>224.4349247055184</v>
      </c>
      <c r="AY23" s="141">
        <f t="shared" si="23"/>
        <v>5.2684254625708542</v>
      </c>
      <c r="AZ23" s="140">
        <f t="shared" si="2"/>
        <v>0.10536850925141708</v>
      </c>
      <c r="BB23" s="207"/>
      <c r="BC23" s="207"/>
    </row>
    <row r="24" spans="1:55" s="142" customFormat="1" x14ac:dyDescent="0.25">
      <c r="A24" s="139" t="s">
        <v>227</v>
      </c>
      <c r="B24" s="139" t="s">
        <v>117</v>
      </c>
      <c r="C24" s="39">
        <v>1</v>
      </c>
      <c r="D24" s="39">
        <v>50</v>
      </c>
      <c r="E24" s="39">
        <f t="shared" si="15"/>
        <v>50</v>
      </c>
      <c r="F24" s="40">
        <v>4550</v>
      </c>
      <c r="G24" s="39">
        <v>22</v>
      </c>
      <c r="H24" s="39">
        <v>4550</v>
      </c>
      <c r="I24" s="39">
        <v>22</v>
      </c>
      <c r="J24" s="39">
        <v>0.66300000000000003</v>
      </c>
      <c r="K24" s="39">
        <v>22</v>
      </c>
      <c r="L24" s="39">
        <v>0.66200000000000003</v>
      </c>
      <c r="M24" s="39">
        <v>2200</v>
      </c>
      <c r="N24" s="39">
        <v>2275</v>
      </c>
      <c r="O24" s="39">
        <v>29</v>
      </c>
      <c r="P24" s="39">
        <v>0.46899999999999997</v>
      </c>
      <c r="Q24" s="39">
        <v>22</v>
      </c>
      <c r="R24" s="39">
        <v>0.51900000000000002</v>
      </c>
      <c r="S24" s="39">
        <v>440</v>
      </c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40">
        <f t="shared" si="16"/>
        <v>2640</v>
      </c>
      <c r="AM24" s="40">
        <f t="shared" si="17"/>
        <v>660660000</v>
      </c>
      <c r="AN24" s="40">
        <f t="shared" si="18"/>
        <v>4170.833333333333</v>
      </c>
      <c r="AO24" s="40">
        <f t="shared" si="19"/>
        <v>25.5</v>
      </c>
      <c r="AP24" s="140">
        <f t="shared" si="19"/>
        <v>0.56600000000000006</v>
      </c>
      <c r="AQ24" s="40">
        <f t="shared" si="19"/>
        <v>22</v>
      </c>
      <c r="AR24" s="140">
        <f t="shared" si="19"/>
        <v>0.59050000000000002</v>
      </c>
      <c r="AS24" s="143">
        <v>0.95883333333333343</v>
      </c>
      <c r="AT24" s="140">
        <f t="shared" si="20"/>
        <v>1870.9537509780728</v>
      </c>
      <c r="AU24" s="140">
        <f t="shared" si="21"/>
        <v>1547.1844138187291</v>
      </c>
      <c r="AV24" s="143"/>
      <c r="AW24" s="40">
        <f t="shared" si="22"/>
        <v>16188.466857967185</v>
      </c>
      <c r="AX24" s="141">
        <f t="shared" si="1"/>
        <v>323.76933715934371</v>
      </c>
      <c r="AY24" s="141">
        <f t="shared" si="23"/>
        <v>6.131995021957267</v>
      </c>
      <c r="AZ24" s="140">
        <f t="shared" si="2"/>
        <v>0.12263990043914534</v>
      </c>
      <c r="BB24" s="207"/>
      <c r="BC24" s="207"/>
    </row>
    <row r="25" spans="1:55" s="142" customFormat="1" x14ac:dyDescent="0.25">
      <c r="A25" s="142" t="s">
        <v>313</v>
      </c>
      <c r="B25" s="31"/>
      <c r="C25" s="39">
        <v>1</v>
      </c>
      <c r="D25" s="39">
        <v>50</v>
      </c>
      <c r="E25" s="39">
        <f>D25</f>
        <v>50</v>
      </c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3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40">
        <v>2545</v>
      </c>
      <c r="AX25" s="141">
        <f t="shared" si="1"/>
        <v>50.9</v>
      </c>
      <c r="AY25" s="39">
        <v>0</v>
      </c>
      <c r="AZ25" s="140">
        <f t="shared" si="2"/>
        <v>0</v>
      </c>
      <c r="BB25" s="207"/>
      <c r="BC25" s="207"/>
    </row>
    <row r="26" spans="1:55" s="142" customFormat="1" x14ac:dyDescent="0.25">
      <c r="A26" s="142" t="s">
        <v>322</v>
      </c>
      <c r="C26" s="39">
        <v>1</v>
      </c>
      <c r="D26" s="39">
        <v>50</v>
      </c>
      <c r="E26" s="39">
        <f>D26</f>
        <v>50</v>
      </c>
      <c r="G26" s="144"/>
      <c r="H26" s="39"/>
      <c r="AW26" s="40">
        <v>10607</v>
      </c>
      <c r="AX26" s="141">
        <f t="shared" si="1"/>
        <v>212.14</v>
      </c>
      <c r="AY26" s="39">
        <v>8.4</v>
      </c>
      <c r="AZ26" s="140">
        <f t="shared" si="2"/>
        <v>0.16800000000000001</v>
      </c>
      <c r="BB26" s="207"/>
      <c r="BC26" s="207"/>
    </row>
    <row r="27" spans="1:55" s="142" customFormat="1" x14ac:dyDescent="0.25">
      <c r="A27" s="142" t="s">
        <v>327</v>
      </c>
      <c r="C27" s="39">
        <v>1</v>
      </c>
      <c r="D27" s="39">
        <v>50</v>
      </c>
      <c r="E27" s="39">
        <f>D27</f>
        <v>50</v>
      </c>
      <c r="G27" s="144"/>
      <c r="H27" s="39"/>
      <c r="AW27" s="40">
        <v>14005</v>
      </c>
      <c r="AX27" s="141">
        <f t="shared" si="1"/>
        <v>280.10000000000002</v>
      </c>
      <c r="AY27" s="39">
        <v>6.6</v>
      </c>
      <c r="AZ27" s="140">
        <f t="shared" si="2"/>
        <v>0.13200000000000001</v>
      </c>
      <c r="BB27" s="207"/>
      <c r="BC27" s="207"/>
    </row>
    <row r="28" spans="1:55" s="156" customFormat="1" x14ac:dyDescent="0.25">
      <c r="A28" s="156" t="s">
        <v>217</v>
      </c>
      <c r="B28" s="157" t="s">
        <v>81</v>
      </c>
      <c r="C28" s="158">
        <v>1</v>
      </c>
      <c r="D28" s="158">
        <v>60</v>
      </c>
      <c r="E28" s="158">
        <f>C28*D28</f>
        <v>60</v>
      </c>
      <c r="F28" s="159">
        <v>1700</v>
      </c>
      <c r="G28" s="158">
        <v>114</v>
      </c>
      <c r="H28" s="158">
        <v>1000</v>
      </c>
      <c r="I28" s="160">
        <v>156</v>
      </c>
      <c r="J28" s="160">
        <v>0.78900000000000003</v>
      </c>
      <c r="K28" s="160">
        <v>114</v>
      </c>
      <c r="L28" s="160">
        <v>0.82599999999999996</v>
      </c>
      <c r="M28" s="160">
        <v>400</v>
      </c>
      <c r="N28" s="160">
        <v>1500</v>
      </c>
      <c r="O28" s="160">
        <v>131</v>
      </c>
      <c r="P28" s="160">
        <v>0.84699999999999998</v>
      </c>
      <c r="Q28" s="160">
        <v>114</v>
      </c>
      <c r="R28" s="160">
        <v>0.83899999999999997</v>
      </c>
      <c r="S28" s="160">
        <v>400</v>
      </c>
      <c r="T28" s="160"/>
      <c r="U28" s="160"/>
      <c r="V28" s="160"/>
      <c r="W28" s="160"/>
      <c r="AL28" s="161">
        <f t="shared" ref="AL28:AL38" si="24">AK28+AE28+Y28+S28+M28</f>
        <v>800</v>
      </c>
      <c r="AM28" s="161">
        <f t="shared" ref="AM28:AM38" si="25">AF28*AK28*60+Z28*AE28*60+T28*Y28*60+N28*S28*60+H28*M28*60</f>
        <v>60000000</v>
      </c>
      <c r="AN28" s="161">
        <f t="shared" ref="AN28:AN38" si="26">(AM28/AL28)/60</f>
        <v>1250</v>
      </c>
      <c r="AO28" s="161">
        <f t="shared" ref="AO28:AO38" si="27">AVERAGE(AG28,AA28,U28,O28,I28)</f>
        <v>143.5</v>
      </c>
      <c r="AP28" s="162">
        <f t="shared" ref="AP28:AP38" si="28">AVERAGE(AH28,AB28,V28,P28,J28)</f>
        <v>0.81800000000000006</v>
      </c>
      <c r="AQ28" s="161">
        <f t="shared" ref="AQ28:AQ38" si="29">AVERAGE(AI28,AC28,W28,Q28,K28)</f>
        <v>114</v>
      </c>
      <c r="AR28" s="162">
        <f t="shared" ref="AR28:AR38" si="30">AVERAGE(AJ28,AD28,X28,R28,L28)</f>
        <v>0.83250000000000002</v>
      </c>
      <c r="AS28" s="162">
        <v>0.95050000000000001</v>
      </c>
      <c r="AT28" s="162">
        <f t="shared" ref="AT28:AT38" si="31">((AN28*AO28/AP28))*AL28*0.746/(3956*E28)</f>
        <v>551.35318989734674</v>
      </c>
      <c r="AU28" s="162">
        <f t="shared" ref="AU28:AU38" si="32">((AN28*AQ28/AR28))*AL28*0.746/(3956*E28)</f>
        <v>430.37982370641618</v>
      </c>
      <c r="AV28" s="162"/>
      <c r="AW28" s="161">
        <f t="shared" ref="AW28:AW38" si="33">((AN28*AO28/AP28)-(AN28*AQ28/AR28))*AL28*0.746/3956</f>
        <v>7258.4019714558317</v>
      </c>
      <c r="AX28" s="163">
        <f t="shared" si="1"/>
        <v>120.97336619093053</v>
      </c>
      <c r="AY28" s="163">
        <f t="shared" ref="AY28:AY38" si="34">AW28/AL28</f>
        <v>9.0730024643197904</v>
      </c>
      <c r="AZ28" s="162">
        <f t="shared" si="2"/>
        <v>0.15121670773866316</v>
      </c>
      <c r="BB28" s="203">
        <f>SUM(AW28:AW41)/SUMPRODUCT(C28:D41)</f>
        <v>214.7655422758917</v>
      </c>
      <c r="BC28" s="203">
        <f>SUM(AY28:AY41)/SUMPRODUCT(C28:D41)</f>
        <v>0.12084111178631113</v>
      </c>
    </row>
    <row r="29" spans="1:55" s="156" customFormat="1" x14ac:dyDescent="0.25">
      <c r="A29" s="164" t="s">
        <v>236</v>
      </c>
      <c r="B29" s="157" t="s">
        <v>237</v>
      </c>
      <c r="C29" s="158">
        <v>1</v>
      </c>
      <c r="D29" s="158">
        <v>60</v>
      </c>
      <c r="E29" s="158">
        <f>D29*C29</f>
        <v>60</v>
      </c>
      <c r="F29" s="159">
        <v>1200</v>
      </c>
      <c r="G29" s="160">
        <v>104</v>
      </c>
      <c r="H29" s="158">
        <v>1116</v>
      </c>
      <c r="I29" s="158">
        <v>153</v>
      </c>
      <c r="J29" s="158">
        <v>0.81100000000000005</v>
      </c>
      <c r="K29" s="158">
        <v>144</v>
      </c>
      <c r="L29" s="158">
        <v>0.81499999999999995</v>
      </c>
      <c r="M29" s="158">
        <v>500</v>
      </c>
      <c r="N29" s="158">
        <v>1105</v>
      </c>
      <c r="O29" s="158">
        <v>154</v>
      </c>
      <c r="P29" s="158">
        <v>0.80900000000000005</v>
      </c>
      <c r="Q29" s="158">
        <v>143</v>
      </c>
      <c r="R29" s="158">
        <v>0.81399999999999995</v>
      </c>
      <c r="S29" s="158">
        <v>500</v>
      </c>
      <c r="T29" s="158"/>
      <c r="U29" s="158"/>
      <c r="V29" s="158"/>
      <c r="AL29" s="161">
        <f t="shared" si="24"/>
        <v>1000</v>
      </c>
      <c r="AM29" s="161">
        <f t="shared" si="25"/>
        <v>66630000</v>
      </c>
      <c r="AN29" s="161">
        <f t="shared" si="26"/>
        <v>1110.5</v>
      </c>
      <c r="AO29" s="161">
        <f t="shared" si="27"/>
        <v>153.5</v>
      </c>
      <c r="AP29" s="162">
        <f t="shared" si="28"/>
        <v>0.81</v>
      </c>
      <c r="AQ29" s="161">
        <f t="shared" si="29"/>
        <v>143.5</v>
      </c>
      <c r="AR29" s="162">
        <f t="shared" si="30"/>
        <v>0.8145</v>
      </c>
      <c r="AS29" s="162">
        <v>0.96550000000000002</v>
      </c>
      <c r="AT29" s="162">
        <f t="shared" si="31"/>
        <v>661.41374824717991</v>
      </c>
      <c r="AU29" s="162">
        <f t="shared" si="32"/>
        <v>614.90874501861367</v>
      </c>
      <c r="AV29" s="162"/>
      <c r="AW29" s="161">
        <f t="shared" si="33"/>
        <v>2790.300193713967</v>
      </c>
      <c r="AX29" s="163">
        <f t="shared" si="1"/>
        <v>46.505003228566117</v>
      </c>
      <c r="AY29" s="163">
        <f t="shared" si="34"/>
        <v>2.7903001937139669</v>
      </c>
      <c r="AZ29" s="162">
        <f t="shared" si="2"/>
        <v>4.6505003228566114E-2</v>
      </c>
      <c r="BB29" s="203"/>
      <c r="BC29" s="203"/>
    </row>
    <row r="30" spans="1:55" s="156" customFormat="1" x14ac:dyDescent="0.25">
      <c r="A30" s="156" t="s">
        <v>217</v>
      </c>
      <c r="B30" s="157" t="s">
        <v>81</v>
      </c>
      <c r="C30" s="158">
        <v>1</v>
      </c>
      <c r="D30" s="158">
        <v>60</v>
      </c>
      <c r="E30" s="158">
        <f>D30*C30</f>
        <v>60</v>
      </c>
      <c r="F30" s="159">
        <v>1700</v>
      </c>
      <c r="G30" s="158">
        <v>114</v>
      </c>
      <c r="H30" s="158">
        <v>1000</v>
      </c>
      <c r="I30" s="160">
        <v>156</v>
      </c>
      <c r="J30" s="160">
        <v>0.78900000000000003</v>
      </c>
      <c r="K30" s="160">
        <v>114</v>
      </c>
      <c r="L30" s="160">
        <v>0.82599999999999996</v>
      </c>
      <c r="M30" s="160">
        <v>575</v>
      </c>
      <c r="N30" s="160">
        <v>1600</v>
      </c>
      <c r="O30" s="160">
        <v>123</v>
      </c>
      <c r="P30" s="160">
        <v>0.83599999999999997</v>
      </c>
      <c r="Q30" s="160">
        <v>114</v>
      </c>
      <c r="R30" s="160">
        <v>0.82899999999999996</v>
      </c>
      <c r="S30" s="160">
        <v>575</v>
      </c>
      <c r="T30" s="160"/>
      <c r="U30" s="160"/>
      <c r="V30" s="160"/>
      <c r="W30" s="160"/>
      <c r="AL30" s="161">
        <f t="shared" si="24"/>
        <v>1150</v>
      </c>
      <c r="AM30" s="161">
        <f t="shared" si="25"/>
        <v>89700000</v>
      </c>
      <c r="AN30" s="161">
        <f t="shared" si="26"/>
        <v>1300</v>
      </c>
      <c r="AO30" s="161">
        <f t="shared" si="27"/>
        <v>139.5</v>
      </c>
      <c r="AP30" s="162">
        <f t="shared" si="28"/>
        <v>0.8125</v>
      </c>
      <c r="AQ30" s="161">
        <f t="shared" si="29"/>
        <v>114</v>
      </c>
      <c r="AR30" s="162">
        <f t="shared" si="30"/>
        <v>0.8274999999999999</v>
      </c>
      <c r="AS30" s="162">
        <v>0.94899999999999995</v>
      </c>
      <c r="AT30" s="162">
        <f t="shared" si="31"/>
        <v>806.72093023255809</v>
      </c>
      <c r="AU30" s="162">
        <f t="shared" si="32"/>
        <v>647.30555750720168</v>
      </c>
      <c r="AV30" s="162"/>
      <c r="AW30" s="161">
        <f t="shared" si="33"/>
        <v>9564.9223635213857</v>
      </c>
      <c r="AX30" s="163">
        <f t="shared" si="1"/>
        <v>159.41537272535643</v>
      </c>
      <c r="AY30" s="163">
        <f t="shared" si="34"/>
        <v>8.3173237943664216</v>
      </c>
      <c r="AZ30" s="162">
        <f t="shared" si="2"/>
        <v>0.13862206323944035</v>
      </c>
      <c r="BB30" s="203"/>
      <c r="BC30" s="203"/>
    </row>
    <row r="31" spans="1:55" s="156" customFormat="1" x14ac:dyDescent="0.25">
      <c r="A31" s="165" t="s">
        <v>238</v>
      </c>
      <c r="B31" s="164" t="s">
        <v>220</v>
      </c>
      <c r="C31" s="158">
        <v>1</v>
      </c>
      <c r="D31" s="158">
        <v>60</v>
      </c>
      <c r="E31" s="158">
        <f>D31*C31</f>
        <v>60</v>
      </c>
      <c r="F31" s="159">
        <v>1700</v>
      </c>
      <c r="G31" s="158">
        <v>80</v>
      </c>
      <c r="H31" s="158">
        <v>1100</v>
      </c>
      <c r="I31" s="158">
        <v>118</v>
      </c>
      <c r="J31" s="158">
        <v>0.84199999999999997</v>
      </c>
      <c r="K31" s="158">
        <v>80</v>
      </c>
      <c r="L31" s="158">
        <v>0.84699999999999998</v>
      </c>
      <c r="M31" s="158">
        <v>800</v>
      </c>
      <c r="N31" s="158">
        <v>1700</v>
      </c>
      <c r="O31" s="158">
        <v>79</v>
      </c>
      <c r="P31" s="158">
        <v>0.76</v>
      </c>
      <c r="Q31" s="158">
        <v>80</v>
      </c>
      <c r="R31" s="158">
        <v>0.76200000000000001</v>
      </c>
      <c r="S31" s="158">
        <v>400</v>
      </c>
      <c r="T31" s="158"/>
      <c r="U31" s="158"/>
      <c r="V31" s="158"/>
      <c r="AL31" s="161">
        <f t="shared" si="24"/>
        <v>1200</v>
      </c>
      <c r="AM31" s="161">
        <f t="shared" si="25"/>
        <v>93600000</v>
      </c>
      <c r="AN31" s="161">
        <f t="shared" si="26"/>
        <v>1300</v>
      </c>
      <c r="AO31" s="161">
        <f t="shared" si="27"/>
        <v>98.5</v>
      </c>
      <c r="AP31" s="162">
        <f t="shared" si="28"/>
        <v>0.80099999999999993</v>
      </c>
      <c r="AQ31" s="161">
        <f t="shared" si="29"/>
        <v>80</v>
      </c>
      <c r="AR31" s="162">
        <f t="shared" si="30"/>
        <v>0.80449999999999999</v>
      </c>
      <c r="AS31" s="162">
        <v>0.94730000000000003</v>
      </c>
      <c r="AT31" s="162">
        <f t="shared" si="31"/>
        <v>602.91988401757658</v>
      </c>
      <c r="AU31" s="162">
        <f t="shared" si="32"/>
        <v>487.55075249748484</v>
      </c>
      <c r="AV31" s="162"/>
      <c r="AW31" s="161">
        <f t="shared" si="33"/>
        <v>6922.1478912055109</v>
      </c>
      <c r="AX31" s="163">
        <f t="shared" si="1"/>
        <v>115.36913152009184</v>
      </c>
      <c r="AY31" s="163">
        <f t="shared" si="34"/>
        <v>5.7684565760045921</v>
      </c>
      <c r="AZ31" s="162">
        <f t="shared" si="2"/>
        <v>9.614094293340987E-2</v>
      </c>
      <c r="BB31" s="203"/>
      <c r="BC31" s="203"/>
    </row>
    <row r="32" spans="1:55" s="156" customFormat="1" x14ac:dyDescent="0.25">
      <c r="A32" s="165" t="s">
        <v>238</v>
      </c>
      <c r="B32" s="164" t="s">
        <v>220</v>
      </c>
      <c r="C32" s="158">
        <v>1</v>
      </c>
      <c r="D32" s="158">
        <v>60</v>
      </c>
      <c r="E32" s="158">
        <f>D32*C32</f>
        <v>60</v>
      </c>
      <c r="F32" s="159">
        <v>1800</v>
      </c>
      <c r="G32" s="158">
        <v>80</v>
      </c>
      <c r="H32" s="158">
        <v>1100</v>
      </c>
      <c r="I32" s="158">
        <v>126</v>
      </c>
      <c r="J32" s="158">
        <v>0.84799999999999998</v>
      </c>
      <c r="K32" s="158">
        <v>80</v>
      </c>
      <c r="L32" s="158">
        <v>0.85599999999999998</v>
      </c>
      <c r="M32" s="158">
        <v>800</v>
      </c>
      <c r="N32" s="158">
        <v>1700</v>
      </c>
      <c r="O32" s="158">
        <v>90</v>
      </c>
      <c r="P32" s="158">
        <v>0.78100000000000003</v>
      </c>
      <c r="Q32" s="158">
        <v>80</v>
      </c>
      <c r="R32" s="158">
        <v>0.76400000000000001</v>
      </c>
      <c r="S32" s="158">
        <v>400</v>
      </c>
      <c r="T32" s="158"/>
      <c r="U32" s="158"/>
      <c r="V32" s="158"/>
      <c r="AL32" s="161">
        <f t="shared" si="24"/>
        <v>1200</v>
      </c>
      <c r="AM32" s="161">
        <f t="shared" si="25"/>
        <v>93600000</v>
      </c>
      <c r="AN32" s="161">
        <f t="shared" si="26"/>
        <v>1300</v>
      </c>
      <c r="AO32" s="161">
        <f t="shared" si="27"/>
        <v>108</v>
      </c>
      <c r="AP32" s="162">
        <f t="shared" si="28"/>
        <v>0.8145</v>
      </c>
      <c r="AQ32" s="161">
        <f t="shared" si="29"/>
        <v>80</v>
      </c>
      <c r="AR32" s="162">
        <f t="shared" si="30"/>
        <v>0.81</v>
      </c>
      <c r="AS32" s="158">
        <v>0.94299999999999995</v>
      </c>
      <c r="AT32" s="162">
        <f t="shared" si="31"/>
        <v>650.11256417275115</v>
      </c>
      <c r="AU32" s="162">
        <f t="shared" si="32"/>
        <v>484.24022269657587</v>
      </c>
      <c r="AV32" s="158"/>
      <c r="AW32" s="161">
        <f t="shared" si="33"/>
        <v>9952.3404885705131</v>
      </c>
      <c r="AX32" s="163">
        <f t="shared" si="1"/>
        <v>165.87234147617522</v>
      </c>
      <c r="AY32" s="163">
        <f t="shared" si="34"/>
        <v>8.2936170738087611</v>
      </c>
      <c r="AZ32" s="162">
        <f t="shared" si="2"/>
        <v>0.13822695123014603</v>
      </c>
      <c r="BB32" s="203"/>
      <c r="BC32" s="203"/>
    </row>
    <row r="33" spans="1:55" s="156" customFormat="1" x14ac:dyDescent="0.25">
      <c r="A33" s="156" t="s">
        <v>239</v>
      </c>
      <c r="B33" s="157" t="s">
        <v>102</v>
      </c>
      <c r="C33" s="158">
        <v>1</v>
      </c>
      <c r="D33" s="158">
        <v>60</v>
      </c>
      <c r="E33" s="158">
        <f>C33*D33</f>
        <v>60</v>
      </c>
      <c r="F33" s="159">
        <v>1400</v>
      </c>
      <c r="G33" s="158">
        <v>140</v>
      </c>
      <c r="H33" s="158">
        <v>1000</v>
      </c>
      <c r="I33" s="158">
        <v>177</v>
      </c>
      <c r="J33" s="158">
        <v>0.76500000000000001</v>
      </c>
      <c r="K33" s="158">
        <v>140</v>
      </c>
      <c r="L33" s="158">
        <v>0.748</v>
      </c>
      <c r="M33" s="158">
        <v>900</v>
      </c>
      <c r="N33" s="158">
        <v>450</v>
      </c>
      <c r="O33" s="158">
        <v>216</v>
      </c>
      <c r="P33" s="158">
        <v>0.68200000000000005</v>
      </c>
      <c r="Q33" s="158">
        <v>104</v>
      </c>
      <c r="R33" s="158">
        <v>0.77</v>
      </c>
      <c r="S33" s="158">
        <v>600</v>
      </c>
      <c r="T33" s="158"/>
      <c r="U33" s="158"/>
      <c r="V33" s="158"/>
      <c r="AL33" s="161">
        <f t="shared" si="24"/>
        <v>1500</v>
      </c>
      <c r="AM33" s="161">
        <f t="shared" si="25"/>
        <v>70200000</v>
      </c>
      <c r="AN33" s="161">
        <f t="shared" si="26"/>
        <v>780</v>
      </c>
      <c r="AO33" s="161">
        <f t="shared" si="27"/>
        <v>196.5</v>
      </c>
      <c r="AP33" s="162">
        <f t="shared" si="28"/>
        <v>0.72350000000000003</v>
      </c>
      <c r="AQ33" s="161">
        <f t="shared" si="29"/>
        <v>122</v>
      </c>
      <c r="AR33" s="162">
        <f t="shared" si="30"/>
        <v>0.75900000000000001</v>
      </c>
      <c r="AS33" s="166">
        <v>0.94499999999999995</v>
      </c>
      <c r="AT33" s="162">
        <f t="shared" si="31"/>
        <v>998.71408576581507</v>
      </c>
      <c r="AU33" s="162">
        <f t="shared" si="32"/>
        <v>591.06495561852319</v>
      </c>
      <c r="AV33" s="166"/>
      <c r="AW33" s="161">
        <f t="shared" si="33"/>
        <v>24458.947808837522</v>
      </c>
      <c r="AX33" s="163">
        <f t="shared" si="1"/>
        <v>407.64913014729206</v>
      </c>
      <c r="AY33" s="163">
        <f t="shared" si="34"/>
        <v>16.305965205891681</v>
      </c>
      <c r="AZ33" s="162">
        <f t="shared" si="2"/>
        <v>0.27176608676486136</v>
      </c>
      <c r="BB33" s="203"/>
      <c r="BC33" s="203"/>
    </row>
    <row r="34" spans="1:55" s="156" customFormat="1" x14ac:dyDescent="0.25">
      <c r="A34" s="165" t="s">
        <v>221</v>
      </c>
      <c r="B34" s="164" t="s">
        <v>83</v>
      </c>
      <c r="C34" s="158">
        <v>1</v>
      </c>
      <c r="D34" s="158">
        <v>60</v>
      </c>
      <c r="E34" s="158">
        <f>D34*C34</f>
        <v>60</v>
      </c>
      <c r="F34" s="159">
        <v>1900</v>
      </c>
      <c r="G34" s="158">
        <v>104</v>
      </c>
      <c r="H34" s="158">
        <v>1447</v>
      </c>
      <c r="I34" s="158">
        <v>113</v>
      </c>
      <c r="J34" s="158">
        <v>0.73099999999999998</v>
      </c>
      <c r="K34" s="158">
        <v>104</v>
      </c>
      <c r="L34" s="158">
        <v>0.746</v>
      </c>
      <c r="M34" s="158">
        <v>670</v>
      </c>
      <c r="N34" s="158">
        <v>763</v>
      </c>
      <c r="O34" s="158">
        <v>122</v>
      </c>
      <c r="P34" s="158">
        <v>0.47399999999999998</v>
      </c>
      <c r="Q34" s="158">
        <v>104</v>
      </c>
      <c r="R34" s="158">
        <v>0.503</v>
      </c>
      <c r="S34" s="158">
        <v>670</v>
      </c>
      <c r="T34" s="158">
        <v>1647</v>
      </c>
      <c r="U34" s="158">
        <v>110</v>
      </c>
      <c r="V34" s="158">
        <v>0.78300000000000003</v>
      </c>
      <c r="W34" s="156">
        <v>104</v>
      </c>
      <c r="X34" s="156">
        <v>0.79100000000000004</v>
      </c>
      <c r="Y34" s="156">
        <v>150</v>
      </c>
      <c r="Z34" s="156">
        <v>963</v>
      </c>
      <c r="AA34" s="156">
        <v>120</v>
      </c>
      <c r="AB34" s="156">
        <v>0.56299999999999994</v>
      </c>
      <c r="AC34" s="156">
        <v>104</v>
      </c>
      <c r="AD34" s="156">
        <v>0.59099999999999997</v>
      </c>
      <c r="AE34" s="156">
        <v>150</v>
      </c>
      <c r="AL34" s="161">
        <f t="shared" si="24"/>
        <v>1640</v>
      </c>
      <c r="AM34" s="161">
        <f t="shared" si="25"/>
        <v>112332000</v>
      </c>
      <c r="AN34" s="161">
        <f t="shared" si="26"/>
        <v>1141.5853658536585</v>
      </c>
      <c r="AO34" s="161">
        <f t="shared" si="27"/>
        <v>116.25</v>
      </c>
      <c r="AP34" s="162">
        <f t="shared" si="28"/>
        <v>0.63775000000000004</v>
      </c>
      <c r="AQ34" s="161">
        <f t="shared" si="29"/>
        <v>104</v>
      </c>
      <c r="AR34" s="162">
        <f t="shared" si="30"/>
        <v>0.65775000000000006</v>
      </c>
      <c r="AS34" s="166">
        <v>0.9548658536585366</v>
      </c>
      <c r="AT34" s="162">
        <f t="shared" si="31"/>
        <v>1072.5709480094445</v>
      </c>
      <c r="AU34" s="162">
        <f t="shared" si="32"/>
        <v>930.37068465139839</v>
      </c>
      <c r="AV34" s="166"/>
      <c r="AW34" s="161">
        <f t="shared" si="33"/>
        <v>8532.015801482763</v>
      </c>
      <c r="AX34" s="163">
        <f t="shared" si="1"/>
        <v>142.20026335804604</v>
      </c>
      <c r="AY34" s="163">
        <f t="shared" si="34"/>
        <v>5.2024486594407096</v>
      </c>
      <c r="AZ34" s="162">
        <f t="shared" si="2"/>
        <v>8.6707477657345156E-2</v>
      </c>
      <c r="BB34" s="203"/>
      <c r="BC34" s="203"/>
    </row>
    <row r="35" spans="1:55" s="156" customFormat="1" x14ac:dyDescent="0.25">
      <c r="A35" s="156" t="s">
        <v>240</v>
      </c>
      <c r="B35" s="157" t="s">
        <v>81</v>
      </c>
      <c r="C35" s="158">
        <v>1</v>
      </c>
      <c r="D35" s="158">
        <v>60</v>
      </c>
      <c r="E35" s="158">
        <f>D35*C35</f>
        <v>60</v>
      </c>
      <c r="F35" s="159">
        <v>1450</v>
      </c>
      <c r="G35" s="158">
        <v>120</v>
      </c>
      <c r="H35" s="158">
        <v>1250</v>
      </c>
      <c r="I35" s="158">
        <v>135</v>
      </c>
      <c r="J35" s="158">
        <v>0.79400000000000004</v>
      </c>
      <c r="K35" s="158">
        <v>120</v>
      </c>
      <c r="L35" s="158">
        <v>0.80800000000000005</v>
      </c>
      <c r="M35" s="158">
        <v>1010</v>
      </c>
      <c r="N35" s="158">
        <v>875</v>
      </c>
      <c r="O35" s="158">
        <v>138</v>
      </c>
      <c r="P35" s="158">
        <v>0.67800000000000005</v>
      </c>
      <c r="Q35" s="158">
        <v>120</v>
      </c>
      <c r="R35" s="158">
        <v>0.70299999999999996</v>
      </c>
      <c r="S35" s="158">
        <v>1010</v>
      </c>
      <c r="T35" s="158"/>
      <c r="U35" s="158"/>
      <c r="V35" s="158"/>
      <c r="AL35" s="161">
        <f t="shared" si="24"/>
        <v>2020</v>
      </c>
      <c r="AM35" s="161">
        <f t="shared" si="25"/>
        <v>128775000</v>
      </c>
      <c r="AN35" s="161">
        <f t="shared" si="26"/>
        <v>1062.5</v>
      </c>
      <c r="AO35" s="161">
        <f t="shared" si="27"/>
        <v>136.5</v>
      </c>
      <c r="AP35" s="162">
        <f t="shared" si="28"/>
        <v>0.73599999999999999</v>
      </c>
      <c r="AQ35" s="161">
        <f t="shared" si="29"/>
        <v>120</v>
      </c>
      <c r="AR35" s="162">
        <f t="shared" si="30"/>
        <v>0.75550000000000006</v>
      </c>
      <c r="AS35" s="162">
        <v>0.95450000000000002</v>
      </c>
      <c r="AT35" s="162">
        <f t="shared" si="31"/>
        <v>1251.0262986259177</v>
      </c>
      <c r="AU35" s="162">
        <f t="shared" si="32"/>
        <v>1071.416621887754</v>
      </c>
      <c r="AV35" s="162"/>
      <c r="AW35" s="161">
        <f t="shared" si="33"/>
        <v>10776.580604289828</v>
      </c>
      <c r="AX35" s="163">
        <f t="shared" ref="AX35:AX66" si="35">AW35/E35</f>
        <v>179.60967673816378</v>
      </c>
      <c r="AY35" s="163">
        <f t="shared" si="34"/>
        <v>5.334940893212786</v>
      </c>
      <c r="AZ35" s="162">
        <f t="shared" ref="AZ35:AZ66" si="36">AY35/E35</f>
        <v>8.8915681553546427E-2</v>
      </c>
      <c r="BB35" s="203"/>
      <c r="BC35" s="203"/>
    </row>
    <row r="36" spans="1:55" s="156" customFormat="1" x14ac:dyDescent="0.25">
      <c r="A36" s="156" t="s">
        <v>227</v>
      </c>
      <c r="B36" s="157" t="s">
        <v>117</v>
      </c>
      <c r="C36" s="158">
        <v>1</v>
      </c>
      <c r="D36" s="158">
        <v>60</v>
      </c>
      <c r="E36" s="158">
        <f>D36*C36</f>
        <v>60</v>
      </c>
      <c r="F36" s="159">
        <v>3840</v>
      </c>
      <c r="G36" s="158">
        <v>32</v>
      </c>
      <c r="H36" s="158">
        <v>3840</v>
      </c>
      <c r="I36" s="160">
        <v>32</v>
      </c>
      <c r="J36" s="160">
        <v>0.59299999999999997</v>
      </c>
      <c r="K36" s="160">
        <v>32</v>
      </c>
      <c r="L36" s="160">
        <v>0.59299999999999997</v>
      </c>
      <c r="M36" s="160">
        <v>2200</v>
      </c>
      <c r="N36" s="160">
        <v>2200</v>
      </c>
      <c r="O36" s="160">
        <v>42</v>
      </c>
      <c r="P36" s="160">
        <v>0.46600000000000003</v>
      </c>
      <c r="Q36" s="160">
        <v>32</v>
      </c>
      <c r="R36" s="160">
        <v>0.50600000000000001</v>
      </c>
      <c r="S36" s="160">
        <v>440</v>
      </c>
      <c r="T36" s="160"/>
      <c r="U36" s="160"/>
      <c r="V36" s="160"/>
      <c r="W36" s="160"/>
      <c r="AL36" s="161">
        <f t="shared" si="24"/>
        <v>2640</v>
      </c>
      <c r="AM36" s="161">
        <f t="shared" si="25"/>
        <v>564960000</v>
      </c>
      <c r="AN36" s="161">
        <f t="shared" si="26"/>
        <v>3566.6666666666665</v>
      </c>
      <c r="AO36" s="161">
        <f t="shared" si="27"/>
        <v>37</v>
      </c>
      <c r="AP36" s="162">
        <f t="shared" si="28"/>
        <v>0.52949999999999997</v>
      </c>
      <c r="AQ36" s="161">
        <f t="shared" si="29"/>
        <v>32</v>
      </c>
      <c r="AR36" s="162">
        <f t="shared" si="30"/>
        <v>0.54949999999999999</v>
      </c>
      <c r="AS36" s="166">
        <v>0.95916666666666661</v>
      </c>
      <c r="AT36" s="162">
        <f t="shared" si="31"/>
        <v>2067.9189052508027</v>
      </c>
      <c r="AU36" s="162">
        <f t="shared" si="32"/>
        <v>1723.3759403177139</v>
      </c>
      <c r="AV36" s="166"/>
      <c r="AW36" s="161">
        <f t="shared" si="33"/>
        <v>20672.577895985323</v>
      </c>
      <c r="AX36" s="163">
        <f t="shared" si="35"/>
        <v>344.54296493308874</v>
      </c>
      <c r="AY36" s="163">
        <f t="shared" si="34"/>
        <v>7.8305219302974711</v>
      </c>
      <c r="AZ36" s="162">
        <f t="shared" si="36"/>
        <v>0.13050869883829119</v>
      </c>
      <c r="BB36" s="203"/>
      <c r="BC36" s="203"/>
    </row>
    <row r="37" spans="1:55" s="156" customFormat="1" x14ac:dyDescent="0.25">
      <c r="A37" s="156" t="s">
        <v>242</v>
      </c>
      <c r="B37" s="157" t="s">
        <v>243</v>
      </c>
      <c r="C37" s="158">
        <v>1</v>
      </c>
      <c r="D37" s="158">
        <v>60</v>
      </c>
      <c r="E37" s="158">
        <f>D37*C37</f>
        <v>60</v>
      </c>
      <c r="F37" s="159">
        <v>1600</v>
      </c>
      <c r="G37" s="158">
        <v>101.64</v>
      </c>
      <c r="H37" s="158">
        <v>960</v>
      </c>
      <c r="I37" s="158">
        <v>142</v>
      </c>
      <c r="J37" s="158">
        <v>0.79600000000000004</v>
      </c>
      <c r="K37" s="158">
        <v>102</v>
      </c>
      <c r="L37" s="158">
        <v>0.83499999999999996</v>
      </c>
      <c r="M37" s="158">
        <v>1485</v>
      </c>
      <c r="N37" s="158">
        <v>1200</v>
      </c>
      <c r="O37" s="158">
        <v>130</v>
      </c>
      <c r="P37" s="158">
        <v>0.84899999999999998</v>
      </c>
      <c r="Q37" s="158">
        <v>102</v>
      </c>
      <c r="R37" s="158">
        <v>0.85299999999999998</v>
      </c>
      <c r="S37" s="158">
        <v>1485</v>
      </c>
      <c r="T37" s="158"/>
      <c r="U37" s="158"/>
      <c r="V37" s="158"/>
      <c r="AL37" s="161">
        <f t="shared" si="24"/>
        <v>2970</v>
      </c>
      <c r="AM37" s="161">
        <f t="shared" si="25"/>
        <v>192456000</v>
      </c>
      <c r="AN37" s="161">
        <f t="shared" si="26"/>
        <v>1080</v>
      </c>
      <c r="AO37" s="161">
        <f t="shared" si="27"/>
        <v>136</v>
      </c>
      <c r="AP37" s="162">
        <f t="shared" si="28"/>
        <v>0.82250000000000001</v>
      </c>
      <c r="AQ37" s="161">
        <f t="shared" si="29"/>
        <v>102</v>
      </c>
      <c r="AR37" s="162">
        <f t="shared" si="30"/>
        <v>0.84399999999999997</v>
      </c>
      <c r="AS37" s="166">
        <v>0.95150000000000001</v>
      </c>
      <c r="AT37" s="162">
        <f t="shared" si="31"/>
        <v>1666.9190149394094</v>
      </c>
      <c r="AU37" s="162">
        <f t="shared" si="32"/>
        <v>1218.3420229155786</v>
      </c>
      <c r="AV37" s="166"/>
      <c r="AW37" s="161">
        <f t="shared" si="33"/>
        <v>26914.61952142986</v>
      </c>
      <c r="AX37" s="163">
        <f t="shared" si="35"/>
        <v>448.576992023831</v>
      </c>
      <c r="AY37" s="163">
        <f t="shared" si="34"/>
        <v>9.0621614550268887</v>
      </c>
      <c r="AZ37" s="162">
        <f t="shared" si="36"/>
        <v>0.15103602425044815</v>
      </c>
      <c r="BB37" s="203"/>
      <c r="BC37" s="203"/>
    </row>
    <row r="38" spans="1:55" s="156" customFormat="1" x14ac:dyDescent="0.25">
      <c r="A38" s="156" t="s">
        <v>241</v>
      </c>
      <c r="B38" s="157" t="s">
        <v>75</v>
      </c>
      <c r="C38" s="158">
        <v>1</v>
      </c>
      <c r="D38" s="158">
        <v>60</v>
      </c>
      <c r="E38" s="158">
        <f>D38*C38</f>
        <v>60</v>
      </c>
      <c r="F38" s="159">
        <v>1800</v>
      </c>
      <c r="G38" s="158">
        <v>95</v>
      </c>
      <c r="H38" s="158">
        <v>1750</v>
      </c>
      <c r="I38" s="160">
        <v>97</v>
      </c>
      <c r="J38" s="160">
        <v>0.80900000000000005</v>
      </c>
      <c r="K38" s="160">
        <v>95</v>
      </c>
      <c r="L38" s="160">
        <v>0.81299999999999994</v>
      </c>
      <c r="M38" s="160">
        <v>1175</v>
      </c>
      <c r="N38" s="160">
        <v>1440</v>
      </c>
      <c r="O38" s="160">
        <v>105</v>
      </c>
      <c r="P38" s="160">
        <v>0.71699999999999997</v>
      </c>
      <c r="Q38" s="160">
        <v>95</v>
      </c>
      <c r="R38" s="160">
        <v>0.73899999999999999</v>
      </c>
      <c r="S38" s="160">
        <v>2280</v>
      </c>
      <c r="T38" s="160"/>
      <c r="U38" s="160"/>
      <c r="V38" s="160"/>
      <c r="W38" s="160"/>
      <c r="AL38" s="161">
        <f t="shared" si="24"/>
        <v>3455</v>
      </c>
      <c r="AM38" s="161">
        <f t="shared" si="25"/>
        <v>320367000</v>
      </c>
      <c r="AN38" s="161">
        <f t="shared" si="26"/>
        <v>1545.4269175108539</v>
      </c>
      <c r="AO38" s="161">
        <f t="shared" si="27"/>
        <v>101</v>
      </c>
      <c r="AP38" s="162">
        <f t="shared" si="28"/>
        <v>0.76300000000000001</v>
      </c>
      <c r="AQ38" s="161">
        <f t="shared" si="29"/>
        <v>95</v>
      </c>
      <c r="AR38" s="162">
        <f t="shared" si="30"/>
        <v>0.77600000000000002</v>
      </c>
      <c r="AS38" s="166">
        <v>0.9583603473227208</v>
      </c>
      <c r="AT38" s="162">
        <f t="shared" si="31"/>
        <v>2221.3891894500489</v>
      </c>
      <c r="AU38" s="162">
        <f t="shared" si="32"/>
        <v>2054.4222133980657</v>
      </c>
      <c r="AV38" s="166"/>
      <c r="AW38" s="161">
        <f t="shared" si="33"/>
        <v>10018.018563119002</v>
      </c>
      <c r="AX38" s="163">
        <f t="shared" si="35"/>
        <v>166.96697605198335</v>
      </c>
      <c r="AY38" s="163">
        <f t="shared" si="34"/>
        <v>2.8995712194266283</v>
      </c>
      <c r="AZ38" s="162">
        <f t="shared" si="36"/>
        <v>4.8326186990443804E-2</v>
      </c>
      <c r="BB38" s="203"/>
      <c r="BC38" s="203"/>
    </row>
    <row r="39" spans="1:55" s="156" customFormat="1" x14ac:dyDescent="0.25">
      <c r="A39" s="156" t="s">
        <v>315</v>
      </c>
      <c r="C39" s="158">
        <v>1</v>
      </c>
      <c r="D39" s="158">
        <v>60</v>
      </c>
      <c r="E39" s="158">
        <f>D39</f>
        <v>60</v>
      </c>
      <c r="G39" s="160"/>
      <c r="H39" s="158"/>
      <c r="AW39" s="161">
        <v>17365.900000000001</v>
      </c>
      <c r="AX39" s="163">
        <f t="shared" si="35"/>
        <v>289.43166666666667</v>
      </c>
      <c r="AY39" s="158">
        <v>7.23</v>
      </c>
      <c r="AZ39" s="162">
        <f t="shared" si="36"/>
        <v>0.12050000000000001</v>
      </c>
      <c r="BB39" s="203"/>
      <c r="BC39" s="203"/>
    </row>
    <row r="40" spans="1:55" s="156" customFormat="1" x14ac:dyDescent="0.25">
      <c r="A40" s="156" t="s">
        <v>317</v>
      </c>
      <c r="C40" s="158">
        <v>1</v>
      </c>
      <c r="D40" s="158">
        <v>60</v>
      </c>
      <c r="E40" s="158">
        <f>D40</f>
        <v>60</v>
      </c>
      <c r="G40" s="160"/>
      <c r="H40" s="158"/>
      <c r="AW40" s="161">
        <v>11752</v>
      </c>
      <c r="AX40" s="163">
        <f t="shared" si="35"/>
        <v>195.86666666666667</v>
      </c>
      <c r="AY40" s="158">
        <v>7.99</v>
      </c>
      <c r="AZ40" s="162">
        <f t="shared" si="36"/>
        <v>0.13316666666666668</v>
      </c>
      <c r="BB40" s="203"/>
      <c r="BC40" s="203"/>
    </row>
    <row r="41" spans="1:55" s="156" customFormat="1" x14ac:dyDescent="0.25">
      <c r="A41" s="156" t="s">
        <v>321</v>
      </c>
      <c r="C41" s="158">
        <v>1</v>
      </c>
      <c r="D41" s="158">
        <v>60</v>
      </c>
      <c r="E41" s="158">
        <f>D41</f>
        <v>60</v>
      </c>
      <c r="G41" s="160"/>
      <c r="H41" s="158"/>
      <c r="AW41" s="161">
        <v>16431</v>
      </c>
      <c r="AX41" s="163">
        <f t="shared" si="35"/>
        <v>273.85000000000002</v>
      </c>
      <c r="AY41" s="158">
        <v>7.1</v>
      </c>
      <c r="AZ41" s="162">
        <f t="shared" si="36"/>
        <v>0.11833333333333333</v>
      </c>
      <c r="BB41" s="203"/>
      <c r="BC41" s="203"/>
    </row>
    <row r="42" spans="1:55" s="145" customFormat="1" x14ac:dyDescent="0.25">
      <c r="A42" s="145" t="s">
        <v>244</v>
      </c>
      <c r="B42" s="146" t="s">
        <v>169</v>
      </c>
      <c r="C42" s="147">
        <v>1</v>
      </c>
      <c r="D42" s="147">
        <v>75</v>
      </c>
      <c r="E42" s="147">
        <f>D42*C42</f>
        <v>75</v>
      </c>
      <c r="F42" s="148">
        <v>2700</v>
      </c>
      <c r="G42" s="147">
        <v>87.7</v>
      </c>
      <c r="H42" s="147">
        <v>2700</v>
      </c>
      <c r="I42" s="149">
        <v>95</v>
      </c>
      <c r="J42" s="149">
        <v>0.89300000000000002</v>
      </c>
      <c r="K42" s="149">
        <v>88</v>
      </c>
      <c r="L42" s="149">
        <v>0.88500000000000001</v>
      </c>
      <c r="M42" s="149">
        <v>300</v>
      </c>
      <c r="N42" s="149">
        <v>2200</v>
      </c>
      <c r="O42" s="149">
        <v>111</v>
      </c>
      <c r="P42" s="149">
        <v>0.88100000000000001</v>
      </c>
      <c r="Q42" s="149">
        <v>88</v>
      </c>
      <c r="R42" s="149">
        <v>0.89900000000000002</v>
      </c>
      <c r="S42" s="149">
        <v>400</v>
      </c>
      <c r="T42" s="149">
        <v>1650</v>
      </c>
      <c r="U42" s="149">
        <v>125</v>
      </c>
      <c r="V42" s="149">
        <v>0.75800000000000001</v>
      </c>
      <c r="W42" s="149">
        <v>88</v>
      </c>
      <c r="X42" s="145">
        <v>0.83099999999999996</v>
      </c>
      <c r="Y42" s="145">
        <v>300</v>
      </c>
      <c r="AL42" s="150">
        <f t="shared" ref="AL42:AL62" si="37">AK42+AE42+Y42+S42+M42</f>
        <v>1000</v>
      </c>
      <c r="AM42" s="150">
        <f t="shared" ref="AM42:AM62" si="38">AF42*AK42*60+Z42*AE42*60+T42*Y42*60+N42*S42*60+H42*M42*60</f>
        <v>131100000</v>
      </c>
      <c r="AN42" s="150">
        <f t="shared" ref="AN42:AN62" si="39">(AM42/AL42)/60</f>
        <v>2185</v>
      </c>
      <c r="AO42" s="150">
        <f t="shared" ref="AO42:AO62" si="40">AVERAGE(AG42,AA42,U42,O42,I42)</f>
        <v>110.33333333333333</v>
      </c>
      <c r="AP42" s="151">
        <f t="shared" ref="AP42:AP62" si="41">AVERAGE(AH42,AB42,V42,P42,J42)</f>
        <v>0.84399999999999997</v>
      </c>
      <c r="AQ42" s="150">
        <f t="shared" ref="AQ42:AQ62" si="42">AVERAGE(AI42,AC42,W42,Q42,K42)</f>
        <v>88</v>
      </c>
      <c r="AR42" s="151">
        <f t="shared" ref="AR42:AR62" si="43">AVERAGE(AJ42,AD42,X42,R42,L42)</f>
        <v>0.8716666666666667</v>
      </c>
      <c r="AS42" s="155">
        <v>0.94929999999999992</v>
      </c>
      <c r="AT42" s="151">
        <f t="shared" ref="AT42:AT62" si="44">((AN42*AO42/AP42))*AL42*0.746/(3956*E42)</f>
        <v>718.18613223606076</v>
      </c>
      <c r="AU42" s="151">
        <f t="shared" ref="AU42:AU62" si="45">((AN42*AQ42/AR42))*AL42*0.746/(3956*E42)</f>
        <v>554.63204233180659</v>
      </c>
      <c r="AV42" s="155"/>
      <c r="AW42" s="150">
        <f t="shared" ref="AW42:AW62" si="46">((AN42*AO42/AP42)-(AN42*AQ42/AR42))*AL42*0.746/3956</f>
        <v>12266.55674281905</v>
      </c>
      <c r="AX42" s="152">
        <f t="shared" si="35"/>
        <v>163.554089904254</v>
      </c>
      <c r="AY42" s="152">
        <f t="shared" ref="AY42:AY62" si="47">AW42/AL42</f>
        <v>12.26655674281905</v>
      </c>
      <c r="AZ42" s="151">
        <f t="shared" si="36"/>
        <v>0.16355408990425399</v>
      </c>
      <c r="BB42" s="206">
        <f>SUM(AW42:AW69)/SUMPRODUCT(C42:D69)</f>
        <v>292.63684139197539</v>
      </c>
      <c r="BC42" s="206">
        <f>SUM(AY42:AY69)/SUMPRODUCT(C42:D69)</f>
        <v>0.15472819435733154</v>
      </c>
    </row>
    <row r="43" spans="1:55" s="145" customFormat="1" x14ac:dyDescent="0.25">
      <c r="A43" s="145" t="s">
        <v>245</v>
      </c>
      <c r="B43" s="146" t="s">
        <v>77</v>
      </c>
      <c r="C43" s="147">
        <v>1</v>
      </c>
      <c r="D43" s="147">
        <v>75</v>
      </c>
      <c r="E43" s="147">
        <f>D43*C43</f>
        <v>75</v>
      </c>
      <c r="F43" s="148">
        <v>2000</v>
      </c>
      <c r="G43" s="147">
        <v>125</v>
      </c>
      <c r="H43" s="147">
        <v>850</v>
      </c>
      <c r="I43" s="149">
        <v>190</v>
      </c>
      <c r="J43" s="149">
        <v>0.66300000000000003</v>
      </c>
      <c r="K43" s="149">
        <v>125</v>
      </c>
      <c r="L43" s="149">
        <v>0.73</v>
      </c>
      <c r="M43" s="149">
        <v>600</v>
      </c>
      <c r="N43" s="149">
        <v>1000</v>
      </c>
      <c r="O43" s="149">
        <v>187</v>
      </c>
      <c r="P43" s="149">
        <v>0.71899999999999997</v>
      </c>
      <c r="Q43" s="149">
        <v>125</v>
      </c>
      <c r="R43" s="149">
        <v>0.76900000000000002</v>
      </c>
      <c r="S43" s="149">
        <v>500</v>
      </c>
      <c r="T43" s="149"/>
      <c r="U43" s="149"/>
      <c r="V43" s="149"/>
      <c r="W43" s="149"/>
      <c r="AL43" s="150">
        <f t="shared" si="37"/>
        <v>1100</v>
      </c>
      <c r="AM43" s="150">
        <f t="shared" si="38"/>
        <v>60600000</v>
      </c>
      <c r="AN43" s="150">
        <f t="shared" si="39"/>
        <v>918.18181818181813</v>
      </c>
      <c r="AO43" s="150">
        <f t="shared" si="40"/>
        <v>188.5</v>
      </c>
      <c r="AP43" s="151">
        <f t="shared" si="41"/>
        <v>0.69100000000000006</v>
      </c>
      <c r="AQ43" s="150">
        <f t="shared" si="42"/>
        <v>125</v>
      </c>
      <c r="AR43" s="151">
        <f t="shared" si="43"/>
        <v>0.74950000000000006</v>
      </c>
      <c r="AS43" s="155">
        <v>0.93490909090909102</v>
      </c>
      <c r="AT43" s="151">
        <f t="shared" si="44"/>
        <v>692.74908703895267</v>
      </c>
      <c r="AU43" s="151">
        <f t="shared" si="45"/>
        <v>423.52693054778905</v>
      </c>
      <c r="AV43" s="155"/>
      <c r="AW43" s="150">
        <f t="shared" si="46"/>
        <v>20191.661736837275</v>
      </c>
      <c r="AX43" s="152">
        <f t="shared" si="35"/>
        <v>269.22215649116367</v>
      </c>
      <c r="AY43" s="152">
        <f t="shared" si="47"/>
        <v>18.356056124397522</v>
      </c>
      <c r="AZ43" s="151">
        <f t="shared" si="36"/>
        <v>0.24474741499196695</v>
      </c>
      <c r="BB43" s="206"/>
      <c r="BC43" s="206"/>
    </row>
    <row r="44" spans="1:55" s="145" customFormat="1" x14ac:dyDescent="0.25">
      <c r="A44" s="145" t="s">
        <v>246</v>
      </c>
      <c r="B44" s="146" t="s">
        <v>75</v>
      </c>
      <c r="C44" s="147">
        <v>1</v>
      </c>
      <c r="D44" s="147">
        <v>75</v>
      </c>
      <c r="E44" s="147">
        <f>D44*C44</f>
        <v>75</v>
      </c>
      <c r="F44" s="148">
        <v>2000</v>
      </c>
      <c r="G44" s="147">
        <v>114</v>
      </c>
      <c r="H44" s="147">
        <v>1800</v>
      </c>
      <c r="I44" s="149">
        <v>124</v>
      </c>
      <c r="J44" s="149">
        <v>0.81699999999999995</v>
      </c>
      <c r="K44" s="149">
        <v>114</v>
      </c>
      <c r="L44" s="149">
        <v>0.82099999999999995</v>
      </c>
      <c r="M44" s="149">
        <v>600</v>
      </c>
      <c r="N44" s="149">
        <v>1300</v>
      </c>
      <c r="O44" s="149">
        <v>136</v>
      </c>
      <c r="P44" s="149">
        <v>0.71</v>
      </c>
      <c r="Q44" s="149">
        <v>114</v>
      </c>
      <c r="R44" s="149">
        <v>0.745</v>
      </c>
      <c r="S44" s="149">
        <v>600</v>
      </c>
      <c r="T44" s="149"/>
      <c r="U44" s="149"/>
      <c r="V44" s="149"/>
      <c r="W44" s="149"/>
      <c r="AL44" s="150">
        <f t="shared" si="37"/>
        <v>1200</v>
      </c>
      <c r="AM44" s="150">
        <f t="shared" si="38"/>
        <v>111600000</v>
      </c>
      <c r="AN44" s="150">
        <f t="shared" si="39"/>
        <v>1550</v>
      </c>
      <c r="AO44" s="150">
        <f t="shared" si="40"/>
        <v>130</v>
      </c>
      <c r="AP44" s="151">
        <f t="shared" si="41"/>
        <v>0.76349999999999996</v>
      </c>
      <c r="AQ44" s="150">
        <f t="shared" si="42"/>
        <v>114</v>
      </c>
      <c r="AR44" s="151">
        <f t="shared" si="43"/>
        <v>0.78299999999999992</v>
      </c>
      <c r="AS44" s="155">
        <v>0.95499999999999996</v>
      </c>
      <c r="AT44" s="151">
        <f t="shared" si="44"/>
        <v>796.2850027446641</v>
      </c>
      <c r="AU44" s="151">
        <f t="shared" si="45"/>
        <v>680.89056247070278</v>
      </c>
      <c r="AV44" s="155"/>
      <c r="AW44" s="150">
        <f t="shared" si="46"/>
        <v>8654.5830205471048</v>
      </c>
      <c r="AX44" s="152">
        <f t="shared" si="35"/>
        <v>115.39444027396139</v>
      </c>
      <c r="AY44" s="152">
        <f t="shared" si="47"/>
        <v>7.2121525171225871</v>
      </c>
      <c r="AZ44" s="151">
        <f t="shared" si="36"/>
        <v>9.6162033561634497E-2</v>
      </c>
      <c r="BB44" s="206"/>
      <c r="BC44" s="206"/>
    </row>
    <row r="45" spans="1:55" s="145" customFormat="1" x14ac:dyDescent="0.25">
      <c r="A45" s="145" t="s">
        <v>247</v>
      </c>
      <c r="B45" s="146" t="s">
        <v>164</v>
      </c>
      <c r="C45" s="147">
        <v>1</v>
      </c>
      <c r="D45" s="147">
        <v>75</v>
      </c>
      <c r="E45" s="147">
        <f t="shared" ref="E45:E50" si="48">C45*D45</f>
        <v>75</v>
      </c>
      <c r="F45" s="148">
        <v>1710</v>
      </c>
      <c r="G45" s="147">
        <v>118</v>
      </c>
      <c r="H45" s="147">
        <v>1710</v>
      </c>
      <c r="I45" s="149">
        <v>138</v>
      </c>
      <c r="J45" s="149">
        <v>0.86599999999999999</v>
      </c>
      <c r="K45" s="149">
        <v>118</v>
      </c>
      <c r="L45" s="149">
        <v>0.86399999999999999</v>
      </c>
      <c r="M45" s="149">
        <v>1400</v>
      </c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AL45" s="150">
        <f t="shared" si="37"/>
        <v>1400</v>
      </c>
      <c r="AM45" s="150">
        <f t="shared" si="38"/>
        <v>143640000</v>
      </c>
      <c r="AN45" s="150">
        <f t="shared" si="39"/>
        <v>1710</v>
      </c>
      <c r="AO45" s="150">
        <f t="shared" si="40"/>
        <v>138</v>
      </c>
      <c r="AP45" s="151">
        <f t="shared" si="41"/>
        <v>0.86599999999999999</v>
      </c>
      <c r="AQ45" s="150">
        <f t="shared" si="42"/>
        <v>118</v>
      </c>
      <c r="AR45" s="151">
        <f t="shared" si="43"/>
        <v>0.86399999999999999</v>
      </c>
      <c r="AS45" s="151">
        <v>0.95199999999999996</v>
      </c>
      <c r="AT45" s="151">
        <f t="shared" si="44"/>
        <v>959.19437134110308</v>
      </c>
      <c r="AU45" s="151">
        <f t="shared" si="45"/>
        <v>822.07926075721821</v>
      </c>
      <c r="AV45" s="151"/>
      <c r="AW45" s="150">
        <f t="shared" si="46"/>
        <v>10283.633293791363</v>
      </c>
      <c r="AX45" s="152">
        <f t="shared" si="35"/>
        <v>137.11511058388484</v>
      </c>
      <c r="AY45" s="152">
        <f t="shared" si="47"/>
        <v>7.3454523527081168</v>
      </c>
      <c r="AZ45" s="151">
        <f t="shared" si="36"/>
        <v>9.7939364702774895E-2</v>
      </c>
      <c r="BB45" s="206"/>
      <c r="BC45" s="206"/>
    </row>
    <row r="46" spans="1:55" s="145" customFormat="1" x14ac:dyDescent="0.25">
      <c r="A46" s="145" t="s">
        <v>248</v>
      </c>
      <c r="B46" s="146" t="s">
        <v>249</v>
      </c>
      <c r="C46" s="147">
        <v>1</v>
      </c>
      <c r="D46" s="147">
        <v>75</v>
      </c>
      <c r="E46" s="147">
        <f t="shared" si="48"/>
        <v>75</v>
      </c>
      <c r="F46" s="148">
        <v>2350</v>
      </c>
      <c r="G46" s="147">
        <v>69</v>
      </c>
      <c r="H46" s="147">
        <v>1175</v>
      </c>
      <c r="I46" s="145">
        <v>100</v>
      </c>
      <c r="J46" s="145">
        <v>0.44500000000000001</v>
      </c>
      <c r="K46" s="145">
        <v>37</v>
      </c>
      <c r="L46" s="145">
        <v>0.64800000000000002</v>
      </c>
      <c r="M46" s="145">
        <f>362*2</f>
        <v>724</v>
      </c>
      <c r="N46" s="145">
        <v>1763</v>
      </c>
      <c r="O46" s="145">
        <v>95</v>
      </c>
      <c r="P46" s="145">
        <v>0.622</v>
      </c>
      <c r="Q46" s="145">
        <v>41</v>
      </c>
      <c r="R46" s="145">
        <v>0.76</v>
      </c>
      <c r="S46" s="145">
        <f>181*2</f>
        <v>362</v>
      </c>
      <c r="T46" s="145">
        <v>2350</v>
      </c>
      <c r="U46" s="145">
        <v>87</v>
      </c>
      <c r="V46" s="145">
        <v>0.74099999999999999</v>
      </c>
      <c r="W46" s="145">
        <v>47</v>
      </c>
      <c r="X46" s="145">
        <v>0.78</v>
      </c>
      <c r="Y46" s="145">
        <f>181*2</f>
        <v>362</v>
      </c>
      <c r="AL46" s="150">
        <f t="shared" si="37"/>
        <v>1448</v>
      </c>
      <c r="AM46" s="150">
        <f t="shared" si="38"/>
        <v>140376360</v>
      </c>
      <c r="AN46" s="150">
        <f t="shared" si="39"/>
        <v>1615.75</v>
      </c>
      <c r="AO46" s="150">
        <f t="shared" si="40"/>
        <v>94</v>
      </c>
      <c r="AP46" s="151">
        <f t="shared" si="41"/>
        <v>0.60266666666666668</v>
      </c>
      <c r="AQ46" s="150">
        <f t="shared" si="42"/>
        <v>41.666666666666664</v>
      </c>
      <c r="AR46" s="151">
        <f t="shared" si="43"/>
        <v>0.72933333333333339</v>
      </c>
      <c r="AS46" s="155">
        <v>0.93162499999999993</v>
      </c>
      <c r="AT46" s="151">
        <f t="shared" si="44"/>
        <v>917.51820436303774</v>
      </c>
      <c r="AU46" s="151">
        <f t="shared" si="45"/>
        <v>336.06764522483445</v>
      </c>
      <c r="AV46" s="155"/>
      <c r="AW46" s="150">
        <f t="shared" si="46"/>
        <v>43608.791935365232</v>
      </c>
      <c r="AX46" s="152">
        <f t="shared" si="35"/>
        <v>581.45055913820306</v>
      </c>
      <c r="AY46" s="152">
        <f t="shared" si="47"/>
        <v>30.116569016136211</v>
      </c>
      <c r="AZ46" s="151">
        <f t="shared" si="36"/>
        <v>0.40155425354848279</v>
      </c>
      <c r="BB46" s="206"/>
      <c r="BC46" s="206"/>
    </row>
    <row r="47" spans="1:55" s="145" customFormat="1" x14ac:dyDescent="0.25">
      <c r="A47" s="145" t="s">
        <v>217</v>
      </c>
      <c r="B47" s="146" t="s">
        <v>81</v>
      </c>
      <c r="C47" s="147">
        <v>1</v>
      </c>
      <c r="D47" s="147">
        <v>75</v>
      </c>
      <c r="E47" s="147">
        <f t="shared" si="48"/>
        <v>75</v>
      </c>
      <c r="F47" s="148">
        <v>1800</v>
      </c>
      <c r="G47" s="147">
        <v>135</v>
      </c>
      <c r="H47" s="147">
        <v>1500</v>
      </c>
      <c r="I47" s="149">
        <v>159</v>
      </c>
      <c r="J47" s="149">
        <v>0.85499999999999998</v>
      </c>
      <c r="K47" s="149">
        <v>135</v>
      </c>
      <c r="L47" s="149">
        <v>0.85299999999999998</v>
      </c>
      <c r="M47" s="149">
        <v>725</v>
      </c>
      <c r="N47" s="149">
        <v>1700</v>
      </c>
      <c r="O47" s="149">
        <v>144</v>
      </c>
      <c r="P47" s="149">
        <v>0.84499999999999997</v>
      </c>
      <c r="Q47" s="149">
        <v>135</v>
      </c>
      <c r="R47" s="149">
        <v>0.84</v>
      </c>
      <c r="S47" s="149">
        <v>725</v>
      </c>
      <c r="T47" s="149"/>
      <c r="U47" s="149"/>
      <c r="V47" s="149"/>
      <c r="W47" s="149"/>
      <c r="AL47" s="150">
        <f t="shared" si="37"/>
        <v>1450</v>
      </c>
      <c r="AM47" s="150">
        <f t="shared" si="38"/>
        <v>139200000</v>
      </c>
      <c r="AN47" s="150">
        <f t="shared" si="39"/>
        <v>1600</v>
      </c>
      <c r="AO47" s="150">
        <f t="shared" si="40"/>
        <v>151.5</v>
      </c>
      <c r="AP47" s="151">
        <f t="shared" si="41"/>
        <v>0.85</v>
      </c>
      <c r="AQ47" s="150">
        <f t="shared" si="42"/>
        <v>135</v>
      </c>
      <c r="AR47" s="151">
        <f t="shared" si="43"/>
        <v>0.84650000000000003</v>
      </c>
      <c r="AS47" s="151">
        <v>0.95699999999999996</v>
      </c>
      <c r="AT47" s="151">
        <f t="shared" si="44"/>
        <v>1039.687860584072</v>
      </c>
      <c r="AU47" s="151">
        <f t="shared" si="45"/>
        <v>930.2851150009825</v>
      </c>
      <c r="AV47" s="151"/>
      <c r="AW47" s="150">
        <f t="shared" si="46"/>
        <v>8205.2059187317082</v>
      </c>
      <c r="AX47" s="152">
        <f t="shared" si="35"/>
        <v>109.40274558308944</v>
      </c>
      <c r="AY47" s="152">
        <f t="shared" si="47"/>
        <v>5.6587627025735916</v>
      </c>
      <c r="AZ47" s="151">
        <f t="shared" si="36"/>
        <v>7.5450169367647882E-2</v>
      </c>
      <c r="BB47" s="206"/>
      <c r="BC47" s="206"/>
    </row>
    <row r="48" spans="1:55" s="145" customFormat="1" x14ac:dyDescent="0.25">
      <c r="A48" s="145" t="s">
        <v>250</v>
      </c>
      <c r="B48" s="146" t="s">
        <v>251</v>
      </c>
      <c r="C48" s="147">
        <v>1</v>
      </c>
      <c r="D48" s="147">
        <v>75</v>
      </c>
      <c r="E48" s="147">
        <f t="shared" si="48"/>
        <v>75</v>
      </c>
      <c r="F48" s="148">
        <v>1520</v>
      </c>
      <c r="G48" s="147">
        <v>148</v>
      </c>
      <c r="H48" s="147">
        <v>1520</v>
      </c>
      <c r="I48" s="147">
        <v>170</v>
      </c>
      <c r="J48" s="147">
        <v>0.86299999999999999</v>
      </c>
      <c r="K48" s="147">
        <v>148</v>
      </c>
      <c r="L48" s="147">
        <v>0.86799999999999999</v>
      </c>
      <c r="M48" s="147">
        <v>1492</v>
      </c>
      <c r="N48" s="147"/>
      <c r="O48" s="147"/>
      <c r="P48" s="147"/>
      <c r="Q48" s="147"/>
      <c r="R48" s="147"/>
      <c r="S48" s="147"/>
      <c r="T48" s="147"/>
      <c r="U48" s="147"/>
      <c r="V48" s="147"/>
      <c r="AL48" s="150">
        <f t="shared" si="37"/>
        <v>1492</v>
      </c>
      <c r="AM48" s="150">
        <f t="shared" si="38"/>
        <v>136070400</v>
      </c>
      <c r="AN48" s="150">
        <f t="shared" si="39"/>
        <v>1520</v>
      </c>
      <c r="AO48" s="150">
        <f t="shared" si="40"/>
        <v>170</v>
      </c>
      <c r="AP48" s="151">
        <f t="shared" si="41"/>
        <v>0.86299999999999999</v>
      </c>
      <c r="AQ48" s="150">
        <f t="shared" si="42"/>
        <v>148</v>
      </c>
      <c r="AR48" s="151">
        <f t="shared" si="43"/>
        <v>0.86799999999999999</v>
      </c>
      <c r="AS48" s="151">
        <v>0.95699999999999996</v>
      </c>
      <c r="AT48" s="151">
        <f t="shared" si="44"/>
        <v>1123.2380785004302</v>
      </c>
      <c r="AU48" s="151">
        <f t="shared" si="45"/>
        <v>972.24491961499677</v>
      </c>
      <c r="AV48" s="151"/>
      <c r="AW48" s="150">
        <f t="shared" si="46"/>
        <v>11324.486916407501</v>
      </c>
      <c r="AX48" s="152">
        <f t="shared" si="35"/>
        <v>150.99315888543333</v>
      </c>
      <c r="AY48" s="152">
        <f t="shared" si="47"/>
        <v>7.5901386839192364</v>
      </c>
      <c r="AZ48" s="151">
        <f t="shared" si="36"/>
        <v>0.10120184911892315</v>
      </c>
      <c r="BB48" s="206"/>
      <c r="BC48" s="206"/>
    </row>
    <row r="49" spans="1:55" s="145" customFormat="1" x14ac:dyDescent="0.25">
      <c r="A49" s="145" t="s">
        <v>252</v>
      </c>
      <c r="B49" s="146" t="s">
        <v>39</v>
      </c>
      <c r="C49" s="147">
        <v>1</v>
      </c>
      <c r="D49" s="147">
        <v>75</v>
      </c>
      <c r="E49" s="147">
        <f t="shared" si="48"/>
        <v>75</v>
      </c>
      <c r="F49" s="148">
        <v>2200</v>
      </c>
      <c r="G49" s="147">
        <v>110</v>
      </c>
      <c r="H49" s="147">
        <v>2030</v>
      </c>
      <c r="I49" s="147">
        <v>119</v>
      </c>
      <c r="J49" s="147">
        <v>0.83099999999999996</v>
      </c>
      <c r="K49" s="147">
        <v>110</v>
      </c>
      <c r="L49" s="147">
        <v>0.83199999999999996</v>
      </c>
      <c r="M49" s="147">
        <v>1500</v>
      </c>
      <c r="N49" s="147"/>
      <c r="O49" s="147"/>
      <c r="P49" s="147"/>
      <c r="Q49" s="147"/>
      <c r="R49" s="147"/>
      <c r="S49" s="147"/>
      <c r="T49" s="147"/>
      <c r="U49" s="147"/>
      <c r="V49" s="147"/>
      <c r="AL49" s="150">
        <f t="shared" si="37"/>
        <v>1500</v>
      </c>
      <c r="AM49" s="150">
        <f t="shared" si="38"/>
        <v>182700000</v>
      </c>
      <c r="AN49" s="150">
        <f t="shared" si="39"/>
        <v>2030</v>
      </c>
      <c r="AO49" s="150">
        <f t="shared" si="40"/>
        <v>119</v>
      </c>
      <c r="AP49" s="151">
        <f t="shared" si="41"/>
        <v>0.83099999999999996</v>
      </c>
      <c r="AQ49" s="150">
        <f t="shared" si="42"/>
        <v>110</v>
      </c>
      <c r="AR49" s="151">
        <f t="shared" si="43"/>
        <v>0.83199999999999996</v>
      </c>
      <c r="AS49" s="151">
        <v>0.96199999999999997</v>
      </c>
      <c r="AT49" s="151">
        <f t="shared" si="44"/>
        <v>1096.3633664655374</v>
      </c>
      <c r="AU49" s="151">
        <f t="shared" si="45"/>
        <v>1012.227045578284</v>
      </c>
      <c r="AV49" s="151"/>
      <c r="AW49" s="150">
        <f t="shared" si="46"/>
        <v>6310.224066543994</v>
      </c>
      <c r="AX49" s="152">
        <f t="shared" si="35"/>
        <v>84.136320887253248</v>
      </c>
      <c r="AY49" s="152">
        <f t="shared" si="47"/>
        <v>4.2068160443626628</v>
      </c>
      <c r="AZ49" s="151">
        <f t="shared" si="36"/>
        <v>5.6090880591502169E-2</v>
      </c>
      <c r="BB49" s="206"/>
      <c r="BC49" s="206"/>
    </row>
    <row r="50" spans="1:55" s="145" customFormat="1" x14ac:dyDescent="0.25">
      <c r="A50" s="154" t="s">
        <v>221</v>
      </c>
      <c r="B50" s="153" t="s">
        <v>83</v>
      </c>
      <c r="C50" s="147">
        <v>1</v>
      </c>
      <c r="D50" s="147">
        <v>75</v>
      </c>
      <c r="E50" s="147">
        <f t="shared" si="48"/>
        <v>75</v>
      </c>
      <c r="F50" s="150">
        <v>2100</v>
      </c>
      <c r="G50" s="147">
        <v>104</v>
      </c>
      <c r="H50" s="147">
        <v>1710</v>
      </c>
      <c r="I50" s="147">
        <v>150</v>
      </c>
      <c r="J50" s="147">
        <v>0.85599999999999998</v>
      </c>
      <c r="K50" s="147">
        <v>150</v>
      </c>
      <c r="L50" s="147">
        <v>0.85599999999999998</v>
      </c>
      <c r="M50" s="147">
        <v>150</v>
      </c>
      <c r="N50" s="147">
        <f>(1225+1907)/2</f>
        <v>1566</v>
      </c>
      <c r="O50" s="147">
        <f>(179+134)/2</f>
        <v>156.5</v>
      </c>
      <c r="P50" s="147">
        <f>(0.8547+0.841)/2</f>
        <v>0.84784999999999999</v>
      </c>
      <c r="Q50" s="147">
        <v>104</v>
      </c>
      <c r="R50" s="147">
        <f>(0.863+0.829)/2</f>
        <v>0.84599999999999997</v>
      </c>
      <c r="S50" s="147">
        <f>310*2</f>
        <v>620</v>
      </c>
      <c r="T50" s="147">
        <f>(1599+1356)/2</f>
        <v>1477.5</v>
      </c>
      <c r="U50" s="147">
        <f>(158+173)/2</f>
        <v>165.5</v>
      </c>
      <c r="V50" s="147">
        <f>(0.861+0.859)/2</f>
        <v>0.86</v>
      </c>
      <c r="W50" s="147">
        <v>104</v>
      </c>
      <c r="X50" s="147">
        <f>(0.846+0.859)/2</f>
        <v>0.85250000000000004</v>
      </c>
      <c r="Y50" s="147">
        <f>310*2</f>
        <v>620</v>
      </c>
      <c r="Z50" s="147">
        <f>(1425+2107+1799+1556)/4</f>
        <v>1721.75</v>
      </c>
      <c r="AA50" s="147">
        <f>(169+114+143+161)/4</f>
        <v>146.75</v>
      </c>
      <c r="AB50" s="147">
        <f>(0.862+0.824+0.85+0.862)/4</f>
        <v>0.84950000000000003</v>
      </c>
      <c r="AC50" s="147">
        <v>104</v>
      </c>
      <c r="AD50" s="147">
        <f>(0.856+0.82+0.834+0.848)/4</f>
        <v>0.83949999999999991</v>
      </c>
      <c r="AE50" s="147">
        <f>50*4</f>
        <v>200</v>
      </c>
      <c r="AF50" s="147"/>
      <c r="AG50" s="147"/>
      <c r="AH50" s="147"/>
      <c r="AI50" s="147"/>
      <c r="AJ50" s="147"/>
      <c r="AK50" s="147"/>
      <c r="AL50" s="150">
        <f t="shared" si="37"/>
        <v>1590</v>
      </c>
      <c r="AM50" s="150">
        <f t="shared" si="38"/>
        <v>149269200</v>
      </c>
      <c r="AN50" s="150">
        <f t="shared" si="39"/>
        <v>1564.6666666666667</v>
      </c>
      <c r="AO50" s="150">
        <f t="shared" si="40"/>
        <v>154.6875</v>
      </c>
      <c r="AP50" s="151">
        <f t="shared" si="41"/>
        <v>0.85333749999999997</v>
      </c>
      <c r="AQ50" s="150">
        <f t="shared" si="42"/>
        <v>115.5</v>
      </c>
      <c r="AR50" s="151">
        <f t="shared" si="43"/>
        <v>0.84849999999999992</v>
      </c>
      <c r="AS50" s="155">
        <v>0.94283018867924517</v>
      </c>
      <c r="AT50" s="151">
        <f t="shared" si="44"/>
        <v>1133.8996610332565</v>
      </c>
      <c r="AU50" s="151">
        <f t="shared" si="45"/>
        <v>851.47200490010027</v>
      </c>
      <c r="AV50" s="155"/>
      <c r="AW50" s="150">
        <f t="shared" si="46"/>
        <v>21182.074209986728</v>
      </c>
      <c r="AX50" s="152">
        <f t="shared" si="35"/>
        <v>282.42765613315635</v>
      </c>
      <c r="AY50" s="152">
        <f t="shared" si="47"/>
        <v>13.32205925156398</v>
      </c>
      <c r="AZ50" s="151">
        <f t="shared" si="36"/>
        <v>0.17762745668751972</v>
      </c>
      <c r="BB50" s="206"/>
      <c r="BC50" s="206"/>
    </row>
    <row r="51" spans="1:55" s="145" customFormat="1" x14ac:dyDescent="0.25">
      <c r="A51" s="145" t="s">
        <v>253</v>
      </c>
      <c r="B51" s="146" t="s">
        <v>97</v>
      </c>
      <c r="C51" s="147">
        <v>1</v>
      </c>
      <c r="D51" s="147">
        <v>75</v>
      </c>
      <c r="E51" s="147">
        <f t="shared" ref="E51:E62" si="49">D51*C51</f>
        <v>75</v>
      </c>
      <c r="F51" s="148">
        <v>1145</v>
      </c>
      <c r="G51" s="147">
        <v>150</v>
      </c>
      <c r="H51" s="147">
        <v>600</v>
      </c>
      <c r="I51" s="147">
        <v>217</v>
      </c>
      <c r="J51" s="147">
        <v>0.56599999999999995</v>
      </c>
      <c r="K51" s="147">
        <v>160</v>
      </c>
      <c r="L51" s="147">
        <v>0.63400000000000001</v>
      </c>
      <c r="M51" s="147">
        <v>821</v>
      </c>
      <c r="N51" s="147">
        <v>1142</v>
      </c>
      <c r="O51" s="147">
        <v>185</v>
      </c>
      <c r="P51" s="147">
        <v>0.83</v>
      </c>
      <c r="Q51" s="147">
        <v>185</v>
      </c>
      <c r="R51" s="147">
        <v>0.83</v>
      </c>
      <c r="S51" s="147">
        <v>821</v>
      </c>
      <c r="T51" s="147"/>
      <c r="U51" s="147"/>
      <c r="V51" s="147"/>
      <c r="AL51" s="150">
        <f t="shared" si="37"/>
        <v>1642</v>
      </c>
      <c r="AM51" s="150">
        <f t="shared" si="38"/>
        <v>85810920</v>
      </c>
      <c r="AN51" s="150">
        <f t="shared" si="39"/>
        <v>871</v>
      </c>
      <c r="AO51" s="150">
        <f t="shared" si="40"/>
        <v>201</v>
      </c>
      <c r="AP51" s="151">
        <f t="shared" si="41"/>
        <v>0.69799999999999995</v>
      </c>
      <c r="AQ51" s="150">
        <f t="shared" si="42"/>
        <v>172.5</v>
      </c>
      <c r="AR51" s="151">
        <f t="shared" si="43"/>
        <v>0.73199999999999998</v>
      </c>
      <c r="AS51" s="155">
        <v>0.9514999999999999</v>
      </c>
      <c r="AT51" s="151">
        <f t="shared" si="44"/>
        <v>1035.5074403539218</v>
      </c>
      <c r="AU51" s="151">
        <f t="shared" si="45"/>
        <v>847.40419049434479</v>
      </c>
      <c r="AV51" s="155"/>
      <c r="AW51" s="150">
        <f t="shared" si="46"/>
        <v>14107.743739468275</v>
      </c>
      <c r="AX51" s="152">
        <f t="shared" si="35"/>
        <v>188.10324985957701</v>
      </c>
      <c r="AY51" s="152">
        <f t="shared" si="47"/>
        <v>8.5918049570452339</v>
      </c>
      <c r="AZ51" s="151">
        <f t="shared" si="36"/>
        <v>0.11455739942726978</v>
      </c>
      <c r="BB51" s="206"/>
      <c r="BC51" s="206"/>
    </row>
    <row r="52" spans="1:55" s="145" customFormat="1" x14ac:dyDescent="0.25">
      <c r="A52" s="145" t="s">
        <v>254</v>
      </c>
      <c r="B52" s="146" t="s">
        <v>75</v>
      </c>
      <c r="C52" s="147">
        <v>1</v>
      </c>
      <c r="D52" s="147">
        <v>75</v>
      </c>
      <c r="E52" s="147">
        <f t="shared" si="49"/>
        <v>75</v>
      </c>
      <c r="F52" s="148">
        <v>2450</v>
      </c>
      <c r="G52" s="147">
        <v>100</v>
      </c>
      <c r="H52" s="147">
        <v>2100</v>
      </c>
      <c r="I52" s="149">
        <v>113</v>
      </c>
      <c r="J52" s="149">
        <v>0.85699999999999998</v>
      </c>
      <c r="K52" s="149">
        <v>100</v>
      </c>
      <c r="L52" s="149">
        <v>0.86599999999999999</v>
      </c>
      <c r="M52" s="149">
        <v>850</v>
      </c>
      <c r="N52" s="149">
        <v>2300</v>
      </c>
      <c r="O52" s="149">
        <v>106</v>
      </c>
      <c r="P52" s="149">
        <v>0.873</v>
      </c>
      <c r="Q52" s="149">
        <v>100</v>
      </c>
      <c r="R52" s="149">
        <v>0.875</v>
      </c>
      <c r="S52" s="149">
        <v>850</v>
      </c>
      <c r="T52" s="149"/>
      <c r="U52" s="149"/>
      <c r="V52" s="149"/>
      <c r="W52" s="149"/>
      <c r="AL52" s="150">
        <f t="shared" si="37"/>
        <v>1700</v>
      </c>
      <c r="AM52" s="150">
        <f t="shared" si="38"/>
        <v>224400000</v>
      </c>
      <c r="AN52" s="150">
        <f t="shared" si="39"/>
        <v>2200</v>
      </c>
      <c r="AO52" s="150">
        <f t="shared" si="40"/>
        <v>109.5</v>
      </c>
      <c r="AP52" s="151">
        <f t="shared" si="41"/>
        <v>0.86499999999999999</v>
      </c>
      <c r="AQ52" s="150">
        <f t="shared" si="42"/>
        <v>100</v>
      </c>
      <c r="AR52" s="151">
        <f t="shared" si="43"/>
        <v>0.87050000000000005</v>
      </c>
      <c r="AS52" s="151">
        <v>0.95850000000000002</v>
      </c>
      <c r="AT52" s="151">
        <f t="shared" si="44"/>
        <v>1190.3944546076202</v>
      </c>
      <c r="AU52" s="151">
        <f t="shared" si="45"/>
        <v>1080.2495844099374</v>
      </c>
      <c r="AV52" s="151"/>
      <c r="AW52" s="150">
        <f t="shared" si="46"/>
        <v>8260.8652648262032</v>
      </c>
      <c r="AX52" s="152">
        <f t="shared" si="35"/>
        <v>110.14487019768271</v>
      </c>
      <c r="AY52" s="152">
        <f t="shared" si="47"/>
        <v>4.8593325087212964</v>
      </c>
      <c r="AZ52" s="151">
        <f t="shared" si="36"/>
        <v>6.4791100116283959E-2</v>
      </c>
      <c r="BB52" s="206"/>
      <c r="BC52" s="206"/>
    </row>
    <row r="53" spans="1:55" s="145" customFormat="1" x14ac:dyDescent="0.25">
      <c r="A53" s="145" t="s">
        <v>255</v>
      </c>
      <c r="B53" s="146" t="s">
        <v>83</v>
      </c>
      <c r="C53" s="147">
        <v>1</v>
      </c>
      <c r="D53" s="147">
        <v>75</v>
      </c>
      <c r="E53" s="147">
        <f t="shared" si="49"/>
        <v>75</v>
      </c>
      <c r="F53" s="148">
        <v>1450</v>
      </c>
      <c r="G53" s="147">
        <v>104</v>
      </c>
      <c r="H53" s="147">
        <f>(1647+1672)/2</f>
        <v>1659.5</v>
      </c>
      <c r="I53" s="149">
        <v>154</v>
      </c>
      <c r="J53" s="149">
        <v>0.85850000000000004</v>
      </c>
      <c r="K53" s="149">
        <v>104</v>
      </c>
      <c r="L53" s="149">
        <v>0.84199999999999997</v>
      </c>
      <c r="M53" s="149">
        <f>650*2</f>
        <v>1300</v>
      </c>
      <c r="N53" s="149">
        <f>(1847+1872)/2</f>
        <v>1859.5</v>
      </c>
      <c r="O53" s="149">
        <v>138</v>
      </c>
      <c r="P53" s="149">
        <v>0.84499999999999997</v>
      </c>
      <c r="Q53" s="149">
        <v>104</v>
      </c>
      <c r="R53" s="149">
        <v>0.83050000000000002</v>
      </c>
      <c r="S53" s="149">
        <v>200</v>
      </c>
      <c r="T53" s="149">
        <v>1710</v>
      </c>
      <c r="U53" s="149">
        <v>150</v>
      </c>
      <c r="V53" s="149">
        <v>0.85599999999999998</v>
      </c>
      <c r="W53" s="149">
        <v>150</v>
      </c>
      <c r="X53" s="145">
        <v>0.85599999999999998</v>
      </c>
      <c r="Y53" s="145">
        <v>200</v>
      </c>
      <c r="AL53" s="150">
        <f t="shared" si="37"/>
        <v>1700</v>
      </c>
      <c r="AM53" s="150">
        <f t="shared" si="38"/>
        <v>172275000</v>
      </c>
      <c r="AN53" s="150">
        <f t="shared" si="39"/>
        <v>1688.9705882352941</v>
      </c>
      <c r="AO53" s="150">
        <f t="shared" si="40"/>
        <v>147.33333333333334</v>
      </c>
      <c r="AP53" s="151">
        <f t="shared" si="41"/>
        <v>0.85316666666666663</v>
      </c>
      <c r="AQ53" s="150">
        <f t="shared" si="42"/>
        <v>119.33333333333333</v>
      </c>
      <c r="AR53" s="151">
        <f t="shared" si="43"/>
        <v>0.84283333333333343</v>
      </c>
      <c r="AS53" s="155">
        <v>0.94573529411764701</v>
      </c>
      <c r="AT53" s="151">
        <f t="shared" si="44"/>
        <v>1246.6927239551719</v>
      </c>
      <c r="AU53" s="151">
        <f t="shared" si="45"/>
        <v>1022.1446457469445</v>
      </c>
      <c r="AV53" s="155"/>
      <c r="AW53" s="150">
        <f t="shared" si="46"/>
        <v>16841.105865617072</v>
      </c>
      <c r="AX53" s="152">
        <f t="shared" si="35"/>
        <v>224.54807820822762</v>
      </c>
      <c r="AY53" s="152">
        <f t="shared" si="47"/>
        <v>9.9065328621276887</v>
      </c>
      <c r="AZ53" s="151">
        <f t="shared" si="36"/>
        <v>0.13208710482836919</v>
      </c>
      <c r="BB53" s="206"/>
      <c r="BC53" s="206"/>
    </row>
    <row r="54" spans="1:55" s="145" customFormat="1" x14ac:dyDescent="0.25">
      <c r="A54" s="145" t="s">
        <v>256</v>
      </c>
      <c r="B54" s="146" t="s">
        <v>113</v>
      </c>
      <c r="C54" s="147">
        <v>1</v>
      </c>
      <c r="D54" s="147">
        <v>75</v>
      </c>
      <c r="E54" s="147">
        <f t="shared" si="49"/>
        <v>75</v>
      </c>
      <c r="F54" s="148">
        <v>1950</v>
      </c>
      <c r="G54" s="147">
        <v>88</v>
      </c>
      <c r="H54" s="147">
        <v>1600</v>
      </c>
      <c r="I54" s="149">
        <v>128</v>
      </c>
      <c r="J54" s="149">
        <v>0.79200000000000004</v>
      </c>
      <c r="K54" s="149">
        <v>88</v>
      </c>
      <c r="L54" s="149">
        <v>0.82199999999999995</v>
      </c>
      <c r="M54" s="149">
        <v>1664</v>
      </c>
      <c r="N54" s="149">
        <v>1900</v>
      </c>
      <c r="O54" s="149">
        <v>118</v>
      </c>
      <c r="P54" s="149">
        <v>0.82299999999999995</v>
      </c>
      <c r="Q54" s="149">
        <v>88</v>
      </c>
      <c r="R54" s="149">
        <v>0.81299999999999994</v>
      </c>
      <c r="S54" s="149">
        <v>271</v>
      </c>
      <c r="T54" s="149"/>
      <c r="U54" s="149"/>
      <c r="V54" s="149"/>
      <c r="W54" s="149"/>
      <c r="AL54" s="150">
        <f t="shared" si="37"/>
        <v>1935</v>
      </c>
      <c r="AM54" s="150">
        <f t="shared" si="38"/>
        <v>190638000</v>
      </c>
      <c r="AN54" s="150">
        <f t="shared" si="39"/>
        <v>1642.015503875969</v>
      </c>
      <c r="AO54" s="150">
        <f t="shared" si="40"/>
        <v>123</v>
      </c>
      <c r="AP54" s="151">
        <f t="shared" si="41"/>
        <v>0.8075</v>
      </c>
      <c r="AQ54" s="150">
        <f t="shared" si="42"/>
        <v>88</v>
      </c>
      <c r="AR54" s="151">
        <f t="shared" si="43"/>
        <v>0.81749999999999989</v>
      </c>
      <c r="AS54" s="155">
        <v>0.94112041343669239</v>
      </c>
      <c r="AT54" s="151">
        <f t="shared" si="44"/>
        <v>1216.8641158001171</v>
      </c>
      <c r="AU54" s="151">
        <f t="shared" si="45"/>
        <v>859.95240365735663</v>
      </c>
      <c r="AV54" s="155"/>
      <c r="AW54" s="150">
        <f t="shared" si="46"/>
        <v>26768.378410707046</v>
      </c>
      <c r="AX54" s="152">
        <f t="shared" si="35"/>
        <v>356.91171214276062</v>
      </c>
      <c r="AY54" s="152">
        <f t="shared" si="47"/>
        <v>13.833787292355062</v>
      </c>
      <c r="AZ54" s="151">
        <f t="shared" si="36"/>
        <v>0.18445049723140083</v>
      </c>
      <c r="BB54" s="206"/>
      <c r="BC54" s="206"/>
    </row>
    <row r="55" spans="1:55" s="145" customFormat="1" x14ac:dyDescent="0.25">
      <c r="A55" s="154" t="s">
        <v>238</v>
      </c>
      <c r="B55" s="153" t="s">
        <v>220</v>
      </c>
      <c r="C55" s="147">
        <v>1</v>
      </c>
      <c r="D55" s="147">
        <v>75</v>
      </c>
      <c r="E55" s="147">
        <f t="shared" si="49"/>
        <v>75</v>
      </c>
      <c r="F55" s="148">
        <v>2200</v>
      </c>
      <c r="G55" s="147">
        <v>80</v>
      </c>
      <c r="H55" s="147">
        <v>1100</v>
      </c>
      <c r="I55" s="147">
        <v>156</v>
      </c>
      <c r="J55" s="147">
        <v>0.81100000000000005</v>
      </c>
      <c r="K55" s="147">
        <v>80</v>
      </c>
      <c r="L55" s="147">
        <v>0.83199999999999996</v>
      </c>
      <c r="M55" s="147">
        <v>1000</v>
      </c>
      <c r="N55" s="147">
        <v>2200</v>
      </c>
      <c r="O55" s="147">
        <v>80</v>
      </c>
      <c r="P55" s="147">
        <v>0.622</v>
      </c>
      <c r="Q55" s="147">
        <v>80</v>
      </c>
      <c r="R55" s="147">
        <v>0.622</v>
      </c>
      <c r="S55" s="147">
        <v>1000</v>
      </c>
      <c r="T55" s="147"/>
      <c r="U55" s="147"/>
      <c r="V55" s="147"/>
      <c r="AL55" s="150">
        <f t="shared" si="37"/>
        <v>2000</v>
      </c>
      <c r="AM55" s="150">
        <f t="shared" si="38"/>
        <v>198000000</v>
      </c>
      <c r="AN55" s="150">
        <f t="shared" si="39"/>
        <v>1650</v>
      </c>
      <c r="AO55" s="150">
        <f t="shared" si="40"/>
        <v>118</v>
      </c>
      <c r="AP55" s="151">
        <f t="shared" si="41"/>
        <v>0.71650000000000003</v>
      </c>
      <c r="AQ55" s="150">
        <f t="shared" si="42"/>
        <v>80</v>
      </c>
      <c r="AR55" s="151">
        <f t="shared" si="43"/>
        <v>0.72699999999999998</v>
      </c>
      <c r="AS55" s="151">
        <v>0.94450000000000001</v>
      </c>
      <c r="AT55" s="151">
        <f t="shared" si="44"/>
        <v>1366.4729328968972</v>
      </c>
      <c r="AU55" s="151">
        <f t="shared" si="45"/>
        <v>913.04208744608854</v>
      </c>
      <c r="AV55" s="151"/>
      <c r="AW55" s="150">
        <f t="shared" si="46"/>
        <v>34007.313408810653</v>
      </c>
      <c r="AX55" s="152">
        <f t="shared" si="35"/>
        <v>453.4308454508087</v>
      </c>
      <c r="AY55" s="152">
        <f t="shared" si="47"/>
        <v>17.003656704405326</v>
      </c>
      <c r="AZ55" s="151">
        <f t="shared" si="36"/>
        <v>0.22671542272540435</v>
      </c>
      <c r="BB55" s="206"/>
      <c r="BC55" s="206"/>
    </row>
    <row r="56" spans="1:55" s="145" customFormat="1" x14ac:dyDescent="0.25">
      <c r="A56" s="145" t="s">
        <v>257</v>
      </c>
      <c r="B56" s="146" t="s">
        <v>164</v>
      </c>
      <c r="C56" s="147">
        <v>1</v>
      </c>
      <c r="D56" s="147">
        <v>75</v>
      </c>
      <c r="E56" s="147">
        <f t="shared" si="49"/>
        <v>75</v>
      </c>
      <c r="F56" s="148">
        <v>1800</v>
      </c>
      <c r="G56" s="147">
        <v>120</v>
      </c>
      <c r="H56" s="147">
        <v>1800</v>
      </c>
      <c r="I56" s="147">
        <v>123</v>
      </c>
      <c r="J56" s="147">
        <v>0.79200000000000004</v>
      </c>
      <c r="K56" s="147">
        <v>120</v>
      </c>
      <c r="L56" s="147">
        <v>0.78900000000000003</v>
      </c>
      <c r="M56" s="147">
        <v>800</v>
      </c>
      <c r="N56" s="147">
        <v>1400</v>
      </c>
      <c r="O56" s="147">
        <v>167</v>
      </c>
      <c r="P56" s="147">
        <v>0.83499999999999996</v>
      </c>
      <c r="Q56" s="147">
        <v>120</v>
      </c>
      <c r="R56" s="147">
        <v>0.83199999999999996</v>
      </c>
      <c r="S56" s="147">
        <v>400</v>
      </c>
      <c r="T56" s="147">
        <v>1100</v>
      </c>
      <c r="U56" s="147">
        <v>187</v>
      </c>
      <c r="V56" s="147">
        <v>0.78600000000000003</v>
      </c>
      <c r="W56" s="145">
        <v>120</v>
      </c>
      <c r="X56" s="145">
        <v>0.82899999999999996</v>
      </c>
      <c r="Y56" s="145">
        <v>400</v>
      </c>
      <c r="Z56" s="145">
        <v>800</v>
      </c>
      <c r="AA56" s="145">
        <v>201</v>
      </c>
      <c r="AB56" s="145">
        <v>0.66800000000000004</v>
      </c>
      <c r="AC56" s="145">
        <v>120</v>
      </c>
      <c r="AD56" s="145">
        <v>0.75900000000000001</v>
      </c>
      <c r="AE56" s="145">
        <v>400</v>
      </c>
      <c r="AL56" s="150">
        <f t="shared" si="37"/>
        <v>2000</v>
      </c>
      <c r="AM56" s="150">
        <f t="shared" si="38"/>
        <v>165600000</v>
      </c>
      <c r="AN56" s="150">
        <f t="shared" si="39"/>
        <v>1380</v>
      </c>
      <c r="AO56" s="150">
        <f t="shared" si="40"/>
        <v>169.5</v>
      </c>
      <c r="AP56" s="151">
        <f t="shared" si="41"/>
        <v>0.7702500000000001</v>
      </c>
      <c r="AQ56" s="150">
        <f t="shared" si="42"/>
        <v>120</v>
      </c>
      <c r="AR56" s="151">
        <f t="shared" si="43"/>
        <v>0.80225000000000002</v>
      </c>
      <c r="AS56" s="155">
        <v>0.94680000000000009</v>
      </c>
      <c r="AT56" s="151">
        <f t="shared" si="44"/>
        <v>1527.1031000203795</v>
      </c>
      <c r="AU56" s="151">
        <f t="shared" si="45"/>
        <v>1038.0108271069014</v>
      </c>
      <c r="AV56" s="155"/>
      <c r="AW56" s="150">
        <f t="shared" si="46"/>
        <v>36681.920468510878</v>
      </c>
      <c r="AX56" s="152">
        <f t="shared" si="35"/>
        <v>489.09227291347838</v>
      </c>
      <c r="AY56" s="152">
        <f t="shared" si="47"/>
        <v>18.340960234255441</v>
      </c>
      <c r="AZ56" s="151">
        <f t="shared" si="36"/>
        <v>0.2445461364567392</v>
      </c>
      <c r="BB56" s="206"/>
      <c r="BC56" s="206"/>
    </row>
    <row r="57" spans="1:55" s="145" customFormat="1" x14ac:dyDescent="0.25">
      <c r="A57" s="145" t="s">
        <v>92</v>
      </c>
      <c r="B57" s="146" t="s">
        <v>93</v>
      </c>
      <c r="C57" s="147">
        <v>1</v>
      </c>
      <c r="D57" s="147">
        <v>75</v>
      </c>
      <c r="E57" s="147">
        <f t="shared" si="49"/>
        <v>75</v>
      </c>
      <c r="F57" s="148">
        <v>3217</v>
      </c>
      <c r="G57" s="147">
        <v>66</v>
      </c>
      <c r="H57" s="147">
        <v>2177</v>
      </c>
      <c r="I57" s="149">
        <v>100</v>
      </c>
      <c r="J57" s="149">
        <v>0.81200000000000006</v>
      </c>
      <c r="K57" s="149">
        <v>66</v>
      </c>
      <c r="L57" s="149">
        <v>0.83399999999999996</v>
      </c>
      <c r="M57" s="149">
        <v>620</v>
      </c>
      <c r="N57" s="149">
        <v>2831</v>
      </c>
      <c r="O57" s="149">
        <v>80</v>
      </c>
      <c r="P57" s="149">
        <v>0.83199999999999996</v>
      </c>
      <c r="Q57" s="149">
        <v>66</v>
      </c>
      <c r="R57" s="149">
        <v>0.82199999999999995</v>
      </c>
      <c r="S57" s="149">
        <v>620</v>
      </c>
      <c r="T57" s="149">
        <v>2712</v>
      </c>
      <c r="U57" s="149">
        <v>84</v>
      </c>
      <c r="V57" s="149">
        <v>0.83499999999999996</v>
      </c>
      <c r="W57" s="149">
        <v>66</v>
      </c>
      <c r="X57" s="145">
        <v>0.82699999999999996</v>
      </c>
      <c r="Y57" s="145">
        <v>620</v>
      </c>
      <c r="Z57" s="145">
        <v>3208</v>
      </c>
      <c r="AA57" s="145">
        <v>66</v>
      </c>
      <c r="AB57" s="145">
        <v>0.80400000000000005</v>
      </c>
      <c r="AC57" s="145">
        <v>66</v>
      </c>
      <c r="AD57" s="145">
        <v>0.80300000000000005</v>
      </c>
      <c r="AE57" s="145">
        <v>620</v>
      </c>
      <c r="AL57" s="150">
        <f t="shared" si="37"/>
        <v>2480</v>
      </c>
      <c r="AM57" s="150">
        <f t="shared" si="38"/>
        <v>406521600</v>
      </c>
      <c r="AN57" s="150">
        <f t="shared" si="39"/>
        <v>2732</v>
      </c>
      <c r="AO57" s="150">
        <f t="shared" si="40"/>
        <v>82.5</v>
      </c>
      <c r="AP57" s="151">
        <f t="shared" si="41"/>
        <v>0.82075000000000009</v>
      </c>
      <c r="AQ57" s="150">
        <f t="shared" si="42"/>
        <v>66</v>
      </c>
      <c r="AR57" s="151">
        <f t="shared" si="43"/>
        <v>0.82150000000000001</v>
      </c>
      <c r="AS57" s="155">
        <v>0.95224999999999993</v>
      </c>
      <c r="AT57" s="151">
        <f t="shared" si="44"/>
        <v>1712.366465479088</v>
      </c>
      <c r="AU57" s="151">
        <f t="shared" si="45"/>
        <v>1368.6425091096401</v>
      </c>
      <c r="AV57" s="155"/>
      <c r="AW57" s="150">
        <f t="shared" si="46"/>
        <v>25779.296727708581</v>
      </c>
      <c r="AX57" s="152">
        <f t="shared" si="35"/>
        <v>343.72395636944776</v>
      </c>
      <c r="AY57" s="152">
        <f t="shared" si="47"/>
        <v>10.394877712785718</v>
      </c>
      <c r="AZ57" s="151">
        <f t="shared" si="36"/>
        <v>0.13859836950380958</v>
      </c>
      <c r="BB57" s="206"/>
      <c r="BC57" s="206"/>
    </row>
    <row r="58" spans="1:55" s="145" customFormat="1" x14ac:dyDescent="0.25">
      <c r="A58" s="145" t="s">
        <v>258</v>
      </c>
      <c r="B58" s="146" t="s">
        <v>73</v>
      </c>
      <c r="C58" s="147">
        <v>1</v>
      </c>
      <c r="D58" s="147">
        <v>75</v>
      </c>
      <c r="E58" s="147">
        <f t="shared" si="49"/>
        <v>75</v>
      </c>
      <c r="F58" s="148">
        <v>950</v>
      </c>
      <c r="G58" s="147">
        <v>190</v>
      </c>
      <c r="H58" s="147">
        <v>700</v>
      </c>
      <c r="I58" s="147">
        <v>244</v>
      </c>
      <c r="J58" s="147">
        <v>0.83199999999999996</v>
      </c>
      <c r="K58" s="147">
        <v>190</v>
      </c>
      <c r="L58" s="147">
        <v>0.84599999999999997</v>
      </c>
      <c r="M58" s="147">
        <v>2500</v>
      </c>
      <c r="N58" s="147"/>
      <c r="O58" s="147"/>
      <c r="P58" s="147"/>
      <c r="Q58" s="147"/>
      <c r="R58" s="147"/>
      <c r="S58" s="147"/>
      <c r="T58" s="147"/>
      <c r="U58" s="147"/>
      <c r="V58" s="147"/>
      <c r="AL58" s="150">
        <f t="shared" si="37"/>
        <v>2500</v>
      </c>
      <c r="AM58" s="150">
        <f t="shared" si="38"/>
        <v>105000000</v>
      </c>
      <c r="AN58" s="150">
        <f t="shared" si="39"/>
        <v>700</v>
      </c>
      <c r="AO58" s="150">
        <f t="shared" si="40"/>
        <v>244</v>
      </c>
      <c r="AP58" s="151">
        <f t="shared" si="41"/>
        <v>0.83199999999999996</v>
      </c>
      <c r="AQ58" s="150">
        <f t="shared" si="42"/>
        <v>190</v>
      </c>
      <c r="AR58" s="151">
        <f t="shared" si="43"/>
        <v>0.84599999999999997</v>
      </c>
      <c r="AS58" s="151">
        <v>0.94799999999999995</v>
      </c>
      <c r="AT58" s="151">
        <f t="shared" si="44"/>
        <v>1290.4043841227867</v>
      </c>
      <c r="AU58" s="151">
        <f t="shared" si="45"/>
        <v>988.19480797838469</v>
      </c>
      <c r="AV58" s="151"/>
      <c r="AW58" s="150">
        <f t="shared" si="46"/>
        <v>22665.718210830142</v>
      </c>
      <c r="AX58" s="152">
        <f t="shared" si="35"/>
        <v>302.20957614440192</v>
      </c>
      <c r="AY58" s="152">
        <f t="shared" si="47"/>
        <v>9.0662872843320574</v>
      </c>
      <c r="AZ58" s="151">
        <f t="shared" si="36"/>
        <v>0.12088383045776077</v>
      </c>
      <c r="BB58" s="206"/>
      <c r="BC58" s="206"/>
    </row>
    <row r="59" spans="1:55" s="145" customFormat="1" x14ac:dyDescent="0.25">
      <c r="A59" s="154" t="s">
        <v>168</v>
      </c>
      <c r="B59" s="153" t="s">
        <v>169</v>
      </c>
      <c r="C59" s="147">
        <v>1</v>
      </c>
      <c r="D59" s="147">
        <v>75</v>
      </c>
      <c r="E59" s="147">
        <f t="shared" si="49"/>
        <v>75</v>
      </c>
      <c r="F59" s="150">
        <v>2300</v>
      </c>
      <c r="G59" s="147">
        <v>81</v>
      </c>
      <c r="H59" s="147">
        <v>2300</v>
      </c>
      <c r="I59" s="147">
        <v>84</v>
      </c>
      <c r="J59" s="147">
        <v>0.86199999999999999</v>
      </c>
      <c r="K59" s="147">
        <v>81</v>
      </c>
      <c r="L59" s="147">
        <v>0.86299999999999999</v>
      </c>
      <c r="M59" s="147">
        <v>1400</v>
      </c>
      <c r="N59" s="147">
        <v>1150</v>
      </c>
      <c r="O59" s="147">
        <v>112</v>
      </c>
      <c r="P59" s="147">
        <v>0.63800000000000001</v>
      </c>
      <c r="Q59" s="147">
        <v>81</v>
      </c>
      <c r="R59" s="147">
        <v>0.70099999999999996</v>
      </c>
      <c r="S59" s="147">
        <v>200</v>
      </c>
      <c r="T59" s="147">
        <v>710</v>
      </c>
      <c r="U59" s="147">
        <v>117</v>
      </c>
      <c r="V59" s="147">
        <v>0.443</v>
      </c>
      <c r="W59" s="147">
        <v>81</v>
      </c>
      <c r="X59" s="147">
        <v>0.51200000000000001</v>
      </c>
      <c r="Y59" s="147">
        <v>996</v>
      </c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50">
        <f t="shared" si="37"/>
        <v>2596</v>
      </c>
      <c r="AM59" s="150">
        <f t="shared" si="38"/>
        <v>249429600</v>
      </c>
      <c r="AN59" s="150">
        <f t="shared" si="39"/>
        <v>1601.3713405238827</v>
      </c>
      <c r="AO59" s="150">
        <f t="shared" si="40"/>
        <v>104.33333333333333</v>
      </c>
      <c r="AP59" s="151">
        <f t="shared" si="41"/>
        <v>0.64766666666666672</v>
      </c>
      <c r="AQ59" s="150">
        <f t="shared" si="42"/>
        <v>81</v>
      </c>
      <c r="AR59" s="151">
        <f t="shared" si="43"/>
        <v>0.69200000000000006</v>
      </c>
      <c r="AS59" s="167">
        <v>0.95699999999999996</v>
      </c>
      <c r="AT59" s="151">
        <f t="shared" si="44"/>
        <v>1683.7963275911502</v>
      </c>
      <c r="AU59" s="151">
        <f t="shared" si="45"/>
        <v>1223.4802001203996</v>
      </c>
      <c r="AV59" s="167"/>
      <c r="AW59" s="150">
        <f t="shared" si="46"/>
        <v>34523.709560306306</v>
      </c>
      <c r="AX59" s="152">
        <f t="shared" si="35"/>
        <v>460.31612747075076</v>
      </c>
      <c r="AY59" s="152">
        <f t="shared" si="47"/>
        <v>13.298809537868376</v>
      </c>
      <c r="AZ59" s="151">
        <f t="shared" si="36"/>
        <v>0.17731746050491168</v>
      </c>
      <c r="BB59" s="206"/>
      <c r="BC59" s="206"/>
    </row>
    <row r="60" spans="1:55" s="145" customFormat="1" x14ac:dyDescent="0.25">
      <c r="A60" s="168" t="s">
        <v>259</v>
      </c>
      <c r="B60" s="146" t="s">
        <v>81</v>
      </c>
      <c r="C60" s="147">
        <v>1</v>
      </c>
      <c r="D60" s="147">
        <v>75</v>
      </c>
      <c r="E60" s="147">
        <f t="shared" si="49"/>
        <v>75</v>
      </c>
      <c r="F60" s="150">
        <v>2150</v>
      </c>
      <c r="G60" s="147">
        <v>150</v>
      </c>
      <c r="H60" s="147">
        <v>980</v>
      </c>
      <c r="I60" s="147">
        <v>150</v>
      </c>
      <c r="J60" s="147">
        <v>0.629</v>
      </c>
      <c r="K60" s="147">
        <v>150</v>
      </c>
      <c r="L60" s="147">
        <v>0.629</v>
      </c>
      <c r="M60" s="147">
        <v>1350</v>
      </c>
      <c r="N60" s="147">
        <v>2000</v>
      </c>
      <c r="O60" s="147">
        <v>120</v>
      </c>
      <c r="P60" s="147">
        <v>0.83299999999999996</v>
      </c>
      <c r="Q60" s="147">
        <v>114</v>
      </c>
      <c r="R60" s="147">
        <v>0.83399999999999996</v>
      </c>
      <c r="S60" s="147">
        <v>150</v>
      </c>
      <c r="T60" s="147">
        <v>1800</v>
      </c>
      <c r="U60" s="147">
        <v>127</v>
      </c>
      <c r="V60" s="147">
        <v>0.82099999999999995</v>
      </c>
      <c r="W60" s="147">
        <v>114</v>
      </c>
      <c r="X60" s="147">
        <v>0.82699999999999996</v>
      </c>
      <c r="Y60" s="147">
        <v>600</v>
      </c>
      <c r="Z60" s="147">
        <v>1400</v>
      </c>
      <c r="AA60" s="147">
        <v>139</v>
      </c>
      <c r="AB60" s="147">
        <v>0.75900000000000001</v>
      </c>
      <c r="AC60" s="147">
        <v>114</v>
      </c>
      <c r="AD60" s="147">
        <v>0.78400000000000003</v>
      </c>
      <c r="AE60" s="147">
        <v>600</v>
      </c>
      <c r="AF60" s="147"/>
      <c r="AG60" s="147"/>
      <c r="AH60" s="147"/>
      <c r="AI60" s="147"/>
      <c r="AJ60" s="147"/>
      <c r="AK60" s="147"/>
      <c r="AL60" s="150">
        <f t="shared" si="37"/>
        <v>2700</v>
      </c>
      <c r="AM60" s="150">
        <f t="shared" si="38"/>
        <v>212580000</v>
      </c>
      <c r="AN60" s="150">
        <f t="shared" si="39"/>
        <v>1312.2222222222222</v>
      </c>
      <c r="AO60" s="150">
        <f t="shared" si="40"/>
        <v>134</v>
      </c>
      <c r="AP60" s="151">
        <f t="shared" si="41"/>
        <v>0.76050000000000006</v>
      </c>
      <c r="AQ60" s="150">
        <f t="shared" si="42"/>
        <v>123</v>
      </c>
      <c r="AR60" s="151">
        <f t="shared" si="43"/>
        <v>0.76849999999999996</v>
      </c>
      <c r="AS60" s="155">
        <v>0.95422222222222208</v>
      </c>
      <c r="AT60" s="151">
        <f t="shared" si="44"/>
        <v>1569.6326122521966</v>
      </c>
      <c r="AU60" s="151">
        <f t="shared" si="45"/>
        <v>1425.7837908601643</v>
      </c>
      <c r="AV60" s="155"/>
      <c r="AW60" s="150">
        <f t="shared" si="46"/>
        <v>10788.661604402436</v>
      </c>
      <c r="AX60" s="152">
        <f t="shared" si="35"/>
        <v>143.84882139203248</v>
      </c>
      <c r="AY60" s="152">
        <f t="shared" si="47"/>
        <v>3.9958005942231245</v>
      </c>
      <c r="AZ60" s="151">
        <f t="shared" si="36"/>
        <v>5.3277341256308328E-2</v>
      </c>
      <c r="BB60" s="206"/>
      <c r="BC60" s="206"/>
    </row>
    <row r="61" spans="1:55" s="145" customFormat="1" x14ac:dyDescent="0.25">
      <c r="A61" s="145" t="s">
        <v>260</v>
      </c>
      <c r="B61" s="146" t="s">
        <v>164</v>
      </c>
      <c r="C61" s="147">
        <v>1</v>
      </c>
      <c r="D61" s="147">
        <v>75</v>
      </c>
      <c r="E61" s="147">
        <f t="shared" si="49"/>
        <v>75</v>
      </c>
      <c r="F61" s="148">
        <v>1000</v>
      </c>
      <c r="G61" s="147">
        <v>168</v>
      </c>
      <c r="H61" s="147">
        <v>1000</v>
      </c>
      <c r="I61" s="147">
        <v>168</v>
      </c>
      <c r="J61" s="147">
        <v>0.76200000000000001</v>
      </c>
      <c r="K61" s="147">
        <v>168</v>
      </c>
      <c r="L61" s="147">
        <v>0.76200000000000001</v>
      </c>
      <c r="M61" s="147">
        <v>1400</v>
      </c>
      <c r="N61" s="147">
        <v>1400</v>
      </c>
      <c r="O61" s="147">
        <v>157</v>
      </c>
      <c r="P61" s="147">
        <v>0.84199999999999997</v>
      </c>
      <c r="Q61" s="147">
        <v>104</v>
      </c>
      <c r="R61" s="147">
        <v>0.85199999999999998</v>
      </c>
      <c r="S61" s="147">
        <v>1400</v>
      </c>
      <c r="T61" s="147"/>
      <c r="U61" s="147"/>
      <c r="V61" s="147"/>
      <c r="AL61" s="150">
        <f t="shared" si="37"/>
        <v>2800</v>
      </c>
      <c r="AM61" s="150">
        <f t="shared" si="38"/>
        <v>201600000</v>
      </c>
      <c r="AN61" s="150">
        <f t="shared" si="39"/>
        <v>1200</v>
      </c>
      <c r="AO61" s="150">
        <f t="shared" si="40"/>
        <v>162.5</v>
      </c>
      <c r="AP61" s="151">
        <f t="shared" si="41"/>
        <v>0.80200000000000005</v>
      </c>
      <c r="AQ61" s="150">
        <f t="shared" si="42"/>
        <v>136</v>
      </c>
      <c r="AR61" s="151">
        <f t="shared" si="43"/>
        <v>0.80699999999999994</v>
      </c>
      <c r="AS61" s="155">
        <v>0.95</v>
      </c>
      <c r="AT61" s="151">
        <f t="shared" si="44"/>
        <v>1711.7469218763001</v>
      </c>
      <c r="AU61" s="151">
        <f t="shared" si="45"/>
        <v>1423.7244134049515</v>
      </c>
      <c r="AV61" s="155"/>
      <c r="AW61" s="150">
        <f t="shared" si="46"/>
        <v>21601.688135351153</v>
      </c>
      <c r="AX61" s="152">
        <f t="shared" si="35"/>
        <v>288.02250847134871</v>
      </c>
      <c r="AY61" s="152">
        <f t="shared" si="47"/>
        <v>7.7148886197682689</v>
      </c>
      <c r="AZ61" s="151">
        <f t="shared" si="36"/>
        <v>0.10286518159691026</v>
      </c>
      <c r="BB61" s="206"/>
      <c r="BC61" s="206"/>
    </row>
    <row r="62" spans="1:55" s="145" customFormat="1" x14ac:dyDescent="0.25">
      <c r="A62" s="145" t="s">
        <v>261</v>
      </c>
      <c r="B62" s="146" t="s">
        <v>113</v>
      </c>
      <c r="C62" s="147">
        <v>1</v>
      </c>
      <c r="D62" s="147">
        <v>75</v>
      </c>
      <c r="E62" s="147">
        <f t="shared" si="49"/>
        <v>75</v>
      </c>
      <c r="F62" s="148">
        <v>1245</v>
      </c>
      <c r="G62" s="147">
        <v>100</v>
      </c>
      <c r="H62" s="147">
        <v>450</v>
      </c>
      <c r="I62" s="147">
        <v>200</v>
      </c>
      <c r="J62" s="147">
        <v>0.56100000000000005</v>
      </c>
      <c r="K62" s="147">
        <v>111</v>
      </c>
      <c r="L62" s="147">
        <v>0.56399999999999995</v>
      </c>
      <c r="M62" s="147">
        <v>3750</v>
      </c>
      <c r="N62" s="147">
        <v>1245</v>
      </c>
      <c r="O62" s="147">
        <v>184</v>
      </c>
      <c r="P62" s="147">
        <v>0.80400000000000005</v>
      </c>
      <c r="Q62" s="147">
        <v>184</v>
      </c>
      <c r="R62" s="147">
        <v>0.80400000000000005</v>
      </c>
      <c r="S62" s="147">
        <v>1250</v>
      </c>
      <c r="T62" s="147"/>
      <c r="U62" s="147"/>
      <c r="V62" s="147"/>
      <c r="AL62" s="150">
        <f t="shared" si="37"/>
        <v>5000</v>
      </c>
      <c r="AM62" s="150">
        <f t="shared" si="38"/>
        <v>194625000</v>
      </c>
      <c r="AN62" s="150">
        <f t="shared" si="39"/>
        <v>648.75</v>
      </c>
      <c r="AO62" s="150">
        <f t="shared" si="40"/>
        <v>192</v>
      </c>
      <c r="AP62" s="151">
        <f t="shared" si="41"/>
        <v>0.68250000000000011</v>
      </c>
      <c r="AQ62" s="150">
        <f t="shared" si="42"/>
        <v>147.5</v>
      </c>
      <c r="AR62" s="151">
        <f t="shared" si="43"/>
        <v>0.68399999999999994</v>
      </c>
      <c r="AS62" s="155">
        <v>0.93500000000000005</v>
      </c>
      <c r="AT62" s="151">
        <f t="shared" si="44"/>
        <v>2294.3899376659738</v>
      </c>
      <c r="AU62" s="151">
        <f t="shared" si="45"/>
        <v>1758.751881071908</v>
      </c>
      <c r="AV62" s="155"/>
      <c r="AW62" s="150">
        <f t="shared" si="46"/>
        <v>40172.854244554939</v>
      </c>
      <c r="AX62" s="152">
        <f t="shared" si="35"/>
        <v>535.6380565940658</v>
      </c>
      <c r="AY62" s="152">
        <f t="shared" si="47"/>
        <v>8.0345708489109882</v>
      </c>
      <c r="AZ62" s="151">
        <f t="shared" si="36"/>
        <v>0.10712761131881318</v>
      </c>
      <c r="BB62" s="206"/>
      <c r="BC62" s="206"/>
    </row>
    <row r="63" spans="1:55" s="145" customFormat="1" x14ac:dyDescent="0.25">
      <c r="A63" s="145" t="s">
        <v>299</v>
      </c>
      <c r="B63" s="169"/>
      <c r="C63" s="147">
        <v>1</v>
      </c>
      <c r="D63" s="147">
        <v>75</v>
      </c>
      <c r="E63" s="147">
        <f t="shared" ref="E63:E69" si="50">D63</f>
        <v>75</v>
      </c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50">
        <v>53397</v>
      </c>
      <c r="AX63" s="152">
        <f t="shared" si="35"/>
        <v>711.96</v>
      </c>
      <c r="AY63" s="147">
        <v>31.41</v>
      </c>
      <c r="AZ63" s="151">
        <f t="shared" si="36"/>
        <v>0.41880000000000001</v>
      </c>
      <c r="BB63" s="206"/>
      <c r="BC63" s="206"/>
    </row>
    <row r="64" spans="1:55" s="145" customFormat="1" x14ac:dyDescent="0.25">
      <c r="A64" s="145" t="s">
        <v>316</v>
      </c>
      <c r="C64" s="147">
        <v>1</v>
      </c>
      <c r="D64" s="147">
        <v>75</v>
      </c>
      <c r="E64" s="147">
        <f t="shared" si="50"/>
        <v>75</v>
      </c>
      <c r="G64" s="149"/>
      <c r="H64" s="147"/>
      <c r="AW64" s="150">
        <v>23948</v>
      </c>
      <c r="AX64" s="152">
        <f t="shared" si="35"/>
        <v>319.30666666666667</v>
      </c>
      <c r="AY64" s="147">
        <v>12.74</v>
      </c>
      <c r="AZ64" s="151">
        <f t="shared" si="36"/>
        <v>0.16986666666666667</v>
      </c>
      <c r="BB64" s="206"/>
      <c r="BC64" s="206"/>
    </row>
    <row r="65" spans="1:55" s="145" customFormat="1" x14ac:dyDescent="0.25">
      <c r="A65" s="145" t="s">
        <v>318</v>
      </c>
      <c r="C65" s="147">
        <v>1</v>
      </c>
      <c r="D65" s="147">
        <v>75</v>
      </c>
      <c r="E65" s="147">
        <f t="shared" si="50"/>
        <v>75</v>
      </c>
      <c r="G65" s="149"/>
      <c r="H65" s="147"/>
      <c r="AW65" s="150">
        <v>14777</v>
      </c>
      <c r="AX65" s="152">
        <f t="shared" si="35"/>
        <v>197.02666666666667</v>
      </c>
      <c r="AY65" s="147">
        <v>10.56</v>
      </c>
      <c r="AZ65" s="151">
        <f t="shared" si="36"/>
        <v>0.14080000000000001</v>
      </c>
      <c r="BB65" s="206"/>
      <c r="BC65" s="206"/>
    </row>
    <row r="66" spans="1:55" s="145" customFormat="1" x14ac:dyDescent="0.25">
      <c r="A66" s="145" t="s">
        <v>48</v>
      </c>
      <c r="C66" s="147">
        <v>1</v>
      </c>
      <c r="D66" s="147">
        <v>75</v>
      </c>
      <c r="E66" s="147">
        <f t="shared" si="50"/>
        <v>75</v>
      </c>
      <c r="G66" s="149"/>
      <c r="H66" s="147"/>
      <c r="AW66" s="150">
        <v>5280.3</v>
      </c>
      <c r="AX66" s="152">
        <f t="shared" si="35"/>
        <v>70.403999999999996</v>
      </c>
      <c r="AY66" s="147">
        <v>2.95</v>
      </c>
      <c r="AZ66" s="151">
        <f t="shared" si="36"/>
        <v>3.9333333333333338E-2</v>
      </c>
      <c r="BB66" s="206"/>
      <c r="BC66" s="206"/>
    </row>
    <row r="67" spans="1:55" s="145" customFormat="1" x14ac:dyDescent="0.25">
      <c r="A67" s="145" t="s">
        <v>149</v>
      </c>
      <c r="C67" s="147">
        <v>1</v>
      </c>
      <c r="D67" s="147">
        <v>75</v>
      </c>
      <c r="E67" s="147">
        <f t="shared" si="50"/>
        <v>75</v>
      </c>
      <c r="G67" s="149"/>
      <c r="H67" s="147"/>
      <c r="AW67" s="150">
        <v>62978</v>
      </c>
      <c r="AX67" s="152">
        <f t="shared" ref="AX67:AX98" si="51">AW67/E67</f>
        <v>839.70666666666671</v>
      </c>
      <c r="AY67" s="147">
        <v>18.3</v>
      </c>
      <c r="AZ67" s="151">
        <f t="shared" ref="AZ67:AZ98" si="52">AY67/E67</f>
        <v>0.24400000000000002</v>
      </c>
      <c r="BB67" s="206"/>
      <c r="BC67" s="206"/>
    </row>
    <row r="68" spans="1:55" s="145" customFormat="1" x14ac:dyDescent="0.25">
      <c r="A68" s="145" t="s">
        <v>323</v>
      </c>
      <c r="C68" s="147">
        <v>1</v>
      </c>
      <c r="D68" s="147">
        <v>75</v>
      </c>
      <c r="E68" s="147">
        <f t="shared" si="50"/>
        <v>75</v>
      </c>
      <c r="G68" s="149"/>
      <c r="H68" s="147"/>
      <c r="AW68" s="150">
        <v>10303</v>
      </c>
      <c r="AX68" s="152">
        <f t="shared" si="51"/>
        <v>137.37333333333333</v>
      </c>
      <c r="AY68" s="147">
        <v>4.4000000000000004</v>
      </c>
      <c r="AZ68" s="151">
        <f t="shared" si="52"/>
        <v>5.8666666666666673E-2</v>
      </c>
      <c r="BB68" s="206"/>
      <c r="BC68" s="206"/>
    </row>
    <row r="69" spans="1:55" s="145" customFormat="1" x14ac:dyDescent="0.25">
      <c r="A69" s="154" t="s">
        <v>311</v>
      </c>
      <c r="C69" s="147">
        <v>1</v>
      </c>
      <c r="D69" s="147">
        <v>75</v>
      </c>
      <c r="E69" s="147">
        <f t="shared" si="50"/>
        <v>75</v>
      </c>
      <c r="G69" s="149"/>
      <c r="H69" s="147"/>
      <c r="AW69" s="150">
        <v>17821.424999999999</v>
      </c>
      <c r="AX69" s="152">
        <f t="shared" si="51"/>
        <v>237.619</v>
      </c>
      <c r="AY69" s="147">
        <v>17.785724999999999</v>
      </c>
      <c r="AZ69" s="151">
        <f t="shared" si="52"/>
        <v>0.23714299999999999</v>
      </c>
      <c r="BB69" s="206"/>
      <c r="BC69" s="206"/>
    </row>
    <row r="70" spans="1:55" s="176" customFormat="1" x14ac:dyDescent="0.25">
      <c r="A70" s="170" t="s">
        <v>262</v>
      </c>
      <c r="B70" s="170" t="s">
        <v>83</v>
      </c>
      <c r="C70" s="171">
        <v>1</v>
      </c>
      <c r="D70" s="171">
        <v>100</v>
      </c>
      <c r="E70" s="171">
        <f t="shared" ref="E70:E80" si="53">C70*D70</f>
        <v>100</v>
      </c>
      <c r="F70" s="172">
        <v>2900</v>
      </c>
      <c r="G70" s="171">
        <v>150</v>
      </c>
      <c r="H70" s="171">
        <v>2450</v>
      </c>
      <c r="I70" s="171">
        <v>152</v>
      </c>
      <c r="J70" s="171">
        <v>0.85799999999999998</v>
      </c>
      <c r="K70" s="171">
        <v>150</v>
      </c>
      <c r="L70" s="171">
        <v>0.85899999999999999</v>
      </c>
      <c r="M70" s="171">
        <v>100</v>
      </c>
      <c r="N70" s="171">
        <v>2000</v>
      </c>
      <c r="O70" s="171">
        <v>176</v>
      </c>
      <c r="P70" s="171">
        <v>0.82699999999999996</v>
      </c>
      <c r="Q70" s="171">
        <v>125</v>
      </c>
      <c r="R70" s="171">
        <v>0.80900000000000005</v>
      </c>
      <c r="S70" s="171">
        <v>500</v>
      </c>
      <c r="T70" s="171">
        <v>2800</v>
      </c>
      <c r="U70" s="171"/>
      <c r="V70" s="171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2">
        <f t="shared" ref="AL70:AL87" si="54">AK70+AE70+Y70+S70+M70</f>
        <v>600</v>
      </c>
      <c r="AM70" s="172">
        <f t="shared" ref="AM70:AM87" si="55">AF70*AK70*60+Z70*AE70*60+T70*Y70*60+N70*S70*60+H70*M70*60</f>
        <v>74700000</v>
      </c>
      <c r="AN70" s="172">
        <f t="shared" ref="AN70:AN87" si="56">(AM70/AL70)/60</f>
        <v>2075</v>
      </c>
      <c r="AO70" s="172">
        <f t="shared" ref="AO70:AO87" si="57">AVERAGE(AG70,AA70,U70,O70,I70)</f>
        <v>164</v>
      </c>
      <c r="AP70" s="173">
        <f t="shared" ref="AP70:AP87" si="58">AVERAGE(AH70,AB70,V70,P70,J70)</f>
        <v>0.84250000000000003</v>
      </c>
      <c r="AQ70" s="172">
        <f t="shared" ref="AQ70:AQ87" si="59">AVERAGE(AI70,AC70,W70,Q70,K70)</f>
        <v>137.5</v>
      </c>
      <c r="AR70" s="173">
        <f t="shared" ref="AR70:AR87" si="60">AVERAGE(AJ70,AD70,X70,R70,L70)</f>
        <v>0.83400000000000007</v>
      </c>
      <c r="AS70" s="174">
        <v>0.95054545454545447</v>
      </c>
      <c r="AT70" s="173">
        <f t="shared" ref="AT70:AT87" si="61">((AN70*AO70/AP70))*AL70*0.746/(3956*E70)</f>
        <v>457.01013822672542</v>
      </c>
      <c r="AU70" s="173">
        <f t="shared" ref="AU70:AU87" si="62">((AN70*AQ70/AR70))*AL70*0.746/(3956*E70)</f>
        <v>387.06913639967701</v>
      </c>
      <c r="AV70" s="174"/>
      <c r="AW70" s="172">
        <f t="shared" ref="AW70:AW87" si="63">((AN70*AO70/AP70)-(AN70*AQ70/AR70))*AL70*0.746/3956</f>
        <v>6994.1001827048467</v>
      </c>
      <c r="AX70" s="175">
        <f t="shared" si="51"/>
        <v>69.941001827048467</v>
      </c>
      <c r="AY70" s="175">
        <f t="shared" ref="AY70:AY87" si="64">AW70/AL70</f>
        <v>11.656833637841411</v>
      </c>
      <c r="AZ70" s="173">
        <f t="shared" si="52"/>
        <v>0.1165683363784141</v>
      </c>
      <c r="BB70" s="205">
        <f>SUM(AW70:AW89)/SUMPRODUCT(C70:D89)</f>
        <v>231.96026214332187</v>
      </c>
      <c r="BC70" s="205">
        <f>SUM(AY70:AY89)/SUMPRODUCT(C70:D89)</f>
        <v>0.12215707391791429</v>
      </c>
    </row>
    <row r="71" spans="1:55" s="176" customFormat="1" x14ac:dyDescent="0.25">
      <c r="A71" s="170" t="s">
        <v>262</v>
      </c>
      <c r="B71" s="170" t="s">
        <v>83</v>
      </c>
      <c r="C71" s="171">
        <v>1</v>
      </c>
      <c r="D71" s="171">
        <v>100</v>
      </c>
      <c r="E71" s="171">
        <f t="shared" si="53"/>
        <v>100</v>
      </c>
      <c r="F71" s="172">
        <v>2900</v>
      </c>
      <c r="G71" s="171">
        <v>150</v>
      </c>
      <c r="H71" s="171">
        <v>2450</v>
      </c>
      <c r="I71" s="171">
        <v>152</v>
      </c>
      <c r="J71" s="171">
        <v>0.85799999999999998</v>
      </c>
      <c r="K71" s="171">
        <v>150</v>
      </c>
      <c r="L71" s="171">
        <v>0.85899999999999999</v>
      </c>
      <c r="M71" s="171">
        <v>100</v>
      </c>
      <c r="N71" s="171">
        <v>2000</v>
      </c>
      <c r="O71" s="171">
        <v>176</v>
      </c>
      <c r="P71" s="171">
        <v>0.82699999999999996</v>
      </c>
      <c r="Q71" s="171">
        <v>125</v>
      </c>
      <c r="R71" s="171">
        <v>0.80900000000000005</v>
      </c>
      <c r="S71" s="171">
        <v>500</v>
      </c>
      <c r="T71" s="171">
        <v>2800</v>
      </c>
      <c r="U71" s="171"/>
      <c r="V71" s="171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2">
        <f t="shared" si="54"/>
        <v>600</v>
      </c>
      <c r="AM71" s="172">
        <f t="shared" si="55"/>
        <v>74700000</v>
      </c>
      <c r="AN71" s="172">
        <f t="shared" si="56"/>
        <v>2075</v>
      </c>
      <c r="AO71" s="172">
        <f t="shared" si="57"/>
        <v>164</v>
      </c>
      <c r="AP71" s="173">
        <f t="shared" si="58"/>
        <v>0.84250000000000003</v>
      </c>
      <c r="AQ71" s="172">
        <f t="shared" si="59"/>
        <v>137.5</v>
      </c>
      <c r="AR71" s="173">
        <f t="shared" si="60"/>
        <v>0.83400000000000007</v>
      </c>
      <c r="AS71" s="174">
        <v>0.95054545454545447</v>
      </c>
      <c r="AT71" s="173">
        <f t="shared" si="61"/>
        <v>457.01013822672542</v>
      </c>
      <c r="AU71" s="173">
        <f t="shared" si="62"/>
        <v>387.06913639967701</v>
      </c>
      <c r="AV71" s="174"/>
      <c r="AW71" s="172">
        <f t="shared" si="63"/>
        <v>6994.1001827048467</v>
      </c>
      <c r="AX71" s="175">
        <f t="shared" si="51"/>
        <v>69.941001827048467</v>
      </c>
      <c r="AY71" s="175">
        <f t="shared" si="64"/>
        <v>11.656833637841411</v>
      </c>
      <c r="AZ71" s="173">
        <f t="shared" si="52"/>
        <v>0.1165683363784141</v>
      </c>
      <c r="BB71" s="205"/>
      <c r="BC71" s="205"/>
    </row>
    <row r="72" spans="1:55" s="176" customFormat="1" x14ac:dyDescent="0.25">
      <c r="A72" s="176" t="s">
        <v>263</v>
      </c>
      <c r="B72" s="177" t="s">
        <v>109</v>
      </c>
      <c r="C72" s="171">
        <v>1</v>
      </c>
      <c r="D72" s="171">
        <v>100</v>
      </c>
      <c r="E72" s="171">
        <f t="shared" si="53"/>
        <v>100</v>
      </c>
      <c r="F72" s="178">
        <v>1600</v>
      </c>
      <c r="G72" s="171">
        <v>120</v>
      </c>
      <c r="H72" s="171">
        <v>1600</v>
      </c>
      <c r="I72" s="179">
        <v>184</v>
      </c>
      <c r="J72" s="179">
        <v>0.85699999999999998</v>
      </c>
      <c r="K72" s="179">
        <v>120</v>
      </c>
      <c r="L72" s="179">
        <v>0.77100000000000002</v>
      </c>
      <c r="M72" s="179">
        <v>727</v>
      </c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AL72" s="172">
        <f t="shared" si="54"/>
        <v>727</v>
      </c>
      <c r="AM72" s="172">
        <f t="shared" si="55"/>
        <v>69792000</v>
      </c>
      <c r="AN72" s="172">
        <f t="shared" si="56"/>
        <v>1600</v>
      </c>
      <c r="AO72" s="172">
        <f t="shared" si="57"/>
        <v>184</v>
      </c>
      <c r="AP72" s="173">
        <f t="shared" si="58"/>
        <v>0.85699999999999998</v>
      </c>
      <c r="AQ72" s="172">
        <f t="shared" si="59"/>
        <v>120</v>
      </c>
      <c r="AR72" s="173">
        <f t="shared" si="60"/>
        <v>0.77100000000000002</v>
      </c>
      <c r="AS72" s="173">
        <v>0.93600000000000005</v>
      </c>
      <c r="AT72" s="173">
        <f t="shared" si="61"/>
        <v>470.94906515426993</v>
      </c>
      <c r="AU72" s="173">
        <f t="shared" si="62"/>
        <v>341.40022740416958</v>
      </c>
      <c r="AV72" s="173"/>
      <c r="AW72" s="172">
        <f t="shared" si="63"/>
        <v>12954.883775010032</v>
      </c>
      <c r="AX72" s="175">
        <f t="shared" si="51"/>
        <v>129.54883775010032</v>
      </c>
      <c r="AY72" s="175">
        <f t="shared" si="64"/>
        <v>17.819647558473221</v>
      </c>
      <c r="AZ72" s="173">
        <f t="shared" si="52"/>
        <v>0.1781964755847322</v>
      </c>
      <c r="BB72" s="205"/>
      <c r="BC72" s="205"/>
    </row>
    <row r="73" spans="1:55" s="176" customFormat="1" x14ac:dyDescent="0.25">
      <c r="A73" s="176" t="s">
        <v>264</v>
      </c>
      <c r="B73" s="177" t="s">
        <v>136</v>
      </c>
      <c r="C73" s="171">
        <v>1</v>
      </c>
      <c r="D73" s="171">
        <v>100</v>
      </c>
      <c r="E73" s="171">
        <f t="shared" si="53"/>
        <v>100</v>
      </c>
      <c r="F73" s="178">
        <v>2520</v>
      </c>
      <c r="G73" s="171">
        <v>146</v>
      </c>
      <c r="H73" s="171">
        <v>1620</v>
      </c>
      <c r="I73" s="179">
        <v>169</v>
      </c>
      <c r="J73" s="179">
        <v>0.80900000000000005</v>
      </c>
      <c r="K73" s="179">
        <v>146</v>
      </c>
      <c r="L73" s="179">
        <v>0.82799999999999996</v>
      </c>
      <c r="M73" s="179">
        <v>520</v>
      </c>
      <c r="N73" s="179">
        <v>2080</v>
      </c>
      <c r="O73" s="179">
        <v>160</v>
      </c>
      <c r="P73" s="179">
        <v>0.86499999999999999</v>
      </c>
      <c r="Q73" s="179">
        <v>146</v>
      </c>
      <c r="R73" s="179">
        <v>0.871</v>
      </c>
      <c r="S73" s="179">
        <v>520</v>
      </c>
      <c r="T73" s="179"/>
      <c r="U73" s="179"/>
      <c r="V73" s="179"/>
      <c r="W73" s="179"/>
      <c r="AL73" s="172">
        <f t="shared" si="54"/>
        <v>1040</v>
      </c>
      <c r="AM73" s="172">
        <f t="shared" si="55"/>
        <v>115440000</v>
      </c>
      <c r="AN73" s="172">
        <f t="shared" si="56"/>
        <v>1850</v>
      </c>
      <c r="AO73" s="172">
        <f t="shared" si="57"/>
        <v>164.5</v>
      </c>
      <c r="AP73" s="173">
        <f t="shared" si="58"/>
        <v>0.83699999999999997</v>
      </c>
      <c r="AQ73" s="172">
        <f t="shared" si="59"/>
        <v>146</v>
      </c>
      <c r="AR73" s="173">
        <f t="shared" si="60"/>
        <v>0.84949999999999992</v>
      </c>
      <c r="AS73" s="174">
        <v>0.95550000000000002</v>
      </c>
      <c r="AT73" s="173">
        <f t="shared" si="61"/>
        <v>713.06325373613936</v>
      </c>
      <c r="AU73" s="173">
        <f t="shared" si="62"/>
        <v>623.55832938069216</v>
      </c>
      <c r="AV73" s="174"/>
      <c r="AW73" s="172">
        <f t="shared" si="63"/>
        <v>8950.4924355447292</v>
      </c>
      <c r="AX73" s="175">
        <f t="shared" si="51"/>
        <v>89.504924355447287</v>
      </c>
      <c r="AY73" s="175">
        <f t="shared" si="64"/>
        <v>8.6062427264853163</v>
      </c>
      <c r="AZ73" s="173">
        <f t="shared" si="52"/>
        <v>8.6062427264853164E-2</v>
      </c>
      <c r="BB73" s="205"/>
      <c r="BC73" s="205"/>
    </row>
    <row r="74" spans="1:55" s="176" customFormat="1" x14ac:dyDescent="0.25">
      <c r="A74" s="180" t="s">
        <v>80</v>
      </c>
      <c r="B74" s="170" t="s">
        <v>83</v>
      </c>
      <c r="C74" s="171">
        <v>2</v>
      </c>
      <c r="D74" s="171">
        <v>100</v>
      </c>
      <c r="E74" s="171">
        <f t="shared" si="53"/>
        <v>200</v>
      </c>
      <c r="F74" s="172">
        <v>3000</v>
      </c>
      <c r="G74" s="171">
        <v>110</v>
      </c>
      <c r="H74" s="171">
        <v>2300</v>
      </c>
      <c r="I74" s="171">
        <v>145</v>
      </c>
      <c r="J74" s="171">
        <v>0.79600000000000004</v>
      </c>
      <c r="K74" s="171">
        <v>110</v>
      </c>
      <c r="L74" s="171">
        <v>0.83099999999999996</v>
      </c>
      <c r="M74" s="171">
        <v>530</v>
      </c>
      <c r="N74" s="171">
        <v>1700</v>
      </c>
      <c r="O74" s="171">
        <v>160</v>
      </c>
      <c r="P74" s="171">
        <v>0.65300000000000002</v>
      </c>
      <c r="Q74" s="171">
        <v>110</v>
      </c>
      <c r="R74" s="171">
        <v>0.73499999999999999</v>
      </c>
      <c r="S74" s="171">
        <v>530</v>
      </c>
      <c r="T74" s="171"/>
      <c r="U74" s="171"/>
      <c r="V74" s="171"/>
      <c r="W74" s="171"/>
      <c r="X74" s="171"/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  <c r="AK74" s="171"/>
      <c r="AL74" s="172">
        <f t="shared" si="54"/>
        <v>1060</v>
      </c>
      <c r="AM74" s="172">
        <f t="shared" si="55"/>
        <v>127200000</v>
      </c>
      <c r="AN74" s="172">
        <f t="shared" si="56"/>
        <v>2000</v>
      </c>
      <c r="AO74" s="172">
        <f t="shared" si="57"/>
        <v>152.5</v>
      </c>
      <c r="AP74" s="173">
        <f t="shared" si="58"/>
        <v>0.72450000000000003</v>
      </c>
      <c r="AQ74" s="172">
        <f t="shared" si="59"/>
        <v>110</v>
      </c>
      <c r="AR74" s="173">
        <f t="shared" si="60"/>
        <v>0.78299999999999992</v>
      </c>
      <c r="AS74" s="174">
        <v>0.9425</v>
      </c>
      <c r="AT74" s="173">
        <f t="shared" si="61"/>
        <v>420.74587194822828</v>
      </c>
      <c r="AU74" s="173">
        <f t="shared" si="62"/>
        <v>280.81437317516952</v>
      </c>
      <c r="AV74" s="174"/>
      <c r="AW74" s="172">
        <f t="shared" si="63"/>
        <v>27986.299754611751</v>
      </c>
      <c r="AX74" s="175">
        <f t="shared" si="51"/>
        <v>139.93149877305876</v>
      </c>
      <c r="AY74" s="175">
        <f t="shared" si="64"/>
        <v>26.402169579822406</v>
      </c>
      <c r="AZ74" s="173">
        <f t="shared" si="52"/>
        <v>0.13201084789911202</v>
      </c>
      <c r="BB74" s="205"/>
      <c r="BC74" s="205"/>
    </row>
    <row r="75" spans="1:55" s="176" customFormat="1" x14ac:dyDescent="0.25">
      <c r="A75" s="180" t="s">
        <v>80</v>
      </c>
      <c r="B75" s="170" t="s">
        <v>83</v>
      </c>
      <c r="C75" s="171">
        <v>1</v>
      </c>
      <c r="D75" s="171">
        <v>100</v>
      </c>
      <c r="E75" s="171">
        <f t="shared" si="53"/>
        <v>100</v>
      </c>
      <c r="F75" s="172">
        <v>3000</v>
      </c>
      <c r="G75" s="171">
        <v>110</v>
      </c>
      <c r="H75" s="171">
        <v>2900</v>
      </c>
      <c r="I75" s="171">
        <v>122</v>
      </c>
      <c r="J75" s="171">
        <v>0.84899999999999998</v>
      </c>
      <c r="K75" s="171">
        <v>110</v>
      </c>
      <c r="L75" s="171">
        <v>0.84699999999999998</v>
      </c>
      <c r="M75" s="171">
        <v>725</v>
      </c>
      <c r="N75" s="171">
        <v>2700</v>
      </c>
      <c r="O75" s="171">
        <v>131</v>
      </c>
      <c r="P75" s="171">
        <v>0.84299999999999997</v>
      </c>
      <c r="Q75" s="171">
        <v>110</v>
      </c>
      <c r="R75" s="171">
        <v>0.84799999999999998</v>
      </c>
      <c r="S75" s="171">
        <v>725</v>
      </c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2">
        <f t="shared" si="54"/>
        <v>1450</v>
      </c>
      <c r="AM75" s="172">
        <f t="shared" si="55"/>
        <v>243600000</v>
      </c>
      <c r="AN75" s="172">
        <f t="shared" si="56"/>
        <v>2800</v>
      </c>
      <c r="AO75" s="172">
        <f t="shared" si="57"/>
        <v>126.5</v>
      </c>
      <c r="AP75" s="173">
        <f t="shared" si="58"/>
        <v>0.84599999999999997</v>
      </c>
      <c r="AQ75" s="172">
        <f t="shared" si="59"/>
        <v>110</v>
      </c>
      <c r="AR75" s="173">
        <f t="shared" si="60"/>
        <v>0.84749999999999992</v>
      </c>
      <c r="AS75" s="174">
        <v>0.9425</v>
      </c>
      <c r="AT75" s="173">
        <f t="shared" si="61"/>
        <v>1144.797679916433</v>
      </c>
      <c r="AU75" s="173">
        <f t="shared" si="62"/>
        <v>993.71433855000896</v>
      </c>
      <c r="AV75" s="174"/>
      <c r="AW75" s="172">
        <f t="shared" si="63"/>
        <v>15108.334136642414</v>
      </c>
      <c r="AX75" s="175">
        <f t="shared" si="51"/>
        <v>151.08334136642415</v>
      </c>
      <c r="AY75" s="175">
        <f>AW75/AL75</f>
        <v>10.419540783891319</v>
      </c>
      <c r="AZ75" s="173">
        <f t="shared" si="52"/>
        <v>0.10419540783891319</v>
      </c>
      <c r="BB75" s="205"/>
      <c r="BC75" s="205"/>
    </row>
    <row r="76" spans="1:55" s="176" customFormat="1" x14ac:dyDescent="0.25">
      <c r="A76" s="176" t="s">
        <v>265</v>
      </c>
      <c r="B76" s="177" t="s">
        <v>164</v>
      </c>
      <c r="C76" s="171">
        <v>1</v>
      </c>
      <c r="D76" s="171">
        <v>100</v>
      </c>
      <c r="E76" s="171">
        <f t="shared" si="53"/>
        <v>100</v>
      </c>
      <c r="F76" s="178">
        <v>2000</v>
      </c>
      <c r="G76" s="171">
        <v>125</v>
      </c>
      <c r="H76" s="171">
        <v>2000</v>
      </c>
      <c r="I76" s="179">
        <v>131</v>
      </c>
      <c r="J76" s="179">
        <v>0.78600000000000003</v>
      </c>
      <c r="K76" s="179">
        <v>125</v>
      </c>
      <c r="L76" s="179">
        <v>0.78500000000000003</v>
      </c>
      <c r="M76" s="179">
        <v>250</v>
      </c>
      <c r="N76" s="179">
        <v>1750</v>
      </c>
      <c r="O76" s="179">
        <v>143</v>
      </c>
      <c r="P76" s="179">
        <v>0.78700000000000003</v>
      </c>
      <c r="Q76" s="179">
        <v>125</v>
      </c>
      <c r="R76" s="179">
        <v>0.78800000000000003</v>
      </c>
      <c r="S76" s="179">
        <v>250</v>
      </c>
      <c r="T76" s="179">
        <v>1500</v>
      </c>
      <c r="U76" s="179">
        <v>150</v>
      </c>
      <c r="V76" s="179">
        <v>0.77800000000000002</v>
      </c>
      <c r="W76" s="179">
        <v>125</v>
      </c>
      <c r="X76" s="176">
        <v>0.78500000000000003</v>
      </c>
      <c r="Y76" s="176">
        <v>500</v>
      </c>
      <c r="Z76" s="176">
        <v>1250</v>
      </c>
      <c r="AA76" s="176">
        <v>155</v>
      </c>
      <c r="AB76" s="176">
        <v>0.749</v>
      </c>
      <c r="AC76" s="176">
        <v>125</v>
      </c>
      <c r="AD76" s="176">
        <v>0.76700000000000002</v>
      </c>
      <c r="AE76" s="176">
        <v>250</v>
      </c>
      <c r="AF76" s="176">
        <v>1000</v>
      </c>
      <c r="AG76" s="176">
        <v>158</v>
      </c>
      <c r="AH76" s="176">
        <v>0.69199999999999995</v>
      </c>
      <c r="AI76" s="176">
        <v>125</v>
      </c>
      <c r="AJ76" s="176">
        <v>0.72299999999999998</v>
      </c>
      <c r="AK76" s="176">
        <v>250</v>
      </c>
      <c r="AL76" s="172">
        <f t="shared" si="54"/>
        <v>1500</v>
      </c>
      <c r="AM76" s="172">
        <f t="shared" si="55"/>
        <v>135000000</v>
      </c>
      <c r="AN76" s="172">
        <f t="shared" si="56"/>
        <v>1500</v>
      </c>
      <c r="AO76" s="172">
        <f t="shared" si="57"/>
        <v>147.4</v>
      </c>
      <c r="AP76" s="173">
        <f t="shared" si="58"/>
        <v>0.75839999999999996</v>
      </c>
      <c r="AQ76" s="172">
        <f t="shared" si="59"/>
        <v>125</v>
      </c>
      <c r="AR76" s="173">
        <f t="shared" si="60"/>
        <v>0.76959999999999995</v>
      </c>
      <c r="AS76" s="174">
        <v>0.95199999999999996</v>
      </c>
      <c r="AT76" s="173">
        <f t="shared" si="61"/>
        <v>824.63966767352258</v>
      </c>
      <c r="AU76" s="173">
        <f t="shared" si="62"/>
        <v>689.1440591832403</v>
      </c>
      <c r="AV76" s="174"/>
      <c r="AW76" s="172">
        <f t="shared" si="63"/>
        <v>13549.560849028245</v>
      </c>
      <c r="AX76" s="175">
        <f t="shared" si="51"/>
        <v>135.49560849028245</v>
      </c>
      <c r="AY76" s="175">
        <f t="shared" si="64"/>
        <v>9.0330405660188298</v>
      </c>
      <c r="AZ76" s="173">
        <f t="shared" si="52"/>
        <v>9.0330405660188295E-2</v>
      </c>
      <c r="BB76" s="205"/>
      <c r="BC76" s="205"/>
    </row>
    <row r="77" spans="1:55" s="176" customFormat="1" x14ac:dyDescent="0.25">
      <c r="A77" s="180" t="s">
        <v>80</v>
      </c>
      <c r="B77" s="170" t="s">
        <v>83</v>
      </c>
      <c r="C77" s="171">
        <v>1</v>
      </c>
      <c r="D77" s="171">
        <v>100</v>
      </c>
      <c r="E77" s="171">
        <f t="shared" si="53"/>
        <v>100</v>
      </c>
      <c r="F77" s="172">
        <v>3000</v>
      </c>
      <c r="G77" s="171">
        <v>110</v>
      </c>
      <c r="H77" s="171">
        <v>3000</v>
      </c>
      <c r="I77" s="171">
        <v>117</v>
      </c>
      <c r="J77" s="171">
        <v>0.84699999999999998</v>
      </c>
      <c r="K77" s="171">
        <v>110</v>
      </c>
      <c r="L77" s="171">
        <v>0.84399999999999997</v>
      </c>
      <c r="M77" s="171">
        <v>850</v>
      </c>
      <c r="N77" s="171">
        <v>2500</v>
      </c>
      <c r="O77" s="171">
        <v>138</v>
      </c>
      <c r="P77" s="171">
        <v>0.82499999999999996</v>
      </c>
      <c r="Q77" s="171">
        <v>110</v>
      </c>
      <c r="R77" s="171">
        <v>0.84399999999999997</v>
      </c>
      <c r="S77" s="171">
        <v>850</v>
      </c>
      <c r="T77" s="171"/>
      <c r="U77" s="171"/>
      <c r="V77" s="171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/>
      <c r="AH77" s="171"/>
      <c r="AI77" s="171"/>
      <c r="AJ77" s="171"/>
      <c r="AK77" s="171"/>
      <c r="AL77" s="172">
        <f t="shared" si="54"/>
        <v>1700</v>
      </c>
      <c r="AM77" s="172">
        <f t="shared" si="55"/>
        <v>280500000</v>
      </c>
      <c r="AN77" s="172">
        <f t="shared" si="56"/>
        <v>2750</v>
      </c>
      <c r="AO77" s="172">
        <f t="shared" si="57"/>
        <v>127.5</v>
      </c>
      <c r="AP77" s="173">
        <f t="shared" si="58"/>
        <v>0.83599999999999997</v>
      </c>
      <c r="AQ77" s="172">
        <f t="shared" si="59"/>
        <v>110</v>
      </c>
      <c r="AR77" s="173">
        <f t="shared" si="60"/>
        <v>0.84399999999999997</v>
      </c>
      <c r="AS77" s="174">
        <v>0.9425</v>
      </c>
      <c r="AT77" s="173">
        <f t="shared" si="61"/>
        <v>1344.5224775158322</v>
      </c>
      <c r="AU77" s="173">
        <f t="shared" si="62"/>
        <v>1148.9851039155833</v>
      </c>
      <c r="AV77" s="174"/>
      <c r="AW77" s="172">
        <f t="shared" si="63"/>
        <v>19553.737360024883</v>
      </c>
      <c r="AX77" s="175">
        <f t="shared" si="51"/>
        <v>195.53737360024883</v>
      </c>
      <c r="AY77" s="175">
        <f t="shared" si="64"/>
        <v>11.502198447073461</v>
      </c>
      <c r="AZ77" s="173">
        <f t="shared" si="52"/>
        <v>0.11502198447073461</v>
      </c>
      <c r="BB77" s="205"/>
      <c r="BC77" s="205"/>
    </row>
    <row r="78" spans="1:55" s="176" customFormat="1" x14ac:dyDescent="0.25">
      <c r="A78" s="176" t="s">
        <v>266</v>
      </c>
      <c r="B78" s="177" t="s">
        <v>267</v>
      </c>
      <c r="C78" s="171">
        <v>1</v>
      </c>
      <c r="D78" s="171">
        <v>100</v>
      </c>
      <c r="E78" s="171">
        <f t="shared" si="53"/>
        <v>100</v>
      </c>
      <c r="F78" s="178">
        <v>2700</v>
      </c>
      <c r="G78" s="171">
        <v>120</v>
      </c>
      <c r="H78" s="171">
        <v>1492</v>
      </c>
      <c r="I78" s="179">
        <v>157</v>
      </c>
      <c r="J78" s="179">
        <v>0.60499999999999998</v>
      </c>
      <c r="K78" s="179">
        <v>120</v>
      </c>
      <c r="L78" s="179">
        <v>0.66</v>
      </c>
      <c r="M78" s="179">
        <v>700</v>
      </c>
      <c r="N78" s="179">
        <v>2700</v>
      </c>
      <c r="O78" s="179">
        <v>121</v>
      </c>
      <c r="P78" s="179">
        <v>0.79100000000000004</v>
      </c>
      <c r="Q78" s="179">
        <v>120</v>
      </c>
      <c r="R78" s="179">
        <v>0.79100000000000004</v>
      </c>
      <c r="S78" s="179">
        <v>1000</v>
      </c>
      <c r="T78" s="179"/>
      <c r="U78" s="179"/>
      <c r="V78" s="179"/>
      <c r="W78" s="179"/>
      <c r="AL78" s="172">
        <f t="shared" si="54"/>
        <v>1700</v>
      </c>
      <c r="AM78" s="172">
        <f t="shared" si="55"/>
        <v>224664000</v>
      </c>
      <c r="AN78" s="172">
        <f t="shared" si="56"/>
        <v>2202.5882352941176</v>
      </c>
      <c r="AO78" s="172">
        <f t="shared" si="57"/>
        <v>139</v>
      </c>
      <c r="AP78" s="173">
        <f t="shared" si="58"/>
        <v>0.69799999999999995</v>
      </c>
      <c r="AQ78" s="172">
        <f t="shared" si="59"/>
        <v>120</v>
      </c>
      <c r="AR78" s="173">
        <f t="shared" si="60"/>
        <v>0.72550000000000003</v>
      </c>
      <c r="AS78" s="174">
        <v>0.95458823529411763</v>
      </c>
      <c r="AT78" s="173">
        <f t="shared" si="61"/>
        <v>1406.125741320717</v>
      </c>
      <c r="AU78" s="173">
        <f t="shared" si="62"/>
        <v>1167.9079383905244</v>
      </c>
      <c r="AV78" s="174"/>
      <c r="AW78" s="172">
        <f t="shared" si="63"/>
        <v>23821.780293019259</v>
      </c>
      <c r="AX78" s="175">
        <f t="shared" si="51"/>
        <v>238.21780293019259</v>
      </c>
      <c r="AY78" s="175">
        <f t="shared" si="64"/>
        <v>14.012811937070152</v>
      </c>
      <c r="AZ78" s="173">
        <f t="shared" si="52"/>
        <v>0.14012811937070152</v>
      </c>
      <c r="BB78" s="205"/>
      <c r="BC78" s="205"/>
    </row>
    <row r="79" spans="1:55" s="176" customFormat="1" x14ac:dyDescent="0.25">
      <c r="A79" s="180" t="s">
        <v>221</v>
      </c>
      <c r="B79" s="170" t="s">
        <v>83</v>
      </c>
      <c r="C79" s="171">
        <v>1</v>
      </c>
      <c r="D79" s="171">
        <v>100</v>
      </c>
      <c r="E79" s="171">
        <f t="shared" si="53"/>
        <v>100</v>
      </c>
      <c r="F79" s="172">
        <v>2650</v>
      </c>
      <c r="G79" s="171">
        <v>150</v>
      </c>
      <c r="H79" s="171">
        <v>2175</v>
      </c>
      <c r="I79" s="171">
        <v>150</v>
      </c>
      <c r="J79" s="171">
        <v>0.84399999999999997</v>
      </c>
      <c r="K79" s="171">
        <v>150</v>
      </c>
      <c r="L79" s="171">
        <v>0.84399999999999997</v>
      </c>
      <c r="M79" s="171">
        <v>200</v>
      </c>
      <c r="N79" s="171">
        <v>1422</v>
      </c>
      <c r="O79" s="171">
        <v>191</v>
      </c>
      <c r="P79" s="171">
        <v>0.71499999999999997</v>
      </c>
      <c r="Q79" s="171">
        <v>104</v>
      </c>
      <c r="R79" s="171">
        <v>0.81200000000000006</v>
      </c>
      <c r="S79" s="171">
        <v>330</v>
      </c>
      <c r="T79" s="171">
        <f>(2211+2442+2186)/3</f>
        <v>2279.6666666666665</v>
      </c>
      <c r="U79" s="171">
        <f>(148+131+149)/3</f>
        <v>142.66666666666666</v>
      </c>
      <c r="V79" s="171">
        <f>(0.844+0.83+0.844)/3</f>
        <v>0.83933333333333326</v>
      </c>
      <c r="W79" s="171">
        <v>104</v>
      </c>
      <c r="X79" s="171">
        <f>(0.828+0.805+0.829)/3</f>
        <v>0.82066666666666654</v>
      </c>
      <c r="Y79" s="171">
        <f>330*3</f>
        <v>990</v>
      </c>
      <c r="Z79" s="171">
        <v>1622</v>
      </c>
      <c r="AA79" s="171">
        <v>182</v>
      </c>
      <c r="AB79" s="171">
        <v>0.77100000000000002</v>
      </c>
      <c r="AC79" s="171">
        <v>104</v>
      </c>
      <c r="AD79" s="171">
        <v>0.83599999999999997</v>
      </c>
      <c r="AE79" s="171">
        <v>50</v>
      </c>
      <c r="AF79" s="171">
        <f>(2411+2642+2386)/3</f>
        <v>2479.6666666666665</v>
      </c>
      <c r="AG79" s="171">
        <f>(133+115+135)/3</f>
        <v>127.66666666666667</v>
      </c>
      <c r="AH79" s="171">
        <f>(0.834+0.797+0.836)/3</f>
        <v>0.82233333333333336</v>
      </c>
      <c r="AI79" s="171">
        <v>104</v>
      </c>
      <c r="AJ79" s="171">
        <f>(0.809+0.782+0.811)/3</f>
        <v>0.80066666666666675</v>
      </c>
      <c r="AK79" s="171">
        <v>150</v>
      </c>
      <c r="AL79" s="172">
        <f t="shared" si="54"/>
        <v>1720</v>
      </c>
      <c r="AM79" s="172">
        <f t="shared" si="55"/>
        <v>216850800</v>
      </c>
      <c r="AN79" s="172">
        <f t="shared" si="56"/>
        <v>2101.2674418604652</v>
      </c>
      <c r="AO79" s="172">
        <f t="shared" si="57"/>
        <v>158.66666666666669</v>
      </c>
      <c r="AP79" s="173">
        <f t="shared" si="58"/>
        <v>0.79833333333333323</v>
      </c>
      <c r="AQ79" s="172">
        <f t="shared" si="59"/>
        <v>113.2</v>
      </c>
      <c r="AR79" s="173">
        <f t="shared" si="60"/>
        <v>0.82266666666666666</v>
      </c>
      <c r="AS79" s="174">
        <v>0.94651162790697674</v>
      </c>
      <c r="AT79" s="173">
        <f t="shared" si="61"/>
        <v>1354.5459989741016</v>
      </c>
      <c r="AU79" s="173">
        <f t="shared" si="62"/>
        <v>937.8099777127004</v>
      </c>
      <c r="AV79" s="174"/>
      <c r="AW79" s="172">
        <f t="shared" si="63"/>
        <v>41673.602126140118</v>
      </c>
      <c r="AX79" s="175">
        <f t="shared" si="51"/>
        <v>416.73602126140116</v>
      </c>
      <c r="AY79" s="175">
        <f t="shared" si="64"/>
        <v>24.228838445430302</v>
      </c>
      <c r="AZ79" s="173">
        <f t="shared" si="52"/>
        <v>0.24228838445430301</v>
      </c>
      <c r="BB79" s="205"/>
      <c r="BC79" s="205"/>
    </row>
    <row r="80" spans="1:55" s="176" customFormat="1" x14ac:dyDescent="0.25">
      <c r="A80" s="181" t="s">
        <v>268</v>
      </c>
      <c r="B80" s="177" t="s">
        <v>81</v>
      </c>
      <c r="C80" s="171">
        <v>1</v>
      </c>
      <c r="D80" s="171">
        <v>100</v>
      </c>
      <c r="E80" s="171">
        <f t="shared" si="53"/>
        <v>100</v>
      </c>
      <c r="F80" s="172">
        <v>3200</v>
      </c>
      <c r="G80" s="171">
        <v>93</v>
      </c>
      <c r="H80" s="171">
        <v>3200</v>
      </c>
      <c r="I80" s="171">
        <v>93</v>
      </c>
      <c r="J80" s="171">
        <v>0.83099999999999996</v>
      </c>
      <c r="K80" s="171">
        <v>93</v>
      </c>
      <c r="L80" s="171">
        <v>0.83099999999999996</v>
      </c>
      <c r="M80" s="171">
        <v>900</v>
      </c>
      <c r="N80" s="171">
        <v>1760</v>
      </c>
      <c r="O80" s="171">
        <v>136</v>
      </c>
      <c r="P80" s="171">
        <v>0.81200000000000006</v>
      </c>
      <c r="Q80" s="171">
        <v>93</v>
      </c>
      <c r="R80" s="171">
        <v>0.86899999999999999</v>
      </c>
      <c r="S80" s="171">
        <v>900</v>
      </c>
      <c r="T80" s="171"/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  <c r="AF80" s="171"/>
      <c r="AG80" s="171"/>
      <c r="AH80" s="171"/>
      <c r="AI80" s="171"/>
      <c r="AJ80" s="171"/>
      <c r="AK80" s="171"/>
      <c r="AL80" s="172">
        <f t="shared" si="54"/>
        <v>1800</v>
      </c>
      <c r="AM80" s="172">
        <f t="shared" si="55"/>
        <v>267840000</v>
      </c>
      <c r="AN80" s="172">
        <f t="shared" si="56"/>
        <v>2480</v>
      </c>
      <c r="AO80" s="172">
        <f t="shared" si="57"/>
        <v>114.5</v>
      </c>
      <c r="AP80" s="173">
        <f t="shared" si="58"/>
        <v>0.82150000000000001</v>
      </c>
      <c r="AQ80" s="172">
        <f t="shared" si="59"/>
        <v>93</v>
      </c>
      <c r="AR80" s="173">
        <f t="shared" si="60"/>
        <v>0.85</v>
      </c>
      <c r="AS80" s="174">
        <v>0.95</v>
      </c>
      <c r="AT80" s="173">
        <f t="shared" si="61"/>
        <v>1173.2880554018734</v>
      </c>
      <c r="AU80" s="173">
        <f t="shared" si="62"/>
        <v>921.02358888954984</v>
      </c>
      <c r="AV80" s="174"/>
      <c r="AW80" s="172">
        <f t="shared" si="63"/>
        <v>25226.446651232352</v>
      </c>
      <c r="AX80" s="175">
        <f t="shared" si="51"/>
        <v>252.26446651232354</v>
      </c>
      <c r="AY80" s="175">
        <f t="shared" si="64"/>
        <v>14.014692584017974</v>
      </c>
      <c r="AZ80" s="173">
        <f t="shared" si="52"/>
        <v>0.14014692584017974</v>
      </c>
      <c r="BB80" s="205"/>
      <c r="BC80" s="205"/>
    </row>
    <row r="81" spans="1:55" s="176" customFormat="1" x14ac:dyDescent="0.25">
      <c r="A81" s="176" t="s">
        <v>269</v>
      </c>
      <c r="B81" s="177" t="s">
        <v>73</v>
      </c>
      <c r="C81" s="171">
        <v>1</v>
      </c>
      <c r="D81" s="171">
        <v>100</v>
      </c>
      <c r="E81" s="171">
        <f>D81*C81</f>
        <v>100</v>
      </c>
      <c r="F81" s="178">
        <v>1300</v>
      </c>
      <c r="G81" s="171">
        <v>235</v>
      </c>
      <c r="H81" s="171">
        <v>1300</v>
      </c>
      <c r="I81" s="179">
        <v>232</v>
      </c>
      <c r="J81" s="179">
        <v>0.77800000000000002</v>
      </c>
      <c r="K81" s="179">
        <v>235</v>
      </c>
      <c r="L81" s="179">
        <v>0.77800000000000002</v>
      </c>
      <c r="M81" s="179">
        <v>500</v>
      </c>
      <c r="N81" s="179">
        <v>1200</v>
      </c>
      <c r="O81" s="179">
        <v>243</v>
      </c>
      <c r="P81" s="179">
        <v>0.77800000000000002</v>
      </c>
      <c r="Q81" s="179">
        <v>235</v>
      </c>
      <c r="R81" s="179">
        <v>0.77900000000000003</v>
      </c>
      <c r="S81" s="179">
        <v>500</v>
      </c>
      <c r="T81" s="179">
        <v>850</v>
      </c>
      <c r="U81" s="179">
        <v>266</v>
      </c>
      <c r="V81" s="179">
        <v>0.67200000000000004</v>
      </c>
      <c r="W81" s="179">
        <v>235</v>
      </c>
      <c r="X81" s="176">
        <v>0.69599999999999995</v>
      </c>
      <c r="Y81" s="176">
        <v>500</v>
      </c>
      <c r="Z81" s="176">
        <v>800</v>
      </c>
      <c r="AA81" s="176">
        <v>268</v>
      </c>
      <c r="AB81" s="176">
        <v>0.64500000000000002</v>
      </c>
      <c r="AC81" s="176">
        <v>235</v>
      </c>
      <c r="AD81" s="176">
        <v>0.67200000000000004</v>
      </c>
      <c r="AE81" s="176">
        <v>500</v>
      </c>
      <c r="AL81" s="172">
        <f t="shared" si="54"/>
        <v>2000</v>
      </c>
      <c r="AM81" s="172">
        <f t="shared" si="55"/>
        <v>124500000</v>
      </c>
      <c r="AN81" s="172">
        <f t="shared" si="56"/>
        <v>1037.5</v>
      </c>
      <c r="AO81" s="172">
        <f t="shared" si="57"/>
        <v>252.25</v>
      </c>
      <c r="AP81" s="173">
        <f t="shared" si="58"/>
        <v>0.71825000000000006</v>
      </c>
      <c r="AQ81" s="172">
        <f t="shared" si="59"/>
        <v>235</v>
      </c>
      <c r="AR81" s="173">
        <f t="shared" si="60"/>
        <v>0.73124999999999996</v>
      </c>
      <c r="AS81" s="174">
        <v>0.95799999999999996</v>
      </c>
      <c r="AT81" s="173">
        <f t="shared" si="61"/>
        <v>1374.2197500032555</v>
      </c>
      <c r="AU81" s="173">
        <f t="shared" si="62"/>
        <v>1257.4844658767815</v>
      </c>
      <c r="AV81" s="174"/>
      <c r="AW81" s="172">
        <f t="shared" si="63"/>
        <v>11673.528412647391</v>
      </c>
      <c r="AX81" s="175">
        <f t="shared" si="51"/>
        <v>116.73528412647391</v>
      </c>
      <c r="AY81" s="175">
        <f t="shared" si="64"/>
        <v>5.8367642063236955</v>
      </c>
      <c r="AZ81" s="173">
        <f t="shared" si="52"/>
        <v>5.8367642063236955E-2</v>
      </c>
      <c r="BB81" s="205"/>
      <c r="BC81" s="205"/>
    </row>
    <row r="82" spans="1:55" s="176" customFormat="1" x14ac:dyDescent="0.25">
      <c r="A82" s="176" t="s">
        <v>270</v>
      </c>
      <c r="B82" s="177" t="s">
        <v>136</v>
      </c>
      <c r="C82" s="171">
        <v>1</v>
      </c>
      <c r="D82" s="171">
        <v>100</v>
      </c>
      <c r="E82" s="171">
        <f t="shared" ref="E82:E87" si="65">C82*D82</f>
        <v>100</v>
      </c>
      <c r="F82" s="178">
        <v>1850</v>
      </c>
      <c r="G82" s="171">
        <v>104</v>
      </c>
      <c r="H82" s="171">
        <v>400</v>
      </c>
      <c r="I82" s="179">
        <v>122</v>
      </c>
      <c r="J82" s="179">
        <v>0.25800000000000001</v>
      </c>
      <c r="K82" s="179">
        <v>104</v>
      </c>
      <c r="L82" s="179">
        <v>0.27800000000000002</v>
      </c>
      <c r="M82" s="179">
        <v>770</v>
      </c>
      <c r="N82" s="179">
        <v>800</v>
      </c>
      <c r="O82" s="179">
        <v>120</v>
      </c>
      <c r="P82" s="179">
        <v>0.49</v>
      </c>
      <c r="Q82" s="179">
        <v>104</v>
      </c>
      <c r="R82" s="179">
        <v>0.52100000000000002</v>
      </c>
      <c r="S82" s="179">
        <v>330</v>
      </c>
      <c r="T82" s="179">
        <v>1850</v>
      </c>
      <c r="U82" s="179">
        <v>103</v>
      </c>
      <c r="V82" s="179">
        <v>0.77800000000000002</v>
      </c>
      <c r="W82" s="179">
        <v>104</v>
      </c>
      <c r="X82" s="176">
        <v>0.77900000000000003</v>
      </c>
      <c r="Y82" s="176">
        <v>1100</v>
      </c>
      <c r="AL82" s="172">
        <f t="shared" si="54"/>
        <v>2200</v>
      </c>
      <c r="AM82" s="172">
        <f t="shared" si="55"/>
        <v>156420000</v>
      </c>
      <c r="AN82" s="172">
        <f t="shared" si="56"/>
        <v>1185</v>
      </c>
      <c r="AO82" s="172">
        <f t="shared" si="57"/>
        <v>115</v>
      </c>
      <c r="AP82" s="173">
        <f t="shared" si="58"/>
        <v>0.50866666666666671</v>
      </c>
      <c r="AQ82" s="172">
        <f t="shared" si="59"/>
        <v>104</v>
      </c>
      <c r="AR82" s="173">
        <f t="shared" si="60"/>
        <v>0.52600000000000002</v>
      </c>
      <c r="AS82" s="174">
        <v>0.95699999999999985</v>
      </c>
      <c r="AT82" s="173">
        <f t="shared" si="61"/>
        <v>1111.4454113200645</v>
      </c>
      <c r="AU82" s="173">
        <f t="shared" si="62"/>
        <v>972.01098009665259</v>
      </c>
      <c r="AV82" s="174"/>
      <c r="AW82" s="172">
        <f t="shared" si="63"/>
        <v>13943.443122341196</v>
      </c>
      <c r="AX82" s="175">
        <f t="shared" si="51"/>
        <v>139.43443122341196</v>
      </c>
      <c r="AY82" s="175">
        <f t="shared" si="64"/>
        <v>6.3379286919732705</v>
      </c>
      <c r="AZ82" s="173">
        <f t="shared" si="52"/>
        <v>6.33792869197327E-2</v>
      </c>
      <c r="BB82" s="205"/>
      <c r="BC82" s="205"/>
    </row>
    <row r="83" spans="1:55" s="183" customFormat="1" x14ac:dyDescent="0.25">
      <c r="A83" s="176" t="s">
        <v>271</v>
      </c>
      <c r="B83" s="177" t="s">
        <v>39</v>
      </c>
      <c r="C83" s="171">
        <v>1</v>
      </c>
      <c r="D83" s="171">
        <v>100</v>
      </c>
      <c r="E83" s="171">
        <f t="shared" si="65"/>
        <v>100</v>
      </c>
      <c r="F83" s="178">
        <v>3200</v>
      </c>
      <c r="G83" s="171">
        <v>96</v>
      </c>
      <c r="H83" s="171">
        <v>2800</v>
      </c>
      <c r="I83" s="179">
        <v>104</v>
      </c>
      <c r="J83" s="179">
        <v>0.75900000000000001</v>
      </c>
      <c r="K83" s="179">
        <v>96</v>
      </c>
      <c r="L83" s="179">
        <v>0.76600000000000001</v>
      </c>
      <c r="M83" s="179">
        <v>2117</v>
      </c>
      <c r="N83" s="179">
        <v>2100</v>
      </c>
      <c r="O83" s="179">
        <v>119</v>
      </c>
      <c r="P83" s="179">
        <v>0.67</v>
      </c>
      <c r="Q83" s="179">
        <v>96</v>
      </c>
      <c r="R83" s="179">
        <v>0.70199999999999996</v>
      </c>
      <c r="S83" s="179">
        <v>907</v>
      </c>
      <c r="T83" s="179"/>
      <c r="U83" s="179"/>
      <c r="V83" s="179"/>
      <c r="W83" s="179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2">
        <f t="shared" si="54"/>
        <v>3024</v>
      </c>
      <c r="AM83" s="172">
        <f t="shared" si="55"/>
        <v>469938000</v>
      </c>
      <c r="AN83" s="172">
        <f t="shared" si="56"/>
        <v>2590.0462962962965</v>
      </c>
      <c r="AO83" s="172">
        <f t="shared" si="57"/>
        <v>111.5</v>
      </c>
      <c r="AP83" s="173">
        <f t="shared" si="58"/>
        <v>0.71450000000000002</v>
      </c>
      <c r="AQ83" s="172">
        <f t="shared" si="59"/>
        <v>96</v>
      </c>
      <c r="AR83" s="173">
        <f t="shared" si="60"/>
        <v>0.73399999999999999</v>
      </c>
      <c r="AS83" s="182">
        <v>0.94899999999999995</v>
      </c>
      <c r="AT83" s="173">
        <f t="shared" si="61"/>
        <v>2304.8596906772259</v>
      </c>
      <c r="AU83" s="173">
        <f t="shared" si="62"/>
        <v>1931.7327000272755</v>
      </c>
      <c r="AV83" s="182"/>
      <c r="AW83" s="172">
        <f t="shared" si="63"/>
        <v>37312.699064995002</v>
      </c>
      <c r="AX83" s="175">
        <f t="shared" si="51"/>
        <v>373.12699064995002</v>
      </c>
      <c r="AY83" s="175">
        <f t="shared" si="64"/>
        <v>12.338855510911046</v>
      </c>
      <c r="AZ83" s="173">
        <f t="shared" si="52"/>
        <v>0.12338855510911045</v>
      </c>
      <c r="BB83" s="205"/>
      <c r="BC83" s="205"/>
    </row>
    <row r="84" spans="1:55" s="185" customFormat="1" x14ac:dyDescent="0.25">
      <c r="A84" s="176" t="s">
        <v>271</v>
      </c>
      <c r="B84" s="177" t="s">
        <v>39</v>
      </c>
      <c r="C84" s="171">
        <v>1</v>
      </c>
      <c r="D84" s="171">
        <v>100</v>
      </c>
      <c r="E84" s="171">
        <f t="shared" si="65"/>
        <v>100</v>
      </c>
      <c r="F84" s="178">
        <v>3200</v>
      </c>
      <c r="G84" s="171">
        <v>96</v>
      </c>
      <c r="H84" s="171">
        <v>2800</v>
      </c>
      <c r="I84" s="179">
        <v>104</v>
      </c>
      <c r="J84" s="179">
        <v>0.75900000000000001</v>
      </c>
      <c r="K84" s="179">
        <v>96</v>
      </c>
      <c r="L84" s="179">
        <v>0.76600000000000001</v>
      </c>
      <c r="M84" s="179">
        <v>2117</v>
      </c>
      <c r="N84" s="179">
        <v>2100</v>
      </c>
      <c r="O84" s="179">
        <v>119</v>
      </c>
      <c r="P84" s="179">
        <v>0.67</v>
      </c>
      <c r="Q84" s="179">
        <v>96</v>
      </c>
      <c r="R84" s="179">
        <v>0.70199999999999996</v>
      </c>
      <c r="S84" s="179">
        <v>907</v>
      </c>
      <c r="T84" s="179"/>
      <c r="U84" s="179"/>
      <c r="V84" s="179"/>
      <c r="W84" s="179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2">
        <f t="shared" si="54"/>
        <v>3024</v>
      </c>
      <c r="AM84" s="172">
        <f t="shared" si="55"/>
        <v>469938000</v>
      </c>
      <c r="AN84" s="172">
        <f t="shared" si="56"/>
        <v>2590.0462962962965</v>
      </c>
      <c r="AO84" s="172">
        <f t="shared" si="57"/>
        <v>111.5</v>
      </c>
      <c r="AP84" s="173">
        <f t="shared" si="58"/>
        <v>0.71450000000000002</v>
      </c>
      <c r="AQ84" s="172">
        <f t="shared" si="59"/>
        <v>96</v>
      </c>
      <c r="AR84" s="173">
        <f t="shared" si="60"/>
        <v>0.73399999999999999</v>
      </c>
      <c r="AS84" s="182">
        <v>0.94899999999999995</v>
      </c>
      <c r="AT84" s="173">
        <f t="shared" si="61"/>
        <v>2304.8596906772259</v>
      </c>
      <c r="AU84" s="173">
        <f t="shared" si="62"/>
        <v>1931.7327000272755</v>
      </c>
      <c r="AV84" s="182"/>
      <c r="AW84" s="172">
        <f t="shared" si="63"/>
        <v>37312.699064995002</v>
      </c>
      <c r="AX84" s="175">
        <f t="shared" si="51"/>
        <v>373.12699064995002</v>
      </c>
      <c r="AY84" s="175">
        <f t="shared" si="64"/>
        <v>12.338855510911046</v>
      </c>
      <c r="AZ84" s="173">
        <f t="shared" si="52"/>
        <v>0.12338855510911045</v>
      </c>
      <c r="BA84" s="184"/>
      <c r="BB84" s="205"/>
      <c r="BC84" s="205"/>
    </row>
    <row r="85" spans="1:55" s="185" customFormat="1" x14ac:dyDescent="0.25">
      <c r="A85" s="186" t="s">
        <v>272</v>
      </c>
      <c r="B85" s="170" t="s">
        <v>273</v>
      </c>
      <c r="C85" s="171">
        <v>1</v>
      </c>
      <c r="D85" s="171">
        <v>100</v>
      </c>
      <c r="E85" s="171">
        <f t="shared" si="65"/>
        <v>100</v>
      </c>
      <c r="F85" s="172">
        <v>2750</v>
      </c>
      <c r="G85" s="171">
        <v>116</v>
      </c>
      <c r="H85" s="171">
        <v>2850</v>
      </c>
      <c r="I85" s="171">
        <v>116</v>
      </c>
      <c r="J85" s="171">
        <v>0.88900000000000001</v>
      </c>
      <c r="K85" s="171">
        <v>116</v>
      </c>
      <c r="L85" s="171">
        <v>0.88900000000000001</v>
      </c>
      <c r="M85" s="171">
        <v>1008</v>
      </c>
      <c r="N85" s="171">
        <v>2425</v>
      </c>
      <c r="O85" s="171">
        <v>129</v>
      </c>
      <c r="P85" s="171">
        <v>0.88400000000000001</v>
      </c>
      <c r="Q85" s="171">
        <v>116</v>
      </c>
      <c r="R85" s="171">
        <v>0.88900000000000001</v>
      </c>
      <c r="S85" s="171">
        <v>1176</v>
      </c>
      <c r="T85" s="171">
        <v>2000</v>
      </c>
      <c r="U85" s="171">
        <v>140</v>
      </c>
      <c r="V85" s="171">
        <v>0.84</v>
      </c>
      <c r="W85" s="171">
        <v>116</v>
      </c>
      <c r="X85" s="171">
        <v>0.86199999999999999</v>
      </c>
      <c r="Y85" s="171">
        <v>1176</v>
      </c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2">
        <f t="shared" si="54"/>
        <v>3360</v>
      </c>
      <c r="AM85" s="172">
        <f t="shared" si="55"/>
        <v>484596000</v>
      </c>
      <c r="AN85" s="172">
        <f t="shared" si="56"/>
        <v>2403.75</v>
      </c>
      <c r="AO85" s="172">
        <f t="shared" si="57"/>
        <v>128.33333333333334</v>
      </c>
      <c r="AP85" s="173">
        <f t="shared" si="58"/>
        <v>0.871</v>
      </c>
      <c r="AQ85" s="172">
        <f t="shared" si="59"/>
        <v>116</v>
      </c>
      <c r="AR85" s="173">
        <f t="shared" si="60"/>
        <v>0.87999999999999989</v>
      </c>
      <c r="AS85" s="174">
        <v>0.95639999999999992</v>
      </c>
      <c r="AT85" s="173">
        <f t="shared" si="61"/>
        <v>2244.0495333861918</v>
      </c>
      <c r="AU85" s="173">
        <f t="shared" si="62"/>
        <v>2007.6427566871957</v>
      </c>
      <c r="AV85" s="174"/>
      <c r="AW85" s="172">
        <f t="shared" si="63"/>
        <v>23640.677669899593</v>
      </c>
      <c r="AX85" s="175">
        <f t="shared" si="51"/>
        <v>236.40677669899594</v>
      </c>
      <c r="AY85" s="175">
        <f t="shared" si="64"/>
        <v>7.0359159731844025</v>
      </c>
      <c r="AZ85" s="173">
        <f t="shared" si="52"/>
        <v>7.035915973184402E-2</v>
      </c>
      <c r="BA85" s="184"/>
      <c r="BB85" s="205"/>
      <c r="BC85" s="205"/>
    </row>
    <row r="86" spans="1:55" s="176" customFormat="1" x14ac:dyDescent="0.25">
      <c r="A86" s="176" t="s">
        <v>274</v>
      </c>
      <c r="B86" s="177" t="s">
        <v>169</v>
      </c>
      <c r="C86" s="171">
        <v>1</v>
      </c>
      <c r="D86" s="171">
        <v>100</v>
      </c>
      <c r="E86" s="171">
        <f t="shared" si="65"/>
        <v>100</v>
      </c>
      <c r="F86" s="178">
        <v>2500</v>
      </c>
      <c r="G86" s="171">
        <v>111</v>
      </c>
      <c r="H86" s="171">
        <v>2500</v>
      </c>
      <c r="I86" s="179">
        <v>110</v>
      </c>
      <c r="J86" s="179">
        <v>0.82699999999999996</v>
      </c>
      <c r="K86" s="179">
        <v>111</v>
      </c>
      <c r="L86" s="179">
        <v>0.874</v>
      </c>
      <c r="M86" s="179">
        <v>2088</v>
      </c>
      <c r="N86" s="179">
        <v>1875</v>
      </c>
      <c r="O86" s="179">
        <v>123</v>
      </c>
      <c r="P86" s="179">
        <v>0.77200000000000002</v>
      </c>
      <c r="Q86" s="179">
        <v>107</v>
      </c>
      <c r="R86" s="179">
        <v>0.84499999999999997</v>
      </c>
      <c r="S86" s="179">
        <v>1368</v>
      </c>
      <c r="T86" s="179">
        <v>1250</v>
      </c>
      <c r="U86" s="179">
        <v>128</v>
      </c>
      <c r="V86" s="179">
        <v>0.58699999999999997</v>
      </c>
      <c r="W86" s="179">
        <v>104</v>
      </c>
      <c r="X86" s="176">
        <v>0.73399999999999999</v>
      </c>
      <c r="Y86" s="176">
        <v>168</v>
      </c>
      <c r="AL86" s="172">
        <f t="shared" si="54"/>
        <v>3624</v>
      </c>
      <c r="AM86" s="172">
        <f t="shared" si="55"/>
        <v>479700000</v>
      </c>
      <c r="AN86" s="172">
        <f t="shared" si="56"/>
        <v>2206.1258278145697</v>
      </c>
      <c r="AO86" s="172">
        <f t="shared" si="57"/>
        <v>120.33333333333333</v>
      </c>
      <c r="AP86" s="173">
        <f t="shared" si="58"/>
        <v>0.72866666666666668</v>
      </c>
      <c r="AQ86" s="172">
        <f t="shared" si="59"/>
        <v>107.33333333333333</v>
      </c>
      <c r="AR86" s="173">
        <f t="shared" si="60"/>
        <v>0.81766666666666665</v>
      </c>
      <c r="AS86" s="174">
        <v>0.96099728326065403</v>
      </c>
      <c r="AT86" s="173">
        <f t="shared" si="61"/>
        <v>2489.7632766469592</v>
      </c>
      <c r="AU86" s="173">
        <f t="shared" si="62"/>
        <v>1979.0617089657658</v>
      </c>
      <c r="AV86" s="174"/>
      <c r="AW86" s="172">
        <f t="shared" si="63"/>
        <v>51070.156768119341</v>
      </c>
      <c r="AX86" s="175">
        <f t="shared" si="51"/>
        <v>510.70156768119341</v>
      </c>
      <c r="AY86" s="175">
        <f t="shared" si="64"/>
        <v>14.092206613719465</v>
      </c>
      <c r="AZ86" s="173">
        <f t="shared" si="52"/>
        <v>0.14092206613719466</v>
      </c>
      <c r="BB86" s="205"/>
      <c r="BC86" s="205"/>
    </row>
    <row r="87" spans="1:55" s="176" customFormat="1" x14ac:dyDescent="0.25">
      <c r="A87" s="176" t="s">
        <v>275</v>
      </c>
      <c r="B87" s="177" t="s">
        <v>276</v>
      </c>
      <c r="C87" s="171">
        <v>2</v>
      </c>
      <c r="D87" s="171">
        <v>100</v>
      </c>
      <c r="E87" s="171">
        <f t="shared" si="65"/>
        <v>200</v>
      </c>
      <c r="F87" s="178">
        <v>1620</v>
      </c>
      <c r="G87" s="171">
        <v>20</v>
      </c>
      <c r="H87" s="171">
        <v>1800</v>
      </c>
      <c r="I87" s="179">
        <v>175</v>
      </c>
      <c r="J87" s="179">
        <v>0.80200000000000005</v>
      </c>
      <c r="K87" s="179">
        <v>175</v>
      </c>
      <c r="L87" s="179">
        <v>0.80200000000000005</v>
      </c>
      <c r="M87" s="179">
        <v>400</v>
      </c>
      <c r="N87" s="179">
        <v>1600</v>
      </c>
      <c r="O87" s="179">
        <v>199</v>
      </c>
      <c r="P87" s="179">
        <v>0.81399999999999995</v>
      </c>
      <c r="Q87" s="179">
        <v>175</v>
      </c>
      <c r="R87" s="179">
        <v>0.81499999999999995</v>
      </c>
      <c r="S87" s="179">
        <v>800</v>
      </c>
      <c r="T87" s="179">
        <v>1320</v>
      </c>
      <c r="U87" s="179">
        <v>210</v>
      </c>
      <c r="V87" s="179">
        <v>0.80300000000000005</v>
      </c>
      <c r="W87" s="179">
        <v>175</v>
      </c>
      <c r="X87" s="176">
        <v>0.80500000000000005</v>
      </c>
      <c r="Y87" s="176">
        <v>1600</v>
      </c>
      <c r="Z87" s="176">
        <v>935</v>
      </c>
      <c r="AA87" s="176">
        <v>230</v>
      </c>
      <c r="AB87" s="176">
        <v>0.67</v>
      </c>
      <c r="AC87" s="176">
        <v>175</v>
      </c>
      <c r="AD87" s="176">
        <v>0.72</v>
      </c>
      <c r="AE87" s="176">
        <v>800</v>
      </c>
      <c r="AF87" s="176">
        <v>400</v>
      </c>
      <c r="AG87" s="176">
        <v>262</v>
      </c>
      <c r="AH87" s="176">
        <v>0.3</v>
      </c>
      <c r="AI87" s="176">
        <v>175</v>
      </c>
      <c r="AJ87" s="176">
        <v>0.34</v>
      </c>
      <c r="AK87" s="176">
        <v>400</v>
      </c>
      <c r="AL87" s="172">
        <f t="shared" si="54"/>
        <v>4000</v>
      </c>
      <c r="AM87" s="172">
        <f t="shared" si="55"/>
        <v>301200000</v>
      </c>
      <c r="AN87" s="172">
        <f t="shared" si="56"/>
        <v>1255</v>
      </c>
      <c r="AO87" s="172">
        <f t="shared" si="57"/>
        <v>215.2</v>
      </c>
      <c r="AP87" s="173">
        <f t="shared" si="58"/>
        <v>0.67780000000000007</v>
      </c>
      <c r="AQ87" s="172">
        <f t="shared" si="59"/>
        <v>175</v>
      </c>
      <c r="AR87" s="173">
        <f t="shared" si="60"/>
        <v>0.69640000000000002</v>
      </c>
      <c r="AS87" s="187">
        <v>0.96</v>
      </c>
      <c r="AT87" s="173">
        <f t="shared" si="61"/>
        <v>1502.7854048711092</v>
      </c>
      <c r="AU87" s="173">
        <f t="shared" si="62"/>
        <v>1189.4208638504306</v>
      </c>
      <c r="AV87" s="187"/>
      <c r="AW87" s="172">
        <f t="shared" si="63"/>
        <v>62672.908204135783</v>
      </c>
      <c r="AX87" s="175">
        <f t="shared" si="51"/>
        <v>313.36454102067893</v>
      </c>
      <c r="AY87" s="175">
        <f t="shared" si="64"/>
        <v>15.668227051033945</v>
      </c>
      <c r="AZ87" s="173">
        <f t="shared" si="52"/>
        <v>7.8341135255169725E-2</v>
      </c>
      <c r="BB87" s="205"/>
      <c r="BC87" s="205"/>
    </row>
    <row r="88" spans="1:55" s="176" customFormat="1" x14ac:dyDescent="0.25">
      <c r="A88" s="176" t="s">
        <v>324</v>
      </c>
      <c r="C88" s="171">
        <v>1</v>
      </c>
      <c r="D88" s="171">
        <v>100</v>
      </c>
      <c r="E88" s="171">
        <f>D88</f>
        <v>100</v>
      </c>
      <c r="G88" s="179"/>
      <c r="H88" s="171"/>
      <c r="AW88" s="172">
        <v>5323</v>
      </c>
      <c r="AX88" s="175">
        <f t="shared" si="51"/>
        <v>53.23</v>
      </c>
      <c r="AY88" s="171">
        <v>3.9</v>
      </c>
      <c r="AZ88" s="173">
        <f t="shared" si="52"/>
        <v>3.9E-2</v>
      </c>
      <c r="BB88" s="205"/>
      <c r="BC88" s="205"/>
    </row>
    <row r="89" spans="1:55" s="176" customFormat="1" x14ac:dyDescent="0.25">
      <c r="A89" s="176" t="s">
        <v>325</v>
      </c>
      <c r="C89" s="171">
        <v>1</v>
      </c>
      <c r="D89" s="171">
        <v>100</v>
      </c>
      <c r="E89" s="171">
        <f>D89</f>
        <v>100</v>
      </c>
      <c r="G89" s="179"/>
      <c r="H89" s="171"/>
      <c r="AW89" s="172">
        <v>23261.200000000001</v>
      </c>
      <c r="AX89" s="175">
        <f t="shared" si="51"/>
        <v>232.61199999999999</v>
      </c>
      <c r="AY89" s="171">
        <v>10.1</v>
      </c>
      <c r="AZ89" s="173">
        <f t="shared" si="52"/>
        <v>0.10099999999999999</v>
      </c>
      <c r="BB89" s="205"/>
      <c r="BC89" s="205"/>
    </row>
    <row r="90" spans="1:55" s="188" customFormat="1" x14ac:dyDescent="0.25">
      <c r="A90" s="188" t="s">
        <v>246</v>
      </c>
      <c r="B90" s="189" t="s">
        <v>75</v>
      </c>
      <c r="C90" s="28">
        <v>1</v>
      </c>
      <c r="D90" s="28">
        <v>125</v>
      </c>
      <c r="E90" s="28">
        <f t="shared" ref="E90:E95" si="66">C90*D90</f>
        <v>125</v>
      </c>
      <c r="F90" s="190">
        <v>3250</v>
      </c>
      <c r="G90" s="28">
        <v>114</v>
      </c>
      <c r="H90" s="28">
        <v>3200</v>
      </c>
      <c r="I90" s="191">
        <v>117</v>
      </c>
      <c r="J90" s="191">
        <v>0.83099999999999996</v>
      </c>
      <c r="K90" s="191">
        <v>114</v>
      </c>
      <c r="L90" s="191">
        <v>0.82899999999999996</v>
      </c>
      <c r="M90" s="191">
        <v>675</v>
      </c>
      <c r="N90" s="191">
        <v>2400</v>
      </c>
      <c r="O90" s="191">
        <v>153</v>
      </c>
      <c r="P90" s="191">
        <v>0.80100000000000005</v>
      </c>
      <c r="Q90" s="191">
        <v>114</v>
      </c>
      <c r="R90" s="191">
        <v>0.83299999999999996</v>
      </c>
      <c r="S90" s="191">
        <v>675</v>
      </c>
      <c r="T90" s="191"/>
      <c r="U90" s="191"/>
      <c r="V90" s="191"/>
      <c r="W90" s="191"/>
      <c r="AL90" s="29">
        <f t="shared" ref="AL90:AL95" si="67">AK90+AE90+Y90+S90+M90</f>
        <v>1350</v>
      </c>
      <c r="AM90" s="29">
        <f t="shared" ref="AM90:AM95" si="68">AF90*AK90*60+Z90*AE90*60+T90*Y90*60+N90*S90*60+H90*M90*60</f>
        <v>226800000</v>
      </c>
      <c r="AN90" s="29">
        <f t="shared" ref="AN90:AN95" si="69">(AM90/AL90)/60</f>
        <v>2800</v>
      </c>
      <c r="AO90" s="29">
        <f t="shared" ref="AO90:AR95" si="70">AVERAGE(AG90,AA90,U90,O90,I90)</f>
        <v>135</v>
      </c>
      <c r="AP90" s="192">
        <f t="shared" si="70"/>
        <v>0.81600000000000006</v>
      </c>
      <c r="AQ90" s="29">
        <f t="shared" si="70"/>
        <v>114</v>
      </c>
      <c r="AR90" s="192">
        <f t="shared" si="70"/>
        <v>0.83099999999999996</v>
      </c>
      <c r="AS90" s="193">
        <v>0.9534999999999999</v>
      </c>
      <c r="AT90" s="192">
        <f t="shared" ref="AT90:AT95" si="71">((AN90*AO90/AP90))*AL90*0.746/(3956*E90)</f>
        <v>943.42621780764875</v>
      </c>
      <c r="AU90" s="192">
        <f t="shared" ref="AU90:AU95" si="72">((AN90*AQ90/AR90))*AL90*0.746/(3956*E90)</f>
        <v>782.29068489850442</v>
      </c>
      <c r="AV90" s="193"/>
      <c r="AW90" s="29">
        <f t="shared" ref="AW90:AW95" si="73">((AN90*AO90/AP90)-(AN90*AQ90/AR90))*AL90*0.746/3956</f>
        <v>20141.941613643037</v>
      </c>
      <c r="AX90" s="194">
        <f t="shared" si="51"/>
        <v>161.1355329091443</v>
      </c>
      <c r="AY90" s="194">
        <f t="shared" ref="AY90:AY95" si="74">AW90/AL90</f>
        <v>14.919956750846694</v>
      </c>
      <c r="AZ90" s="192">
        <f t="shared" si="52"/>
        <v>0.11935965400677355</v>
      </c>
      <c r="BB90" s="204">
        <f>SUM(AW90:AW101)/SUMPRODUCT(C90:D101)</f>
        <v>206.10987493305663</v>
      </c>
      <c r="BC90" s="204">
        <f>SUM(AY90:AY101)/SUMPRODUCT(C90:D101)</f>
        <v>9.7493224855010843E-2</v>
      </c>
    </row>
    <row r="91" spans="1:55" s="188" customFormat="1" x14ac:dyDescent="0.25">
      <c r="A91" s="188" t="s">
        <v>247</v>
      </c>
      <c r="B91" s="189" t="s">
        <v>164</v>
      </c>
      <c r="C91" s="28">
        <v>1</v>
      </c>
      <c r="D91" s="28">
        <v>125</v>
      </c>
      <c r="E91" s="28">
        <f t="shared" si="66"/>
        <v>125</v>
      </c>
      <c r="F91" s="190">
        <v>2500</v>
      </c>
      <c r="G91" s="28">
        <v>118</v>
      </c>
      <c r="H91" s="28">
        <v>2500</v>
      </c>
      <c r="I91" s="191">
        <v>132</v>
      </c>
      <c r="J91" s="191">
        <v>0.85099999999999998</v>
      </c>
      <c r="K91" s="191">
        <v>118</v>
      </c>
      <c r="L91" s="191">
        <v>0.84599999999999997</v>
      </c>
      <c r="M91" s="191">
        <v>1400</v>
      </c>
      <c r="N91" s="191"/>
      <c r="O91" s="191"/>
      <c r="P91" s="191"/>
      <c r="Q91" s="191"/>
      <c r="R91" s="191"/>
      <c r="S91" s="191"/>
      <c r="AL91" s="29">
        <f t="shared" si="67"/>
        <v>1400</v>
      </c>
      <c r="AM91" s="29">
        <f t="shared" si="68"/>
        <v>210000000</v>
      </c>
      <c r="AN91" s="29">
        <f t="shared" si="69"/>
        <v>2500</v>
      </c>
      <c r="AO91" s="29">
        <f t="shared" si="70"/>
        <v>132</v>
      </c>
      <c r="AP91" s="192">
        <f t="shared" si="70"/>
        <v>0.85099999999999998</v>
      </c>
      <c r="AQ91" s="29">
        <f t="shared" si="70"/>
        <v>118</v>
      </c>
      <c r="AR91" s="192">
        <f t="shared" si="70"/>
        <v>0.84599999999999997</v>
      </c>
      <c r="AS91" s="192">
        <v>0.95399999999999996</v>
      </c>
      <c r="AT91" s="192">
        <f t="shared" si="71"/>
        <v>819.00197115390324</v>
      </c>
      <c r="AU91" s="192">
        <f t="shared" si="72"/>
        <v>736.46518320915425</v>
      </c>
      <c r="AV91" s="192"/>
      <c r="AW91" s="29">
        <f t="shared" si="73"/>
        <v>10317.098493093639</v>
      </c>
      <c r="AX91" s="194">
        <f t="shared" si="51"/>
        <v>82.536787944749108</v>
      </c>
      <c r="AY91" s="194">
        <f t="shared" si="74"/>
        <v>7.3693560664954569</v>
      </c>
      <c r="AZ91" s="192">
        <f t="shared" si="52"/>
        <v>5.8954848531963658E-2</v>
      </c>
      <c r="BB91" s="204"/>
      <c r="BC91" s="204"/>
    </row>
    <row r="92" spans="1:55" s="188" customFormat="1" x14ac:dyDescent="0.25">
      <c r="A92" s="188" t="s">
        <v>277</v>
      </c>
      <c r="B92" s="189" t="s">
        <v>164</v>
      </c>
      <c r="C92" s="28">
        <v>1</v>
      </c>
      <c r="D92" s="28">
        <v>125</v>
      </c>
      <c r="E92" s="28">
        <f t="shared" si="66"/>
        <v>125</v>
      </c>
      <c r="F92" s="190">
        <v>3168</v>
      </c>
      <c r="G92" s="28">
        <v>125</v>
      </c>
      <c r="H92" s="28">
        <v>3168</v>
      </c>
      <c r="I92" s="191">
        <v>125</v>
      </c>
      <c r="J92" s="191">
        <v>0.73499999999999999</v>
      </c>
      <c r="K92" s="191">
        <v>125</v>
      </c>
      <c r="L92" s="191">
        <v>0.73499999999999999</v>
      </c>
      <c r="M92" s="191">
        <v>600</v>
      </c>
      <c r="N92" s="191">
        <v>2400</v>
      </c>
      <c r="O92" s="191">
        <v>170</v>
      </c>
      <c r="P92" s="191">
        <v>0.81599999999999995</v>
      </c>
      <c r="Q92" s="191">
        <v>125</v>
      </c>
      <c r="R92" s="191">
        <v>0.83099999999999996</v>
      </c>
      <c r="S92" s="191">
        <v>600</v>
      </c>
      <c r="T92" s="191">
        <v>1700</v>
      </c>
      <c r="U92" s="191">
        <v>181</v>
      </c>
      <c r="V92" s="191">
        <v>0.621</v>
      </c>
      <c r="W92" s="191">
        <v>125</v>
      </c>
      <c r="X92" s="188">
        <v>0.73399999999999999</v>
      </c>
      <c r="Y92" s="188">
        <v>600</v>
      </c>
      <c r="AL92" s="29">
        <f t="shared" si="67"/>
        <v>1800</v>
      </c>
      <c r="AM92" s="29">
        <f t="shared" si="68"/>
        <v>261648000</v>
      </c>
      <c r="AN92" s="29">
        <f t="shared" si="69"/>
        <v>2422.6666666666665</v>
      </c>
      <c r="AO92" s="29">
        <f t="shared" si="70"/>
        <v>158.66666666666666</v>
      </c>
      <c r="AP92" s="192">
        <f t="shared" si="70"/>
        <v>0.72399999999999987</v>
      </c>
      <c r="AQ92" s="29">
        <f t="shared" si="70"/>
        <v>125</v>
      </c>
      <c r="AR92" s="192">
        <f t="shared" si="70"/>
        <v>0.76666666666666661</v>
      </c>
      <c r="AS92" s="193">
        <v>0.94799999999999995</v>
      </c>
      <c r="AT92" s="192">
        <f t="shared" si="71"/>
        <v>1441.7362970576899</v>
      </c>
      <c r="AU92" s="192">
        <f t="shared" si="72"/>
        <v>1072.6107178968655</v>
      </c>
      <c r="AV92" s="193"/>
      <c r="AW92" s="29">
        <f t="shared" si="73"/>
        <v>46140.697395103038</v>
      </c>
      <c r="AX92" s="194">
        <f t="shared" si="51"/>
        <v>369.12557916082432</v>
      </c>
      <c r="AY92" s="194">
        <f t="shared" si="74"/>
        <v>25.633720775057242</v>
      </c>
      <c r="AZ92" s="192">
        <f t="shared" si="52"/>
        <v>0.20506976620045794</v>
      </c>
      <c r="BB92" s="204"/>
      <c r="BC92" s="204"/>
    </row>
    <row r="93" spans="1:55" s="188" customFormat="1" x14ac:dyDescent="0.25">
      <c r="A93" s="188" t="s">
        <v>278</v>
      </c>
      <c r="B93" s="189" t="s">
        <v>279</v>
      </c>
      <c r="C93" s="28">
        <v>1</v>
      </c>
      <c r="D93" s="28">
        <v>125</v>
      </c>
      <c r="E93" s="28">
        <f t="shared" si="66"/>
        <v>125</v>
      </c>
      <c r="F93" s="190">
        <v>2310</v>
      </c>
      <c r="G93" s="28">
        <v>127</v>
      </c>
      <c r="H93" s="28">
        <v>1865</v>
      </c>
      <c r="I93" s="191">
        <v>128</v>
      </c>
      <c r="J93" s="191">
        <v>0.82499999999999996</v>
      </c>
      <c r="K93" s="191">
        <v>127</v>
      </c>
      <c r="L93" s="191">
        <v>0.82599999999999996</v>
      </c>
      <c r="M93" s="191">
        <v>1325</v>
      </c>
      <c r="N93" s="191">
        <v>2310</v>
      </c>
      <c r="O93" s="191">
        <v>117</v>
      </c>
      <c r="P93" s="191">
        <v>0.874</v>
      </c>
      <c r="Q93" s="191">
        <v>92</v>
      </c>
      <c r="R93" s="191">
        <v>0.88100000000000001</v>
      </c>
      <c r="S93" s="191">
        <v>1075</v>
      </c>
      <c r="T93" s="191"/>
      <c r="U93" s="191"/>
      <c r="V93" s="191"/>
      <c r="W93" s="191"/>
      <c r="AL93" s="29">
        <f t="shared" si="67"/>
        <v>2400</v>
      </c>
      <c r="AM93" s="29">
        <f t="shared" si="68"/>
        <v>297262500</v>
      </c>
      <c r="AN93" s="29">
        <f t="shared" si="69"/>
        <v>2064.3229166666665</v>
      </c>
      <c r="AO93" s="29">
        <f t="shared" si="70"/>
        <v>122.5</v>
      </c>
      <c r="AP93" s="192">
        <f t="shared" si="70"/>
        <v>0.84949999999999992</v>
      </c>
      <c r="AQ93" s="29">
        <f t="shared" si="70"/>
        <v>109.5</v>
      </c>
      <c r="AR93" s="192">
        <f t="shared" si="70"/>
        <v>0.85349999999999993</v>
      </c>
      <c r="AS93" s="193">
        <v>0.95617708333333329</v>
      </c>
      <c r="AT93" s="192">
        <f t="shared" si="71"/>
        <v>1077.7899076420972</v>
      </c>
      <c r="AU93" s="192">
        <f t="shared" si="72"/>
        <v>958.89709031330574</v>
      </c>
      <c r="AV93" s="193"/>
      <c r="AW93" s="29">
        <f t="shared" si="73"/>
        <v>14861.602166098934</v>
      </c>
      <c r="AX93" s="194">
        <f t="shared" si="51"/>
        <v>118.89281732879147</v>
      </c>
      <c r="AY93" s="194">
        <f t="shared" si="74"/>
        <v>6.1923342358745552</v>
      </c>
      <c r="AZ93" s="192">
        <f t="shared" si="52"/>
        <v>4.953867388699644E-2</v>
      </c>
      <c r="BB93" s="204"/>
      <c r="BC93" s="204"/>
    </row>
    <row r="94" spans="1:55" s="188" customFormat="1" x14ac:dyDescent="0.25">
      <c r="A94" s="188" t="s">
        <v>280</v>
      </c>
      <c r="B94" s="189" t="s">
        <v>281</v>
      </c>
      <c r="C94" s="28">
        <v>1</v>
      </c>
      <c r="D94" s="28">
        <v>125</v>
      </c>
      <c r="E94" s="28">
        <f t="shared" si="66"/>
        <v>125</v>
      </c>
      <c r="F94" s="190">
        <v>2800</v>
      </c>
      <c r="G94" s="28">
        <v>154</v>
      </c>
      <c r="H94" s="28">
        <f>(2800+2520)/2</f>
        <v>2660</v>
      </c>
      <c r="I94" s="191">
        <f>(154+162)/2</f>
        <v>158</v>
      </c>
      <c r="J94" s="191">
        <f>(0.883+0.894)/2</f>
        <v>0.88850000000000007</v>
      </c>
      <c r="K94" s="191">
        <v>154</v>
      </c>
      <c r="L94" s="191">
        <f>(0.894+0.886)/2</f>
        <v>0.89</v>
      </c>
      <c r="M94" s="191">
        <f>297+297</f>
        <v>594</v>
      </c>
      <c r="N94" s="191">
        <f>(2240+1960)/2</f>
        <v>2100</v>
      </c>
      <c r="O94" s="191">
        <f>(168+174)/2</f>
        <v>171</v>
      </c>
      <c r="P94" s="191">
        <f>(0.859+0.82)/2</f>
        <v>0.83949999999999991</v>
      </c>
      <c r="Q94" s="191">
        <v>154</v>
      </c>
      <c r="R94" s="191">
        <f>(0.868+0.837)/2</f>
        <v>0.85250000000000004</v>
      </c>
      <c r="S94" s="191">
        <f>446+446</f>
        <v>892</v>
      </c>
      <c r="T94" s="191">
        <f>(1680+1400)/2</f>
        <v>1540</v>
      </c>
      <c r="U94" s="191">
        <f>(178+182)/2</f>
        <v>180</v>
      </c>
      <c r="V94" s="191">
        <f>(0.765+0.692)/2</f>
        <v>0.72849999999999993</v>
      </c>
      <c r="W94" s="191">
        <v>154</v>
      </c>
      <c r="X94" s="188">
        <f>(0.79+0.724)/2</f>
        <v>0.75700000000000001</v>
      </c>
      <c r="Y94" s="188">
        <f>446*2</f>
        <v>892</v>
      </c>
      <c r="Z94" s="188">
        <f>(1120+840)/2</f>
        <v>980</v>
      </c>
      <c r="AA94" s="188">
        <f>(184+186)/2</f>
        <v>185</v>
      </c>
      <c r="AB94" s="188">
        <f>(0.599+0.485)/2</f>
        <v>0.54200000000000004</v>
      </c>
      <c r="AC94" s="188">
        <v>154</v>
      </c>
      <c r="AD94" s="188">
        <f>(0.635+0.521)/2</f>
        <v>0.57800000000000007</v>
      </c>
      <c r="AE94" s="188">
        <f>297*2</f>
        <v>594</v>
      </c>
      <c r="AL94" s="29">
        <f t="shared" si="67"/>
        <v>2972</v>
      </c>
      <c r="AM94" s="29">
        <f t="shared" si="68"/>
        <v>324542400</v>
      </c>
      <c r="AN94" s="29">
        <f t="shared" si="69"/>
        <v>1820</v>
      </c>
      <c r="AO94" s="29">
        <f t="shared" si="70"/>
        <v>173.5</v>
      </c>
      <c r="AP94" s="192">
        <f t="shared" si="70"/>
        <v>0.74962499999999999</v>
      </c>
      <c r="AQ94" s="29">
        <f t="shared" si="70"/>
        <v>154</v>
      </c>
      <c r="AR94" s="192">
        <f t="shared" si="70"/>
        <v>0.76937500000000003</v>
      </c>
      <c r="AS94" s="193">
        <v>0.95464973082099613</v>
      </c>
      <c r="AT94" s="192">
        <f t="shared" si="71"/>
        <v>1888.6354703877053</v>
      </c>
      <c r="AU94" s="192">
        <f t="shared" si="72"/>
        <v>1633.3354013170051</v>
      </c>
      <c r="AV94" s="193"/>
      <c r="AW94" s="29">
        <f t="shared" si="73"/>
        <v>31912.508633837457</v>
      </c>
      <c r="AX94" s="194">
        <f t="shared" si="51"/>
        <v>255.30006907069966</v>
      </c>
      <c r="AY94" s="194">
        <f t="shared" si="74"/>
        <v>10.73772161300049</v>
      </c>
      <c r="AZ94" s="192">
        <f t="shared" si="52"/>
        <v>8.5901772904003915E-2</v>
      </c>
      <c r="BB94" s="204"/>
      <c r="BC94" s="204"/>
    </row>
    <row r="95" spans="1:55" s="188" customFormat="1" x14ac:dyDescent="0.25">
      <c r="A95" s="188" t="s">
        <v>92</v>
      </c>
      <c r="B95" s="189" t="s">
        <v>93</v>
      </c>
      <c r="C95" s="28">
        <v>1</v>
      </c>
      <c r="D95" s="28">
        <v>125</v>
      </c>
      <c r="E95" s="28">
        <f t="shared" si="66"/>
        <v>125</v>
      </c>
      <c r="F95" s="190">
        <v>3266</v>
      </c>
      <c r="G95" s="28">
        <v>127</v>
      </c>
      <c r="H95" s="28">
        <v>2177</v>
      </c>
      <c r="I95" s="191">
        <v>165</v>
      </c>
      <c r="J95" s="191">
        <v>0.83899999999999997</v>
      </c>
      <c r="K95" s="191">
        <v>127</v>
      </c>
      <c r="L95" s="191">
        <v>0.85899999999999999</v>
      </c>
      <c r="M95" s="191">
        <v>620</v>
      </c>
      <c r="N95" s="191">
        <f>(2831+2712)/2</f>
        <v>2771.5</v>
      </c>
      <c r="O95" s="191">
        <f>(146+151)/2</f>
        <v>148.5</v>
      </c>
      <c r="P95" s="191">
        <v>0.86699999999999999</v>
      </c>
      <c r="Q95" s="191">
        <v>127</v>
      </c>
      <c r="R95" s="191">
        <v>0.86350000000000005</v>
      </c>
      <c r="S95" s="191">
        <f>620*2</f>
        <v>1240</v>
      </c>
      <c r="T95" s="188">
        <v>3208</v>
      </c>
      <c r="U95" s="188">
        <v>130</v>
      </c>
      <c r="V95" s="188">
        <v>0.84799999999999998</v>
      </c>
      <c r="W95" s="188">
        <v>127</v>
      </c>
      <c r="X95" s="188">
        <v>0.84699999999999998</v>
      </c>
      <c r="Y95" s="188">
        <v>620</v>
      </c>
      <c r="Z95" s="188">
        <f>(2177+2140)/2</f>
        <v>2158.5</v>
      </c>
      <c r="AA95" s="188">
        <v>165.5</v>
      </c>
      <c r="AB95" s="188">
        <v>0.83699999999999997</v>
      </c>
      <c r="AC95" s="188">
        <v>127</v>
      </c>
      <c r="AD95" s="188">
        <v>0.85799999999999998</v>
      </c>
      <c r="AE95" s="188">
        <f>205*2</f>
        <v>410</v>
      </c>
      <c r="AF95" s="188">
        <v>2400</v>
      </c>
      <c r="AG95" s="188">
        <v>160</v>
      </c>
      <c r="AH95" s="188">
        <v>0.85699999999999998</v>
      </c>
      <c r="AI95" s="188">
        <v>127</v>
      </c>
      <c r="AJ95" s="188">
        <v>0.86699999999999999</v>
      </c>
      <c r="AK95" s="188">
        <v>410</v>
      </c>
      <c r="AL95" s="29">
        <f t="shared" si="67"/>
        <v>3300</v>
      </c>
      <c r="AM95" s="29">
        <f t="shared" si="68"/>
        <v>518660700</v>
      </c>
      <c r="AN95" s="29">
        <f t="shared" si="69"/>
        <v>2619.4984848484846</v>
      </c>
      <c r="AO95" s="29">
        <f t="shared" si="70"/>
        <v>153.80000000000001</v>
      </c>
      <c r="AP95" s="192">
        <f t="shared" si="70"/>
        <v>0.84959999999999991</v>
      </c>
      <c r="AQ95" s="29">
        <f t="shared" si="70"/>
        <v>127</v>
      </c>
      <c r="AR95" s="192">
        <f t="shared" si="70"/>
        <v>0.8589</v>
      </c>
      <c r="AS95" s="193">
        <v>0.95224999999999993</v>
      </c>
      <c r="AT95" s="192">
        <f t="shared" si="71"/>
        <v>2360.7307375147334</v>
      </c>
      <c r="AU95" s="192">
        <f t="shared" si="72"/>
        <v>1928.260661172066</v>
      </c>
      <c r="AV95" s="193"/>
      <c r="AW95" s="29">
        <f t="shared" si="73"/>
        <v>54058.759542833468</v>
      </c>
      <c r="AX95" s="194">
        <f t="shared" si="51"/>
        <v>432.47007634266777</v>
      </c>
      <c r="AY95" s="194">
        <f t="shared" si="74"/>
        <v>16.381442285707113</v>
      </c>
      <c r="AZ95" s="192">
        <f t="shared" si="52"/>
        <v>0.13105153828565691</v>
      </c>
      <c r="BB95" s="204"/>
      <c r="BC95" s="204"/>
    </row>
    <row r="96" spans="1:55" s="188" customFormat="1" x14ac:dyDescent="0.25">
      <c r="A96" s="188" t="s">
        <v>319</v>
      </c>
      <c r="C96" s="28">
        <v>1</v>
      </c>
      <c r="D96" s="28">
        <v>125</v>
      </c>
      <c r="E96" s="28">
        <f>D96</f>
        <v>125</v>
      </c>
      <c r="G96" s="191"/>
      <c r="H96" s="28"/>
      <c r="AW96" s="29">
        <v>23650</v>
      </c>
      <c r="AX96" s="194">
        <f t="shared" si="51"/>
        <v>189.2</v>
      </c>
      <c r="AY96" s="28">
        <v>12.84</v>
      </c>
      <c r="AZ96" s="192">
        <f t="shared" si="52"/>
        <v>0.10272000000000001</v>
      </c>
      <c r="BB96" s="204"/>
      <c r="BC96" s="204"/>
    </row>
    <row r="97" spans="1:55" s="188" customFormat="1" x14ac:dyDescent="0.25">
      <c r="A97" s="188" t="s">
        <v>326</v>
      </c>
      <c r="C97" s="28">
        <v>1</v>
      </c>
      <c r="D97" s="28">
        <v>125</v>
      </c>
      <c r="E97" s="28">
        <f>D97</f>
        <v>125</v>
      </c>
      <c r="G97" s="191"/>
      <c r="H97" s="28"/>
      <c r="AW97" s="29">
        <v>9544</v>
      </c>
      <c r="AX97" s="194">
        <f t="shared" si="51"/>
        <v>76.352000000000004</v>
      </c>
      <c r="AY97" s="28">
        <v>6</v>
      </c>
      <c r="AZ97" s="192">
        <f t="shared" si="52"/>
        <v>4.8000000000000001E-2</v>
      </c>
      <c r="BB97" s="204"/>
      <c r="BC97" s="204"/>
    </row>
    <row r="98" spans="1:55" s="188" customFormat="1" x14ac:dyDescent="0.25">
      <c r="A98" s="188" t="s">
        <v>328</v>
      </c>
      <c r="C98" s="28">
        <v>1</v>
      </c>
      <c r="D98" s="28">
        <v>125</v>
      </c>
      <c r="E98" s="28">
        <f>D98</f>
        <v>125</v>
      </c>
      <c r="G98" s="191"/>
      <c r="H98" s="28"/>
      <c r="AW98" s="29">
        <v>17333</v>
      </c>
      <c r="AX98" s="194">
        <f t="shared" si="51"/>
        <v>138.66399999999999</v>
      </c>
      <c r="AY98" s="28">
        <v>13.6</v>
      </c>
      <c r="AZ98" s="192">
        <f t="shared" si="52"/>
        <v>0.10879999999999999</v>
      </c>
      <c r="BB98" s="204"/>
      <c r="BC98" s="204"/>
    </row>
    <row r="99" spans="1:55" s="188" customFormat="1" x14ac:dyDescent="0.25">
      <c r="A99" s="188" t="s">
        <v>217</v>
      </c>
      <c r="B99" s="189" t="s">
        <v>81</v>
      </c>
      <c r="C99" s="28">
        <v>1</v>
      </c>
      <c r="D99" s="28">
        <v>150</v>
      </c>
      <c r="E99" s="28">
        <f>C99*D99</f>
        <v>150</v>
      </c>
      <c r="F99" s="190">
        <v>6000</v>
      </c>
      <c r="G99" s="28">
        <v>80.8</v>
      </c>
      <c r="H99" s="28">
        <v>5000</v>
      </c>
      <c r="I99" s="191">
        <v>98</v>
      </c>
      <c r="J99" s="191">
        <v>0.82399999999999995</v>
      </c>
      <c r="K99" s="191">
        <v>81</v>
      </c>
      <c r="L99" s="191">
        <v>0.82699999999999996</v>
      </c>
      <c r="M99" s="191">
        <v>800</v>
      </c>
      <c r="N99" s="191">
        <v>5900</v>
      </c>
      <c r="O99" s="191">
        <v>83</v>
      </c>
      <c r="P99" s="191">
        <v>0.81499999999999995</v>
      </c>
      <c r="Q99" s="191">
        <v>81</v>
      </c>
      <c r="R99" s="191">
        <v>0.81399999999999995</v>
      </c>
      <c r="S99" s="191">
        <v>800</v>
      </c>
      <c r="T99" s="191"/>
      <c r="U99" s="191"/>
      <c r="V99" s="191"/>
      <c r="W99" s="191"/>
      <c r="AL99" s="29">
        <f>AK99+AE99+Y99+S99+M99</f>
        <v>1600</v>
      </c>
      <c r="AM99" s="29">
        <f>AF99*AK99*60+Z99*AE99*60+T99*Y99*60+N99*S99*60+H99*M99*60</f>
        <v>523200000</v>
      </c>
      <c r="AN99" s="29">
        <f>(AM99/AL99)/60</f>
        <v>5450</v>
      </c>
      <c r="AO99" s="29">
        <f t="shared" ref="AO99:AR101" si="75">AVERAGE(AG99,AA99,U99,O99,I99)</f>
        <v>90.5</v>
      </c>
      <c r="AP99" s="192">
        <f t="shared" si="75"/>
        <v>0.8194999999999999</v>
      </c>
      <c r="AQ99" s="29">
        <f t="shared" si="75"/>
        <v>81</v>
      </c>
      <c r="AR99" s="192">
        <f t="shared" si="75"/>
        <v>0.82050000000000001</v>
      </c>
      <c r="AS99" s="193">
        <v>0.95900000000000007</v>
      </c>
      <c r="AT99" s="192">
        <f>((AN99*AO99/AP99))*AL99*0.746/(3956*E99)</f>
        <v>1210.6187381925197</v>
      </c>
      <c r="AU99" s="192">
        <f>((AN99*AQ99/AR99))*AL99*0.746/(3956*E99)</f>
        <v>1082.2166315762233</v>
      </c>
      <c r="AV99" s="193"/>
      <c r="AW99" s="29">
        <f>((AN99*AO99/AP99)-(AN99*AQ99/AR99))*AL99*0.746/3956</f>
        <v>19260.315992444463</v>
      </c>
      <c r="AX99" s="194">
        <f t="shared" ref="AX99:AX101" si="76">AW99/E99</f>
        <v>128.40210661629641</v>
      </c>
      <c r="AY99" s="194">
        <f>AW99/AL99</f>
        <v>12.03769749527779</v>
      </c>
      <c r="AZ99" s="192">
        <f t="shared" ref="AZ99:AZ101" si="77">AY99/E99</f>
        <v>8.0251316635185269E-2</v>
      </c>
      <c r="BB99" s="204"/>
      <c r="BC99" s="204"/>
    </row>
    <row r="100" spans="1:55" s="188" customFormat="1" x14ac:dyDescent="0.25">
      <c r="A100" s="188" t="s">
        <v>217</v>
      </c>
      <c r="B100" s="189" t="s">
        <v>81</v>
      </c>
      <c r="C100" s="28">
        <v>1</v>
      </c>
      <c r="D100" s="28">
        <v>150</v>
      </c>
      <c r="E100" s="28">
        <f>C100*D100</f>
        <v>150</v>
      </c>
      <c r="F100" s="190">
        <v>2700</v>
      </c>
      <c r="G100" s="28">
        <v>175</v>
      </c>
      <c r="H100" s="28">
        <v>2500</v>
      </c>
      <c r="I100" s="191">
        <v>199</v>
      </c>
      <c r="J100" s="191">
        <v>0.83099999999999996</v>
      </c>
      <c r="K100" s="191">
        <v>175</v>
      </c>
      <c r="L100" s="191">
        <v>0.81599999999999995</v>
      </c>
      <c r="M100" s="191">
        <v>1100</v>
      </c>
      <c r="N100" s="191">
        <v>2600</v>
      </c>
      <c r="O100" s="191">
        <v>187</v>
      </c>
      <c r="P100" s="191">
        <v>0.81499999999999995</v>
      </c>
      <c r="Q100" s="191">
        <v>175</v>
      </c>
      <c r="R100" s="191">
        <v>0.80500000000000005</v>
      </c>
      <c r="S100" s="191">
        <v>1100</v>
      </c>
      <c r="T100" s="191"/>
      <c r="U100" s="191"/>
      <c r="V100" s="191"/>
      <c r="W100" s="191"/>
      <c r="AL100" s="29">
        <f>AK100+AE100+Y100+S100+M100</f>
        <v>2200</v>
      </c>
      <c r="AM100" s="29">
        <f>AF100*AK100*60+Z100*AE100*60+T100*Y100*60+N100*S100*60+H100*M100*60</f>
        <v>336600000</v>
      </c>
      <c r="AN100" s="29">
        <f>(AM100/AL100)/60</f>
        <v>2550</v>
      </c>
      <c r="AO100" s="29">
        <f t="shared" si="75"/>
        <v>193</v>
      </c>
      <c r="AP100" s="192">
        <f t="shared" si="75"/>
        <v>0.82299999999999995</v>
      </c>
      <c r="AQ100" s="29">
        <f t="shared" si="75"/>
        <v>175</v>
      </c>
      <c r="AR100" s="192">
        <f t="shared" si="75"/>
        <v>0.8105</v>
      </c>
      <c r="AS100" s="193">
        <v>0.95900000000000007</v>
      </c>
      <c r="AT100" s="192">
        <f>((AN100*AO100/AP100))*AL100*0.746/(3956*E100)</f>
        <v>1653.9090383034768</v>
      </c>
      <c r="AU100" s="192">
        <f>((AN100*AQ100/AR100))*AL100*0.746/(3956*E100)</f>
        <v>1522.7870548894098</v>
      </c>
      <c r="AV100" s="193"/>
      <c r="AW100" s="29">
        <f>((AN100*AO100/AP100)-(AN100*AQ100/AR100))*AL100*0.746/3956</f>
        <v>19668.297512110035</v>
      </c>
      <c r="AX100" s="194">
        <f t="shared" si="76"/>
        <v>131.1219834140669</v>
      </c>
      <c r="AY100" s="194">
        <f>AW100/AL100</f>
        <v>8.9401352327772887</v>
      </c>
      <c r="AZ100" s="192">
        <f t="shared" si="77"/>
        <v>5.9600901551848592E-2</v>
      </c>
      <c r="BB100" s="204"/>
      <c r="BC100" s="204"/>
    </row>
    <row r="101" spans="1:55" s="188" customFormat="1" x14ac:dyDescent="0.25">
      <c r="A101" s="188" t="s">
        <v>282</v>
      </c>
      <c r="B101" s="189" t="s">
        <v>212</v>
      </c>
      <c r="C101" s="28">
        <v>1</v>
      </c>
      <c r="D101" s="28">
        <v>150</v>
      </c>
      <c r="E101" s="28">
        <f>C101*D101</f>
        <v>150</v>
      </c>
      <c r="F101" s="190">
        <v>3500</v>
      </c>
      <c r="G101" s="28">
        <v>120</v>
      </c>
      <c r="H101" s="28">
        <v>2250</v>
      </c>
      <c r="I101" s="191">
        <v>147</v>
      </c>
      <c r="J101" s="191">
        <v>0.66300000000000003</v>
      </c>
      <c r="K101" s="191">
        <v>120</v>
      </c>
      <c r="L101" s="191">
        <v>0.68799999999999994</v>
      </c>
      <c r="M101" s="191">
        <v>3000</v>
      </c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AL101" s="29">
        <f>AK101+AE101+Y101+S101+M101</f>
        <v>3000</v>
      </c>
      <c r="AM101" s="29">
        <f>AF101*AK101*60+Z101*AE101*60+T101*Y101*60+N101*S101*60+H101*M101*60</f>
        <v>405000000</v>
      </c>
      <c r="AN101" s="29">
        <f>(AM101/AL101)/60</f>
        <v>2250</v>
      </c>
      <c r="AO101" s="29">
        <f t="shared" si="75"/>
        <v>147</v>
      </c>
      <c r="AP101" s="192">
        <f t="shared" si="75"/>
        <v>0.66300000000000003</v>
      </c>
      <c r="AQ101" s="29">
        <f t="shared" si="75"/>
        <v>120</v>
      </c>
      <c r="AR101" s="192">
        <f t="shared" si="75"/>
        <v>0.68799999999999994</v>
      </c>
      <c r="AS101" s="192">
        <v>0.95</v>
      </c>
      <c r="AT101" s="192">
        <f>((AN101*AO101/AP101))*AL101*0.746/(3956*E101)</f>
        <v>1881.4767876505819</v>
      </c>
      <c r="AU101" s="192">
        <f>((AN101*AQ101/AR101))*AL101*0.746/(3956*E101)</f>
        <v>1480.0891198532699</v>
      </c>
      <c r="AV101" s="192"/>
      <c r="AW101" s="29">
        <f>((AN101*AO101/AP101)-(AN101*AQ101/AR101))*AL101*0.746/3956</f>
        <v>60208.150169596775</v>
      </c>
      <c r="AX101" s="194">
        <f t="shared" si="76"/>
        <v>401.38766779731185</v>
      </c>
      <c r="AY101" s="194">
        <f>AW101/AL101</f>
        <v>20.069383389865592</v>
      </c>
      <c r="AZ101" s="192">
        <f t="shared" si="77"/>
        <v>0.13379588926577063</v>
      </c>
      <c r="BB101" s="204"/>
      <c r="BC101" s="204"/>
    </row>
    <row r="102" spans="1:55" x14ac:dyDescent="0.25">
      <c r="AW102" s="13"/>
      <c r="AX102" s="12"/>
    </row>
    <row r="103" spans="1:55" s="10" customFormat="1" x14ac:dyDescent="0.25">
      <c r="A103" s="10" t="s">
        <v>312</v>
      </c>
      <c r="AL103" s="14">
        <f>AVERAGE(AL3:AL101)</f>
        <v>2009.3846153846155</v>
      </c>
      <c r="AT103" s="15">
        <v>1298.96</v>
      </c>
      <c r="AU103" s="15">
        <f>AVERAGE(AU5:AU101)</f>
        <v>1073.6229041424551</v>
      </c>
      <c r="AV103" s="15">
        <f>AT103-AU103</f>
        <v>225.33709585754491</v>
      </c>
      <c r="AW103" s="14">
        <f>AVERAGE(AW5:AW101)</f>
        <v>18836.288143749051</v>
      </c>
      <c r="AX103" s="15">
        <f>AVERAGE(AX5:AX101)</f>
        <v>241.76612730283549</v>
      </c>
      <c r="AY103" s="14">
        <f>AVERAGE(AY5:AY101)</f>
        <v>9.8153972097162452</v>
      </c>
      <c r="AZ103" s="16">
        <f>AVERAGE(AZ5:AZ101)</f>
        <v>0.12753896714180851</v>
      </c>
      <c r="BB103" s="10">
        <f>AVERAGE(BB3:BB101)</f>
        <v>226.65435325680275</v>
      </c>
      <c r="BC103" s="10">
        <f>AVERAGE(BC3:BC101)</f>
        <v>0.12202750133919289</v>
      </c>
    </row>
  </sheetData>
  <sortState ref="A1:AZ105">
    <sortCondition ref="D1:D105"/>
  </sortState>
  <mergeCells count="14">
    <mergeCell ref="BC18:BC27"/>
    <mergeCell ref="BB18:BB27"/>
    <mergeCell ref="BC8:BC17"/>
    <mergeCell ref="BB8:BB17"/>
    <mergeCell ref="BC3:BC7"/>
    <mergeCell ref="BB3:BB7"/>
    <mergeCell ref="BC28:BC41"/>
    <mergeCell ref="BB28:BB41"/>
    <mergeCell ref="BC90:BC101"/>
    <mergeCell ref="BB90:BB101"/>
    <mergeCell ref="BC70:BC89"/>
    <mergeCell ref="BB70:BB89"/>
    <mergeCell ref="BC42:BC69"/>
    <mergeCell ref="BB42:BB6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Well Pumps</vt:lpstr>
      <vt:lpstr>Booster Pumps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Chow</dc:creator>
  <cp:lastModifiedBy>Wyatt, Jim</cp:lastModifiedBy>
  <dcterms:created xsi:type="dcterms:W3CDTF">2014-06-27T21:47:25Z</dcterms:created>
  <dcterms:modified xsi:type="dcterms:W3CDTF">2015-03-24T21:09:28Z</dcterms:modified>
</cp:coreProperties>
</file>